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058_Sicepat_Batam 01-31" sheetId="2" r:id="rId1"/>
    <sheet name="403955" sheetId="26" r:id="rId2"/>
    <sheet name="403743" sheetId="57" r:id="rId3"/>
    <sheet name="403958" sheetId="58" r:id="rId4"/>
    <sheet name="403747" sheetId="59" r:id="rId5"/>
    <sheet name="403750" sheetId="60" r:id="rId6"/>
    <sheet name="404357" sheetId="61" r:id="rId7"/>
    <sheet name="405801" sheetId="62" r:id="rId8"/>
    <sheet name="405803" sheetId="63" r:id="rId9"/>
    <sheet name="406110" sheetId="64" r:id="rId10"/>
    <sheet name="405810" sheetId="65" r:id="rId11"/>
    <sheet name="405812" sheetId="66" r:id="rId12"/>
    <sheet name="406113" sheetId="67" r:id="rId13"/>
    <sheet name="405817" sheetId="68" r:id="rId14"/>
    <sheet name="405819" sheetId="69" r:id="rId15"/>
    <sheet name="403960" sheetId="70" r:id="rId16"/>
    <sheet name="405825" sheetId="71" r:id="rId17"/>
    <sheet name="404048" sheetId="72" r:id="rId18"/>
    <sheet name="405830" sheetId="73" r:id="rId19"/>
    <sheet name="405832" sheetId="74" r:id="rId20"/>
    <sheet name="406115" sheetId="75" r:id="rId21"/>
    <sheet name="405839" sheetId="76" r:id="rId22"/>
    <sheet name="405841" sheetId="77" r:id="rId23"/>
    <sheet name="404380" sheetId="78" r:id="rId24"/>
    <sheet name="405846" sheetId="79" r:id="rId25"/>
    <sheet name="405848" sheetId="80" r:id="rId26"/>
    <sheet name="406117" sheetId="81" r:id="rId27"/>
    <sheet name="406452" sheetId="82" r:id="rId28"/>
    <sheet name="403963" sheetId="83" r:id="rId29"/>
    <sheet name="406248" sheetId="84" r:id="rId30"/>
    <sheet name="406459" sheetId="85" r:id="rId31"/>
    <sheet name="403965" sheetId="86" r:id="rId32"/>
    <sheet name="406245" sheetId="87" r:id="rId33"/>
    <sheet name="406467" sheetId="88" r:id="rId34"/>
    <sheet name="403967" sheetId="89" r:id="rId35"/>
    <sheet name="402434" sheetId="90" r:id="rId36"/>
    <sheet name="402653" sheetId="91" r:id="rId37"/>
    <sheet name="403972" sheetId="92" r:id="rId38"/>
    <sheet name="403974" sheetId="93" r:id="rId39"/>
    <sheet name="406093" sheetId="94" r:id="rId40"/>
    <sheet name="402658" sheetId="95" r:id="rId41"/>
    <sheet name="403976" sheetId="96" r:id="rId42"/>
    <sheet name="403909" sheetId="97" r:id="rId43"/>
    <sheet name="402659" sheetId="98" r:id="rId44"/>
    <sheet name="402661" sheetId="99" r:id="rId45"/>
    <sheet name="406119" sheetId="100" r:id="rId46"/>
    <sheet name="402663" sheetId="101" r:id="rId47"/>
    <sheet name="402442" sheetId="102" r:id="rId48"/>
    <sheet name="402441" sheetId="103" r:id="rId49"/>
    <sheet name="402665" sheetId="104" r:id="rId50"/>
    <sheet name="403912" sheetId="105" r:id="rId51"/>
    <sheet name="406120" sheetId="106" r:id="rId52"/>
    <sheet name="406098" sheetId="107" r:id="rId53"/>
    <sheet name="402674" sheetId="108" r:id="rId54"/>
    <sheet name="406123" sheetId="109" r:id="rId55"/>
    <sheet name="403914" sheetId="110" r:id="rId56"/>
    <sheet name="402687" sheetId="111" r:id="rId57"/>
    <sheet name="402688" sheetId="112" r:id="rId58"/>
    <sheet name="406126" sheetId="113" r:id="rId59"/>
    <sheet name="403916" sheetId="114" r:id="rId60"/>
    <sheet name="402696" sheetId="115" r:id="rId61"/>
    <sheet name="403978" sheetId="116" r:id="rId62"/>
    <sheet name="403919" sheetId="117" r:id="rId63"/>
    <sheet name="402699" sheetId="118" r:id="rId64"/>
    <sheet name="403981" sheetId="119" r:id="rId65"/>
    <sheet name="403921" sheetId="120" r:id="rId66"/>
    <sheet name="402704" sheetId="121" r:id="rId67"/>
    <sheet name="402705" sheetId="122" r:id="rId68"/>
    <sheet name="403924" sheetId="123" r:id="rId69"/>
    <sheet name="403983" sheetId="124" r:id="rId70"/>
    <sheet name="402713" sheetId="125" r:id="rId71"/>
    <sheet name="403985" sheetId="126" r:id="rId72"/>
    <sheet name="403927" sheetId="127" r:id="rId73"/>
    <sheet name="402715" sheetId="128" r:id="rId74"/>
    <sheet name="403987" sheetId="129" r:id="rId75"/>
    <sheet name="403930" sheetId="130" r:id="rId76"/>
    <sheet name="402722" sheetId="131" r:id="rId77"/>
    <sheet name="403989" sheetId="132" r:id="rId78"/>
    <sheet name="403931" sheetId="133" r:id="rId79"/>
    <sheet name="402731" sheetId="134" r:id="rId80"/>
    <sheet name="402106" sheetId="135" r:id="rId81"/>
    <sheet name="403991" sheetId="136" r:id="rId82"/>
    <sheet name="402736" sheetId="137" r:id="rId83"/>
    <sheet name="406130" sheetId="138" r:id="rId84"/>
    <sheet name="403933" sheetId="139" r:id="rId85"/>
    <sheet name="402745" sheetId="140" r:id="rId86"/>
    <sheet name="406132" sheetId="141" r:id="rId87"/>
    <sheet name="402111" sheetId="142" r:id="rId88"/>
    <sheet name="402746" sheetId="143" r:id="rId89"/>
    <sheet name="402748" sheetId="144" r:id="rId90"/>
    <sheet name="406134" sheetId="145" r:id="rId91"/>
    <sheet name="406136" sheetId="146" r:id="rId92"/>
    <sheet name="403937" sheetId="147" r:id="rId93"/>
    <sheet name="406473" sheetId="148" r:id="rId94"/>
    <sheet name="403993" sheetId="149" r:id="rId95"/>
    <sheet name="402110" sheetId="150" r:id="rId96"/>
    <sheet name="402752" sheetId="151" r:id="rId97"/>
    <sheet name="406139" sheetId="152" r:id="rId98"/>
    <sheet name="403940" sheetId="153" r:id="rId99"/>
    <sheet name="402758" sheetId="154" r:id="rId100"/>
  </sheets>
  <definedNames>
    <definedName name="_xlnm.Print_Titles" localSheetId="0">'058_Sicepat_Batam 01-31'!$2:$17</definedName>
    <definedName name="_xlnm.Print_Titles" localSheetId="80">'402106'!$2:$2</definedName>
    <definedName name="_xlnm.Print_Titles" localSheetId="95">'402110'!$2:$2</definedName>
    <definedName name="_xlnm.Print_Titles" localSheetId="87">'402111'!$2:$2</definedName>
    <definedName name="_xlnm.Print_Titles" localSheetId="35">'402434'!$1:$2</definedName>
    <definedName name="_xlnm.Print_Titles" localSheetId="48">'402441'!$2:$2</definedName>
    <definedName name="_xlnm.Print_Titles" localSheetId="47">'402442'!$2:$2</definedName>
    <definedName name="_xlnm.Print_Titles" localSheetId="36">'402653'!$2:$2</definedName>
    <definedName name="_xlnm.Print_Titles" localSheetId="40">'402658'!$2:$2</definedName>
    <definedName name="_xlnm.Print_Titles" localSheetId="43">'402659'!$2:$2</definedName>
    <definedName name="_xlnm.Print_Titles" localSheetId="44">'402661'!$2:$2</definedName>
    <definedName name="_xlnm.Print_Titles" localSheetId="46">'402663'!$2:$2</definedName>
    <definedName name="_xlnm.Print_Titles" localSheetId="49">'402665'!$2:$2</definedName>
    <definedName name="_xlnm.Print_Titles" localSheetId="53">'402674'!$2:$2</definedName>
    <definedName name="_xlnm.Print_Titles" localSheetId="56">'402687'!$2:$2</definedName>
    <definedName name="_xlnm.Print_Titles" localSheetId="57">'402688'!$2:$2</definedName>
    <definedName name="_xlnm.Print_Titles" localSheetId="60">'402696'!$2:$2</definedName>
    <definedName name="_xlnm.Print_Titles" localSheetId="63">'402699'!$2:$2</definedName>
    <definedName name="_xlnm.Print_Titles" localSheetId="66">'402704'!$2:$2</definedName>
    <definedName name="_xlnm.Print_Titles" localSheetId="67">'402705'!$2:$2</definedName>
    <definedName name="_xlnm.Print_Titles" localSheetId="70">'402713'!$2:$2</definedName>
    <definedName name="_xlnm.Print_Titles" localSheetId="73">'402715'!$2:$2</definedName>
    <definedName name="_xlnm.Print_Titles" localSheetId="76">'402722'!$2:$2</definedName>
    <definedName name="_xlnm.Print_Titles" localSheetId="79">'402731'!$2:$2</definedName>
    <definedName name="_xlnm.Print_Titles" localSheetId="82">'402736'!$2:$2</definedName>
    <definedName name="_xlnm.Print_Titles" localSheetId="85">'402745'!$2:$2</definedName>
    <definedName name="_xlnm.Print_Titles" localSheetId="88">'402746'!$2:$2</definedName>
    <definedName name="_xlnm.Print_Titles" localSheetId="89">'402748'!$2:$2</definedName>
    <definedName name="_xlnm.Print_Titles" localSheetId="96">'402752'!$2:$2</definedName>
    <definedName name="_xlnm.Print_Titles" localSheetId="99">'402758'!$2:$2</definedName>
    <definedName name="_xlnm.Print_Titles" localSheetId="2">'403743'!$2:$2</definedName>
    <definedName name="_xlnm.Print_Titles" localSheetId="4">'403747'!$2:$2</definedName>
    <definedName name="_xlnm.Print_Titles" localSheetId="5">'403750'!$2:$2</definedName>
    <definedName name="_xlnm.Print_Titles" localSheetId="42">'403909'!$2:$2</definedName>
    <definedName name="_xlnm.Print_Titles" localSheetId="50">'403912'!$2:$2</definedName>
    <definedName name="_xlnm.Print_Titles" localSheetId="55">'403914'!$2:$2</definedName>
    <definedName name="_xlnm.Print_Titles" localSheetId="59">'403916'!$2:$2</definedName>
    <definedName name="_xlnm.Print_Titles" localSheetId="62">'403919'!$2:$2</definedName>
    <definedName name="_xlnm.Print_Titles" localSheetId="65">'403921'!$2:$2</definedName>
    <definedName name="_xlnm.Print_Titles" localSheetId="68">'403924'!$2:$2</definedName>
    <definedName name="_xlnm.Print_Titles" localSheetId="72">'403927'!$2:$2</definedName>
    <definedName name="_xlnm.Print_Titles" localSheetId="75">'403930'!$2:$2</definedName>
    <definedName name="_xlnm.Print_Titles" localSheetId="78">'403931'!$2:$2</definedName>
    <definedName name="_xlnm.Print_Titles" localSheetId="84">'403933'!$2:$2</definedName>
    <definedName name="_xlnm.Print_Titles" localSheetId="92">'403937'!$2:$2</definedName>
    <definedName name="_xlnm.Print_Titles" localSheetId="98">'403940'!$2:$2</definedName>
    <definedName name="_xlnm.Print_Titles" localSheetId="1">'403955'!$2:$2</definedName>
    <definedName name="_xlnm.Print_Titles" localSheetId="3">'403958'!$2:$2</definedName>
    <definedName name="_xlnm.Print_Titles" localSheetId="15">'403960'!$2:$2</definedName>
    <definedName name="_xlnm.Print_Titles" localSheetId="28">'403963'!$2:$2</definedName>
    <definedName name="_xlnm.Print_Titles" localSheetId="31">'403965'!$2:$2</definedName>
    <definedName name="_xlnm.Print_Titles" localSheetId="34">'403967'!$2:$2</definedName>
    <definedName name="_xlnm.Print_Titles" localSheetId="37">'403972'!$1:$2</definedName>
    <definedName name="_xlnm.Print_Titles" localSheetId="38">'403974'!$2:$2</definedName>
    <definedName name="_xlnm.Print_Titles" localSheetId="41">'403976'!$2:$2</definedName>
    <definedName name="_xlnm.Print_Titles" localSheetId="61">'403978'!$2:$2</definedName>
    <definedName name="_xlnm.Print_Titles" localSheetId="64">'403981'!$2:$2</definedName>
    <definedName name="_xlnm.Print_Titles" localSheetId="69">'403983'!$2:$2</definedName>
    <definedName name="_xlnm.Print_Titles" localSheetId="71">'403985'!$2:$2</definedName>
    <definedName name="_xlnm.Print_Titles" localSheetId="74">'403987'!$2:$2</definedName>
    <definedName name="_xlnm.Print_Titles" localSheetId="77">'403989'!$2:$2</definedName>
    <definedName name="_xlnm.Print_Titles" localSheetId="81">'403991'!$2:$2</definedName>
    <definedName name="_xlnm.Print_Titles" localSheetId="94">'403993'!$2:$2</definedName>
    <definedName name="_xlnm.Print_Titles" localSheetId="17">'404048'!$2:$2</definedName>
    <definedName name="_xlnm.Print_Titles" localSheetId="6">'404357'!$2:$2</definedName>
    <definedName name="_xlnm.Print_Titles" localSheetId="23">'404380'!$2:$2</definedName>
    <definedName name="_xlnm.Print_Titles" localSheetId="7">'405801'!$2:$2</definedName>
    <definedName name="_xlnm.Print_Titles" localSheetId="8">'405803'!$2:$2</definedName>
    <definedName name="_xlnm.Print_Titles" localSheetId="10">'405810'!$2:$2</definedName>
    <definedName name="_xlnm.Print_Titles" localSheetId="11">'405812'!$2:$2</definedName>
    <definedName name="_xlnm.Print_Titles" localSheetId="13">'405817'!$2:$2</definedName>
    <definedName name="_xlnm.Print_Titles" localSheetId="14">'405819'!$2:$2</definedName>
    <definedName name="_xlnm.Print_Titles" localSheetId="16">'405825'!$2:$2</definedName>
    <definedName name="_xlnm.Print_Titles" localSheetId="18">'405830'!$2:$2</definedName>
    <definedName name="_xlnm.Print_Titles" localSheetId="19">'405832'!$2:$2</definedName>
    <definedName name="_xlnm.Print_Titles" localSheetId="21">'405839'!$2:$2</definedName>
    <definedName name="_xlnm.Print_Titles" localSheetId="22">'405841'!$2:$2</definedName>
    <definedName name="_xlnm.Print_Titles" localSheetId="24">'405846'!$2:$2</definedName>
    <definedName name="_xlnm.Print_Titles" localSheetId="25">'405848'!$2:$2</definedName>
    <definedName name="_xlnm.Print_Titles" localSheetId="39">'406093'!$1:$2</definedName>
    <definedName name="_xlnm.Print_Titles" localSheetId="52">'406098'!$2:$2</definedName>
    <definedName name="_xlnm.Print_Titles" localSheetId="9">'406110'!$2:$2</definedName>
    <definedName name="_xlnm.Print_Titles" localSheetId="12">'406113'!$2:$2</definedName>
    <definedName name="_xlnm.Print_Titles" localSheetId="20">'406115'!$2:$2</definedName>
    <definedName name="_xlnm.Print_Titles" localSheetId="26">'406117'!$2:$2</definedName>
    <definedName name="_xlnm.Print_Titles" localSheetId="45">'406119'!$2:$2</definedName>
    <definedName name="_xlnm.Print_Titles" localSheetId="51">'406120'!$2:$2</definedName>
    <definedName name="_xlnm.Print_Titles" localSheetId="54">'406123'!$2:$2</definedName>
    <definedName name="_xlnm.Print_Titles" localSheetId="58">'406126'!$2:$2</definedName>
    <definedName name="_xlnm.Print_Titles" localSheetId="83">'406130'!$2:$2</definedName>
    <definedName name="_xlnm.Print_Titles" localSheetId="86">'406132'!$2:$2</definedName>
    <definedName name="_xlnm.Print_Titles" localSheetId="90">'406134'!$2:$2</definedName>
    <definedName name="_xlnm.Print_Titles" localSheetId="91">'406136'!$2:$2</definedName>
    <definedName name="_xlnm.Print_Titles" localSheetId="97">'406139'!$2:$2</definedName>
    <definedName name="_xlnm.Print_Titles" localSheetId="32">'406245'!$2:$2</definedName>
    <definedName name="_xlnm.Print_Titles" localSheetId="29">'406248'!$2:$2</definedName>
    <definedName name="_xlnm.Print_Titles" localSheetId="27">'406452'!$2:$2</definedName>
    <definedName name="_xlnm.Print_Titles" localSheetId="30">'406459'!$2:$2</definedName>
    <definedName name="_xlnm.Print_Titles" localSheetId="33">'406467'!$2:$2</definedName>
    <definedName name="_xlnm.Print_Titles" localSheetId="93">'406473'!$2:$2</definedName>
  </definedNames>
  <calcPr calcId="162913"/>
</workbook>
</file>

<file path=xl/calcChain.xml><?xml version="1.0" encoding="utf-8"?>
<calcChain xmlns="http://schemas.openxmlformats.org/spreadsheetml/2006/main">
  <c r="O139" i="154" l="1"/>
  <c r="N139" i="154"/>
  <c r="O45" i="152"/>
  <c r="N45" i="152"/>
  <c r="O36" i="120" l="1"/>
  <c r="N36" i="120"/>
  <c r="N28" i="104"/>
  <c r="O157" i="98"/>
  <c r="N157" i="98"/>
  <c r="O46" i="97"/>
  <c r="N199" i="95"/>
  <c r="O199" i="95"/>
  <c r="O30" i="92"/>
  <c r="N30" i="92"/>
  <c r="O84" i="88"/>
  <c r="N84" i="88"/>
  <c r="O27" i="86"/>
  <c r="N27" i="86"/>
  <c r="N28" i="83"/>
  <c r="O26" i="64"/>
  <c r="N26" i="64"/>
  <c r="O21" i="61"/>
  <c r="N21" i="61"/>
  <c r="O43" i="60"/>
  <c r="N43" i="60"/>
  <c r="O80" i="59"/>
  <c r="N80" i="59"/>
  <c r="O33" i="58"/>
  <c r="P3" i="58"/>
  <c r="N33" i="58"/>
  <c r="P138" i="154" l="1"/>
  <c r="P137" i="154"/>
  <c r="P136" i="154"/>
  <c r="P135" i="154"/>
  <c r="P134" i="154"/>
  <c r="P133" i="154"/>
  <c r="P132" i="154"/>
  <c r="P131" i="154"/>
  <c r="P130" i="154"/>
  <c r="P129" i="154"/>
  <c r="P128" i="154"/>
  <c r="P127" i="154"/>
  <c r="P126" i="154"/>
  <c r="P125" i="154"/>
  <c r="P124" i="154"/>
  <c r="P123" i="154"/>
  <c r="P122" i="154"/>
  <c r="P121" i="154"/>
  <c r="P120" i="154"/>
  <c r="P119" i="154"/>
  <c r="P118" i="154"/>
  <c r="P117" i="154"/>
  <c r="P116" i="154"/>
  <c r="P115" i="154"/>
  <c r="P114" i="154"/>
  <c r="P113" i="154"/>
  <c r="P112" i="154"/>
  <c r="P111" i="154"/>
  <c r="P110" i="154"/>
  <c r="P109" i="154"/>
  <c r="P108" i="154"/>
  <c r="P107" i="154"/>
  <c r="P106" i="154"/>
  <c r="P105" i="154"/>
  <c r="P104" i="154"/>
  <c r="P103" i="154"/>
  <c r="P102" i="154"/>
  <c r="P101" i="154"/>
  <c r="P100" i="154"/>
  <c r="P99" i="154"/>
  <c r="P98" i="154"/>
  <c r="P97" i="154"/>
  <c r="P96" i="154"/>
  <c r="P95" i="154"/>
  <c r="P94" i="154"/>
  <c r="P93" i="154"/>
  <c r="P92" i="154"/>
  <c r="P91" i="154"/>
  <c r="P90" i="154"/>
  <c r="P89" i="154"/>
  <c r="P88" i="154"/>
  <c r="P87" i="154"/>
  <c r="P86" i="154"/>
  <c r="P85" i="154"/>
  <c r="P84" i="154"/>
  <c r="P83" i="154"/>
  <c r="P82" i="154"/>
  <c r="P81" i="154"/>
  <c r="P80" i="154"/>
  <c r="P79" i="154"/>
  <c r="P78" i="154"/>
  <c r="P77" i="154"/>
  <c r="P76" i="154"/>
  <c r="P75" i="154"/>
  <c r="P74" i="154"/>
  <c r="P73" i="154"/>
  <c r="P72" i="154"/>
  <c r="P71" i="154"/>
  <c r="P70" i="154"/>
  <c r="P69" i="154"/>
  <c r="P68" i="154"/>
  <c r="P67" i="154"/>
  <c r="P66" i="154"/>
  <c r="P65" i="154"/>
  <c r="P64" i="154"/>
  <c r="P63" i="154"/>
  <c r="P62" i="154"/>
  <c r="P61" i="154"/>
  <c r="P60" i="154"/>
  <c r="P59" i="154"/>
  <c r="P58" i="154"/>
  <c r="P57" i="154"/>
  <c r="P56" i="154"/>
  <c r="P55" i="154"/>
  <c r="P54" i="154"/>
  <c r="P53" i="154"/>
  <c r="P52" i="154"/>
  <c r="P51" i="154"/>
  <c r="P50" i="154"/>
  <c r="P49" i="154"/>
  <c r="P48" i="154"/>
  <c r="P47" i="154"/>
  <c r="P46" i="154"/>
  <c r="P45" i="154"/>
  <c r="P44" i="154"/>
  <c r="P43" i="154"/>
  <c r="P42" i="154"/>
  <c r="P41" i="154"/>
  <c r="P40" i="154"/>
  <c r="P39" i="154"/>
  <c r="P38" i="154"/>
  <c r="P37" i="154"/>
  <c r="P36" i="154"/>
  <c r="P35" i="154"/>
  <c r="P34" i="154"/>
  <c r="P33" i="154"/>
  <c r="P32" i="154"/>
  <c r="P31" i="154"/>
  <c r="P30" i="154"/>
  <c r="P29" i="154"/>
  <c r="P28" i="154"/>
  <c r="P27" i="154"/>
  <c r="P26" i="154"/>
  <c r="P25" i="154"/>
  <c r="P24" i="154"/>
  <c r="P23" i="154"/>
  <c r="P22" i="154"/>
  <c r="P21" i="154"/>
  <c r="P20" i="154"/>
  <c r="P19" i="154"/>
  <c r="P18" i="154"/>
  <c r="P17" i="154"/>
  <c r="P16" i="154"/>
  <c r="P15" i="154"/>
  <c r="P14" i="154"/>
  <c r="P13" i="154"/>
  <c r="P12" i="154"/>
  <c r="P11" i="154"/>
  <c r="P10" i="154"/>
  <c r="P9" i="154"/>
  <c r="P8" i="154"/>
  <c r="P7" i="154"/>
  <c r="P6" i="154"/>
  <c r="P5" i="154"/>
  <c r="P4" i="154"/>
  <c r="P3" i="154"/>
  <c r="P26" i="153"/>
  <c r="P25" i="153"/>
  <c r="P24" i="153"/>
  <c r="P23" i="153"/>
  <c r="P22" i="153"/>
  <c r="P21" i="153"/>
  <c r="P20" i="153"/>
  <c r="P19" i="153"/>
  <c r="P18" i="153"/>
  <c r="P17" i="153"/>
  <c r="P16" i="153"/>
  <c r="P15" i="153"/>
  <c r="P14" i="153"/>
  <c r="P13" i="153"/>
  <c r="P12" i="153"/>
  <c r="P11" i="153"/>
  <c r="P10" i="153"/>
  <c r="P9" i="153"/>
  <c r="P8" i="153"/>
  <c r="P7" i="153"/>
  <c r="P6" i="153"/>
  <c r="P5" i="153"/>
  <c r="P4" i="153"/>
  <c r="P3" i="153"/>
  <c r="O27" i="153" s="1"/>
  <c r="P44" i="152"/>
  <c r="P43" i="152"/>
  <c r="P42" i="152"/>
  <c r="P41" i="152"/>
  <c r="P40" i="152"/>
  <c r="P39" i="152"/>
  <c r="P38" i="152"/>
  <c r="P37" i="152"/>
  <c r="P36" i="152"/>
  <c r="P35" i="152"/>
  <c r="P34" i="152"/>
  <c r="P33" i="152"/>
  <c r="P32" i="152"/>
  <c r="P31" i="152"/>
  <c r="P30" i="152"/>
  <c r="P29" i="152"/>
  <c r="P28" i="152"/>
  <c r="P27" i="152"/>
  <c r="P26" i="152"/>
  <c r="P25" i="152"/>
  <c r="P24" i="152"/>
  <c r="P23" i="152"/>
  <c r="P22" i="152"/>
  <c r="P21" i="152"/>
  <c r="P20" i="152"/>
  <c r="P19" i="152"/>
  <c r="P18" i="152"/>
  <c r="P17" i="152"/>
  <c r="P16" i="152"/>
  <c r="P15" i="152"/>
  <c r="P14" i="152"/>
  <c r="P13" i="152"/>
  <c r="P12" i="152"/>
  <c r="P11" i="152"/>
  <c r="P10" i="152"/>
  <c r="P9" i="152"/>
  <c r="P8" i="152"/>
  <c r="P7" i="152"/>
  <c r="P6" i="152"/>
  <c r="P5" i="152"/>
  <c r="P4" i="152"/>
  <c r="P3" i="152"/>
  <c r="P139" i="151"/>
  <c r="P138" i="151"/>
  <c r="P137" i="151"/>
  <c r="P136" i="151"/>
  <c r="P135" i="151"/>
  <c r="P134" i="151"/>
  <c r="P133" i="151"/>
  <c r="P132" i="151"/>
  <c r="P131" i="151"/>
  <c r="P130" i="151"/>
  <c r="P129" i="151"/>
  <c r="P128" i="151"/>
  <c r="P127" i="151"/>
  <c r="P126" i="151"/>
  <c r="P125" i="151"/>
  <c r="P124" i="151"/>
  <c r="P123" i="151"/>
  <c r="P122" i="151"/>
  <c r="P121" i="151"/>
  <c r="P120" i="151"/>
  <c r="P119" i="151"/>
  <c r="P118" i="151"/>
  <c r="P117" i="151"/>
  <c r="P116" i="151"/>
  <c r="P115" i="151"/>
  <c r="P114" i="151"/>
  <c r="P113" i="151"/>
  <c r="P112" i="151"/>
  <c r="P111" i="151"/>
  <c r="P110" i="151"/>
  <c r="P109" i="151"/>
  <c r="P108" i="151"/>
  <c r="P107" i="151"/>
  <c r="P106" i="151"/>
  <c r="P105" i="151"/>
  <c r="P104" i="151"/>
  <c r="P103" i="151"/>
  <c r="P102" i="151"/>
  <c r="P101" i="151"/>
  <c r="P100" i="151"/>
  <c r="P99" i="151"/>
  <c r="P98" i="151"/>
  <c r="P97" i="151"/>
  <c r="P96" i="151"/>
  <c r="P95" i="151"/>
  <c r="P94" i="151"/>
  <c r="P93" i="151"/>
  <c r="P92" i="151"/>
  <c r="P91" i="151"/>
  <c r="P90" i="151"/>
  <c r="P89" i="151"/>
  <c r="P88" i="151"/>
  <c r="P87" i="151"/>
  <c r="P86" i="151"/>
  <c r="P85" i="151"/>
  <c r="P84" i="151"/>
  <c r="P83" i="151"/>
  <c r="P82" i="151"/>
  <c r="P81" i="151"/>
  <c r="P80" i="151"/>
  <c r="P79" i="151"/>
  <c r="P78" i="151"/>
  <c r="P77" i="151"/>
  <c r="P76" i="151"/>
  <c r="P75" i="151"/>
  <c r="P74" i="151"/>
  <c r="P73" i="151"/>
  <c r="P72" i="151"/>
  <c r="P71" i="151"/>
  <c r="P70" i="151"/>
  <c r="P69" i="151"/>
  <c r="P68" i="151"/>
  <c r="P67" i="151"/>
  <c r="P66" i="151"/>
  <c r="P65" i="151"/>
  <c r="P64" i="151"/>
  <c r="P63" i="151"/>
  <c r="P62" i="151"/>
  <c r="P61" i="151"/>
  <c r="P60" i="151"/>
  <c r="P59" i="151"/>
  <c r="P58" i="151"/>
  <c r="P57" i="151"/>
  <c r="P56" i="151"/>
  <c r="P55" i="151"/>
  <c r="P54" i="151"/>
  <c r="P53" i="151"/>
  <c r="P52" i="151"/>
  <c r="P51" i="151"/>
  <c r="P50" i="151"/>
  <c r="P49" i="151"/>
  <c r="P48" i="151"/>
  <c r="P47" i="151"/>
  <c r="P46" i="151"/>
  <c r="P45" i="151"/>
  <c r="P44" i="151"/>
  <c r="P43" i="151"/>
  <c r="P42" i="151"/>
  <c r="P41" i="151"/>
  <c r="P40" i="151"/>
  <c r="P39" i="151"/>
  <c r="P38" i="151"/>
  <c r="P37" i="151"/>
  <c r="P36" i="151"/>
  <c r="P35" i="151"/>
  <c r="P34" i="151"/>
  <c r="P33" i="151"/>
  <c r="P32" i="151"/>
  <c r="P31" i="151"/>
  <c r="P30" i="151"/>
  <c r="P29" i="151"/>
  <c r="P28" i="151"/>
  <c r="P27" i="151"/>
  <c r="P26" i="151"/>
  <c r="P25" i="151"/>
  <c r="P24" i="151"/>
  <c r="P23" i="151"/>
  <c r="P22" i="151"/>
  <c r="P21" i="151"/>
  <c r="P20" i="151"/>
  <c r="P19" i="151"/>
  <c r="P18" i="151"/>
  <c r="P17" i="151"/>
  <c r="P16" i="151"/>
  <c r="P15" i="151"/>
  <c r="P14" i="151"/>
  <c r="P13" i="151"/>
  <c r="P12" i="151"/>
  <c r="P11" i="151"/>
  <c r="P10" i="151"/>
  <c r="P9" i="151"/>
  <c r="P8" i="151"/>
  <c r="P7" i="151"/>
  <c r="P6" i="151"/>
  <c r="P5" i="151"/>
  <c r="P4" i="151"/>
  <c r="P3" i="151"/>
  <c r="P25" i="150"/>
  <c r="P24" i="150"/>
  <c r="P23" i="150"/>
  <c r="P22" i="150"/>
  <c r="P21" i="150"/>
  <c r="P20" i="150"/>
  <c r="P19" i="150"/>
  <c r="P18" i="150"/>
  <c r="P17" i="150"/>
  <c r="P16" i="150"/>
  <c r="P15" i="150"/>
  <c r="P14" i="150"/>
  <c r="P13" i="150"/>
  <c r="P12" i="150"/>
  <c r="P11" i="150"/>
  <c r="P10" i="150"/>
  <c r="P9" i="150"/>
  <c r="P8" i="150"/>
  <c r="P7" i="150"/>
  <c r="P6" i="150"/>
  <c r="P5" i="150"/>
  <c r="P4" i="150"/>
  <c r="P3" i="150"/>
  <c r="P28" i="149"/>
  <c r="P27" i="149"/>
  <c r="P26" i="149"/>
  <c r="P25" i="149"/>
  <c r="P24" i="149"/>
  <c r="P23" i="149"/>
  <c r="P22" i="149"/>
  <c r="P21" i="149"/>
  <c r="P20" i="149"/>
  <c r="P19" i="149"/>
  <c r="P18" i="149"/>
  <c r="P17" i="149"/>
  <c r="P16" i="149"/>
  <c r="P15" i="149"/>
  <c r="P14" i="149"/>
  <c r="P13" i="149"/>
  <c r="P12" i="149"/>
  <c r="P11" i="149"/>
  <c r="P10" i="149"/>
  <c r="P9" i="149"/>
  <c r="P8" i="149"/>
  <c r="P7" i="149"/>
  <c r="P6" i="149"/>
  <c r="P5" i="149"/>
  <c r="P4" i="149"/>
  <c r="P3" i="149"/>
  <c r="P129" i="148"/>
  <c r="P128" i="148"/>
  <c r="P127" i="148"/>
  <c r="P126" i="148"/>
  <c r="P125" i="148"/>
  <c r="P124" i="148"/>
  <c r="P123" i="148"/>
  <c r="P122" i="148"/>
  <c r="P121" i="148"/>
  <c r="P120" i="148"/>
  <c r="P119" i="148"/>
  <c r="P118" i="148"/>
  <c r="P117" i="148"/>
  <c r="P116" i="148"/>
  <c r="P115" i="148"/>
  <c r="P114" i="148"/>
  <c r="P113" i="148"/>
  <c r="P112" i="148"/>
  <c r="P111" i="148"/>
  <c r="P110" i="148"/>
  <c r="P109" i="148"/>
  <c r="P108" i="148"/>
  <c r="P107" i="148"/>
  <c r="P106" i="148"/>
  <c r="P105" i="148"/>
  <c r="P104" i="148"/>
  <c r="P103" i="148"/>
  <c r="P102" i="148"/>
  <c r="P101" i="148"/>
  <c r="P100" i="148"/>
  <c r="P99" i="148"/>
  <c r="P98" i="148"/>
  <c r="P97" i="148"/>
  <c r="P96" i="148"/>
  <c r="P95" i="148"/>
  <c r="P94" i="148"/>
  <c r="P93" i="148"/>
  <c r="P92" i="148"/>
  <c r="P91" i="148"/>
  <c r="P90" i="148"/>
  <c r="P89" i="148"/>
  <c r="P88" i="148"/>
  <c r="P87" i="148"/>
  <c r="P86" i="148"/>
  <c r="P85" i="148"/>
  <c r="P84" i="148"/>
  <c r="P83" i="148"/>
  <c r="P82" i="148"/>
  <c r="P81" i="148"/>
  <c r="P80" i="148"/>
  <c r="P79" i="148"/>
  <c r="P78" i="148"/>
  <c r="P77" i="148"/>
  <c r="P76" i="148"/>
  <c r="P75" i="148"/>
  <c r="P74" i="148"/>
  <c r="P73" i="148"/>
  <c r="P72" i="148"/>
  <c r="P71" i="148"/>
  <c r="P70" i="148"/>
  <c r="P69" i="148"/>
  <c r="P68" i="148"/>
  <c r="P67" i="148"/>
  <c r="P66" i="148"/>
  <c r="P65" i="148"/>
  <c r="P64" i="148"/>
  <c r="P63" i="148"/>
  <c r="P62" i="148"/>
  <c r="P61" i="148"/>
  <c r="P60" i="148"/>
  <c r="P59" i="148"/>
  <c r="P58" i="148"/>
  <c r="P57" i="148"/>
  <c r="P56" i="148"/>
  <c r="P55" i="148"/>
  <c r="P54" i="148"/>
  <c r="P53" i="148"/>
  <c r="P52" i="148"/>
  <c r="P51" i="148"/>
  <c r="P50" i="148"/>
  <c r="P49" i="148"/>
  <c r="P48" i="148"/>
  <c r="P47" i="148"/>
  <c r="P46" i="148"/>
  <c r="P45" i="148"/>
  <c r="P44" i="148"/>
  <c r="P43" i="148"/>
  <c r="P42" i="148"/>
  <c r="P41" i="148"/>
  <c r="P40" i="148"/>
  <c r="P39" i="148"/>
  <c r="P38" i="148"/>
  <c r="P37" i="148"/>
  <c r="P36" i="148"/>
  <c r="P35" i="148"/>
  <c r="P34" i="148"/>
  <c r="P33" i="148"/>
  <c r="P32" i="148"/>
  <c r="P31" i="148"/>
  <c r="P30" i="148"/>
  <c r="P29" i="148"/>
  <c r="P28" i="148"/>
  <c r="P27" i="148"/>
  <c r="P26" i="148"/>
  <c r="P25" i="148"/>
  <c r="P24" i="148"/>
  <c r="P23" i="148"/>
  <c r="P22" i="148"/>
  <c r="P21" i="148"/>
  <c r="P20" i="148"/>
  <c r="P19" i="148"/>
  <c r="P18" i="148"/>
  <c r="P17" i="148"/>
  <c r="P16" i="148"/>
  <c r="P15" i="148"/>
  <c r="P14" i="148"/>
  <c r="P13" i="148"/>
  <c r="P12" i="148"/>
  <c r="P11" i="148"/>
  <c r="P10" i="148"/>
  <c r="P9" i="148"/>
  <c r="P8" i="148"/>
  <c r="P7" i="148"/>
  <c r="P6" i="148"/>
  <c r="P5" i="148"/>
  <c r="P4" i="148"/>
  <c r="P3" i="148"/>
  <c r="O130" i="148" s="1"/>
  <c r="P27" i="147"/>
  <c r="P26" i="147"/>
  <c r="P25" i="147"/>
  <c r="P24" i="147"/>
  <c r="P23" i="147"/>
  <c r="P22" i="147"/>
  <c r="P21" i="147"/>
  <c r="P20" i="147"/>
  <c r="P19" i="147"/>
  <c r="P18" i="147"/>
  <c r="P17" i="147"/>
  <c r="P16" i="147"/>
  <c r="P15" i="147"/>
  <c r="P14" i="147"/>
  <c r="P13" i="147"/>
  <c r="P12" i="147"/>
  <c r="P11" i="147"/>
  <c r="P10" i="147"/>
  <c r="P9" i="147"/>
  <c r="P8" i="147"/>
  <c r="P7" i="147"/>
  <c r="P6" i="147"/>
  <c r="P5" i="147"/>
  <c r="P4" i="147"/>
  <c r="O28" i="147" s="1"/>
  <c r="P3" i="147"/>
  <c r="P14" i="146"/>
  <c r="P13" i="146"/>
  <c r="P12" i="146"/>
  <c r="P11" i="146"/>
  <c r="P10" i="146"/>
  <c r="P9" i="146"/>
  <c r="P8" i="146"/>
  <c r="P7" i="146"/>
  <c r="P6" i="146"/>
  <c r="P5" i="146"/>
  <c r="P4" i="146"/>
  <c r="P3" i="146"/>
  <c r="O15" i="146" s="1"/>
  <c r="P31" i="145"/>
  <c r="P30" i="145"/>
  <c r="P29" i="145"/>
  <c r="P28" i="145"/>
  <c r="P27" i="145"/>
  <c r="P26" i="145"/>
  <c r="P25" i="145"/>
  <c r="P24" i="145"/>
  <c r="P23" i="145"/>
  <c r="P22" i="145"/>
  <c r="P21" i="145"/>
  <c r="P20" i="145"/>
  <c r="P19" i="145"/>
  <c r="P18" i="145"/>
  <c r="P17" i="145"/>
  <c r="P16" i="145"/>
  <c r="P15" i="145"/>
  <c r="P14" i="145"/>
  <c r="P13" i="145"/>
  <c r="P12" i="145"/>
  <c r="P11" i="145"/>
  <c r="P10" i="145"/>
  <c r="P9" i="145"/>
  <c r="P8" i="145"/>
  <c r="P7" i="145"/>
  <c r="P6" i="145"/>
  <c r="P5" i="145"/>
  <c r="P4" i="145"/>
  <c r="O32" i="145" s="1"/>
  <c r="P3" i="145"/>
  <c r="P5" i="144"/>
  <c r="P4" i="144"/>
  <c r="P3" i="144"/>
  <c r="P157" i="143"/>
  <c r="P156" i="143"/>
  <c r="P155" i="143"/>
  <c r="P154" i="143"/>
  <c r="P153" i="143"/>
  <c r="P152" i="143"/>
  <c r="P151" i="143"/>
  <c r="P150" i="143"/>
  <c r="P149" i="143"/>
  <c r="P148" i="143"/>
  <c r="P147" i="143"/>
  <c r="P146" i="143"/>
  <c r="P145" i="143"/>
  <c r="P144" i="143"/>
  <c r="P143" i="143"/>
  <c r="P142" i="143"/>
  <c r="P141" i="143"/>
  <c r="P140" i="143"/>
  <c r="P139" i="143"/>
  <c r="P138" i="143"/>
  <c r="P137" i="143"/>
  <c r="P136" i="143"/>
  <c r="P135" i="143"/>
  <c r="P134" i="143"/>
  <c r="P133" i="143"/>
  <c r="P132" i="143"/>
  <c r="P131" i="143"/>
  <c r="P130" i="143"/>
  <c r="P129" i="143"/>
  <c r="P128" i="143"/>
  <c r="P127" i="143"/>
  <c r="P126" i="143"/>
  <c r="P125" i="143"/>
  <c r="P124" i="143"/>
  <c r="P123" i="143"/>
  <c r="P122" i="143"/>
  <c r="P121" i="143"/>
  <c r="P120" i="143"/>
  <c r="P119" i="143"/>
  <c r="P118" i="143"/>
  <c r="P117" i="143"/>
  <c r="P116" i="143"/>
  <c r="P115" i="143"/>
  <c r="P114" i="143"/>
  <c r="P113" i="143"/>
  <c r="P112" i="143"/>
  <c r="P111" i="143"/>
  <c r="P110" i="143"/>
  <c r="P109" i="143"/>
  <c r="P108" i="143"/>
  <c r="P107" i="143"/>
  <c r="P106" i="143"/>
  <c r="P105" i="143"/>
  <c r="P104" i="143"/>
  <c r="P103" i="143"/>
  <c r="P102" i="143"/>
  <c r="P101" i="143"/>
  <c r="P100" i="143"/>
  <c r="P99" i="143"/>
  <c r="P98" i="143"/>
  <c r="P97" i="143"/>
  <c r="P96" i="143"/>
  <c r="P95" i="143"/>
  <c r="P94" i="143"/>
  <c r="P93" i="143"/>
  <c r="P92" i="143"/>
  <c r="P91" i="143"/>
  <c r="P90" i="143"/>
  <c r="P89" i="143"/>
  <c r="P88" i="143"/>
  <c r="P87" i="143"/>
  <c r="P86" i="143"/>
  <c r="P85" i="143"/>
  <c r="P84" i="143"/>
  <c r="P83" i="143"/>
  <c r="P82" i="143"/>
  <c r="P81" i="143"/>
  <c r="P80" i="143"/>
  <c r="P79" i="143"/>
  <c r="P78" i="143"/>
  <c r="P77" i="143"/>
  <c r="P76" i="143"/>
  <c r="P75" i="143"/>
  <c r="P74" i="143"/>
  <c r="P73" i="143"/>
  <c r="P72" i="143"/>
  <c r="P71" i="143"/>
  <c r="P70" i="143"/>
  <c r="P69" i="143"/>
  <c r="P68" i="143"/>
  <c r="P67" i="143"/>
  <c r="P66" i="143"/>
  <c r="P65" i="143"/>
  <c r="P64" i="143"/>
  <c r="P63" i="143"/>
  <c r="P62" i="143"/>
  <c r="P61" i="143"/>
  <c r="P60" i="143"/>
  <c r="P59" i="143"/>
  <c r="P58" i="143"/>
  <c r="P57" i="143"/>
  <c r="P56" i="143"/>
  <c r="P55" i="143"/>
  <c r="P54" i="143"/>
  <c r="P53" i="143"/>
  <c r="P52" i="143"/>
  <c r="P51" i="143"/>
  <c r="P50" i="143"/>
  <c r="P49" i="143"/>
  <c r="P48" i="143"/>
  <c r="P47" i="143"/>
  <c r="P46" i="143"/>
  <c r="P45" i="143"/>
  <c r="P44" i="143"/>
  <c r="P43" i="143"/>
  <c r="P42" i="143"/>
  <c r="P41" i="143"/>
  <c r="P40" i="143"/>
  <c r="P39" i="143"/>
  <c r="P38" i="143"/>
  <c r="P37" i="143"/>
  <c r="P36" i="143"/>
  <c r="P35" i="143"/>
  <c r="P34" i="143"/>
  <c r="P33" i="143"/>
  <c r="P32" i="143"/>
  <c r="P31" i="143"/>
  <c r="P30" i="143"/>
  <c r="P29" i="143"/>
  <c r="P28" i="143"/>
  <c r="P27" i="143"/>
  <c r="P26" i="143"/>
  <c r="P25" i="143"/>
  <c r="P24" i="143"/>
  <c r="P23" i="143"/>
  <c r="P22" i="143"/>
  <c r="P21" i="143"/>
  <c r="P20" i="143"/>
  <c r="P19" i="143"/>
  <c r="P18" i="143"/>
  <c r="P17" i="143"/>
  <c r="P16" i="143"/>
  <c r="P15" i="143"/>
  <c r="P14" i="143"/>
  <c r="P13" i="143"/>
  <c r="P12" i="143"/>
  <c r="P11" i="143"/>
  <c r="P10" i="143"/>
  <c r="P9" i="143"/>
  <c r="P8" i="143"/>
  <c r="P7" i="143"/>
  <c r="P6" i="143"/>
  <c r="P5" i="143"/>
  <c r="P4" i="143"/>
  <c r="P3" i="143"/>
  <c r="P38" i="142"/>
  <c r="P37" i="142"/>
  <c r="P36" i="142"/>
  <c r="P35" i="142"/>
  <c r="P34" i="142"/>
  <c r="P33" i="142"/>
  <c r="P32" i="142"/>
  <c r="P31" i="142"/>
  <c r="P30" i="142"/>
  <c r="P29" i="142"/>
  <c r="P28" i="142"/>
  <c r="P27" i="142"/>
  <c r="P26" i="142"/>
  <c r="P25" i="142"/>
  <c r="P24" i="142"/>
  <c r="P23" i="142"/>
  <c r="P22" i="142"/>
  <c r="P21" i="142"/>
  <c r="P20" i="142"/>
  <c r="P19" i="142"/>
  <c r="P18" i="142"/>
  <c r="P17" i="142"/>
  <c r="P16" i="142"/>
  <c r="P15" i="142"/>
  <c r="P14" i="142"/>
  <c r="P13" i="142"/>
  <c r="P12" i="142"/>
  <c r="P11" i="142"/>
  <c r="P10" i="142"/>
  <c r="P9" i="142"/>
  <c r="P8" i="142"/>
  <c r="P7" i="142"/>
  <c r="P6" i="142"/>
  <c r="P5" i="142"/>
  <c r="P4" i="142"/>
  <c r="P3" i="142"/>
  <c r="P37" i="141"/>
  <c r="P36" i="141"/>
  <c r="P35" i="141"/>
  <c r="P34" i="141"/>
  <c r="P33" i="141"/>
  <c r="P32" i="141"/>
  <c r="P31" i="141"/>
  <c r="P30" i="141"/>
  <c r="P29" i="141"/>
  <c r="P28" i="141"/>
  <c r="P27" i="141"/>
  <c r="P26" i="141"/>
  <c r="P25" i="141"/>
  <c r="P24" i="141"/>
  <c r="P23" i="141"/>
  <c r="P22" i="141"/>
  <c r="P21" i="141"/>
  <c r="P20" i="141"/>
  <c r="P19" i="141"/>
  <c r="P18" i="141"/>
  <c r="P17" i="141"/>
  <c r="P16" i="141"/>
  <c r="P15" i="141"/>
  <c r="P14" i="141"/>
  <c r="P13" i="141"/>
  <c r="P12" i="141"/>
  <c r="P11" i="141"/>
  <c r="P10" i="141"/>
  <c r="P9" i="141"/>
  <c r="P8" i="141"/>
  <c r="P7" i="141"/>
  <c r="P6" i="141"/>
  <c r="O38" i="141" s="1"/>
  <c r="P5" i="141"/>
  <c r="P4" i="141"/>
  <c r="P3" i="141"/>
  <c r="P38" i="140"/>
  <c r="P37" i="140"/>
  <c r="P36" i="140"/>
  <c r="P35" i="140"/>
  <c r="P34" i="140"/>
  <c r="P33" i="140"/>
  <c r="P32" i="140"/>
  <c r="P31" i="140"/>
  <c r="P30" i="140"/>
  <c r="P29" i="140"/>
  <c r="P28" i="140"/>
  <c r="P27" i="140"/>
  <c r="P26" i="140"/>
  <c r="P25" i="140"/>
  <c r="P24" i="140"/>
  <c r="P23" i="140"/>
  <c r="P22" i="140"/>
  <c r="P21" i="140"/>
  <c r="P20" i="140"/>
  <c r="P19" i="140"/>
  <c r="P18" i="140"/>
  <c r="P17" i="140"/>
  <c r="P16" i="140"/>
  <c r="P15" i="140"/>
  <c r="P14" i="140"/>
  <c r="P13" i="140"/>
  <c r="P12" i="140"/>
  <c r="P11" i="140"/>
  <c r="P10" i="140"/>
  <c r="P9" i="140"/>
  <c r="P8" i="140"/>
  <c r="P7" i="140"/>
  <c r="P6" i="140"/>
  <c r="P5" i="140"/>
  <c r="P4" i="140"/>
  <c r="P3" i="140"/>
  <c r="O39" i="140" s="1"/>
  <c r="P15" i="139"/>
  <c r="P14" i="139"/>
  <c r="P13" i="139"/>
  <c r="P12" i="139"/>
  <c r="P11" i="139"/>
  <c r="P10" i="139"/>
  <c r="P9" i="139"/>
  <c r="P8" i="139"/>
  <c r="P7" i="139"/>
  <c r="P6" i="139"/>
  <c r="P5" i="139"/>
  <c r="P4" i="139"/>
  <c r="O16" i="139" s="1"/>
  <c r="P3" i="139"/>
  <c r="P16" i="138"/>
  <c r="P15" i="138"/>
  <c r="P14" i="138"/>
  <c r="P13" i="138"/>
  <c r="P12" i="138"/>
  <c r="P11" i="138"/>
  <c r="P10" i="138"/>
  <c r="P9" i="138"/>
  <c r="P8" i="138"/>
  <c r="P7" i="138"/>
  <c r="P6" i="138"/>
  <c r="P5" i="138"/>
  <c r="P4" i="138"/>
  <c r="P3" i="138"/>
  <c r="P90" i="137"/>
  <c r="P89" i="137"/>
  <c r="P88" i="137"/>
  <c r="P87" i="137"/>
  <c r="P86" i="137"/>
  <c r="P85" i="137"/>
  <c r="P84" i="137"/>
  <c r="P83" i="137"/>
  <c r="P82" i="137"/>
  <c r="P81" i="137"/>
  <c r="P80" i="137"/>
  <c r="P79" i="137"/>
  <c r="P78" i="137"/>
  <c r="P77" i="137"/>
  <c r="P76" i="137"/>
  <c r="P75" i="137"/>
  <c r="P74" i="137"/>
  <c r="P73" i="137"/>
  <c r="P72" i="137"/>
  <c r="P71" i="137"/>
  <c r="P70" i="137"/>
  <c r="P69" i="137"/>
  <c r="P68" i="137"/>
  <c r="P67" i="137"/>
  <c r="P66" i="137"/>
  <c r="P65" i="137"/>
  <c r="P64" i="137"/>
  <c r="P63" i="137"/>
  <c r="P62" i="137"/>
  <c r="P61" i="137"/>
  <c r="P60" i="137"/>
  <c r="P59" i="137"/>
  <c r="P58" i="137"/>
  <c r="P57" i="137"/>
  <c r="P56" i="137"/>
  <c r="P55" i="137"/>
  <c r="P54" i="137"/>
  <c r="P53" i="137"/>
  <c r="P52" i="137"/>
  <c r="P51" i="137"/>
  <c r="P50" i="137"/>
  <c r="P49" i="137"/>
  <c r="P48" i="137"/>
  <c r="P47" i="137"/>
  <c r="P46" i="137"/>
  <c r="P45" i="137"/>
  <c r="P44" i="137"/>
  <c r="P43" i="137"/>
  <c r="P42" i="137"/>
  <c r="P41" i="137"/>
  <c r="P40" i="137"/>
  <c r="P39" i="137"/>
  <c r="P38" i="137"/>
  <c r="P37" i="137"/>
  <c r="P36" i="137"/>
  <c r="P35" i="137"/>
  <c r="P34" i="137"/>
  <c r="P33" i="137"/>
  <c r="P32" i="137"/>
  <c r="P31" i="137"/>
  <c r="P30" i="137"/>
  <c r="P29" i="137"/>
  <c r="P28" i="137"/>
  <c r="P27" i="137"/>
  <c r="P26" i="137"/>
  <c r="P25" i="137"/>
  <c r="P24" i="137"/>
  <c r="P23" i="137"/>
  <c r="P22" i="137"/>
  <c r="P21" i="137"/>
  <c r="P20" i="137"/>
  <c r="P19" i="137"/>
  <c r="P18" i="137"/>
  <c r="P17" i="137"/>
  <c r="P16" i="137"/>
  <c r="P15" i="137"/>
  <c r="P14" i="137"/>
  <c r="P13" i="137"/>
  <c r="P12" i="137"/>
  <c r="P11" i="137"/>
  <c r="P10" i="137"/>
  <c r="P9" i="137"/>
  <c r="P8" i="137"/>
  <c r="P7" i="137"/>
  <c r="P6" i="137"/>
  <c r="P5" i="137"/>
  <c r="P4" i="137"/>
  <c r="P3" i="137"/>
  <c r="O91" i="137" s="1"/>
  <c r="P27" i="136"/>
  <c r="P26" i="136"/>
  <c r="P25" i="136"/>
  <c r="P24" i="136"/>
  <c r="P23" i="136"/>
  <c r="P22" i="136"/>
  <c r="P21" i="136"/>
  <c r="P20" i="136"/>
  <c r="P19" i="136"/>
  <c r="P18" i="136"/>
  <c r="P17" i="136"/>
  <c r="P16" i="136"/>
  <c r="P15" i="136"/>
  <c r="P14" i="136"/>
  <c r="P13" i="136"/>
  <c r="P12" i="136"/>
  <c r="P11" i="136"/>
  <c r="P10" i="136"/>
  <c r="P9" i="136"/>
  <c r="P8" i="136"/>
  <c r="P7" i="136"/>
  <c r="P6" i="136"/>
  <c r="P5" i="136"/>
  <c r="P4" i="136"/>
  <c r="P3" i="136"/>
  <c r="P19" i="135"/>
  <c r="P18" i="135"/>
  <c r="P17" i="135"/>
  <c r="P16" i="135"/>
  <c r="P15" i="135"/>
  <c r="P14" i="135"/>
  <c r="P13" i="135"/>
  <c r="P12" i="135"/>
  <c r="P11" i="135"/>
  <c r="P10" i="135"/>
  <c r="P9" i="135"/>
  <c r="P8" i="135"/>
  <c r="P7" i="135"/>
  <c r="P6" i="135"/>
  <c r="P5" i="135"/>
  <c r="P4" i="135"/>
  <c r="O20" i="135" s="1"/>
  <c r="P3" i="135"/>
  <c r="P138" i="134"/>
  <c r="P137" i="134"/>
  <c r="P136" i="134"/>
  <c r="P135" i="134"/>
  <c r="P134" i="134"/>
  <c r="P133" i="134"/>
  <c r="P132" i="134"/>
  <c r="P131" i="134"/>
  <c r="P130" i="134"/>
  <c r="P129" i="134"/>
  <c r="P128" i="134"/>
  <c r="P127" i="134"/>
  <c r="P126" i="134"/>
  <c r="P125" i="134"/>
  <c r="P124" i="134"/>
  <c r="P123" i="134"/>
  <c r="P122" i="134"/>
  <c r="P121" i="134"/>
  <c r="P120" i="134"/>
  <c r="P119" i="134"/>
  <c r="P118" i="134"/>
  <c r="P117" i="134"/>
  <c r="P116" i="134"/>
  <c r="P115" i="134"/>
  <c r="P114" i="134"/>
  <c r="P113" i="134"/>
  <c r="P112" i="134"/>
  <c r="P111" i="134"/>
  <c r="P110" i="134"/>
  <c r="P109" i="134"/>
  <c r="P108" i="134"/>
  <c r="P107" i="134"/>
  <c r="P106" i="134"/>
  <c r="P105" i="134"/>
  <c r="P104" i="134"/>
  <c r="P103" i="134"/>
  <c r="P102" i="134"/>
  <c r="P101" i="134"/>
  <c r="P100" i="134"/>
  <c r="P99" i="134"/>
  <c r="P98" i="134"/>
  <c r="P97" i="134"/>
  <c r="P96" i="134"/>
  <c r="P95" i="134"/>
  <c r="P94" i="134"/>
  <c r="P93" i="134"/>
  <c r="P92" i="134"/>
  <c r="P91" i="134"/>
  <c r="P90" i="134"/>
  <c r="P89" i="134"/>
  <c r="P88" i="134"/>
  <c r="P87" i="134"/>
  <c r="P86" i="134"/>
  <c r="P85" i="134"/>
  <c r="P84" i="134"/>
  <c r="P83" i="134"/>
  <c r="P82" i="134"/>
  <c r="P81" i="134"/>
  <c r="P80" i="134"/>
  <c r="P79" i="134"/>
  <c r="P78" i="134"/>
  <c r="P77" i="134"/>
  <c r="P76" i="134"/>
  <c r="P75" i="134"/>
  <c r="P74" i="134"/>
  <c r="P73" i="134"/>
  <c r="P72" i="134"/>
  <c r="P71" i="134"/>
  <c r="P70" i="134"/>
  <c r="P69" i="134"/>
  <c r="P68" i="134"/>
  <c r="P67" i="134"/>
  <c r="P66" i="134"/>
  <c r="P65" i="134"/>
  <c r="P64" i="134"/>
  <c r="P63" i="134"/>
  <c r="P62" i="134"/>
  <c r="P61" i="134"/>
  <c r="P60" i="134"/>
  <c r="P59" i="134"/>
  <c r="P58" i="134"/>
  <c r="P57" i="134"/>
  <c r="P56" i="134"/>
  <c r="P55" i="134"/>
  <c r="P54" i="134"/>
  <c r="P53" i="134"/>
  <c r="P52" i="134"/>
  <c r="P51" i="134"/>
  <c r="P50" i="134"/>
  <c r="P49" i="134"/>
  <c r="P48" i="134"/>
  <c r="P47" i="134"/>
  <c r="P46" i="134"/>
  <c r="P45" i="134"/>
  <c r="P44" i="134"/>
  <c r="P43" i="134"/>
  <c r="P42" i="134"/>
  <c r="P41" i="134"/>
  <c r="P40" i="134"/>
  <c r="P39" i="134"/>
  <c r="P38" i="134"/>
  <c r="P37" i="134"/>
  <c r="P36" i="134"/>
  <c r="P35" i="134"/>
  <c r="P34" i="134"/>
  <c r="P33" i="134"/>
  <c r="P32" i="134"/>
  <c r="P31" i="134"/>
  <c r="P30" i="134"/>
  <c r="P29" i="134"/>
  <c r="P28" i="134"/>
  <c r="P27" i="134"/>
  <c r="P26" i="134"/>
  <c r="P25" i="134"/>
  <c r="P24" i="134"/>
  <c r="P23" i="134"/>
  <c r="P22" i="134"/>
  <c r="P21" i="134"/>
  <c r="P20" i="134"/>
  <c r="P19" i="134"/>
  <c r="P18" i="134"/>
  <c r="P17" i="134"/>
  <c r="P16" i="134"/>
  <c r="P15" i="134"/>
  <c r="P14" i="134"/>
  <c r="P13" i="134"/>
  <c r="P12" i="134"/>
  <c r="P11" i="134"/>
  <c r="P10" i="134"/>
  <c r="P9" i="134"/>
  <c r="P8" i="134"/>
  <c r="P7" i="134"/>
  <c r="P6" i="134"/>
  <c r="P5" i="134"/>
  <c r="P4" i="134"/>
  <c r="P3" i="134"/>
  <c r="P33" i="133"/>
  <c r="P32" i="133"/>
  <c r="P31" i="133"/>
  <c r="P30" i="133"/>
  <c r="P29" i="133"/>
  <c r="P28" i="133"/>
  <c r="P27" i="133"/>
  <c r="P26" i="133"/>
  <c r="P25" i="133"/>
  <c r="P24" i="133"/>
  <c r="P23" i="133"/>
  <c r="P22" i="133"/>
  <c r="P21" i="133"/>
  <c r="P20" i="133"/>
  <c r="P19" i="133"/>
  <c r="P18" i="133"/>
  <c r="P17" i="133"/>
  <c r="P16" i="133"/>
  <c r="P15" i="133"/>
  <c r="P14" i="133"/>
  <c r="P13" i="133"/>
  <c r="P12" i="133"/>
  <c r="P11" i="133"/>
  <c r="P10" i="133"/>
  <c r="P9" i="133"/>
  <c r="P8" i="133"/>
  <c r="P7" i="133"/>
  <c r="P6" i="133"/>
  <c r="O34" i="133" s="1"/>
  <c r="P5" i="133"/>
  <c r="P4" i="133"/>
  <c r="P3" i="133"/>
  <c r="P27" i="132"/>
  <c r="P26" i="132"/>
  <c r="P25" i="132"/>
  <c r="P24" i="132"/>
  <c r="P23" i="132"/>
  <c r="P22" i="132"/>
  <c r="P21" i="132"/>
  <c r="P20" i="132"/>
  <c r="P19" i="132"/>
  <c r="P18" i="132"/>
  <c r="P17" i="132"/>
  <c r="P16" i="132"/>
  <c r="P15" i="132"/>
  <c r="P14" i="132"/>
  <c r="P13" i="132"/>
  <c r="P12" i="132"/>
  <c r="P11" i="132"/>
  <c r="P10" i="132"/>
  <c r="P9" i="132"/>
  <c r="P8" i="132"/>
  <c r="P7" i="132"/>
  <c r="P6" i="132"/>
  <c r="P5" i="132"/>
  <c r="P4" i="132"/>
  <c r="O28" i="132" s="1"/>
  <c r="P3" i="132"/>
  <c r="P174" i="131"/>
  <c r="P173" i="131"/>
  <c r="P172" i="131"/>
  <c r="P171" i="131"/>
  <c r="P170" i="131"/>
  <c r="P169" i="131"/>
  <c r="P168" i="131"/>
  <c r="P167" i="131"/>
  <c r="P166" i="131"/>
  <c r="P165" i="131"/>
  <c r="P164" i="131"/>
  <c r="P163" i="131"/>
  <c r="P162" i="131"/>
  <c r="P161" i="131"/>
  <c r="P160" i="131"/>
  <c r="P159" i="131"/>
  <c r="P158" i="131"/>
  <c r="P157" i="131"/>
  <c r="P156" i="131"/>
  <c r="P155" i="131"/>
  <c r="P154" i="131"/>
  <c r="P153" i="131"/>
  <c r="P152" i="131"/>
  <c r="P151" i="131"/>
  <c r="P150" i="131"/>
  <c r="P149" i="131"/>
  <c r="P148" i="131"/>
  <c r="P147" i="131"/>
  <c r="P146" i="131"/>
  <c r="P145" i="131"/>
  <c r="P144" i="131"/>
  <c r="P143" i="131"/>
  <c r="P142" i="131"/>
  <c r="P141" i="131"/>
  <c r="P140" i="131"/>
  <c r="P139" i="131"/>
  <c r="P138" i="131"/>
  <c r="P137" i="131"/>
  <c r="P136" i="131"/>
  <c r="P135" i="131"/>
  <c r="P134" i="131"/>
  <c r="P133" i="131"/>
  <c r="P132" i="131"/>
  <c r="P131" i="131"/>
  <c r="P130" i="131"/>
  <c r="P129" i="131"/>
  <c r="P128" i="131"/>
  <c r="P127" i="131"/>
  <c r="P126" i="131"/>
  <c r="P125" i="131"/>
  <c r="P124" i="131"/>
  <c r="P123" i="131"/>
  <c r="P122" i="131"/>
  <c r="P121" i="131"/>
  <c r="P120" i="131"/>
  <c r="P119" i="131"/>
  <c r="P118" i="131"/>
  <c r="P117" i="131"/>
  <c r="P116" i="131"/>
  <c r="P115" i="131"/>
  <c r="P114" i="131"/>
  <c r="P113" i="131"/>
  <c r="P112" i="131"/>
  <c r="P111" i="131"/>
  <c r="P110" i="131"/>
  <c r="P109" i="131"/>
  <c r="P108" i="131"/>
  <c r="P107" i="131"/>
  <c r="P106" i="131"/>
  <c r="P105" i="131"/>
  <c r="P104" i="131"/>
  <c r="P103" i="131"/>
  <c r="P102" i="131"/>
  <c r="P101" i="131"/>
  <c r="P100" i="131"/>
  <c r="P99" i="131"/>
  <c r="P98" i="131"/>
  <c r="P97" i="131"/>
  <c r="P96" i="131"/>
  <c r="P95" i="131"/>
  <c r="P94" i="131"/>
  <c r="P93" i="131"/>
  <c r="P92" i="131"/>
  <c r="P91" i="131"/>
  <c r="P90" i="131"/>
  <c r="P89" i="131"/>
  <c r="P88" i="131"/>
  <c r="P87" i="131"/>
  <c r="P86" i="131"/>
  <c r="P85" i="131"/>
  <c r="P84" i="131"/>
  <c r="P83" i="131"/>
  <c r="P82" i="131"/>
  <c r="P81" i="131"/>
  <c r="P80" i="131"/>
  <c r="P79" i="131"/>
  <c r="P78" i="131"/>
  <c r="P77" i="131"/>
  <c r="P76" i="131"/>
  <c r="P75" i="131"/>
  <c r="P74" i="131"/>
  <c r="P73" i="131"/>
  <c r="P72" i="131"/>
  <c r="P71" i="131"/>
  <c r="P70" i="131"/>
  <c r="P69" i="131"/>
  <c r="P68" i="131"/>
  <c r="P67" i="131"/>
  <c r="P66" i="131"/>
  <c r="P65" i="131"/>
  <c r="P64" i="131"/>
  <c r="P63" i="131"/>
  <c r="P62" i="131"/>
  <c r="P61" i="131"/>
  <c r="P60" i="131"/>
  <c r="P59" i="131"/>
  <c r="P58" i="131"/>
  <c r="P57" i="131"/>
  <c r="P56" i="131"/>
  <c r="P55" i="131"/>
  <c r="P54" i="131"/>
  <c r="P53" i="131"/>
  <c r="P52" i="131"/>
  <c r="P51" i="131"/>
  <c r="P50" i="131"/>
  <c r="P49" i="131"/>
  <c r="P48" i="131"/>
  <c r="P47" i="131"/>
  <c r="P46" i="131"/>
  <c r="P45" i="131"/>
  <c r="P44" i="131"/>
  <c r="P43" i="131"/>
  <c r="P42" i="131"/>
  <c r="P41" i="131"/>
  <c r="P40" i="131"/>
  <c r="P39" i="131"/>
  <c r="P38" i="131"/>
  <c r="P37" i="131"/>
  <c r="P36" i="131"/>
  <c r="P35" i="131"/>
  <c r="P34" i="131"/>
  <c r="P33" i="131"/>
  <c r="P32" i="131"/>
  <c r="P31" i="131"/>
  <c r="P30" i="131"/>
  <c r="P29" i="131"/>
  <c r="P28" i="131"/>
  <c r="P27" i="131"/>
  <c r="P26" i="131"/>
  <c r="P25" i="131"/>
  <c r="P24" i="131"/>
  <c r="P23" i="131"/>
  <c r="P22" i="131"/>
  <c r="P21" i="131"/>
  <c r="P20" i="131"/>
  <c r="P19" i="131"/>
  <c r="P18" i="131"/>
  <c r="P17" i="131"/>
  <c r="P16" i="131"/>
  <c r="P15" i="131"/>
  <c r="P14" i="131"/>
  <c r="P13" i="131"/>
  <c r="P12" i="131"/>
  <c r="P11" i="131"/>
  <c r="P10" i="131"/>
  <c r="P9" i="131"/>
  <c r="P8" i="131"/>
  <c r="P7" i="131"/>
  <c r="P6" i="131"/>
  <c r="P5" i="131"/>
  <c r="P4" i="131"/>
  <c r="P3" i="131"/>
  <c r="O175" i="131" s="1"/>
  <c r="P30" i="130"/>
  <c r="P29" i="130"/>
  <c r="P28" i="130"/>
  <c r="P27" i="130"/>
  <c r="P26" i="130"/>
  <c r="P25" i="130"/>
  <c r="P24" i="130"/>
  <c r="P23" i="130"/>
  <c r="P22" i="130"/>
  <c r="P21" i="130"/>
  <c r="P20" i="130"/>
  <c r="P19" i="130"/>
  <c r="P18" i="130"/>
  <c r="P17" i="130"/>
  <c r="P16" i="130"/>
  <c r="P15" i="130"/>
  <c r="P14" i="130"/>
  <c r="P13" i="130"/>
  <c r="P12" i="130"/>
  <c r="P11" i="130"/>
  <c r="P10" i="130"/>
  <c r="P9" i="130"/>
  <c r="P8" i="130"/>
  <c r="P7" i="130"/>
  <c r="P6" i="130"/>
  <c r="P5" i="130"/>
  <c r="P4" i="130"/>
  <c r="P3" i="130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P8" i="129"/>
  <c r="P7" i="129"/>
  <c r="P6" i="129"/>
  <c r="P5" i="129"/>
  <c r="P4" i="129"/>
  <c r="P3" i="129"/>
  <c r="O31" i="129" s="1"/>
  <c r="P178" i="128"/>
  <c r="P177" i="128"/>
  <c r="P176" i="128"/>
  <c r="P175" i="128"/>
  <c r="P174" i="128"/>
  <c r="P173" i="128"/>
  <c r="P172" i="128"/>
  <c r="P171" i="128"/>
  <c r="P170" i="128"/>
  <c r="P169" i="128"/>
  <c r="P168" i="128"/>
  <c r="P167" i="128"/>
  <c r="P166" i="128"/>
  <c r="P165" i="128"/>
  <c r="P164" i="128"/>
  <c r="P163" i="128"/>
  <c r="P162" i="128"/>
  <c r="P161" i="128"/>
  <c r="P160" i="128"/>
  <c r="P159" i="128"/>
  <c r="P158" i="128"/>
  <c r="P157" i="128"/>
  <c r="P156" i="128"/>
  <c r="P155" i="128"/>
  <c r="P154" i="128"/>
  <c r="P153" i="128"/>
  <c r="P152" i="128"/>
  <c r="P151" i="128"/>
  <c r="P150" i="128"/>
  <c r="P149" i="128"/>
  <c r="P148" i="128"/>
  <c r="P147" i="128"/>
  <c r="P146" i="128"/>
  <c r="P145" i="128"/>
  <c r="P144" i="128"/>
  <c r="P143" i="128"/>
  <c r="P142" i="128"/>
  <c r="P141" i="128"/>
  <c r="P140" i="128"/>
  <c r="P139" i="128"/>
  <c r="P138" i="128"/>
  <c r="P137" i="128"/>
  <c r="P136" i="128"/>
  <c r="P135" i="128"/>
  <c r="P134" i="128"/>
  <c r="P133" i="128"/>
  <c r="P132" i="128"/>
  <c r="P131" i="128"/>
  <c r="P130" i="128"/>
  <c r="P129" i="128"/>
  <c r="P128" i="128"/>
  <c r="P127" i="128"/>
  <c r="P126" i="128"/>
  <c r="P125" i="128"/>
  <c r="P124" i="128"/>
  <c r="P123" i="128"/>
  <c r="P122" i="128"/>
  <c r="P121" i="128"/>
  <c r="P120" i="128"/>
  <c r="P119" i="128"/>
  <c r="P118" i="128"/>
  <c r="P117" i="128"/>
  <c r="P116" i="128"/>
  <c r="P115" i="128"/>
  <c r="P114" i="128"/>
  <c r="P113" i="128"/>
  <c r="P112" i="128"/>
  <c r="P111" i="128"/>
  <c r="P110" i="128"/>
  <c r="P109" i="128"/>
  <c r="P108" i="128"/>
  <c r="P107" i="128"/>
  <c r="P106" i="128"/>
  <c r="P105" i="128"/>
  <c r="P104" i="128"/>
  <c r="P103" i="128"/>
  <c r="P102" i="128"/>
  <c r="P101" i="128"/>
  <c r="P100" i="128"/>
  <c r="P99" i="128"/>
  <c r="P98" i="128"/>
  <c r="P97" i="128"/>
  <c r="P96" i="128"/>
  <c r="P95" i="128"/>
  <c r="P94" i="128"/>
  <c r="P93" i="128"/>
  <c r="P92" i="128"/>
  <c r="P91" i="128"/>
  <c r="P90" i="128"/>
  <c r="P89" i="128"/>
  <c r="P88" i="128"/>
  <c r="P87" i="128"/>
  <c r="P86" i="128"/>
  <c r="P85" i="128"/>
  <c r="P84" i="128"/>
  <c r="P83" i="128"/>
  <c r="P82" i="128"/>
  <c r="P81" i="128"/>
  <c r="P80" i="128"/>
  <c r="P79" i="128"/>
  <c r="P78" i="128"/>
  <c r="P77" i="128"/>
  <c r="P76" i="128"/>
  <c r="P75" i="128"/>
  <c r="P74" i="128"/>
  <c r="P73" i="128"/>
  <c r="P72" i="128"/>
  <c r="P71" i="128"/>
  <c r="P70" i="128"/>
  <c r="P69" i="128"/>
  <c r="P68" i="128"/>
  <c r="P67" i="128"/>
  <c r="P66" i="128"/>
  <c r="P65" i="128"/>
  <c r="P64" i="128"/>
  <c r="P63" i="128"/>
  <c r="P62" i="128"/>
  <c r="P61" i="128"/>
  <c r="P60" i="128"/>
  <c r="P59" i="128"/>
  <c r="P58" i="128"/>
  <c r="P57" i="128"/>
  <c r="P56" i="128"/>
  <c r="P55" i="128"/>
  <c r="P54" i="128"/>
  <c r="P53" i="128"/>
  <c r="P52" i="128"/>
  <c r="P51" i="128"/>
  <c r="P50" i="128"/>
  <c r="P49" i="128"/>
  <c r="P48" i="128"/>
  <c r="P47" i="128"/>
  <c r="P46" i="128"/>
  <c r="P45" i="128"/>
  <c r="P44" i="128"/>
  <c r="P43" i="128"/>
  <c r="P42" i="128"/>
  <c r="P41" i="128"/>
  <c r="P40" i="128"/>
  <c r="P39" i="128"/>
  <c r="P38" i="128"/>
  <c r="P37" i="128"/>
  <c r="P36" i="128"/>
  <c r="P35" i="128"/>
  <c r="P34" i="128"/>
  <c r="P33" i="128"/>
  <c r="P32" i="128"/>
  <c r="P31" i="128"/>
  <c r="P30" i="128"/>
  <c r="P29" i="128"/>
  <c r="P28" i="128"/>
  <c r="P27" i="128"/>
  <c r="P26" i="128"/>
  <c r="P25" i="128"/>
  <c r="P24" i="128"/>
  <c r="P23" i="128"/>
  <c r="P22" i="128"/>
  <c r="P21" i="128"/>
  <c r="P20" i="128"/>
  <c r="P19" i="128"/>
  <c r="P18" i="128"/>
  <c r="P17" i="128"/>
  <c r="P16" i="128"/>
  <c r="P15" i="128"/>
  <c r="P14" i="128"/>
  <c r="P13" i="128"/>
  <c r="P12" i="128"/>
  <c r="P11" i="128"/>
  <c r="P10" i="128"/>
  <c r="P9" i="128"/>
  <c r="P8" i="128"/>
  <c r="P7" i="128"/>
  <c r="P6" i="128"/>
  <c r="P5" i="128"/>
  <c r="P4" i="128"/>
  <c r="P3" i="128"/>
  <c r="O179" i="128" s="1"/>
  <c r="P35" i="127"/>
  <c r="P34" i="127"/>
  <c r="P33" i="127"/>
  <c r="P32" i="127"/>
  <c r="P31" i="127"/>
  <c r="P30" i="127"/>
  <c r="P29" i="127"/>
  <c r="P28" i="127"/>
  <c r="P27" i="127"/>
  <c r="P26" i="127"/>
  <c r="P25" i="127"/>
  <c r="P24" i="127"/>
  <c r="P23" i="127"/>
  <c r="P22" i="127"/>
  <c r="P21" i="127"/>
  <c r="P20" i="127"/>
  <c r="P19" i="127"/>
  <c r="P18" i="127"/>
  <c r="P17" i="127"/>
  <c r="P16" i="127"/>
  <c r="P15" i="127"/>
  <c r="P14" i="127"/>
  <c r="P13" i="127"/>
  <c r="P12" i="127"/>
  <c r="P11" i="127"/>
  <c r="P10" i="127"/>
  <c r="P9" i="127"/>
  <c r="P8" i="127"/>
  <c r="P7" i="127"/>
  <c r="P6" i="127"/>
  <c r="P5" i="127"/>
  <c r="P4" i="127"/>
  <c r="O36" i="127" s="1"/>
  <c r="P3" i="127"/>
  <c r="P38" i="126"/>
  <c r="P37" i="126"/>
  <c r="P36" i="126"/>
  <c r="P35" i="126"/>
  <c r="P34" i="126"/>
  <c r="P33" i="126"/>
  <c r="P32" i="126"/>
  <c r="P31" i="126"/>
  <c r="P30" i="126"/>
  <c r="P29" i="126"/>
  <c r="P28" i="126"/>
  <c r="P27" i="126"/>
  <c r="P26" i="126"/>
  <c r="P25" i="126"/>
  <c r="P24" i="126"/>
  <c r="P23" i="126"/>
  <c r="P22" i="126"/>
  <c r="P21" i="126"/>
  <c r="P20" i="126"/>
  <c r="P19" i="126"/>
  <c r="P18" i="126"/>
  <c r="P17" i="126"/>
  <c r="P16" i="126"/>
  <c r="P15" i="126"/>
  <c r="P14" i="126"/>
  <c r="P13" i="126"/>
  <c r="P12" i="126"/>
  <c r="P11" i="126"/>
  <c r="P10" i="126"/>
  <c r="P9" i="126"/>
  <c r="P8" i="126"/>
  <c r="P7" i="126"/>
  <c r="P6" i="126"/>
  <c r="P5" i="126"/>
  <c r="P4" i="126"/>
  <c r="P3" i="126"/>
  <c r="O39" i="126" s="1"/>
  <c r="P196" i="125"/>
  <c r="P195" i="125"/>
  <c r="P194" i="125"/>
  <c r="P193" i="125"/>
  <c r="P192" i="125"/>
  <c r="P191" i="125"/>
  <c r="P190" i="125"/>
  <c r="P189" i="125"/>
  <c r="P188" i="125"/>
  <c r="P187" i="125"/>
  <c r="P186" i="125"/>
  <c r="P185" i="125"/>
  <c r="P184" i="125"/>
  <c r="P183" i="125"/>
  <c r="P182" i="125"/>
  <c r="P181" i="125"/>
  <c r="P180" i="125"/>
  <c r="P179" i="125"/>
  <c r="P178" i="125"/>
  <c r="P177" i="125"/>
  <c r="P176" i="125"/>
  <c r="P175" i="125"/>
  <c r="P174" i="125"/>
  <c r="P173" i="125"/>
  <c r="P172" i="125"/>
  <c r="P171" i="125"/>
  <c r="P170" i="125"/>
  <c r="P169" i="125"/>
  <c r="P168" i="125"/>
  <c r="P167" i="125"/>
  <c r="P166" i="125"/>
  <c r="P165" i="125"/>
  <c r="P164" i="125"/>
  <c r="P163" i="125"/>
  <c r="P162" i="125"/>
  <c r="P161" i="125"/>
  <c r="P160" i="125"/>
  <c r="P159" i="125"/>
  <c r="P158" i="125"/>
  <c r="P157" i="125"/>
  <c r="P156" i="125"/>
  <c r="P155" i="125"/>
  <c r="P154" i="125"/>
  <c r="P153" i="125"/>
  <c r="P152" i="125"/>
  <c r="P151" i="125"/>
  <c r="P150" i="125"/>
  <c r="P149" i="125"/>
  <c r="P148" i="125"/>
  <c r="P147" i="125"/>
  <c r="P146" i="125"/>
  <c r="P145" i="125"/>
  <c r="P144" i="125"/>
  <c r="P143" i="125"/>
  <c r="P142" i="125"/>
  <c r="P141" i="125"/>
  <c r="P140" i="125"/>
  <c r="P139" i="125"/>
  <c r="P138" i="125"/>
  <c r="P137" i="125"/>
  <c r="P136" i="125"/>
  <c r="P135" i="125"/>
  <c r="P134" i="125"/>
  <c r="P133" i="125"/>
  <c r="P132" i="125"/>
  <c r="P131" i="125"/>
  <c r="P130" i="125"/>
  <c r="P129" i="125"/>
  <c r="P128" i="125"/>
  <c r="P127" i="125"/>
  <c r="P126" i="125"/>
  <c r="P125" i="125"/>
  <c r="P124" i="125"/>
  <c r="P123" i="125"/>
  <c r="P122" i="125"/>
  <c r="P121" i="125"/>
  <c r="P120" i="125"/>
  <c r="P119" i="125"/>
  <c r="P118" i="125"/>
  <c r="P117" i="125"/>
  <c r="P116" i="125"/>
  <c r="P115" i="125"/>
  <c r="P114" i="125"/>
  <c r="P113" i="125"/>
  <c r="P112" i="125"/>
  <c r="P111" i="125"/>
  <c r="P110" i="125"/>
  <c r="P109" i="125"/>
  <c r="P108" i="125"/>
  <c r="P107" i="125"/>
  <c r="P106" i="125"/>
  <c r="P105" i="125"/>
  <c r="P104" i="125"/>
  <c r="P103" i="125"/>
  <c r="P102" i="125"/>
  <c r="P101" i="125"/>
  <c r="P100" i="125"/>
  <c r="P99" i="125"/>
  <c r="P98" i="125"/>
  <c r="P97" i="125"/>
  <c r="P96" i="125"/>
  <c r="P95" i="125"/>
  <c r="P94" i="125"/>
  <c r="P93" i="125"/>
  <c r="P92" i="125"/>
  <c r="P91" i="125"/>
  <c r="P90" i="125"/>
  <c r="P89" i="125"/>
  <c r="P88" i="125"/>
  <c r="P87" i="125"/>
  <c r="P86" i="125"/>
  <c r="P85" i="125"/>
  <c r="P84" i="125"/>
  <c r="P83" i="125"/>
  <c r="P82" i="125"/>
  <c r="P81" i="125"/>
  <c r="P80" i="125"/>
  <c r="P79" i="125"/>
  <c r="P78" i="125"/>
  <c r="P77" i="125"/>
  <c r="P76" i="125"/>
  <c r="P75" i="125"/>
  <c r="P74" i="125"/>
  <c r="P73" i="125"/>
  <c r="P72" i="125"/>
  <c r="P71" i="125"/>
  <c r="P70" i="125"/>
  <c r="P69" i="125"/>
  <c r="P68" i="125"/>
  <c r="P67" i="125"/>
  <c r="P66" i="125"/>
  <c r="P65" i="125"/>
  <c r="P64" i="125"/>
  <c r="P63" i="125"/>
  <c r="P62" i="125"/>
  <c r="P61" i="125"/>
  <c r="P60" i="125"/>
  <c r="P59" i="125"/>
  <c r="P58" i="125"/>
  <c r="P57" i="125"/>
  <c r="P56" i="125"/>
  <c r="P55" i="125"/>
  <c r="P54" i="125"/>
  <c r="P53" i="125"/>
  <c r="P52" i="125"/>
  <c r="P51" i="125"/>
  <c r="P50" i="125"/>
  <c r="P49" i="125"/>
  <c r="P48" i="125"/>
  <c r="P47" i="125"/>
  <c r="P46" i="125"/>
  <c r="P45" i="125"/>
  <c r="P44" i="125"/>
  <c r="P43" i="125"/>
  <c r="P42" i="125"/>
  <c r="P41" i="125"/>
  <c r="P40" i="125"/>
  <c r="P39" i="125"/>
  <c r="P38" i="125"/>
  <c r="P37" i="125"/>
  <c r="P36" i="125"/>
  <c r="P35" i="125"/>
  <c r="P34" i="125"/>
  <c r="P33" i="125"/>
  <c r="P32" i="125"/>
  <c r="P31" i="125"/>
  <c r="P30" i="125"/>
  <c r="P29" i="125"/>
  <c r="P28" i="125"/>
  <c r="P27" i="125"/>
  <c r="P26" i="125"/>
  <c r="P25" i="125"/>
  <c r="P24" i="125"/>
  <c r="P23" i="125"/>
  <c r="P22" i="125"/>
  <c r="P21" i="125"/>
  <c r="P20" i="125"/>
  <c r="P19" i="125"/>
  <c r="P18" i="125"/>
  <c r="P17" i="125"/>
  <c r="P16" i="125"/>
  <c r="P15" i="125"/>
  <c r="P14" i="125"/>
  <c r="P13" i="125"/>
  <c r="P12" i="125"/>
  <c r="P11" i="125"/>
  <c r="P10" i="125"/>
  <c r="P9" i="125"/>
  <c r="P8" i="125"/>
  <c r="P7" i="125"/>
  <c r="P6" i="125"/>
  <c r="P5" i="125"/>
  <c r="O197" i="125" s="1"/>
  <c r="P4" i="125"/>
  <c r="P3" i="125"/>
  <c r="P42" i="124"/>
  <c r="P41" i="124"/>
  <c r="P40" i="124"/>
  <c r="P39" i="124"/>
  <c r="P38" i="124"/>
  <c r="P37" i="124"/>
  <c r="P36" i="124"/>
  <c r="P35" i="124"/>
  <c r="P34" i="124"/>
  <c r="P33" i="124"/>
  <c r="P32" i="124"/>
  <c r="P31" i="124"/>
  <c r="P30" i="124"/>
  <c r="P29" i="124"/>
  <c r="P28" i="124"/>
  <c r="P27" i="124"/>
  <c r="P26" i="124"/>
  <c r="P25" i="124"/>
  <c r="P24" i="124"/>
  <c r="P23" i="124"/>
  <c r="P22" i="124"/>
  <c r="P21" i="124"/>
  <c r="P20" i="124"/>
  <c r="P19" i="124"/>
  <c r="P18" i="124"/>
  <c r="P17" i="124"/>
  <c r="P16" i="124"/>
  <c r="P15" i="124"/>
  <c r="P14" i="124"/>
  <c r="P13" i="124"/>
  <c r="P12" i="124"/>
  <c r="P11" i="124"/>
  <c r="P10" i="124"/>
  <c r="P9" i="124"/>
  <c r="P8" i="124"/>
  <c r="P7" i="124"/>
  <c r="P6" i="124"/>
  <c r="P5" i="124"/>
  <c r="P4" i="124"/>
  <c r="P3" i="124"/>
  <c r="O43" i="124" s="1"/>
  <c r="P38" i="123"/>
  <c r="P37" i="123"/>
  <c r="P36" i="123"/>
  <c r="P35" i="123"/>
  <c r="P34" i="123"/>
  <c r="P33" i="123"/>
  <c r="P32" i="123"/>
  <c r="P31" i="123"/>
  <c r="P30" i="123"/>
  <c r="P29" i="123"/>
  <c r="P28" i="123"/>
  <c r="P27" i="123"/>
  <c r="P26" i="123"/>
  <c r="P25" i="123"/>
  <c r="P24" i="123"/>
  <c r="P23" i="123"/>
  <c r="P22" i="123"/>
  <c r="P21" i="123"/>
  <c r="P20" i="123"/>
  <c r="P19" i="123"/>
  <c r="P18" i="123"/>
  <c r="P17" i="123"/>
  <c r="P16" i="123"/>
  <c r="P15" i="123"/>
  <c r="P14" i="123"/>
  <c r="P13" i="123"/>
  <c r="P12" i="123"/>
  <c r="P11" i="123"/>
  <c r="P10" i="123"/>
  <c r="P9" i="123"/>
  <c r="P8" i="123"/>
  <c r="P7" i="123"/>
  <c r="P6" i="123"/>
  <c r="P5" i="123"/>
  <c r="P4" i="123"/>
  <c r="P3" i="123"/>
  <c r="O39" i="123" s="1"/>
  <c r="P118" i="122"/>
  <c r="P117" i="122"/>
  <c r="P116" i="122"/>
  <c r="P115" i="122"/>
  <c r="P114" i="122"/>
  <c r="P113" i="122"/>
  <c r="P112" i="122"/>
  <c r="P111" i="122"/>
  <c r="P110" i="122"/>
  <c r="P109" i="122"/>
  <c r="P108" i="122"/>
  <c r="P107" i="122"/>
  <c r="P106" i="122"/>
  <c r="P105" i="122"/>
  <c r="P104" i="122"/>
  <c r="P103" i="122"/>
  <c r="P102" i="122"/>
  <c r="P101" i="122"/>
  <c r="P100" i="122"/>
  <c r="P99" i="122"/>
  <c r="P98" i="122"/>
  <c r="P97" i="122"/>
  <c r="P96" i="122"/>
  <c r="P95" i="122"/>
  <c r="P94" i="122"/>
  <c r="P93" i="122"/>
  <c r="P92" i="122"/>
  <c r="P91" i="122"/>
  <c r="P90" i="122"/>
  <c r="P89" i="122"/>
  <c r="P88" i="122"/>
  <c r="P87" i="122"/>
  <c r="P86" i="122"/>
  <c r="P85" i="122"/>
  <c r="P84" i="122"/>
  <c r="P83" i="122"/>
  <c r="P82" i="122"/>
  <c r="P81" i="122"/>
  <c r="P80" i="122"/>
  <c r="P79" i="122"/>
  <c r="P78" i="122"/>
  <c r="P77" i="122"/>
  <c r="P76" i="122"/>
  <c r="P75" i="122"/>
  <c r="P74" i="122"/>
  <c r="P73" i="122"/>
  <c r="P72" i="122"/>
  <c r="P71" i="122"/>
  <c r="P70" i="122"/>
  <c r="P69" i="122"/>
  <c r="P68" i="122"/>
  <c r="P67" i="122"/>
  <c r="P66" i="122"/>
  <c r="P65" i="122"/>
  <c r="P64" i="122"/>
  <c r="P63" i="122"/>
  <c r="P62" i="122"/>
  <c r="P61" i="122"/>
  <c r="P60" i="122"/>
  <c r="P59" i="122"/>
  <c r="P58" i="122"/>
  <c r="P57" i="122"/>
  <c r="P56" i="122"/>
  <c r="P55" i="122"/>
  <c r="P54" i="122"/>
  <c r="P53" i="122"/>
  <c r="P52" i="122"/>
  <c r="P51" i="122"/>
  <c r="P50" i="122"/>
  <c r="P49" i="122"/>
  <c r="P48" i="122"/>
  <c r="P47" i="122"/>
  <c r="P46" i="122"/>
  <c r="P45" i="122"/>
  <c r="P44" i="122"/>
  <c r="P43" i="122"/>
  <c r="P42" i="122"/>
  <c r="P41" i="122"/>
  <c r="P40" i="122"/>
  <c r="P39" i="122"/>
  <c r="P38" i="122"/>
  <c r="P37" i="122"/>
  <c r="P36" i="122"/>
  <c r="P35" i="122"/>
  <c r="P34" i="122"/>
  <c r="P33" i="122"/>
  <c r="P32" i="122"/>
  <c r="P31" i="122"/>
  <c r="P30" i="122"/>
  <c r="P29" i="122"/>
  <c r="P28" i="122"/>
  <c r="P27" i="122"/>
  <c r="P26" i="122"/>
  <c r="P25" i="122"/>
  <c r="P24" i="122"/>
  <c r="P23" i="122"/>
  <c r="P22" i="122"/>
  <c r="P21" i="122"/>
  <c r="P20" i="122"/>
  <c r="P19" i="122"/>
  <c r="P18" i="122"/>
  <c r="P17" i="122"/>
  <c r="P16" i="122"/>
  <c r="P15" i="122"/>
  <c r="P14" i="122"/>
  <c r="P13" i="122"/>
  <c r="P12" i="122"/>
  <c r="P11" i="122"/>
  <c r="P10" i="122"/>
  <c r="P9" i="122"/>
  <c r="P8" i="122"/>
  <c r="P7" i="122"/>
  <c r="P6" i="122"/>
  <c r="P5" i="122"/>
  <c r="P4" i="122"/>
  <c r="P3" i="122"/>
  <c r="O119" i="122" s="1"/>
  <c r="P40" i="121"/>
  <c r="P39" i="121"/>
  <c r="P38" i="121"/>
  <c r="P37" i="121"/>
  <c r="P36" i="121"/>
  <c r="P35" i="121"/>
  <c r="P34" i="121"/>
  <c r="P33" i="121"/>
  <c r="P32" i="121"/>
  <c r="P31" i="121"/>
  <c r="P30" i="121"/>
  <c r="P29" i="121"/>
  <c r="P28" i="121"/>
  <c r="P27" i="121"/>
  <c r="P26" i="121"/>
  <c r="P25" i="121"/>
  <c r="P24" i="121"/>
  <c r="P23" i="121"/>
  <c r="P22" i="121"/>
  <c r="P21" i="121"/>
  <c r="P20" i="121"/>
  <c r="P19" i="121"/>
  <c r="P18" i="121"/>
  <c r="P17" i="121"/>
  <c r="P16" i="121"/>
  <c r="P15" i="121"/>
  <c r="P14" i="121"/>
  <c r="P13" i="121"/>
  <c r="P12" i="121"/>
  <c r="P11" i="121"/>
  <c r="P10" i="121"/>
  <c r="P9" i="121"/>
  <c r="P8" i="121"/>
  <c r="P7" i="121"/>
  <c r="P6" i="121"/>
  <c r="P5" i="121"/>
  <c r="P4" i="121"/>
  <c r="P3" i="121"/>
  <c r="P35" i="120"/>
  <c r="P34" i="120"/>
  <c r="P33" i="120"/>
  <c r="P32" i="120"/>
  <c r="P31" i="120"/>
  <c r="P30" i="120"/>
  <c r="P29" i="120"/>
  <c r="P28" i="120"/>
  <c r="P27" i="120"/>
  <c r="P26" i="120"/>
  <c r="P25" i="120"/>
  <c r="P24" i="120"/>
  <c r="P23" i="120"/>
  <c r="P22" i="120"/>
  <c r="P21" i="120"/>
  <c r="P20" i="120"/>
  <c r="P19" i="120"/>
  <c r="P18" i="120"/>
  <c r="P17" i="120"/>
  <c r="P16" i="120"/>
  <c r="P15" i="120"/>
  <c r="P14" i="120"/>
  <c r="P13" i="120"/>
  <c r="P12" i="120"/>
  <c r="P11" i="120"/>
  <c r="P10" i="120"/>
  <c r="P9" i="120"/>
  <c r="P8" i="120"/>
  <c r="P7" i="120"/>
  <c r="P6" i="120"/>
  <c r="P5" i="120"/>
  <c r="P4" i="120"/>
  <c r="P3" i="120"/>
  <c r="P54" i="119"/>
  <c r="P53" i="119"/>
  <c r="P52" i="119"/>
  <c r="P51" i="119"/>
  <c r="P50" i="119"/>
  <c r="P49" i="119"/>
  <c r="P48" i="119"/>
  <c r="P47" i="119"/>
  <c r="P46" i="119"/>
  <c r="P45" i="119"/>
  <c r="P44" i="119"/>
  <c r="P43" i="119"/>
  <c r="P42" i="119"/>
  <c r="P41" i="119"/>
  <c r="P40" i="119"/>
  <c r="P39" i="119"/>
  <c r="P38" i="119"/>
  <c r="P37" i="119"/>
  <c r="P36" i="119"/>
  <c r="P35" i="119"/>
  <c r="P34" i="119"/>
  <c r="P33" i="119"/>
  <c r="P32" i="119"/>
  <c r="P31" i="119"/>
  <c r="P30" i="119"/>
  <c r="P29" i="119"/>
  <c r="P28" i="119"/>
  <c r="P27" i="119"/>
  <c r="P26" i="119"/>
  <c r="P25" i="119"/>
  <c r="P24" i="119"/>
  <c r="P23" i="119"/>
  <c r="P22" i="119"/>
  <c r="P21" i="119"/>
  <c r="P20" i="119"/>
  <c r="P19" i="119"/>
  <c r="P18" i="119"/>
  <c r="P17" i="119"/>
  <c r="P16" i="119"/>
  <c r="P15" i="119"/>
  <c r="P14" i="119"/>
  <c r="P13" i="119"/>
  <c r="P12" i="119"/>
  <c r="P11" i="119"/>
  <c r="P10" i="119"/>
  <c r="P9" i="119"/>
  <c r="P8" i="119"/>
  <c r="P7" i="119"/>
  <c r="P6" i="119"/>
  <c r="P5" i="119"/>
  <c r="P4" i="119"/>
  <c r="P3" i="119"/>
  <c r="O55" i="119" s="1"/>
  <c r="P74" i="118"/>
  <c r="P73" i="118"/>
  <c r="P72" i="118"/>
  <c r="P71" i="118"/>
  <c r="P70" i="118"/>
  <c r="P69" i="118"/>
  <c r="P68" i="118"/>
  <c r="P67" i="118"/>
  <c r="P66" i="118"/>
  <c r="P65" i="118"/>
  <c r="P64" i="118"/>
  <c r="P63" i="118"/>
  <c r="P62" i="118"/>
  <c r="P61" i="118"/>
  <c r="P60" i="118"/>
  <c r="P59" i="118"/>
  <c r="P58" i="118"/>
  <c r="P57" i="118"/>
  <c r="P56" i="118"/>
  <c r="P55" i="118"/>
  <c r="P54" i="118"/>
  <c r="P53" i="118"/>
  <c r="P52" i="118"/>
  <c r="P51" i="118"/>
  <c r="P50" i="118"/>
  <c r="P49" i="118"/>
  <c r="P48" i="118"/>
  <c r="P47" i="118"/>
  <c r="P46" i="118"/>
  <c r="P45" i="118"/>
  <c r="P44" i="118"/>
  <c r="P43" i="118"/>
  <c r="P42" i="118"/>
  <c r="P41" i="118"/>
  <c r="P40" i="118"/>
  <c r="P39" i="118"/>
  <c r="P38" i="118"/>
  <c r="P37" i="118"/>
  <c r="P36" i="118"/>
  <c r="P35" i="118"/>
  <c r="P34" i="118"/>
  <c r="P33" i="118"/>
  <c r="P32" i="118"/>
  <c r="P31" i="118"/>
  <c r="P30" i="118"/>
  <c r="P29" i="118"/>
  <c r="P28" i="118"/>
  <c r="P27" i="118"/>
  <c r="P26" i="118"/>
  <c r="P25" i="118"/>
  <c r="P24" i="118"/>
  <c r="P23" i="118"/>
  <c r="P22" i="118"/>
  <c r="P21" i="118"/>
  <c r="P20" i="118"/>
  <c r="P19" i="118"/>
  <c r="P18" i="118"/>
  <c r="P17" i="118"/>
  <c r="P16" i="118"/>
  <c r="P15" i="118"/>
  <c r="P14" i="118"/>
  <c r="P13" i="118"/>
  <c r="P12" i="118"/>
  <c r="P11" i="118"/>
  <c r="P10" i="118"/>
  <c r="P9" i="118"/>
  <c r="P8" i="118"/>
  <c r="P7" i="118"/>
  <c r="P6" i="118"/>
  <c r="P5" i="118"/>
  <c r="P4" i="118"/>
  <c r="P3" i="118"/>
  <c r="O75" i="118" s="1"/>
  <c r="P15" i="117"/>
  <c r="P14" i="117"/>
  <c r="P13" i="117"/>
  <c r="P12" i="117"/>
  <c r="P11" i="117"/>
  <c r="P10" i="117"/>
  <c r="P9" i="117"/>
  <c r="P8" i="117"/>
  <c r="P7" i="117"/>
  <c r="P6" i="117"/>
  <c r="P5" i="117"/>
  <c r="P4" i="117"/>
  <c r="O16" i="117" s="1"/>
  <c r="P3" i="117"/>
  <c r="P17" i="116"/>
  <c r="P16" i="116"/>
  <c r="P15" i="116"/>
  <c r="P14" i="116"/>
  <c r="P13" i="116"/>
  <c r="P12" i="116"/>
  <c r="P11" i="116"/>
  <c r="P10" i="116"/>
  <c r="P9" i="116"/>
  <c r="P8" i="116"/>
  <c r="P7" i="116"/>
  <c r="P6" i="116"/>
  <c r="O18" i="116" s="1"/>
  <c r="P5" i="116"/>
  <c r="P4" i="116"/>
  <c r="P3" i="116"/>
  <c r="P165" i="115"/>
  <c r="P164" i="115"/>
  <c r="P163" i="115"/>
  <c r="P162" i="115"/>
  <c r="P161" i="115"/>
  <c r="P160" i="115"/>
  <c r="P159" i="115"/>
  <c r="P158" i="115"/>
  <c r="P157" i="115"/>
  <c r="P156" i="115"/>
  <c r="P155" i="115"/>
  <c r="P154" i="115"/>
  <c r="P153" i="115"/>
  <c r="P152" i="115"/>
  <c r="P151" i="115"/>
  <c r="P150" i="115"/>
  <c r="P149" i="115"/>
  <c r="P148" i="115"/>
  <c r="P147" i="115"/>
  <c r="P146" i="115"/>
  <c r="P145" i="115"/>
  <c r="P144" i="115"/>
  <c r="P143" i="115"/>
  <c r="P142" i="115"/>
  <c r="P141" i="115"/>
  <c r="P140" i="115"/>
  <c r="P139" i="115"/>
  <c r="P138" i="115"/>
  <c r="P137" i="115"/>
  <c r="P136" i="115"/>
  <c r="P135" i="115"/>
  <c r="P134" i="115"/>
  <c r="P133" i="115"/>
  <c r="P132" i="115"/>
  <c r="P131" i="115"/>
  <c r="P130" i="115"/>
  <c r="P129" i="115"/>
  <c r="P128" i="115"/>
  <c r="P127" i="115"/>
  <c r="P126" i="115"/>
  <c r="P125" i="115"/>
  <c r="P124" i="115"/>
  <c r="P123" i="115"/>
  <c r="P122" i="115"/>
  <c r="P121" i="115"/>
  <c r="P120" i="115"/>
  <c r="P119" i="115"/>
  <c r="P118" i="115"/>
  <c r="P117" i="115"/>
  <c r="P116" i="115"/>
  <c r="P115" i="115"/>
  <c r="P114" i="115"/>
  <c r="P113" i="115"/>
  <c r="P112" i="115"/>
  <c r="P111" i="115"/>
  <c r="P110" i="115"/>
  <c r="P109" i="115"/>
  <c r="P108" i="115"/>
  <c r="P107" i="115"/>
  <c r="P106" i="115"/>
  <c r="P105" i="115"/>
  <c r="P104" i="115"/>
  <c r="P103" i="115"/>
  <c r="P102" i="115"/>
  <c r="P101" i="115"/>
  <c r="P100" i="115"/>
  <c r="P99" i="115"/>
  <c r="P98" i="115"/>
  <c r="P97" i="115"/>
  <c r="P96" i="115"/>
  <c r="P95" i="115"/>
  <c r="P94" i="115"/>
  <c r="P93" i="115"/>
  <c r="P92" i="115"/>
  <c r="P91" i="115"/>
  <c r="P90" i="115"/>
  <c r="P89" i="115"/>
  <c r="P88" i="115"/>
  <c r="P87" i="115"/>
  <c r="P86" i="115"/>
  <c r="P85" i="115"/>
  <c r="P84" i="115"/>
  <c r="P83" i="115"/>
  <c r="P82" i="115"/>
  <c r="P81" i="115"/>
  <c r="P80" i="115"/>
  <c r="P79" i="115"/>
  <c r="P78" i="115"/>
  <c r="P77" i="115"/>
  <c r="P76" i="115"/>
  <c r="P75" i="115"/>
  <c r="P74" i="115"/>
  <c r="P73" i="115"/>
  <c r="P72" i="115"/>
  <c r="P71" i="115"/>
  <c r="P70" i="115"/>
  <c r="P69" i="115"/>
  <c r="P68" i="115"/>
  <c r="P67" i="115"/>
  <c r="P66" i="115"/>
  <c r="P65" i="115"/>
  <c r="P64" i="115"/>
  <c r="P63" i="115"/>
  <c r="P62" i="115"/>
  <c r="P61" i="115"/>
  <c r="P60" i="115"/>
  <c r="P59" i="115"/>
  <c r="P58" i="115"/>
  <c r="P57" i="115"/>
  <c r="P56" i="115"/>
  <c r="P55" i="115"/>
  <c r="P54" i="115"/>
  <c r="P53" i="115"/>
  <c r="P52" i="115"/>
  <c r="P51" i="115"/>
  <c r="P50" i="115"/>
  <c r="P49" i="115"/>
  <c r="P48" i="115"/>
  <c r="P47" i="115"/>
  <c r="P46" i="115"/>
  <c r="P45" i="115"/>
  <c r="P44" i="115"/>
  <c r="P43" i="115"/>
  <c r="P42" i="115"/>
  <c r="P41" i="115"/>
  <c r="P40" i="115"/>
  <c r="P39" i="115"/>
  <c r="P38" i="115"/>
  <c r="P37" i="115"/>
  <c r="P36" i="115"/>
  <c r="P35" i="115"/>
  <c r="P34" i="115"/>
  <c r="P33" i="115"/>
  <c r="P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O166" i="115" s="1"/>
  <c r="P5" i="115"/>
  <c r="P4" i="115"/>
  <c r="P3" i="115"/>
  <c r="P33" i="114"/>
  <c r="P32" i="114"/>
  <c r="P31" i="114"/>
  <c r="P30" i="114"/>
  <c r="P29" i="114"/>
  <c r="P28" i="114"/>
  <c r="P27" i="114"/>
  <c r="P26" i="114"/>
  <c r="P25" i="114"/>
  <c r="P24" i="114"/>
  <c r="P23" i="114"/>
  <c r="P22" i="114"/>
  <c r="P21" i="114"/>
  <c r="P20" i="114"/>
  <c r="P19" i="114"/>
  <c r="P18" i="114"/>
  <c r="P17" i="114"/>
  <c r="P16" i="114"/>
  <c r="P15" i="114"/>
  <c r="P14" i="114"/>
  <c r="P13" i="114"/>
  <c r="P12" i="114"/>
  <c r="P11" i="114"/>
  <c r="P10" i="114"/>
  <c r="P9" i="114"/>
  <c r="P8" i="114"/>
  <c r="P7" i="114"/>
  <c r="P6" i="114"/>
  <c r="O34" i="114" s="1"/>
  <c r="P5" i="114"/>
  <c r="P4" i="114"/>
  <c r="P3" i="114"/>
  <c r="P38" i="113"/>
  <c r="P37" i="113"/>
  <c r="P36" i="113"/>
  <c r="P35" i="113"/>
  <c r="P34" i="113"/>
  <c r="P33" i="113"/>
  <c r="P32" i="113"/>
  <c r="P31" i="113"/>
  <c r="P30" i="113"/>
  <c r="P29" i="113"/>
  <c r="P28" i="113"/>
  <c r="P27" i="113"/>
  <c r="P26" i="113"/>
  <c r="P25" i="113"/>
  <c r="P24" i="113"/>
  <c r="P23" i="113"/>
  <c r="P22" i="113"/>
  <c r="P21" i="113"/>
  <c r="P20" i="113"/>
  <c r="P19" i="113"/>
  <c r="P18" i="113"/>
  <c r="P17" i="113"/>
  <c r="P16" i="113"/>
  <c r="P15" i="113"/>
  <c r="P14" i="113"/>
  <c r="P13" i="113"/>
  <c r="P12" i="113"/>
  <c r="P11" i="113"/>
  <c r="P10" i="113"/>
  <c r="P9" i="113"/>
  <c r="P8" i="113"/>
  <c r="P7" i="113"/>
  <c r="P6" i="113"/>
  <c r="P5" i="113"/>
  <c r="P4" i="113"/>
  <c r="P3" i="113"/>
  <c r="O39" i="113" s="1"/>
  <c r="P26" i="112"/>
  <c r="P25" i="112"/>
  <c r="P24" i="112"/>
  <c r="P23" i="112"/>
  <c r="P22" i="112"/>
  <c r="P21" i="112"/>
  <c r="P20" i="112"/>
  <c r="P19" i="112"/>
  <c r="P18" i="112"/>
  <c r="P17" i="112"/>
  <c r="P16" i="112"/>
  <c r="P15" i="112"/>
  <c r="P14" i="112"/>
  <c r="P13" i="112"/>
  <c r="P12" i="112"/>
  <c r="P11" i="112"/>
  <c r="P10" i="112"/>
  <c r="P9" i="112"/>
  <c r="P8" i="112"/>
  <c r="P7" i="112"/>
  <c r="P6" i="112"/>
  <c r="P5" i="112"/>
  <c r="P4" i="112"/>
  <c r="P3" i="112"/>
  <c r="O27" i="112" s="1"/>
  <c r="P147" i="111"/>
  <c r="P146" i="111"/>
  <c r="P145" i="111"/>
  <c r="P144" i="111"/>
  <c r="P143" i="111"/>
  <c r="P142" i="111"/>
  <c r="P141" i="111"/>
  <c r="P140" i="111"/>
  <c r="P139" i="111"/>
  <c r="P138" i="111"/>
  <c r="P137" i="111"/>
  <c r="P136" i="111"/>
  <c r="P135" i="111"/>
  <c r="P134" i="111"/>
  <c r="P133" i="111"/>
  <c r="P132" i="111"/>
  <c r="P131" i="111"/>
  <c r="P130" i="111"/>
  <c r="P129" i="111"/>
  <c r="P128" i="111"/>
  <c r="P127" i="111"/>
  <c r="P126" i="111"/>
  <c r="P125" i="111"/>
  <c r="P124" i="111"/>
  <c r="P123" i="111"/>
  <c r="P122" i="111"/>
  <c r="P121" i="111"/>
  <c r="P120" i="111"/>
  <c r="P119" i="111"/>
  <c r="P118" i="111"/>
  <c r="P117" i="111"/>
  <c r="P116" i="111"/>
  <c r="P115" i="111"/>
  <c r="P114" i="111"/>
  <c r="P113" i="111"/>
  <c r="P112" i="111"/>
  <c r="P111" i="111"/>
  <c r="P110" i="111"/>
  <c r="P109" i="111"/>
  <c r="P108" i="111"/>
  <c r="P107" i="111"/>
  <c r="P106" i="111"/>
  <c r="P105" i="111"/>
  <c r="P104" i="111"/>
  <c r="P103" i="111"/>
  <c r="P102" i="111"/>
  <c r="P101" i="111"/>
  <c r="P100" i="111"/>
  <c r="P99" i="111"/>
  <c r="P98" i="111"/>
  <c r="P97" i="111"/>
  <c r="P96" i="111"/>
  <c r="P95" i="111"/>
  <c r="P94" i="111"/>
  <c r="P93" i="111"/>
  <c r="P92" i="111"/>
  <c r="P91" i="111"/>
  <c r="P90" i="111"/>
  <c r="P89" i="111"/>
  <c r="P88" i="111"/>
  <c r="P87" i="111"/>
  <c r="P86" i="111"/>
  <c r="P85" i="111"/>
  <c r="P84" i="111"/>
  <c r="P83" i="111"/>
  <c r="P82" i="111"/>
  <c r="P81" i="111"/>
  <c r="P80" i="111"/>
  <c r="P79" i="111"/>
  <c r="P78" i="111"/>
  <c r="P77" i="111"/>
  <c r="P76" i="111"/>
  <c r="P75" i="111"/>
  <c r="P74" i="111"/>
  <c r="P73" i="111"/>
  <c r="P72" i="111"/>
  <c r="P71" i="111"/>
  <c r="P70" i="111"/>
  <c r="P69" i="111"/>
  <c r="P68" i="111"/>
  <c r="P67" i="111"/>
  <c r="P66" i="111"/>
  <c r="P65" i="111"/>
  <c r="P64" i="111"/>
  <c r="P63" i="111"/>
  <c r="P62" i="111"/>
  <c r="P61" i="111"/>
  <c r="P60" i="111"/>
  <c r="P59" i="111"/>
  <c r="P58" i="111"/>
  <c r="P57" i="111"/>
  <c r="P56" i="111"/>
  <c r="P55" i="111"/>
  <c r="P54" i="111"/>
  <c r="P53" i="111"/>
  <c r="P52" i="111"/>
  <c r="P51" i="111"/>
  <c r="P50" i="111"/>
  <c r="P49" i="111"/>
  <c r="P48" i="111"/>
  <c r="P47" i="111"/>
  <c r="P46" i="111"/>
  <c r="P45" i="111"/>
  <c r="P44" i="111"/>
  <c r="P43" i="111"/>
  <c r="P42" i="111"/>
  <c r="P41" i="111"/>
  <c r="P40" i="111"/>
  <c r="P39" i="111"/>
  <c r="P38" i="111"/>
  <c r="P37" i="111"/>
  <c r="P36" i="111"/>
  <c r="P35" i="111"/>
  <c r="P34" i="111"/>
  <c r="P33" i="111"/>
  <c r="P32" i="111"/>
  <c r="P31" i="111"/>
  <c r="P30" i="111"/>
  <c r="P29" i="111"/>
  <c r="P28" i="111"/>
  <c r="P27" i="111"/>
  <c r="P26" i="111"/>
  <c r="P25" i="111"/>
  <c r="P24" i="111"/>
  <c r="P23" i="111"/>
  <c r="P22" i="111"/>
  <c r="P21" i="111"/>
  <c r="P20" i="111"/>
  <c r="P19" i="111"/>
  <c r="P18" i="111"/>
  <c r="P17" i="111"/>
  <c r="P16" i="111"/>
  <c r="P15" i="111"/>
  <c r="P14" i="111"/>
  <c r="P13" i="111"/>
  <c r="P12" i="111"/>
  <c r="P11" i="111"/>
  <c r="P10" i="111"/>
  <c r="P9" i="111"/>
  <c r="P8" i="111"/>
  <c r="P7" i="111"/>
  <c r="P6" i="111"/>
  <c r="P5" i="111"/>
  <c r="P4" i="111"/>
  <c r="O148" i="111" s="1"/>
  <c r="P3" i="111"/>
  <c r="P39" i="110"/>
  <c r="P38" i="110"/>
  <c r="P37" i="110"/>
  <c r="P36" i="110"/>
  <c r="P35" i="110"/>
  <c r="P34" i="110"/>
  <c r="P33" i="110"/>
  <c r="P32" i="110"/>
  <c r="P31" i="110"/>
  <c r="P30" i="110"/>
  <c r="P29" i="110"/>
  <c r="P28" i="110"/>
  <c r="P27" i="110"/>
  <c r="P26" i="110"/>
  <c r="P25" i="110"/>
  <c r="P24" i="110"/>
  <c r="P23" i="110"/>
  <c r="P22" i="110"/>
  <c r="P21" i="110"/>
  <c r="P20" i="110"/>
  <c r="P19" i="110"/>
  <c r="P18" i="110"/>
  <c r="P17" i="110"/>
  <c r="P16" i="110"/>
  <c r="P15" i="110"/>
  <c r="P14" i="110"/>
  <c r="P13" i="110"/>
  <c r="P12" i="110"/>
  <c r="P11" i="110"/>
  <c r="P10" i="110"/>
  <c r="P9" i="110"/>
  <c r="P8" i="110"/>
  <c r="P7" i="110"/>
  <c r="P6" i="110"/>
  <c r="P5" i="110"/>
  <c r="P4" i="110"/>
  <c r="P3" i="110"/>
  <c r="P37" i="109"/>
  <c r="P36" i="109"/>
  <c r="P35" i="109"/>
  <c r="P34" i="109"/>
  <c r="P33" i="109"/>
  <c r="P32" i="109"/>
  <c r="P31" i="109"/>
  <c r="P30" i="109"/>
  <c r="P29" i="109"/>
  <c r="P28" i="109"/>
  <c r="P27" i="109"/>
  <c r="P26" i="109"/>
  <c r="P25" i="109"/>
  <c r="P24" i="109"/>
  <c r="P23" i="109"/>
  <c r="P22" i="109"/>
  <c r="P21" i="109"/>
  <c r="P20" i="109"/>
  <c r="P19" i="109"/>
  <c r="P18" i="109"/>
  <c r="P17" i="109"/>
  <c r="P16" i="109"/>
  <c r="P15" i="109"/>
  <c r="P14" i="109"/>
  <c r="P13" i="109"/>
  <c r="P12" i="109"/>
  <c r="P11" i="109"/>
  <c r="P10" i="109"/>
  <c r="P9" i="109"/>
  <c r="P8" i="109"/>
  <c r="P7" i="109"/>
  <c r="P6" i="109"/>
  <c r="O38" i="109" s="1"/>
  <c r="P5" i="109"/>
  <c r="P4" i="109"/>
  <c r="P3" i="109"/>
  <c r="P120" i="108"/>
  <c r="P119" i="108"/>
  <c r="P118" i="108"/>
  <c r="P117" i="108"/>
  <c r="P116" i="108"/>
  <c r="P115" i="108"/>
  <c r="P114" i="108"/>
  <c r="P113" i="108"/>
  <c r="P112" i="108"/>
  <c r="P111" i="108"/>
  <c r="P110" i="108"/>
  <c r="P109" i="108"/>
  <c r="P108" i="108"/>
  <c r="P107" i="108"/>
  <c r="P106" i="108"/>
  <c r="P105" i="108"/>
  <c r="P104" i="108"/>
  <c r="P103" i="108"/>
  <c r="P102" i="108"/>
  <c r="P101" i="108"/>
  <c r="P100" i="108"/>
  <c r="P99" i="108"/>
  <c r="P98" i="108"/>
  <c r="P97" i="108"/>
  <c r="P96" i="108"/>
  <c r="P95" i="108"/>
  <c r="P94" i="108"/>
  <c r="P93" i="108"/>
  <c r="P92" i="108"/>
  <c r="P91" i="108"/>
  <c r="P90" i="108"/>
  <c r="P89" i="108"/>
  <c r="P88" i="108"/>
  <c r="P87" i="108"/>
  <c r="P86" i="108"/>
  <c r="P85" i="108"/>
  <c r="P84" i="108"/>
  <c r="P83" i="108"/>
  <c r="P82" i="108"/>
  <c r="P81" i="108"/>
  <c r="P80" i="108"/>
  <c r="P79" i="108"/>
  <c r="P78" i="108"/>
  <c r="P77" i="108"/>
  <c r="P76" i="108"/>
  <c r="P75" i="108"/>
  <c r="P74" i="108"/>
  <c r="P73" i="108"/>
  <c r="P72" i="108"/>
  <c r="P71" i="108"/>
  <c r="P70" i="108"/>
  <c r="P69" i="108"/>
  <c r="P68" i="108"/>
  <c r="P67" i="108"/>
  <c r="P66" i="108"/>
  <c r="P65" i="108"/>
  <c r="P64" i="108"/>
  <c r="P63" i="108"/>
  <c r="P62" i="108"/>
  <c r="P61" i="108"/>
  <c r="P60" i="108"/>
  <c r="P59" i="108"/>
  <c r="P58" i="108"/>
  <c r="P57" i="108"/>
  <c r="P56" i="108"/>
  <c r="P55" i="108"/>
  <c r="P54" i="108"/>
  <c r="P53" i="108"/>
  <c r="P52" i="108"/>
  <c r="P51" i="108"/>
  <c r="P50" i="108"/>
  <c r="P49" i="108"/>
  <c r="P48" i="108"/>
  <c r="P47" i="108"/>
  <c r="P46" i="108"/>
  <c r="P45" i="108"/>
  <c r="P44" i="108"/>
  <c r="P43" i="108"/>
  <c r="P42" i="108"/>
  <c r="P41" i="108"/>
  <c r="P40" i="108"/>
  <c r="P39" i="108"/>
  <c r="P38" i="108"/>
  <c r="P37" i="108"/>
  <c r="P36" i="108"/>
  <c r="P35" i="108"/>
  <c r="P34" i="108"/>
  <c r="P33" i="108"/>
  <c r="P32" i="108"/>
  <c r="P31" i="108"/>
  <c r="P30" i="108"/>
  <c r="P29" i="108"/>
  <c r="P28" i="108"/>
  <c r="P27" i="108"/>
  <c r="P26" i="108"/>
  <c r="P25" i="108"/>
  <c r="P24" i="108"/>
  <c r="P23" i="108"/>
  <c r="P22" i="108"/>
  <c r="P21" i="108"/>
  <c r="P20" i="108"/>
  <c r="P19" i="108"/>
  <c r="P18" i="108"/>
  <c r="P17" i="108"/>
  <c r="P16" i="108"/>
  <c r="P15" i="108"/>
  <c r="P14" i="108"/>
  <c r="P13" i="108"/>
  <c r="P12" i="108"/>
  <c r="P11" i="108"/>
  <c r="P10" i="108"/>
  <c r="P9" i="108"/>
  <c r="P8" i="108"/>
  <c r="P7" i="108"/>
  <c r="P6" i="108"/>
  <c r="P5" i="108"/>
  <c r="P4" i="108"/>
  <c r="P3" i="108"/>
  <c r="P34" i="107"/>
  <c r="P33" i="107"/>
  <c r="P32" i="107"/>
  <c r="P31" i="107"/>
  <c r="P30" i="107"/>
  <c r="P29" i="107"/>
  <c r="P28" i="107"/>
  <c r="P27" i="107"/>
  <c r="P26" i="107"/>
  <c r="P25" i="107"/>
  <c r="P24" i="107"/>
  <c r="P23" i="107"/>
  <c r="P22" i="107"/>
  <c r="P21" i="107"/>
  <c r="P20" i="107"/>
  <c r="P19" i="107"/>
  <c r="P18" i="107"/>
  <c r="P17" i="107"/>
  <c r="P16" i="107"/>
  <c r="P15" i="107"/>
  <c r="P14" i="107"/>
  <c r="P13" i="107"/>
  <c r="P12" i="107"/>
  <c r="P11" i="107"/>
  <c r="P10" i="107"/>
  <c r="P9" i="107"/>
  <c r="P8" i="107"/>
  <c r="P7" i="107"/>
  <c r="P6" i="107"/>
  <c r="P5" i="107"/>
  <c r="P4" i="107"/>
  <c r="P3" i="107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P27" i="104"/>
  <c r="P26" i="104"/>
  <c r="P25" i="104"/>
  <c r="P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3" i="104"/>
  <c r="P57" i="103"/>
  <c r="P56" i="103"/>
  <c r="P55" i="103"/>
  <c r="P54" i="103"/>
  <c r="P53" i="103"/>
  <c r="P52" i="103"/>
  <c r="P51" i="103"/>
  <c r="P50" i="103"/>
  <c r="P49" i="103"/>
  <c r="P48" i="103"/>
  <c r="P47" i="103"/>
  <c r="P46" i="103"/>
  <c r="P45" i="103"/>
  <c r="P44" i="103"/>
  <c r="P43" i="103"/>
  <c r="P42" i="103"/>
  <c r="P41" i="103"/>
  <c r="P40" i="103"/>
  <c r="P39" i="103"/>
  <c r="P38" i="103"/>
  <c r="P37" i="103"/>
  <c r="P36" i="103"/>
  <c r="P35" i="103"/>
  <c r="P34" i="103"/>
  <c r="P33" i="103"/>
  <c r="P32" i="103"/>
  <c r="P31" i="103"/>
  <c r="P30" i="103"/>
  <c r="P29" i="103"/>
  <c r="P28" i="103"/>
  <c r="P27" i="103"/>
  <c r="P26" i="103"/>
  <c r="P25" i="103"/>
  <c r="P24" i="103"/>
  <c r="P23" i="103"/>
  <c r="P22" i="103"/>
  <c r="P21" i="103"/>
  <c r="P20" i="103"/>
  <c r="P19" i="103"/>
  <c r="P18" i="103"/>
  <c r="P17" i="103"/>
  <c r="P16" i="103"/>
  <c r="P15" i="103"/>
  <c r="P14" i="103"/>
  <c r="P13" i="103"/>
  <c r="P12" i="103"/>
  <c r="P11" i="103"/>
  <c r="P10" i="103"/>
  <c r="P9" i="103"/>
  <c r="P8" i="103"/>
  <c r="P7" i="103"/>
  <c r="P6" i="103"/>
  <c r="P5" i="103"/>
  <c r="P4" i="103"/>
  <c r="P3" i="103"/>
  <c r="P3" i="102"/>
  <c r="P233" i="101"/>
  <c r="P232" i="101"/>
  <c r="P231" i="101"/>
  <c r="P230" i="101"/>
  <c r="P229" i="101"/>
  <c r="P228" i="101"/>
  <c r="P227" i="101"/>
  <c r="P226" i="101"/>
  <c r="P225" i="101"/>
  <c r="P224" i="101"/>
  <c r="P223" i="101"/>
  <c r="P222" i="101"/>
  <c r="P221" i="101"/>
  <c r="P220" i="101"/>
  <c r="P219" i="101"/>
  <c r="P218" i="101"/>
  <c r="P217" i="101"/>
  <c r="P216" i="101"/>
  <c r="P215" i="101"/>
  <c r="P214" i="101"/>
  <c r="P213" i="101"/>
  <c r="P212" i="101"/>
  <c r="P211" i="101"/>
  <c r="P210" i="101"/>
  <c r="P209" i="101"/>
  <c r="P208" i="101"/>
  <c r="P207" i="101"/>
  <c r="P206" i="101"/>
  <c r="P205" i="101"/>
  <c r="P204" i="101"/>
  <c r="P203" i="101"/>
  <c r="P202" i="101"/>
  <c r="P201" i="101"/>
  <c r="P200" i="101"/>
  <c r="P199" i="101"/>
  <c r="P198" i="101"/>
  <c r="P197" i="101"/>
  <c r="P196" i="101"/>
  <c r="P195" i="101"/>
  <c r="P194" i="101"/>
  <c r="P193" i="101"/>
  <c r="P192" i="101"/>
  <c r="P191" i="101"/>
  <c r="P190" i="101"/>
  <c r="P189" i="101"/>
  <c r="P188" i="101"/>
  <c r="P187" i="101"/>
  <c r="P186" i="101"/>
  <c r="P185" i="101"/>
  <c r="P184" i="101"/>
  <c r="P183" i="101"/>
  <c r="P182" i="101"/>
  <c r="P181" i="101"/>
  <c r="P180" i="101"/>
  <c r="P179" i="101"/>
  <c r="P178" i="101"/>
  <c r="P177" i="101"/>
  <c r="P176" i="101"/>
  <c r="P175" i="101"/>
  <c r="P174" i="101"/>
  <c r="P173" i="101"/>
  <c r="P172" i="101"/>
  <c r="P171" i="101"/>
  <c r="P170" i="101"/>
  <c r="P169" i="101"/>
  <c r="P168" i="101"/>
  <c r="P167" i="101"/>
  <c r="P166" i="101"/>
  <c r="P165" i="101"/>
  <c r="P164" i="101"/>
  <c r="P163" i="101"/>
  <c r="P162" i="101"/>
  <c r="P161" i="101"/>
  <c r="P160" i="101"/>
  <c r="P159" i="101"/>
  <c r="P158" i="101"/>
  <c r="P157" i="101"/>
  <c r="P156" i="101"/>
  <c r="P155" i="101"/>
  <c r="P154" i="101"/>
  <c r="P153" i="101"/>
  <c r="P152" i="101"/>
  <c r="P151" i="101"/>
  <c r="P150" i="101"/>
  <c r="P149" i="101"/>
  <c r="P148" i="101"/>
  <c r="P147" i="101"/>
  <c r="P146" i="101"/>
  <c r="P145" i="101"/>
  <c r="P144" i="101"/>
  <c r="P143" i="101"/>
  <c r="P142" i="101"/>
  <c r="P141" i="101"/>
  <c r="P140" i="101"/>
  <c r="P139" i="101"/>
  <c r="P138" i="101"/>
  <c r="P137" i="101"/>
  <c r="P136" i="101"/>
  <c r="P135" i="101"/>
  <c r="P134" i="101"/>
  <c r="P133" i="101"/>
  <c r="P132" i="101"/>
  <c r="P131" i="101"/>
  <c r="P130" i="101"/>
  <c r="P129" i="101"/>
  <c r="P128" i="101"/>
  <c r="P127" i="101"/>
  <c r="P126" i="101"/>
  <c r="P125" i="101"/>
  <c r="P124" i="101"/>
  <c r="P123" i="101"/>
  <c r="P122" i="101"/>
  <c r="P121" i="101"/>
  <c r="P120" i="101"/>
  <c r="P119" i="101"/>
  <c r="P118" i="101"/>
  <c r="P117" i="101"/>
  <c r="P116" i="101"/>
  <c r="P115" i="101"/>
  <c r="P114" i="101"/>
  <c r="P113" i="101"/>
  <c r="P112" i="101"/>
  <c r="P111" i="101"/>
  <c r="P110" i="101"/>
  <c r="P109" i="101"/>
  <c r="P108" i="101"/>
  <c r="P107" i="101"/>
  <c r="P106" i="101"/>
  <c r="P105" i="101"/>
  <c r="P104" i="101"/>
  <c r="P103" i="101"/>
  <c r="P102" i="101"/>
  <c r="P101" i="101"/>
  <c r="P100" i="101"/>
  <c r="P99" i="101"/>
  <c r="P98" i="101"/>
  <c r="P97" i="101"/>
  <c r="P96" i="101"/>
  <c r="P95" i="101"/>
  <c r="P94" i="101"/>
  <c r="P93" i="101"/>
  <c r="P92" i="101"/>
  <c r="P91" i="101"/>
  <c r="P90" i="101"/>
  <c r="P89" i="101"/>
  <c r="P88" i="101"/>
  <c r="P87" i="101"/>
  <c r="P86" i="101"/>
  <c r="P85" i="101"/>
  <c r="P84" i="101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4" i="101"/>
  <c r="P3" i="101"/>
  <c r="P26" i="100"/>
  <c r="P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3" i="100"/>
  <c r="P72" i="99"/>
  <c r="P71" i="99"/>
  <c r="P70" i="99"/>
  <c r="P69" i="99"/>
  <c r="P68" i="99"/>
  <c r="P67" i="99"/>
  <c r="P66" i="99"/>
  <c r="P65" i="99"/>
  <c r="P64" i="99"/>
  <c r="P63" i="99"/>
  <c r="P62" i="99"/>
  <c r="P61" i="99"/>
  <c r="P60" i="99"/>
  <c r="P59" i="99"/>
  <c r="P58" i="99"/>
  <c r="P57" i="99"/>
  <c r="P56" i="99"/>
  <c r="P55" i="99"/>
  <c r="P54" i="99"/>
  <c r="P53" i="99"/>
  <c r="P52" i="99"/>
  <c r="P51" i="99"/>
  <c r="P50" i="99"/>
  <c r="P49" i="99"/>
  <c r="P48" i="99"/>
  <c r="P47" i="99"/>
  <c r="P46" i="99"/>
  <c r="P45" i="99"/>
  <c r="P44" i="99"/>
  <c r="P43" i="99"/>
  <c r="P42" i="99"/>
  <c r="P41" i="99"/>
  <c r="P40" i="99"/>
  <c r="P39" i="99"/>
  <c r="P38" i="99"/>
  <c r="P37" i="99"/>
  <c r="P36" i="99"/>
  <c r="P35" i="99"/>
  <c r="P34" i="99"/>
  <c r="P33" i="99"/>
  <c r="P32" i="99"/>
  <c r="P31" i="99"/>
  <c r="P30" i="99"/>
  <c r="P29" i="99"/>
  <c r="P28" i="99"/>
  <c r="P27" i="99"/>
  <c r="P26" i="99"/>
  <c r="P25" i="99"/>
  <c r="P24" i="99"/>
  <c r="P23" i="99"/>
  <c r="P22" i="99"/>
  <c r="P21" i="99"/>
  <c r="P20" i="99"/>
  <c r="P19" i="99"/>
  <c r="P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P156" i="98"/>
  <c r="P155" i="98"/>
  <c r="P154" i="98"/>
  <c r="P153" i="98"/>
  <c r="P152" i="98"/>
  <c r="P151" i="98"/>
  <c r="P150" i="98"/>
  <c r="P149" i="98"/>
  <c r="P148" i="98"/>
  <c r="P147" i="98"/>
  <c r="P146" i="98"/>
  <c r="P145" i="98"/>
  <c r="P144" i="98"/>
  <c r="P143" i="98"/>
  <c r="P142" i="98"/>
  <c r="P141" i="98"/>
  <c r="P140" i="98"/>
  <c r="P139" i="98"/>
  <c r="P138" i="98"/>
  <c r="P137" i="98"/>
  <c r="P136" i="98"/>
  <c r="P135" i="98"/>
  <c r="P134" i="98"/>
  <c r="P133" i="98"/>
  <c r="P132" i="98"/>
  <c r="P131" i="98"/>
  <c r="P130" i="98"/>
  <c r="P129" i="98"/>
  <c r="P128" i="98"/>
  <c r="P127" i="98"/>
  <c r="P126" i="98"/>
  <c r="P125" i="98"/>
  <c r="P124" i="98"/>
  <c r="P123" i="98"/>
  <c r="P122" i="98"/>
  <c r="P121" i="98"/>
  <c r="P120" i="98"/>
  <c r="P119" i="98"/>
  <c r="P118" i="98"/>
  <c r="P117" i="98"/>
  <c r="P116" i="98"/>
  <c r="P115" i="98"/>
  <c r="P114" i="98"/>
  <c r="P113" i="98"/>
  <c r="P112" i="98"/>
  <c r="P111" i="98"/>
  <c r="P110" i="98"/>
  <c r="P109" i="98"/>
  <c r="P108" i="98"/>
  <c r="P107" i="98"/>
  <c r="P106" i="98"/>
  <c r="P105" i="98"/>
  <c r="P104" i="98"/>
  <c r="P103" i="98"/>
  <c r="P102" i="98"/>
  <c r="P101" i="98"/>
  <c r="P100" i="98"/>
  <c r="P99" i="98"/>
  <c r="P98" i="98"/>
  <c r="P97" i="98"/>
  <c r="P96" i="98"/>
  <c r="P95" i="98"/>
  <c r="P94" i="98"/>
  <c r="P93" i="98"/>
  <c r="P92" i="98"/>
  <c r="P91" i="98"/>
  <c r="P90" i="98"/>
  <c r="P89" i="98"/>
  <c r="P88" i="98"/>
  <c r="P87" i="98"/>
  <c r="P86" i="98"/>
  <c r="P85" i="98"/>
  <c r="P84" i="98"/>
  <c r="P83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5" i="98"/>
  <c r="P4" i="98"/>
  <c r="P3" i="98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4" i="97"/>
  <c r="P3" i="97"/>
  <c r="P61" i="96"/>
  <c r="P60" i="96"/>
  <c r="P59" i="96"/>
  <c r="P58" i="96"/>
  <c r="P57" i="96"/>
  <c r="P56" i="96"/>
  <c r="P55" i="96"/>
  <c r="P54" i="96"/>
  <c r="P53" i="96"/>
  <c r="P52" i="96"/>
  <c r="P51" i="96"/>
  <c r="P50" i="96"/>
  <c r="P49" i="96"/>
  <c r="P48" i="96"/>
  <c r="P47" i="96"/>
  <c r="P46" i="96"/>
  <c r="P45" i="96"/>
  <c r="P44" i="96"/>
  <c r="P43" i="96"/>
  <c r="P42" i="96"/>
  <c r="P41" i="96"/>
  <c r="P40" i="96"/>
  <c r="P39" i="96"/>
  <c r="P38" i="96"/>
  <c r="P37" i="96"/>
  <c r="P36" i="96"/>
  <c r="P35" i="96"/>
  <c r="P34" i="96"/>
  <c r="P33" i="96"/>
  <c r="P32" i="96"/>
  <c r="P31" i="96"/>
  <c r="P30" i="96"/>
  <c r="P29" i="96"/>
  <c r="P28" i="96"/>
  <c r="P27" i="96"/>
  <c r="P26" i="96"/>
  <c r="P25" i="96"/>
  <c r="P24" i="96"/>
  <c r="P23" i="96"/>
  <c r="P22" i="96"/>
  <c r="P21" i="96"/>
  <c r="P20" i="96"/>
  <c r="P19" i="96"/>
  <c r="P18" i="96"/>
  <c r="P17" i="96"/>
  <c r="P16" i="96"/>
  <c r="P15" i="96"/>
  <c r="P14" i="96"/>
  <c r="P13" i="96"/>
  <c r="P12" i="96"/>
  <c r="P11" i="96"/>
  <c r="P10" i="96"/>
  <c r="P9" i="96"/>
  <c r="P8" i="96"/>
  <c r="P7" i="96"/>
  <c r="P6" i="96"/>
  <c r="P5" i="96"/>
  <c r="P4" i="96"/>
  <c r="P3" i="96"/>
  <c r="P198" i="95"/>
  <c r="P197" i="95"/>
  <c r="P196" i="95"/>
  <c r="P195" i="95"/>
  <c r="P194" i="95"/>
  <c r="P193" i="95"/>
  <c r="P192" i="95"/>
  <c r="P191" i="95"/>
  <c r="P190" i="95"/>
  <c r="P189" i="95"/>
  <c r="P188" i="95"/>
  <c r="P187" i="95"/>
  <c r="P186" i="95"/>
  <c r="P185" i="95"/>
  <c r="P184" i="95"/>
  <c r="P183" i="95"/>
  <c r="P182" i="95"/>
  <c r="P181" i="95"/>
  <c r="P180" i="95"/>
  <c r="P179" i="95"/>
  <c r="P178" i="95"/>
  <c r="P177" i="95"/>
  <c r="P176" i="95"/>
  <c r="P175" i="95"/>
  <c r="P174" i="95"/>
  <c r="P173" i="95"/>
  <c r="P172" i="95"/>
  <c r="P171" i="95"/>
  <c r="P170" i="95"/>
  <c r="P169" i="95"/>
  <c r="P168" i="95"/>
  <c r="P167" i="95"/>
  <c r="P166" i="95"/>
  <c r="P165" i="95"/>
  <c r="P164" i="95"/>
  <c r="P163" i="95"/>
  <c r="P162" i="95"/>
  <c r="P161" i="95"/>
  <c r="P160" i="95"/>
  <c r="P159" i="95"/>
  <c r="P158" i="95"/>
  <c r="P157" i="95"/>
  <c r="P156" i="95"/>
  <c r="P155" i="95"/>
  <c r="P154" i="95"/>
  <c r="P153" i="95"/>
  <c r="P152" i="95"/>
  <c r="P151" i="95"/>
  <c r="P150" i="95"/>
  <c r="P149" i="95"/>
  <c r="P148" i="95"/>
  <c r="P147" i="95"/>
  <c r="P146" i="95"/>
  <c r="P145" i="95"/>
  <c r="P144" i="95"/>
  <c r="P143" i="95"/>
  <c r="P142" i="95"/>
  <c r="P141" i="95"/>
  <c r="P140" i="95"/>
  <c r="P139" i="95"/>
  <c r="P138" i="95"/>
  <c r="P137" i="95"/>
  <c r="P136" i="95"/>
  <c r="P135" i="95"/>
  <c r="P134" i="95"/>
  <c r="P133" i="95"/>
  <c r="P132" i="95"/>
  <c r="P131" i="95"/>
  <c r="P130" i="95"/>
  <c r="P129" i="95"/>
  <c r="P128" i="95"/>
  <c r="P127" i="95"/>
  <c r="P126" i="95"/>
  <c r="P125" i="95"/>
  <c r="P124" i="95"/>
  <c r="P123" i="95"/>
  <c r="P122" i="95"/>
  <c r="P121" i="95"/>
  <c r="P120" i="95"/>
  <c r="P119" i="95"/>
  <c r="P118" i="95"/>
  <c r="P117" i="95"/>
  <c r="P116" i="95"/>
  <c r="P115" i="95"/>
  <c r="P114" i="95"/>
  <c r="P113" i="95"/>
  <c r="P112" i="95"/>
  <c r="P111" i="95"/>
  <c r="P110" i="95"/>
  <c r="P109" i="95"/>
  <c r="P108" i="95"/>
  <c r="P107" i="95"/>
  <c r="P106" i="95"/>
  <c r="P105" i="95"/>
  <c r="P104" i="95"/>
  <c r="P103" i="95"/>
  <c r="P102" i="95"/>
  <c r="P101" i="95"/>
  <c r="P100" i="95"/>
  <c r="P99" i="95"/>
  <c r="P98" i="95"/>
  <c r="P97" i="95"/>
  <c r="P96" i="95"/>
  <c r="P95" i="95"/>
  <c r="P94" i="95"/>
  <c r="P93" i="95"/>
  <c r="P92" i="95"/>
  <c r="P91" i="95"/>
  <c r="P90" i="95"/>
  <c r="P89" i="95"/>
  <c r="P88" i="95"/>
  <c r="P87" i="95"/>
  <c r="P86" i="95"/>
  <c r="P85" i="95"/>
  <c r="P84" i="95"/>
  <c r="P83" i="95"/>
  <c r="P82" i="95"/>
  <c r="P81" i="95"/>
  <c r="P80" i="95"/>
  <c r="P79" i="95"/>
  <c r="P78" i="95"/>
  <c r="P77" i="95"/>
  <c r="P76" i="95"/>
  <c r="P75" i="95"/>
  <c r="P74" i="95"/>
  <c r="P73" i="95"/>
  <c r="P72" i="95"/>
  <c r="P71" i="95"/>
  <c r="P70" i="95"/>
  <c r="P69" i="95"/>
  <c r="P68" i="95"/>
  <c r="P67" i="95"/>
  <c r="P66" i="95"/>
  <c r="P65" i="95"/>
  <c r="P64" i="95"/>
  <c r="P63" i="95"/>
  <c r="P62" i="95"/>
  <c r="P61" i="95"/>
  <c r="P60" i="95"/>
  <c r="P59" i="95"/>
  <c r="P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P3" i="94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4" i="93"/>
  <c r="P3" i="93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" i="92"/>
  <c r="P112" i="91"/>
  <c r="P111" i="91"/>
  <c r="P110" i="91"/>
  <c r="P109" i="91"/>
  <c r="P108" i="91"/>
  <c r="P107" i="91"/>
  <c r="P106" i="91"/>
  <c r="P105" i="91"/>
  <c r="P104" i="91"/>
  <c r="P103" i="91"/>
  <c r="P102" i="91"/>
  <c r="P101" i="91"/>
  <c r="P100" i="91"/>
  <c r="P99" i="91"/>
  <c r="P98" i="91"/>
  <c r="P97" i="91"/>
  <c r="P96" i="91"/>
  <c r="P95" i="91"/>
  <c r="P94" i="91"/>
  <c r="P93" i="91"/>
  <c r="P92" i="91"/>
  <c r="P91" i="91"/>
  <c r="P90" i="91"/>
  <c r="P89" i="9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83" i="88"/>
  <c r="P82" i="88"/>
  <c r="P81" i="88"/>
  <c r="P80" i="88"/>
  <c r="P79" i="88"/>
  <c r="P78" i="88"/>
  <c r="P77" i="88"/>
  <c r="P76" i="88"/>
  <c r="P75" i="88"/>
  <c r="P74" i="88"/>
  <c r="P73" i="88"/>
  <c r="P72" i="88"/>
  <c r="P71" i="88"/>
  <c r="P70" i="88"/>
  <c r="P69" i="88"/>
  <c r="P68" i="88"/>
  <c r="P67" i="88"/>
  <c r="P66" i="88"/>
  <c r="P65" i="88"/>
  <c r="P64" i="88"/>
  <c r="P63" i="88"/>
  <c r="P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3" i="88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3" i="87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3" i="86"/>
  <c r="P149" i="85"/>
  <c r="P148" i="85"/>
  <c r="P147" i="85"/>
  <c r="P146" i="85"/>
  <c r="P145" i="85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P84" i="85"/>
  <c r="P83" i="85"/>
  <c r="P82" i="85"/>
  <c r="P81" i="85"/>
  <c r="P80" i="85"/>
  <c r="P79" i="85"/>
  <c r="P78" i="85"/>
  <c r="P77" i="85"/>
  <c r="P76" i="85"/>
  <c r="P75" i="85"/>
  <c r="P74" i="85"/>
  <c r="P73" i="85"/>
  <c r="P72" i="85"/>
  <c r="P71" i="85"/>
  <c r="P70" i="85"/>
  <c r="P69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P11" i="84"/>
  <c r="P10" i="84"/>
  <c r="P9" i="84"/>
  <c r="P8" i="84"/>
  <c r="P7" i="84"/>
  <c r="P6" i="84"/>
  <c r="P5" i="84"/>
  <c r="P4" i="84"/>
  <c r="P3" i="84"/>
  <c r="P4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3" i="83"/>
  <c r="P147" i="82"/>
  <c r="P146" i="82"/>
  <c r="P145" i="82"/>
  <c r="P144" i="82"/>
  <c r="P143" i="82"/>
  <c r="P142" i="82"/>
  <c r="P141" i="82"/>
  <c r="P140" i="82"/>
  <c r="P139" i="82"/>
  <c r="P138" i="82"/>
  <c r="P137" i="82"/>
  <c r="P136" i="82"/>
  <c r="P135" i="82"/>
  <c r="P134" i="82"/>
  <c r="P133" i="82"/>
  <c r="P132" i="82"/>
  <c r="P131" i="82"/>
  <c r="P130" i="82"/>
  <c r="P129" i="82"/>
  <c r="P128" i="82"/>
  <c r="P127" i="82"/>
  <c r="P126" i="82"/>
  <c r="P125" i="82"/>
  <c r="P124" i="82"/>
  <c r="P123" i="82"/>
  <c r="P122" i="82"/>
  <c r="P121" i="82"/>
  <c r="P120" i="82"/>
  <c r="P119" i="82"/>
  <c r="P118" i="82"/>
  <c r="P117" i="82"/>
  <c r="P116" i="82"/>
  <c r="P115" i="82"/>
  <c r="P114" i="82"/>
  <c r="P113" i="82"/>
  <c r="P112" i="82"/>
  <c r="P111" i="82"/>
  <c r="P110" i="82"/>
  <c r="P109" i="82"/>
  <c r="P108" i="82"/>
  <c r="P107" i="82"/>
  <c r="P106" i="82"/>
  <c r="P105" i="82"/>
  <c r="P104" i="82"/>
  <c r="P103" i="82"/>
  <c r="P102" i="82"/>
  <c r="P101" i="82"/>
  <c r="P100" i="82"/>
  <c r="P99" i="82"/>
  <c r="P98" i="82"/>
  <c r="P97" i="82"/>
  <c r="P96" i="82"/>
  <c r="P95" i="82"/>
  <c r="P94" i="82"/>
  <c r="P93" i="82"/>
  <c r="P92" i="82"/>
  <c r="P91" i="82"/>
  <c r="P90" i="82"/>
  <c r="P89" i="82"/>
  <c r="P88" i="82"/>
  <c r="P87" i="82"/>
  <c r="P86" i="82"/>
  <c r="P85" i="82"/>
  <c r="P84" i="82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P91" i="80"/>
  <c r="P90" i="80"/>
  <c r="P89" i="80"/>
  <c r="P88" i="80"/>
  <c r="P87" i="80"/>
  <c r="P86" i="80"/>
  <c r="P85" i="80"/>
  <c r="P84" i="80"/>
  <c r="P83" i="80"/>
  <c r="P82" i="80"/>
  <c r="P81" i="80"/>
  <c r="P80" i="80"/>
  <c r="P79" i="80"/>
  <c r="P78" i="80"/>
  <c r="P77" i="80"/>
  <c r="P76" i="80"/>
  <c r="P75" i="80"/>
  <c r="P74" i="80"/>
  <c r="P73" i="80"/>
  <c r="P72" i="80"/>
  <c r="P71" i="80"/>
  <c r="P70" i="80"/>
  <c r="P69" i="80"/>
  <c r="P68" i="80"/>
  <c r="P67" i="80"/>
  <c r="P66" i="80"/>
  <c r="P65" i="80"/>
  <c r="P64" i="80"/>
  <c r="P63" i="80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" i="78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3" i="77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3" i="75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3" i="74"/>
  <c r="P100" i="73"/>
  <c r="P99" i="73"/>
  <c r="P98" i="73"/>
  <c r="P97" i="73"/>
  <c r="P96" i="73"/>
  <c r="P95" i="73"/>
  <c r="P94" i="73"/>
  <c r="P93" i="73"/>
  <c r="P92" i="73"/>
  <c r="P91" i="73"/>
  <c r="P90" i="73"/>
  <c r="P89" i="73"/>
  <c r="P88" i="73"/>
  <c r="P87" i="73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P3" i="73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3" i="72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P11" i="70"/>
  <c r="P10" i="70"/>
  <c r="P9" i="70"/>
  <c r="P8" i="70"/>
  <c r="P7" i="70"/>
  <c r="P6" i="70"/>
  <c r="P5" i="70"/>
  <c r="P4" i="70"/>
  <c r="P3" i="70"/>
  <c r="O144" i="69"/>
  <c r="P64" i="69"/>
  <c r="P65" i="69"/>
  <c r="P66" i="69"/>
  <c r="P67" i="69"/>
  <c r="P68" i="69"/>
  <c r="P69" i="69"/>
  <c r="P70" i="69"/>
  <c r="P71" i="69"/>
  <c r="P72" i="69"/>
  <c r="P73" i="69"/>
  <c r="P74" i="69"/>
  <c r="P75" i="69"/>
  <c r="P76" i="69"/>
  <c r="P77" i="69"/>
  <c r="P78" i="69"/>
  <c r="P79" i="69"/>
  <c r="P80" i="69"/>
  <c r="P81" i="69"/>
  <c r="P82" i="69"/>
  <c r="P83" i="69"/>
  <c r="P84" i="69"/>
  <c r="P85" i="69"/>
  <c r="P86" i="69"/>
  <c r="P87" i="69"/>
  <c r="P88" i="69"/>
  <c r="P89" i="69"/>
  <c r="P90" i="69"/>
  <c r="P91" i="69"/>
  <c r="P92" i="69"/>
  <c r="P93" i="69"/>
  <c r="P94" i="69"/>
  <c r="P95" i="69"/>
  <c r="P96" i="69"/>
  <c r="P97" i="69"/>
  <c r="P98" i="69"/>
  <c r="P99" i="69"/>
  <c r="P100" i="69"/>
  <c r="P101" i="69"/>
  <c r="P102" i="69"/>
  <c r="P103" i="69"/>
  <c r="P104" i="69"/>
  <c r="P105" i="69"/>
  <c r="P106" i="69"/>
  <c r="P107" i="69"/>
  <c r="P108" i="69"/>
  <c r="P109" i="69"/>
  <c r="P110" i="69"/>
  <c r="P111" i="69"/>
  <c r="P112" i="69"/>
  <c r="P113" i="69"/>
  <c r="P114" i="69"/>
  <c r="P115" i="69"/>
  <c r="P116" i="69"/>
  <c r="P117" i="69"/>
  <c r="P118" i="69"/>
  <c r="P119" i="69"/>
  <c r="P120" i="69"/>
  <c r="P121" i="69"/>
  <c r="P122" i="69"/>
  <c r="P123" i="69"/>
  <c r="P124" i="69"/>
  <c r="P125" i="69"/>
  <c r="P126" i="69"/>
  <c r="P127" i="69"/>
  <c r="P128" i="69"/>
  <c r="P129" i="69"/>
  <c r="P130" i="69"/>
  <c r="P131" i="69"/>
  <c r="P132" i="69"/>
  <c r="P133" i="69"/>
  <c r="P134" i="69"/>
  <c r="P135" i="69"/>
  <c r="P136" i="69"/>
  <c r="P137" i="69"/>
  <c r="P138" i="69"/>
  <c r="P139" i="69"/>
  <c r="P140" i="69"/>
  <c r="P141" i="69"/>
  <c r="P142" i="69"/>
  <c r="P143" i="69"/>
  <c r="P56" i="69"/>
  <c r="P57" i="69"/>
  <c r="P58" i="69"/>
  <c r="P59" i="69"/>
  <c r="P60" i="69"/>
  <c r="P61" i="69"/>
  <c r="P62" i="69"/>
  <c r="P63" i="69"/>
  <c r="P50" i="69"/>
  <c r="P51" i="69"/>
  <c r="P52" i="69"/>
  <c r="P53" i="69"/>
  <c r="P54" i="69"/>
  <c r="P55" i="69"/>
  <c r="P44" i="69"/>
  <c r="P45" i="69"/>
  <c r="P46" i="69"/>
  <c r="P47" i="69"/>
  <c r="P48" i="69"/>
  <c r="P49" i="69"/>
  <c r="P38" i="69"/>
  <c r="P39" i="69"/>
  <c r="P40" i="69"/>
  <c r="P41" i="69"/>
  <c r="P42" i="69"/>
  <c r="P43" i="69"/>
  <c r="P31" i="69"/>
  <c r="P32" i="69"/>
  <c r="P33" i="69"/>
  <c r="P34" i="69"/>
  <c r="P35" i="69"/>
  <c r="P36" i="69"/>
  <c r="P37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8" i="69"/>
  <c r="P9" i="69"/>
  <c r="P10" i="69"/>
  <c r="P11" i="69"/>
  <c r="P12" i="69"/>
  <c r="P4" i="69"/>
  <c r="P5" i="69"/>
  <c r="P6" i="69"/>
  <c r="P7" i="69"/>
  <c r="P3" i="69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P4" i="67"/>
  <c r="P5" i="67"/>
  <c r="P6" i="67"/>
  <c r="P7" i="67"/>
  <c r="P8" i="67"/>
  <c r="P9" i="67"/>
  <c r="P10" i="67"/>
  <c r="P11" i="67"/>
  <c r="P12" i="67"/>
  <c r="P13" i="67"/>
  <c r="P14" i="67"/>
  <c r="P15" i="67"/>
  <c r="P16" i="67"/>
  <c r="P17" i="67"/>
  <c r="P18" i="67"/>
  <c r="P19" i="67"/>
  <c r="P20" i="67"/>
  <c r="P21" i="67"/>
  <c r="P22" i="67"/>
  <c r="P23" i="67"/>
  <c r="P24" i="67"/>
  <c r="P25" i="67"/>
  <c r="P26" i="67"/>
  <c r="P3" i="67"/>
  <c r="P4" i="66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19" i="66"/>
  <c r="P20" i="66"/>
  <c r="P21" i="66"/>
  <c r="P22" i="66"/>
  <c r="P23" i="66"/>
  <c r="P24" i="66"/>
  <c r="P25" i="66"/>
  <c r="P26" i="66"/>
  <c r="P27" i="66"/>
  <c r="P28" i="66"/>
  <c r="P3" i="66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35" i="65"/>
  <c r="P36" i="65"/>
  <c r="P37" i="65"/>
  <c r="P38" i="65"/>
  <c r="P39" i="65"/>
  <c r="P40" i="65"/>
  <c r="P41" i="65"/>
  <c r="P42" i="65"/>
  <c r="P43" i="65"/>
  <c r="P44" i="65"/>
  <c r="P45" i="65"/>
  <c r="P46" i="65"/>
  <c r="P47" i="65"/>
  <c r="P48" i="65"/>
  <c r="P49" i="65"/>
  <c r="P50" i="65"/>
  <c r="P51" i="65"/>
  <c r="P52" i="65"/>
  <c r="P53" i="65"/>
  <c r="P54" i="65"/>
  <c r="P55" i="65"/>
  <c r="P56" i="65"/>
  <c r="P57" i="65"/>
  <c r="P58" i="65"/>
  <c r="P59" i="65"/>
  <c r="P60" i="65"/>
  <c r="P61" i="65"/>
  <c r="P62" i="65"/>
  <c r="P63" i="65"/>
  <c r="P64" i="65"/>
  <c r="P65" i="65"/>
  <c r="P6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P83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107" i="65"/>
  <c r="P108" i="65"/>
  <c r="P109" i="65"/>
  <c r="P110" i="65"/>
  <c r="P111" i="65"/>
  <c r="P112" i="65"/>
  <c r="P113" i="65"/>
  <c r="P114" i="65"/>
  <c r="P115" i="65"/>
  <c r="P116" i="65"/>
  <c r="P117" i="65"/>
  <c r="P4" i="65"/>
  <c r="P5" i="65"/>
  <c r="P6" i="65"/>
  <c r="P7" i="65"/>
  <c r="P8" i="65"/>
  <c r="P9" i="65"/>
  <c r="P10" i="65"/>
  <c r="P11" i="65"/>
  <c r="P3" i="65"/>
  <c r="P15" i="64"/>
  <c r="P16" i="64"/>
  <c r="P17" i="64"/>
  <c r="P18" i="64"/>
  <c r="P19" i="64"/>
  <c r="P20" i="64"/>
  <c r="P21" i="64"/>
  <c r="P22" i="64"/>
  <c r="P23" i="64"/>
  <c r="P24" i="64"/>
  <c r="P25" i="64"/>
  <c r="P4" i="64"/>
  <c r="P5" i="64"/>
  <c r="P6" i="64"/>
  <c r="P7" i="64"/>
  <c r="P8" i="64"/>
  <c r="P9" i="64"/>
  <c r="P10" i="64"/>
  <c r="P11" i="64"/>
  <c r="P12" i="64"/>
  <c r="P13" i="64"/>
  <c r="P14" i="64"/>
  <c r="P3" i="64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3" i="63"/>
  <c r="O124" i="62"/>
  <c r="P4" i="62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87" i="62"/>
  <c r="P88" i="62"/>
  <c r="P89" i="62"/>
  <c r="P90" i="62"/>
  <c r="P91" i="62"/>
  <c r="P92" i="62"/>
  <c r="P93" i="62"/>
  <c r="P94" i="62"/>
  <c r="P95" i="62"/>
  <c r="P96" i="62"/>
  <c r="P97" i="62"/>
  <c r="P98" i="62"/>
  <c r="P99" i="62"/>
  <c r="P100" i="62"/>
  <c r="P101" i="62"/>
  <c r="P102" i="62"/>
  <c r="P103" i="62"/>
  <c r="P104" i="62"/>
  <c r="P105" i="62"/>
  <c r="P106" i="62"/>
  <c r="P107" i="62"/>
  <c r="P108" i="62"/>
  <c r="P109" i="62"/>
  <c r="P110" i="62"/>
  <c r="P111" i="62"/>
  <c r="P112" i="62"/>
  <c r="P113" i="62"/>
  <c r="P114" i="62"/>
  <c r="P115" i="62"/>
  <c r="P116" i="62"/>
  <c r="P117" i="62"/>
  <c r="P118" i="62"/>
  <c r="P119" i="62"/>
  <c r="P120" i="62"/>
  <c r="P121" i="62"/>
  <c r="P122" i="62"/>
  <c r="P123" i="62"/>
  <c r="P3" i="62"/>
  <c r="P6" i="61"/>
  <c r="P7" i="61"/>
  <c r="P8" i="61"/>
  <c r="P9" i="61"/>
  <c r="P10" i="61"/>
  <c r="P11" i="61"/>
  <c r="P12" i="61"/>
  <c r="P13" i="61"/>
  <c r="P14" i="61"/>
  <c r="P15" i="61"/>
  <c r="P16" i="61"/>
  <c r="P17" i="61"/>
  <c r="P18" i="61"/>
  <c r="P19" i="61"/>
  <c r="P20" i="61"/>
  <c r="P4" i="61"/>
  <c r="P5" i="61"/>
  <c r="P3" i="61"/>
  <c r="P4" i="60"/>
  <c r="P5" i="60"/>
  <c r="P6" i="60"/>
  <c r="P7" i="60"/>
  <c r="P8" i="60"/>
  <c r="P9" i="60"/>
  <c r="P10" i="60"/>
  <c r="P11" i="60"/>
  <c r="P12" i="60"/>
  <c r="P13" i="60"/>
  <c r="P14" i="60"/>
  <c r="P15" i="60"/>
  <c r="P16" i="60"/>
  <c r="P17" i="60"/>
  <c r="P18" i="60"/>
  <c r="P19" i="60"/>
  <c r="P20" i="60"/>
  <c r="P21" i="60"/>
  <c r="P22" i="60"/>
  <c r="P23" i="60"/>
  <c r="P24" i="60"/>
  <c r="P25" i="60"/>
  <c r="P26" i="60"/>
  <c r="P27" i="60"/>
  <c r="P28" i="60"/>
  <c r="P29" i="60"/>
  <c r="P30" i="60"/>
  <c r="P31" i="60"/>
  <c r="P32" i="60"/>
  <c r="P33" i="60"/>
  <c r="P34" i="60"/>
  <c r="P35" i="60"/>
  <c r="P36" i="60"/>
  <c r="P37" i="60"/>
  <c r="P38" i="60"/>
  <c r="P39" i="60"/>
  <c r="P40" i="60"/>
  <c r="P41" i="60"/>
  <c r="P42" i="60"/>
  <c r="P3" i="60"/>
  <c r="P12" i="59"/>
  <c r="P13" i="59"/>
  <c r="P14" i="59"/>
  <c r="P15" i="59"/>
  <c r="P16" i="59"/>
  <c r="P17" i="59"/>
  <c r="P18" i="59"/>
  <c r="P19" i="59"/>
  <c r="P20" i="59"/>
  <c r="P21" i="59"/>
  <c r="P22" i="59"/>
  <c r="P23" i="59"/>
  <c r="P24" i="59"/>
  <c r="P25" i="59"/>
  <c r="P26" i="59"/>
  <c r="P27" i="59"/>
  <c r="P28" i="59"/>
  <c r="P29" i="59"/>
  <c r="P30" i="59"/>
  <c r="P31" i="59"/>
  <c r="P32" i="59"/>
  <c r="P33" i="59"/>
  <c r="P34" i="59"/>
  <c r="P35" i="59"/>
  <c r="P36" i="59"/>
  <c r="P37" i="59"/>
  <c r="P38" i="59"/>
  <c r="P39" i="59"/>
  <c r="P40" i="59"/>
  <c r="P41" i="59"/>
  <c r="P42" i="59"/>
  <c r="P43" i="59"/>
  <c r="P44" i="59"/>
  <c r="P45" i="59"/>
  <c r="P46" i="59"/>
  <c r="P47" i="59"/>
  <c r="P48" i="59"/>
  <c r="P49" i="59"/>
  <c r="P50" i="59"/>
  <c r="P51" i="59"/>
  <c r="P52" i="59"/>
  <c r="P53" i="59"/>
  <c r="P54" i="59"/>
  <c r="P55" i="59"/>
  <c r="P56" i="59"/>
  <c r="P57" i="59"/>
  <c r="P58" i="59"/>
  <c r="P59" i="59"/>
  <c r="P60" i="59"/>
  <c r="P61" i="59"/>
  <c r="P62" i="59"/>
  <c r="P63" i="59"/>
  <c r="P64" i="59"/>
  <c r="P65" i="59"/>
  <c r="P66" i="59"/>
  <c r="P67" i="59"/>
  <c r="P68" i="59"/>
  <c r="P69" i="59"/>
  <c r="P70" i="59"/>
  <c r="P71" i="59"/>
  <c r="P72" i="59"/>
  <c r="P73" i="59"/>
  <c r="P74" i="59"/>
  <c r="P75" i="59"/>
  <c r="P76" i="59"/>
  <c r="P77" i="59"/>
  <c r="P78" i="59"/>
  <c r="P79" i="59"/>
  <c r="P11" i="59"/>
  <c r="P8" i="59"/>
  <c r="P9" i="59"/>
  <c r="P10" i="59"/>
  <c r="P4" i="59"/>
  <c r="P5" i="59"/>
  <c r="P6" i="59"/>
  <c r="P7" i="59"/>
  <c r="P3" i="59"/>
  <c r="P4" i="58"/>
  <c r="P5" i="58"/>
  <c r="P6" i="58"/>
  <c r="P7" i="58"/>
  <c r="P8" i="58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24" i="58"/>
  <c r="P25" i="58"/>
  <c r="P26" i="58"/>
  <c r="P27" i="58"/>
  <c r="P28" i="58"/>
  <c r="P29" i="58"/>
  <c r="P30" i="58"/>
  <c r="P31" i="58"/>
  <c r="P32" i="58"/>
  <c r="O51" i="57"/>
  <c r="P5" i="57"/>
  <c r="P6" i="57"/>
  <c r="P7" i="57"/>
  <c r="P8" i="57"/>
  <c r="P9" i="57"/>
  <c r="P10" i="57"/>
  <c r="P11" i="57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P47" i="57"/>
  <c r="P48" i="57"/>
  <c r="P49" i="57"/>
  <c r="P50" i="57"/>
  <c r="P4" i="57"/>
  <c r="P3" i="57"/>
  <c r="P3" i="26"/>
  <c r="P5" i="26"/>
  <c r="P6" i="26"/>
  <c r="P7" i="26"/>
  <c r="P4" i="26"/>
  <c r="M139" i="154"/>
  <c r="N27" i="153"/>
  <c r="M27" i="153"/>
  <c r="M45" i="152"/>
  <c r="O140" i="151"/>
  <c r="N140" i="151"/>
  <c r="M140" i="151"/>
  <c r="O26" i="150"/>
  <c r="N26" i="150"/>
  <c r="M26" i="150"/>
  <c r="O29" i="149"/>
  <c r="N29" i="149"/>
  <c r="M29" i="149"/>
  <c r="N130" i="148"/>
  <c r="M130" i="148"/>
  <c r="N28" i="147"/>
  <c r="M28" i="147"/>
  <c r="N15" i="146"/>
  <c r="M15" i="146"/>
  <c r="N32" i="145"/>
  <c r="M32" i="145"/>
  <c r="O6" i="144"/>
  <c r="N6" i="144"/>
  <c r="M6" i="144"/>
  <c r="O158" i="143"/>
  <c r="N158" i="143"/>
  <c r="M158" i="143"/>
  <c r="O39" i="142"/>
  <c r="N39" i="142"/>
  <c r="M39" i="142"/>
  <c r="N38" i="141"/>
  <c r="M38" i="141"/>
  <c r="N39" i="140"/>
  <c r="M39" i="140"/>
  <c r="N16" i="139"/>
  <c r="M16" i="139"/>
  <c r="O17" i="138"/>
  <c r="N17" i="138"/>
  <c r="M17" i="138"/>
  <c r="N91" i="137"/>
  <c r="M91" i="137"/>
  <c r="O28" i="136"/>
  <c r="N28" i="136"/>
  <c r="M28" i="136"/>
  <c r="N20" i="135"/>
  <c r="M20" i="135"/>
  <c r="O139" i="134"/>
  <c r="N139" i="134"/>
  <c r="M139" i="134"/>
  <c r="N34" i="133"/>
  <c r="M34" i="133"/>
  <c r="N28" i="132"/>
  <c r="M28" i="132"/>
  <c r="M175" i="131"/>
  <c r="N175" i="131"/>
  <c r="O31" i="130"/>
  <c r="N31" i="130"/>
  <c r="M31" i="130"/>
  <c r="N31" i="129"/>
  <c r="M31" i="129"/>
  <c r="N179" i="128"/>
  <c r="M179" i="128"/>
  <c r="N36" i="127"/>
  <c r="M36" i="127"/>
  <c r="N39" i="126"/>
  <c r="M39" i="126"/>
  <c r="N197" i="125"/>
  <c r="M197" i="125"/>
  <c r="N43" i="124"/>
  <c r="M43" i="124"/>
  <c r="N39" i="123"/>
  <c r="M39" i="123"/>
  <c r="N119" i="122"/>
  <c r="M119" i="122"/>
  <c r="O41" i="121"/>
  <c r="N41" i="121"/>
  <c r="M41" i="121"/>
  <c r="M36" i="120"/>
  <c r="N55" i="119"/>
  <c r="M55" i="119"/>
  <c r="N75" i="118"/>
  <c r="M75" i="118"/>
  <c r="N16" i="117"/>
  <c r="M16" i="117"/>
  <c r="N18" i="116"/>
  <c r="M18" i="116"/>
  <c r="N166" i="115"/>
  <c r="M166" i="115"/>
  <c r="N34" i="114"/>
  <c r="M34" i="114"/>
  <c r="N39" i="113"/>
  <c r="M39" i="113"/>
  <c r="N27" i="112"/>
  <c r="M27" i="112"/>
  <c r="N148" i="111"/>
  <c r="M148" i="111"/>
  <c r="M40" i="110"/>
  <c r="O40" i="110"/>
  <c r="N40" i="110"/>
  <c r="N38" i="109"/>
  <c r="M38" i="109"/>
  <c r="M121" i="108"/>
  <c r="M35" i="107"/>
  <c r="M26" i="106"/>
  <c r="M20" i="105"/>
  <c r="M28" i="104"/>
  <c r="M58" i="103"/>
  <c r="M4" i="102"/>
  <c r="M234" i="101"/>
  <c r="M27" i="100"/>
  <c r="M73" i="99"/>
  <c r="M157" i="98"/>
  <c r="M46" i="97"/>
  <c r="M62" i="96"/>
  <c r="M199" i="95"/>
  <c r="M61" i="94"/>
  <c r="M32" i="93"/>
  <c r="M30" i="92"/>
  <c r="M113" i="91"/>
  <c r="M38" i="90"/>
  <c r="M30" i="89"/>
  <c r="M84" i="88"/>
  <c r="M32" i="87"/>
  <c r="M27" i="86"/>
  <c r="M150" i="85"/>
  <c r="M12" i="84"/>
  <c r="M28" i="83"/>
  <c r="M148" i="82"/>
  <c r="M27" i="81"/>
  <c r="M92" i="80"/>
  <c r="M58" i="79"/>
  <c r="M22" i="78"/>
  <c r="M125" i="77"/>
  <c r="M22" i="76"/>
  <c r="M32" i="75"/>
  <c r="M70" i="74"/>
  <c r="M101" i="73"/>
  <c r="M34" i="72"/>
  <c r="M47" i="71"/>
  <c r="M12" i="70"/>
  <c r="M144" i="69"/>
  <c r="M34" i="68"/>
  <c r="M27" i="67"/>
  <c r="M29" i="66"/>
  <c r="M118" i="65"/>
  <c r="M26" i="64"/>
  <c r="M17" i="63"/>
  <c r="M124" i="62"/>
  <c r="M21" i="61"/>
  <c r="M43" i="60"/>
  <c r="M80" i="59"/>
  <c r="M33" i="58"/>
  <c r="M51" i="57"/>
  <c r="M8" i="26"/>
  <c r="M7" i="26"/>
  <c r="M6" i="26"/>
  <c r="M5" i="26"/>
  <c r="M4" i="26"/>
  <c r="M3" i="26"/>
  <c r="M158" i="128"/>
  <c r="C116" i="2" l="1"/>
  <c r="B116" i="2"/>
  <c r="A116" i="2" l="1"/>
  <c r="G115" i="2"/>
  <c r="J115" i="2" s="1"/>
  <c r="B115" i="2"/>
  <c r="C115" i="2"/>
  <c r="B114" i="2"/>
  <c r="C114" i="2"/>
  <c r="A114" i="2"/>
  <c r="A115" i="2" s="1"/>
  <c r="G113" i="2"/>
  <c r="J113" i="2" s="1"/>
  <c r="B113" i="2"/>
  <c r="C113" i="2"/>
  <c r="G112" i="2"/>
  <c r="J112" i="2" s="1"/>
  <c r="B112" i="2"/>
  <c r="C112" i="2"/>
  <c r="G111" i="2"/>
  <c r="J111" i="2" s="1"/>
  <c r="B111" i="2"/>
  <c r="C111" i="2"/>
  <c r="G116" i="2"/>
  <c r="J116" i="2" s="1"/>
  <c r="G114" i="2"/>
  <c r="J114" i="2" s="1"/>
  <c r="B110" i="2"/>
  <c r="C110" i="2"/>
  <c r="G109" i="2"/>
  <c r="B109" i="2"/>
  <c r="C109" i="2"/>
  <c r="G108" i="2"/>
  <c r="J108" i="2" s="1"/>
  <c r="B108" i="2"/>
  <c r="C108" i="2"/>
  <c r="G107" i="2"/>
  <c r="J107" i="2" s="1"/>
  <c r="B107" i="2"/>
  <c r="C107" i="2"/>
  <c r="G106" i="2"/>
  <c r="J106" i="2" s="1"/>
  <c r="B106" i="2"/>
  <c r="C106" i="2"/>
  <c r="G105" i="2"/>
  <c r="J105" i="2" s="1"/>
  <c r="B105" i="2"/>
  <c r="C105" i="2"/>
  <c r="J109" i="2"/>
  <c r="A106" i="2"/>
  <c r="A107" i="2" s="1"/>
  <c r="A108" i="2" s="1"/>
  <c r="A109" i="2" s="1"/>
  <c r="A110" i="2" s="1"/>
  <c r="A111" i="2" s="1"/>
  <c r="A112" i="2" s="1"/>
  <c r="A113" i="2" s="1"/>
  <c r="A105" i="2"/>
  <c r="G104" i="2"/>
  <c r="B104" i="2"/>
  <c r="C104" i="2"/>
  <c r="G103" i="2"/>
  <c r="B103" i="2"/>
  <c r="C103" i="2"/>
  <c r="G102" i="2"/>
  <c r="B102" i="2"/>
  <c r="C102" i="2"/>
  <c r="G101" i="2"/>
  <c r="C101" i="2"/>
  <c r="B101" i="2"/>
  <c r="G100" i="2"/>
  <c r="P141" i="154" l="1"/>
  <c r="P29" i="153"/>
  <c r="P31" i="153" s="1"/>
  <c r="P47" i="152"/>
  <c r="P49" i="152" s="1"/>
  <c r="P142" i="151"/>
  <c r="P144" i="151" s="1"/>
  <c r="P143" i="151" l="1"/>
  <c r="P145" i="151" s="1"/>
  <c r="P142" i="154"/>
  <c r="P143" i="154"/>
  <c r="P30" i="153"/>
  <c r="P32" i="153" s="1"/>
  <c r="P48" i="152"/>
  <c r="P50" i="152" s="1"/>
  <c r="P144" i="154" l="1"/>
  <c r="B100" i="2"/>
  <c r="C100" i="2"/>
  <c r="G99" i="2"/>
  <c r="B99" i="2"/>
  <c r="C99" i="2"/>
  <c r="G98" i="2"/>
  <c r="B98" i="2"/>
  <c r="C98" i="2"/>
  <c r="G97" i="2"/>
  <c r="B97" i="2"/>
  <c r="C97" i="2"/>
  <c r="G96" i="2"/>
  <c r="B96" i="2"/>
  <c r="G95" i="2"/>
  <c r="B95" i="2"/>
  <c r="C95" i="2"/>
  <c r="C96" i="2"/>
  <c r="G110" i="2"/>
  <c r="J110" i="2" s="1"/>
  <c r="P28" i="150" l="1"/>
  <c r="P29" i="150" s="1"/>
  <c r="P31" i="149"/>
  <c r="P33" i="149" s="1"/>
  <c r="P132" i="148"/>
  <c r="P133" i="148" s="1"/>
  <c r="P30" i="147"/>
  <c r="P32" i="147" s="1"/>
  <c r="P17" i="146"/>
  <c r="P19" i="146" s="1"/>
  <c r="P18" i="146"/>
  <c r="P30" i="150" l="1"/>
  <c r="P31" i="150" s="1"/>
  <c r="P32" i="149"/>
  <c r="P34" i="149" s="1"/>
  <c r="P134" i="148"/>
  <c r="P135" i="148" s="1"/>
  <c r="P31" i="147"/>
  <c r="P33" i="147" s="1"/>
  <c r="P20" i="146"/>
  <c r="P34" i="145" l="1"/>
  <c r="P35" i="145" s="1"/>
  <c r="P8" i="144"/>
  <c r="P10" i="144" s="1"/>
  <c r="P160" i="143"/>
  <c r="P161" i="143" s="1"/>
  <c r="P41" i="142"/>
  <c r="P43" i="142" s="1"/>
  <c r="P40" i="141"/>
  <c r="P42" i="141" s="1"/>
  <c r="P41" i="140"/>
  <c r="P43" i="140" s="1"/>
  <c r="P18" i="139"/>
  <c r="P20" i="139" s="1"/>
  <c r="B94" i="2"/>
  <c r="P42" i="142" l="1"/>
  <c r="P44" i="142" s="1"/>
  <c r="P42" i="140"/>
  <c r="P44" i="140" s="1"/>
  <c r="P19" i="139"/>
  <c r="P21" i="139" s="1"/>
  <c r="P36" i="145"/>
  <c r="P37" i="145" s="1"/>
  <c r="P9" i="144"/>
  <c r="P11" i="144" s="1"/>
  <c r="P162" i="143"/>
  <c r="P163" i="143" s="1"/>
  <c r="P41" i="141"/>
  <c r="P43" i="141" s="1"/>
  <c r="C94" i="2" l="1"/>
  <c r="B93" i="2"/>
  <c r="C93" i="2"/>
  <c r="G92" i="2"/>
  <c r="J92" i="2" s="1"/>
  <c r="B92" i="2"/>
  <c r="C92" i="2"/>
  <c r="G91" i="2"/>
  <c r="J91" i="2" s="1"/>
  <c r="B91" i="2"/>
  <c r="C91" i="2"/>
  <c r="B90" i="2"/>
  <c r="C90" i="2"/>
  <c r="G89" i="2"/>
  <c r="J89" i="2" s="1"/>
  <c r="B89" i="2"/>
  <c r="C89" i="2"/>
  <c r="G88" i="2"/>
  <c r="J88" i="2" s="1"/>
  <c r="B88" i="2"/>
  <c r="C88" i="2"/>
  <c r="J104" i="2"/>
  <c r="J103" i="2"/>
  <c r="J102" i="2"/>
  <c r="J101" i="2"/>
  <c r="J100" i="2"/>
  <c r="J99" i="2"/>
  <c r="J98" i="2"/>
  <c r="J97" i="2"/>
  <c r="J96" i="2"/>
  <c r="J95" i="2"/>
  <c r="A89" i="2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88" i="2"/>
  <c r="G87" i="2"/>
  <c r="J87" i="2" s="1"/>
  <c r="B87" i="2"/>
  <c r="C87" i="2"/>
  <c r="G86" i="2"/>
  <c r="J86" i="2" s="1"/>
  <c r="B86" i="2"/>
  <c r="C86" i="2"/>
  <c r="G85" i="2"/>
  <c r="J85" i="2" s="1"/>
  <c r="B85" i="2"/>
  <c r="C85" i="2"/>
  <c r="G84" i="2"/>
  <c r="J84" i="2" s="1"/>
  <c r="B84" i="2"/>
  <c r="C84" i="2"/>
  <c r="G83" i="2"/>
  <c r="J83" i="2" s="1"/>
  <c r="B83" i="2"/>
  <c r="C83" i="2"/>
  <c r="G82" i="2"/>
  <c r="J82" i="2" s="1"/>
  <c r="B82" i="2"/>
  <c r="C82" i="2"/>
  <c r="G81" i="2"/>
  <c r="J81" i="2" s="1"/>
  <c r="B81" i="2"/>
  <c r="C81" i="2"/>
  <c r="G80" i="2"/>
  <c r="J80" i="2" s="1"/>
  <c r="B80" i="2"/>
  <c r="C80" i="2"/>
  <c r="G79" i="2"/>
  <c r="J79" i="2" s="1"/>
  <c r="B79" i="2"/>
  <c r="C79" i="2"/>
  <c r="G78" i="2"/>
  <c r="B78" i="2"/>
  <c r="C78" i="2"/>
  <c r="G77" i="2"/>
  <c r="J77" i="2" s="1"/>
  <c r="B77" i="2"/>
  <c r="C77" i="2"/>
  <c r="A80" i="2"/>
  <c r="A81" i="2" s="1"/>
  <c r="A82" i="2" s="1"/>
  <c r="A83" i="2" s="1"/>
  <c r="A84" i="2" s="1"/>
  <c r="A85" i="2" s="1"/>
  <c r="A86" i="2" s="1"/>
  <c r="A87" i="2" s="1"/>
  <c r="A79" i="2"/>
  <c r="J78" i="2"/>
  <c r="A78" i="2"/>
  <c r="A77" i="2"/>
  <c r="G76" i="2"/>
  <c r="J76" i="2" s="1"/>
  <c r="B76" i="2"/>
  <c r="C76" i="2"/>
  <c r="G75" i="2"/>
  <c r="J75" i="2" s="1"/>
  <c r="B75" i="2"/>
  <c r="C75" i="2"/>
  <c r="G74" i="2"/>
  <c r="J74" i="2" s="1"/>
  <c r="B74" i="2"/>
  <c r="C74" i="2"/>
  <c r="G73" i="2"/>
  <c r="J73" i="2" s="1"/>
  <c r="B73" i="2"/>
  <c r="C73" i="2"/>
  <c r="G72" i="2"/>
  <c r="J72" i="2" s="1"/>
  <c r="B72" i="2"/>
  <c r="C72" i="2"/>
  <c r="G71" i="2"/>
  <c r="J71" i="2" s="1"/>
  <c r="B71" i="2"/>
  <c r="C71" i="2"/>
  <c r="G70" i="2"/>
  <c r="J70" i="2" s="1"/>
  <c r="B70" i="2"/>
  <c r="C70" i="2"/>
  <c r="G69" i="2"/>
  <c r="J69" i="2" s="1"/>
  <c r="B69" i="2"/>
  <c r="C69" i="2"/>
  <c r="G68" i="2"/>
  <c r="J68" i="2" s="1"/>
  <c r="B68" i="2"/>
  <c r="C68" i="2"/>
  <c r="G67" i="2"/>
  <c r="J67" i="2" s="1"/>
  <c r="B67" i="2"/>
  <c r="C67" i="2"/>
  <c r="G66" i="2"/>
  <c r="J66" i="2" s="1"/>
  <c r="B66" i="2"/>
  <c r="C66" i="2"/>
  <c r="G65" i="2"/>
  <c r="J65" i="2" s="1"/>
  <c r="B65" i="2"/>
  <c r="C65" i="2"/>
  <c r="G64" i="2"/>
  <c r="J64" i="2" s="1"/>
  <c r="C64" i="2"/>
  <c r="B64" i="2"/>
  <c r="G63" i="2"/>
  <c r="J63" i="2" s="1"/>
  <c r="C63" i="2"/>
  <c r="B63" i="2"/>
  <c r="G62" i="2"/>
  <c r="J62" i="2" s="1"/>
  <c r="B62" i="2"/>
  <c r="C62" i="2"/>
  <c r="G61" i="2"/>
  <c r="J61" i="2" s="1"/>
  <c r="C61" i="2"/>
  <c r="B61" i="2"/>
  <c r="G60" i="2"/>
  <c r="J60" i="2" s="1"/>
  <c r="C60" i="2"/>
  <c r="B60" i="2"/>
  <c r="G59" i="2"/>
  <c r="J59" i="2" s="1"/>
  <c r="C59" i="2"/>
  <c r="B59" i="2"/>
  <c r="N34" i="68"/>
  <c r="N29" i="66"/>
  <c r="O8" i="26"/>
  <c r="N8" i="26"/>
  <c r="G94" i="2" l="1"/>
  <c r="J94" i="2" s="1"/>
  <c r="G93" i="2"/>
  <c r="J93" i="2" s="1"/>
  <c r="P93" i="137"/>
  <c r="P19" i="138" l="1"/>
  <c r="P20" i="138" s="1"/>
  <c r="P30" i="136"/>
  <c r="P32" i="136" s="1"/>
  <c r="P22" i="135"/>
  <c r="P24" i="135" s="1"/>
  <c r="P141" i="134"/>
  <c r="P143" i="134" s="1"/>
  <c r="P36" i="133"/>
  <c r="P37" i="133" s="1"/>
  <c r="P30" i="132"/>
  <c r="P32" i="132" s="1"/>
  <c r="P95" i="137"/>
  <c r="P94" i="137"/>
  <c r="P38" i="133"/>
  <c r="G90" i="2"/>
  <c r="J90" i="2" s="1"/>
  <c r="P181" i="128"/>
  <c r="P20" i="116"/>
  <c r="O234" i="101"/>
  <c r="N234" i="101"/>
  <c r="O58" i="103"/>
  <c r="N58" i="103"/>
  <c r="N46" i="97"/>
  <c r="N121" i="108"/>
  <c r="N35" i="107"/>
  <c r="N26" i="106"/>
  <c r="N20" i="105"/>
  <c r="N4" i="102"/>
  <c r="O4" i="102"/>
  <c r="P6" i="102" s="1"/>
  <c r="N27" i="100"/>
  <c r="N73" i="99"/>
  <c r="R195" i="95"/>
  <c r="O32" i="93"/>
  <c r="N32" i="93"/>
  <c r="O113" i="91"/>
  <c r="N38" i="90"/>
  <c r="N22" i="78"/>
  <c r="N22" i="76"/>
  <c r="O22" i="76"/>
  <c r="O32" i="75"/>
  <c r="N32" i="75"/>
  <c r="O12" i="70"/>
  <c r="N12" i="70"/>
  <c r="N144" i="69"/>
  <c r="O29" i="66"/>
  <c r="P21" i="138" l="1"/>
  <c r="P22" i="138" s="1"/>
  <c r="P96" i="137"/>
  <c r="P31" i="136"/>
  <c r="P33" i="136" s="1"/>
  <c r="P23" i="135"/>
  <c r="P25" i="135" s="1"/>
  <c r="P142" i="134"/>
  <c r="P144" i="134"/>
  <c r="P39" i="133"/>
  <c r="P31" i="132"/>
  <c r="P33" i="132" s="1"/>
  <c r="P177" i="131"/>
  <c r="P178" i="131" s="1"/>
  <c r="P33" i="130"/>
  <c r="P34" i="130" s="1"/>
  <c r="P33" i="129"/>
  <c r="P35" i="129" s="1"/>
  <c r="P38" i="127"/>
  <c r="P39" i="127" s="1"/>
  <c r="P183" i="128"/>
  <c r="P182" i="128"/>
  <c r="P41" i="126"/>
  <c r="P43" i="126" s="1"/>
  <c r="P199" i="125"/>
  <c r="P201" i="125" s="1"/>
  <c r="P45" i="124"/>
  <c r="P47" i="124" s="1"/>
  <c r="P41" i="123"/>
  <c r="P42" i="123" s="1"/>
  <c r="P121" i="122"/>
  <c r="P123" i="122" s="1"/>
  <c r="P43" i="121"/>
  <c r="P45" i="121" s="1"/>
  <c r="P38" i="120"/>
  <c r="P39" i="120" s="1"/>
  <c r="P46" i="124"/>
  <c r="P57" i="119"/>
  <c r="P58" i="119" s="1"/>
  <c r="P77" i="118"/>
  <c r="P78" i="118" s="1"/>
  <c r="P18" i="117"/>
  <c r="P20" i="117" s="1"/>
  <c r="P168" i="115"/>
  <c r="P169" i="115" s="1"/>
  <c r="P36" i="114"/>
  <c r="P38" i="114" s="1"/>
  <c r="P41" i="113"/>
  <c r="P43" i="113" s="1"/>
  <c r="P29" i="112"/>
  <c r="P31" i="112" s="1"/>
  <c r="P150" i="111"/>
  <c r="P151" i="111" s="1"/>
  <c r="P42" i="110"/>
  <c r="P44" i="110" s="1"/>
  <c r="P59" i="119"/>
  <c r="P22" i="116"/>
  <c r="P21" i="116"/>
  <c r="P23" i="116" s="1"/>
  <c r="P170" i="115"/>
  <c r="P40" i="109"/>
  <c r="P41" i="109" s="1"/>
  <c r="O121" i="108"/>
  <c r="P123" i="108" s="1"/>
  <c r="P125" i="108" s="1"/>
  <c r="O35" i="107"/>
  <c r="P37" i="107" s="1"/>
  <c r="P39" i="107" s="1"/>
  <c r="O26" i="106"/>
  <c r="P28" i="106" s="1"/>
  <c r="P30" i="106" s="1"/>
  <c r="O20" i="105"/>
  <c r="P22" i="105" s="1"/>
  <c r="P23" i="105" s="1"/>
  <c r="O28" i="104"/>
  <c r="P30" i="104" s="1"/>
  <c r="P32" i="104" s="1"/>
  <c r="P60" i="103"/>
  <c r="P62" i="103" s="1"/>
  <c r="P236" i="101"/>
  <c r="P238" i="101" s="1"/>
  <c r="O27" i="100"/>
  <c r="P29" i="100" s="1"/>
  <c r="P31" i="100" s="1"/>
  <c r="O73" i="99"/>
  <c r="P75" i="99" s="1"/>
  <c r="P77" i="99" s="1"/>
  <c r="P159" i="98"/>
  <c r="P160" i="98" s="1"/>
  <c r="P48" i="97"/>
  <c r="P50" i="97" s="1"/>
  <c r="P31" i="104"/>
  <c r="P8" i="102"/>
  <c r="P7" i="102"/>
  <c r="P40" i="120" l="1"/>
  <c r="P41" i="120" s="1"/>
  <c r="P29" i="106"/>
  <c r="P33" i="104"/>
  <c r="P30" i="100"/>
  <c r="P78" i="99"/>
  <c r="P76" i="99"/>
  <c r="P161" i="98"/>
  <c r="P162" i="98" s="1"/>
  <c r="P40" i="127"/>
  <c r="P41" i="127" s="1"/>
  <c r="P200" i="125"/>
  <c r="P202" i="125" s="1"/>
  <c r="P79" i="118"/>
  <c r="P30" i="112"/>
  <c r="P152" i="111"/>
  <c r="P42" i="109"/>
  <c r="P43" i="109" s="1"/>
  <c r="P179" i="131"/>
  <c r="P180" i="131" s="1"/>
  <c r="P35" i="130"/>
  <c r="P36" i="130" s="1"/>
  <c r="P34" i="129"/>
  <c r="P36" i="129" s="1"/>
  <c r="P184" i="128"/>
  <c r="P42" i="126"/>
  <c r="P44" i="126" s="1"/>
  <c r="P48" i="124"/>
  <c r="P43" i="123"/>
  <c r="P44" i="123" s="1"/>
  <c r="P122" i="122"/>
  <c r="P124" i="122" s="1"/>
  <c r="P44" i="121"/>
  <c r="P46" i="121" s="1"/>
  <c r="P60" i="119"/>
  <c r="P80" i="118"/>
  <c r="P19" i="117"/>
  <c r="P21" i="117" s="1"/>
  <c r="P171" i="115"/>
  <c r="P37" i="114"/>
  <c r="P39" i="114" s="1"/>
  <c r="P42" i="113"/>
  <c r="P44" i="113" s="1"/>
  <c r="P32" i="112"/>
  <c r="P153" i="111"/>
  <c r="P43" i="110"/>
  <c r="P45" i="110" s="1"/>
  <c r="P124" i="108"/>
  <c r="P126" i="108" s="1"/>
  <c r="P38" i="107"/>
  <c r="P40" i="107" s="1"/>
  <c r="P31" i="106"/>
  <c r="P24" i="105"/>
  <c r="P25" i="105"/>
  <c r="P61" i="103"/>
  <c r="P63" i="103" s="1"/>
  <c r="P9" i="102"/>
  <c r="P237" i="101"/>
  <c r="P239" i="101" s="1"/>
  <c r="P32" i="100"/>
  <c r="P49" i="97"/>
  <c r="P51" i="97" s="1"/>
  <c r="N62" i="96" l="1"/>
  <c r="N61" i="94"/>
  <c r="N113" i="91"/>
  <c r="N30" i="89"/>
  <c r="N32" i="87"/>
  <c r="N150" i="85"/>
  <c r="N12" i="84"/>
  <c r="N148" i="82"/>
  <c r="N27" i="81"/>
  <c r="N92" i="80"/>
  <c r="N58" i="79"/>
  <c r="N125" i="77"/>
  <c r="N70" i="74"/>
  <c r="N101" i="73"/>
  <c r="N34" i="72"/>
  <c r="N47" i="71"/>
  <c r="N27" i="67"/>
  <c r="N118" i="65"/>
  <c r="N17" i="63"/>
  <c r="N124" i="62"/>
  <c r="N51" i="57"/>
  <c r="C26" i="2" l="1"/>
  <c r="G58" i="2"/>
  <c r="J58" i="2" s="1"/>
  <c r="B58" i="2"/>
  <c r="C58" i="2"/>
  <c r="G57" i="2"/>
  <c r="J57" i="2" s="1"/>
  <c r="B57" i="2"/>
  <c r="C57" i="2"/>
  <c r="G56" i="2"/>
  <c r="J56" i="2" s="1"/>
  <c r="B56" i="2"/>
  <c r="C56" i="2"/>
  <c r="G55" i="2"/>
  <c r="J55" i="2" s="1"/>
  <c r="B55" i="2"/>
  <c r="C55" i="2"/>
  <c r="G54" i="2"/>
  <c r="J54" i="2" s="1"/>
  <c r="B54" i="2"/>
  <c r="C54" i="2"/>
  <c r="G53" i="2"/>
  <c r="J53" i="2" s="1"/>
  <c r="B53" i="2"/>
  <c r="C53" i="2"/>
  <c r="G52" i="2"/>
  <c r="J52" i="2" s="1"/>
  <c r="B52" i="2"/>
  <c r="C52" i="2"/>
  <c r="G51" i="2"/>
  <c r="J51" i="2" s="1"/>
  <c r="C51" i="2"/>
  <c r="B51" i="2"/>
  <c r="O61" i="94"/>
  <c r="O62" i="96" l="1"/>
  <c r="P64" i="96" s="1"/>
  <c r="P66" i="96" s="1"/>
  <c r="P34" i="93"/>
  <c r="P36" i="93" s="1"/>
  <c r="P32" i="92"/>
  <c r="P34" i="92" s="1"/>
  <c r="P115" i="91"/>
  <c r="P117" i="91" s="1"/>
  <c r="P201" i="95"/>
  <c r="P202" i="95" s="1"/>
  <c r="P63" i="94"/>
  <c r="P65" i="94" s="1"/>
  <c r="P65" i="96" l="1"/>
  <c r="P67" i="96" s="1"/>
  <c r="P203" i="95"/>
  <c r="P204" i="95" s="1"/>
  <c r="P64" i="94"/>
  <c r="P66" i="94" s="1"/>
  <c r="P35" i="93"/>
  <c r="P37" i="93" s="1"/>
  <c r="P33" i="92"/>
  <c r="P35" i="92" s="1"/>
  <c r="P116" i="91"/>
  <c r="P118" i="91" s="1"/>
  <c r="O38" i="90" l="1"/>
  <c r="P40" i="90" s="1"/>
  <c r="P42" i="90" s="1"/>
  <c r="O30" i="89"/>
  <c r="P32" i="89" s="1"/>
  <c r="P33" i="89" s="1"/>
  <c r="P41" i="90" l="1"/>
  <c r="P43" i="90" s="1"/>
  <c r="P34" i="89"/>
  <c r="P35" i="89" s="1"/>
  <c r="O34" i="68" l="1"/>
  <c r="B49" i="2"/>
  <c r="B50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50" i="2" l="1"/>
  <c r="C49" i="2"/>
  <c r="C48" i="2"/>
  <c r="C47" i="2"/>
  <c r="G50" i="2"/>
  <c r="J50" i="2" s="1"/>
  <c r="C46" i="2"/>
  <c r="C45" i="2"/>
  <c r="C44" i="2"/>
  <c r="C43" i="2"/>
  <c r="C42" i="2"/>
  <c r="C41" i="2"/>
  <c r="C40" i="2"/>
  <c r="C39" i="2"/>
  <c r="C38" i="2"/>
  <c r="C37" i="2"/>
  <c r="C36" i="2"/>
  <c r="G49" i="2"/>
  <c r="J49" i="2" s="1"/>
  <c r="G48" i="2"/>
  <c r="J48" i="2" s="1"/>
  <c r="G47" i="2"/>
  <c r="J47" i="2" s="1"/>
  <c r="G46" i="2"/>
  <c r="J46" i="2" s="1"/>
  <c r="O12" i="84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O22" i="78"/>
  <c r="P24" i="78" s="1"/>
  <c r="G39" i="2"/>
  <c r="J39" i="2" s="1"/>
  <c r="G38" i="2"/>
  <c r="J38" i="2" s="1"/>
  <c r="G37" i="2"/>
  <c r="J37" i="2" s="1"/>
  <c r="G36" i="2"/>
  <c r="J36" i="2" s="1"/>
  <c r="O70" i="74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G35" i="2"/>
  <c r="J35" i="2" s="1"/>
  <c r="G34" i="2"/>
  <c r="J34" i="2" s="1"/>
  <c r="O34" i="72"/>
  <c r="G33" i="2"/>
  <c r="J33" i="2" s="1"/>
  <c r="G32" i="2"/>
  <c r="J32" i="2" s="1"/>
  <c r="G31" i="2"/>
  <c r="J31" i="2" s="1"/>
  <c r="G30" i="2"/>
  <c r="J30" i="2" s="1"/>
  <c r="G29" i="2"/>
  <c r="J29" i="2" s="1"/>
  <c r="O27" i="67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J117" i="2" l="1"/>
  <c r="P86" i="88"/>
  <c r="P88" i="88" s="1"/>
  <c r="O32" i="87"/>
  <c r="P29" i="86"/>
  <c r="P31" i="86" s="1"/>
  <c r="O150" i="85"/>
  <c r="P152" i="85" s="1"/>
  <c r="P154" i="85" s="1"/>
  <c r="O28" i="83"/>
  <c r="P30" i="83" s="1"/>
  <c r="P32" i="83" s="1"/>
  <c r="O148" i="82"/>
  <c r="P150" i="82" s="1"/>
  <c r="P152" i="82" s="1"/>
  <c r="O27" i="81"/>
  <c r="P29" i="81" s="1"/>
  <c r="P31" i="81" s="1"/>
  <c r="O92" i="80"/>
  <c r="P94" i="80" s="1"/>
  <c r="P96" i="80" s="1"/>
  <c r="O58" i="79"/>
  <c r="P60" i="79" s="1"/>
  <c r="P62" i="79" s="1"/>
  <c r="P25" i="78"/>
  <c r="P26" i="78"/>
  <c r="O125" i="77"/>
  <c r="P127" i="77" s="1"/>
  <c r="P129" i="77" s="1"/>
  <c r="P24" i="76"/>
  <c r="P34" i="75"/>
  <c r="P35" i="75" s="1"/>
  <c r="O101" i="73"/>
  <c r="P103" i="73" s="1"/>
  <c r="P105" i="73" s="1"/>
  <c r="O47" i="71"/>
  <c r="P49" i="71" s="1"/>
  <c r="P51" i="71" s="1"/>
  <c r="P14" i="70"/>
  <c r="P16" i="70" s="1"/>
  <c r="P146" i="69"/>
  <c r="P148" i="69" s="1"/>
  <c r="P31" i="66"/>
  <c r="P32" i="66" s="1"/>
  <c r="O118" i="65"/>
  <c r="P120" i="65" s="1"/>
  <c r="P122" i="65" s="1"/>
  <c r="P28" i="64"/>
  <c r="P30" i="64" s="1"/>
  <c r="O17" i="63"/>
  <c r="P19" i="63" s="1"/>
  <c r="P21" i="63" s="1"/>
  <c r="P126" i="62"/>
  <c r="P128" i="62" s="1"/>
  <c r="P23" i="61"/>
  <c r="P24" i="61" s="1"/>
  <c r="P45" i="60"/>
  <c r="P82" i="59"/>
  <c r="P84" i="59" s="1"/>
  <c r="P35" i="58"/>
  <c r="P36" i="58" s="1"/>
  <c r="P53" i="57"/>
  <c r="P54" i="57" s="1"/>
  <c r="P14" i="84"/>
  <c r="P16" i="84" s="1"/>
  <c r="P34" i="87"/>
  <c r="P35" i="87" s="1"/>
  <c r="P72" i="74"/>
  <c r="P73" i="74" s="1"/>
  <c r="P36" i="72"/>
  <c r="P38" i="72" s="1"/>
  <c r="P36" i="68"/>
  <c r="P38" i="68" s="1"/>
  <c r="P29" i="67"/>
  <c r="P30" i="67" s="1"/>
  <c r="P27" i="78" l="1"/>
  <c r="P26" i="76"/>
  <c r="P25" i="76"/>
  <c r="P27" i="76" s="1"/>
  <c r="P36" i="75"/>
  <c r="P37" i="75" s="1"/>
  <c r="P37" i="72"/>
  <c r="P39" i="72" s="1"/>
  <c r="P47" i="60"/>
  <c r="P46" i="60"/>
  <c r="P48" i="60" s="1"/>
  <c r="P151" i="82"/>
  <c r="P153" i="82" s="1"/>
  <c r="P87" i="88"/>
  <c r="P89" i="88" s="1"/>
  <c r="P36" i="87"/>
  <c r="P37" i="87" s="1"/>
  <c r="P30" i="86"/>
  <c r="P32" i="86" s="1"/>
  <c r="P153" i="85"/>
  <c r="P155" i="85" s="1"/>
  <c r="P15" i="84"/>
  <c r="P17" i="84" s="1"/>
  <c r="P31" i="83"/>
  <c r="P33" i="83" s="1"/>
  <c r="P30" i="81"/>
  <c r="P32" i="81" s="1"/>
  <c r="P95" i="80"/>
  <c r="P97" i="80" s="1"/>
  <c r="P61" i="79"/>
  <c r="P63" i="79" s="1"/>
  <c r="P128" i="77"/>
  <c r="P130" i="77" s="1"/>
  <c r="P74" i="74"/>
  <c r="P75" i="74" s="1"/>
  <c r="P104" i="73"/>
  <c r="P106" i="73" s="1"/>
  <c r="P50" i="71"/>
  <c r="P52" i="71" s="1"/>
  <c r="P15" i="70"/>
  <c r="P17" i="70" s="1"/>
  <c r="P147" i="69"/>
  <c r="P149" i="69" s="1"/>
  <c r="P33" i="66"/>
  <c r="P34" i="66" s="1"/>
  <c r="P37" i="68"/>
  <c r="P39" i="68" s="1"/>
  <c r="P31" i="67"/>
  <c r="P32" i="67" s="1"/>
  <c r="P121" i="65"/>
  <c r="P123" i="65" s="1"/>
  <c r="P29" i="64"/>
  <c r="P31" i="64" s="1"/>
  <c r="P20" i="63"/>
  <c r="P22" i="63" s="1"/>
  <c r="P127" i="62"/>
  <c r="P129" i="62" s="1"/>
  <c r="P25" i="61"/>
  <c r="P26" i="61" s="1"/>
  <c r="P83" i="59"/>
  <c r="P85" i="59" s="1"/>
  <c r="P37" i="58"/>
  <c r="P38" i="58" s="1"/>
  <c r="P55" i="57"/>
  <c r="P56" i="57" s="1"/>
  <c r="I122" i="2"/>
  <c r="I121" i="2"/>
  <c r="I123" i="2" s="1"/>
  <c r="G18" i="2" l="1"/>
  <c r="J18" i="2" s="1"/>
  <c r="P10" i="26" l="1"/>
  <c r="P11" i="26" l="1"/>
  <c r="P12" i="26"/>
  <c r="P13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I134" i="2" l="1"/>
  <c r="J120" i="2" l="1"/>
  <c r="J122" i="2" l="1"/>
  <c r="J121" i="2"/>
  <c r="J123" i="2" l="1"/>
</calcChain>
</file>

<file path=xl/sharedStrings.xml><?xml version="1.0" encoding="utf-8"?>
<sst xmlns="http://schemas.openxmlformats.org/spreadsheetml/2006/main" count="26293" uniqueCount="6174">
  <si>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</si>
  <si>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</si>
  <si>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</si>
  <si>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</si>
  <si>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</si>
  <si>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</si>
  <si>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</si>
  <si>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</si>
  <si>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</si>
  <si>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</si>
  <si>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</si>
  <si>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</si>
  <si>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</si>
  <si>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</si>
  <si>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</si>
  <si>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</si>
  <si>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</si>
  <si>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</si>
  <si>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</si>
  <si>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</si>
  <si>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</si>
  <si>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</si>
  <si>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</si>
  <si>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</si>
  <si>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</si>
  <si>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</si>
  <si>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</si>
  <si>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</si>
  <si>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</si>
  <si>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</si>
  <si>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</si>
  <si>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</si>
  <si>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</si>
  <si>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</si>
  <si>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</si>
  <si>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</si>
  <si>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</si>
  <si>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</si>
  <si>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</si>
  <si>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</si>
  <si>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</si>
  <si>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</si>
  <si>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</si>
  <si>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</si>
  <si>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</si>
  <si>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</si>
  <si>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</si>
  <si>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</si>
  <si>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</si>
  <si>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</si>
  <si>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BATAM</t>
  </si>
  <si>
    <t>Periode</t>
  </si>
  <si>
    <t>Discount 10%</t>
  </si>
  <si>
    <t>Total Setelah Discount</t>
  </si>
  <si>
    <t>PPh 23  2%</t>
  </si>
  <si>
    <t>PPh 23 2%</t>
  </si>
  <si>
    <t>TOTAL</t>
  </si>
  <si>
    <t>DMP BTH (BATAM)</t>
  </si>
  <si>
    <t>KM SATRIA PRATAMA</t>
  </si>
  <si>
    <t>KM SEMBILANG</t>
  </si>
  <si>
    <t>PENGIRIMAN BARANG TUJUAN BATAMM</t>
  </si>
  <si>
    <t xml:space="preserve"> 058/PCI/PI/I/22</t>
  </si>
  <si>
    <t xml:space="preserve"> 04 Januari 2022</t>
  </si>
  <si>
    <t>01 -20 Desember 21</t>
  </si>
  <si>
    <t>DMD/2112/01/DQPJ0653</t>
  </si>
  <si>
    <t>GSK211201RCS026</t>
  </si>
  <si>
    <t>GSK211201QBA850</t>
  </si>
  <si>
    <t>GSK211201SCX457</t>
  </si>
  <si>
    <t>GSK211201UKQ394</t>
  </si>
  <si>
    <t>DMD/2112/01/BQCI5819</t>
  </si>
  <si>
    <t>GSK211201LAE489</t>
  </si>
  <si>
    <t>KM RORO</t>
  </si>
  <si>
    <t>12/4/2021 RESTU</t>
  </si>
  <si>
    <t>DMD/2112/01/TPMS9318</t>
  </si>
  <si>
    <t>GSK211201KJM278</t>
  </si>
  <si>
    <t>GSK211201BLS175</t>
  </si>
  <si>
    <t>GSK211201BPL897</t>
  </si>
  <si>
    <t>GSK211201PTI438</t>
  </si>
  <si>
    <t>GSK211201KRV074</t>
  </si>
  <si>
    <t>GSK211130ILM623</t>
  </si>
  <si>
    <t>GSK211201NFA845</t>
  </si>
  <si>
    <t>GSK211201AWJ593</t>
  </si>
  <si>
    <t>GSK211201KYP745</t>
  </si>
  <si>
    <t>GSK211130GVB498</t>
  </si>
  <si>
    <t>GSK211201DVZ278</t>
  </si>
  <si>
    <t>GSK211201YQG016</t>
  </si>
  <si>
    <t>GSK211201LKB263</t>
  </si>
  <si>
    <t>GSK211130GMT419</t>
  </si>
  <si>
    <t>GSK211201KQM572</t>
  </si>
  <si>
    <t>GSK211201VHE470</t>
  </si>
  <si>
    <t>GSK211201CVF704</t>
  </si>
  <si>
    <t>GSK211201ZFV340</t>
  </si>
  <si>
    <t>GSK211201DJI065</t>
  </si>
  <si>
    <t>GSK211201EYG943</t>
  </si>
  <si>
    <t>GSK211130MJH017</t>
  </si>
  <si>
    <t>GSK211201LFJ024</t>
  </si>
  <si>
    <t>GSK211201WIN260</t>
  </si>
  <si>
    <t>GSK211201NCU391</t>
  </si>
  <si>
    <t>GSK211201ZKX021</t>
  </si>
  <si>
    <t>GSK211130ERI635</t>
  </si>
  <si>
    <t>GSK211130ETF694</t>
  </si>
  <si>
    <t>GSK211201FYH725</t>
  </si>
  <si>
    <t>GSK211201APC685</t>
  </si>
  <si>
    <t>GSK211201BKJ053</t>
  </si>
  <si>
    <t>GSK211201DHA175</t>
  </si>
  <si>
    <t>GSK211201TJI973</t>
  </si>
  <si>
    <t>GSK211201XEJ029</t>
  </si>
  <si>
    <t>DMD/2112/01/MXCR6749</t>
  </si>
  <si>
    <t>GSK211130HCE103</t>
  </si>
  <si>
    <t>GSK211129RMZ647</t>
  </si>
  <si>
    <t>GSK211201SML398</t>
  </si>
  <si>
    <t>GSK211201UYL457</t>
  </si>
  <si>
    <t>GSK211201PJK369</t>
  </si>
  <si>
    <t>GSK211201ONV761</t>
  </si>
  <si>
    <t>DMD/2112/01/GFUH6712</t>
  </si>
  <si>
    <t>GSK211130APT103</t>
  </si>
  <si>
    <t>GSK211201CVK541</t>
  </si>
  <si>
    <t>GSK211201CJR572</t>
  </si>
  <si>
    <t>GSK211201VRU036</t>
  </si>
  <si>
    <t>GSK211201ZFT089</t>
  </si>
  <si>
    <t>GSK211201KOJ309</t>
  </si>
  <si>
    <t>GSK211201CPV215</t>
  </si>
  <si>
    <t>GSK211201GDC628</t>
  </si>
  <si>
    <t>GSK211201PIR346</t>
  </si>
  <si>
    <t>12`</t>
  </si>
  <si>
    <t>DMD/2112/02/NMEB9678</t>
  </si>
  <si>
    <t>GSK211202LWC645</t>
  </si>
  <si>
    <t>GSK211201KID731</t>
  </si>
  <si>
    <t>GSK211202UWA396</t>
  </si>
  <si>
    <t>GSK211202NRS476</t>
  </si>
  <si>
    <t>GSK211201RSA230</t>
  </si>
  <si>
    <t>GSK211202HOZ537</t>
  </si>
  <si>
    <t>GSK211202KVF497</t>
  </si>
  <si>
    <t>GSK211202DJM427</t>
  </si>
  <si>
    <t>GSK211202WPF250</t>
  </si>
  <si>
    <t>GSK211202FZR094</t>
  </si>
  <si>
    <t>GSK211202SGR180</t>
  </si>
  <si>
    <t>GSK211201IVY275</t>
  </si>
  <si>
    <t>GSK211202PBH069</t>
  </si>
  <si>
    <t>GSK211202UQK975</t>
  </si>
  <si>
    <t>GSK211202QRZ568</t>
  </si>
  <si>
    <t>GSK211202VIP896</t>
  </si>
  <si>
    <t>GSK211202ZRH156</t>
  </si>
  <si>
    <t>GSK211201KFL926</t>
  </si>
  <si>
    <t>GSK211202EUK634</t>
  </si>
  <si>
    <t>GSK211202FGR324</t>
  </si>
  <si>
    <t>GSK211202XNO298</t>
  </si>
  <si>
    <t>GSK211202TRL407</t>
  </si>
  <si>
    <t>GSK211202ZVQ850</t>
  </si>
  <si>
    <t>GSK211202CMX160</t>
  </si>
  <si>
    <t>GSK211202XES073</t>
  </si>
  <si>
    <t>GSK211202GMO416</t>
  </si>
  <si>
    <t>GSK211202LHD341</t>
  </si>
  <si>
    <t>GSK211202YWJ509</t>
  </si>
  <si>
    <t>GSK211202EAN849</t>
  </si>
  <si>
    <t>DMD/2112/02/KPGL3750</t>
  </si>
  <si>
    <t>GSK211202YDU052</t>
  </si>
  <si>
    <t>12/6/2021 SAKA</t>
  </si>
  <si>
    <t>DMD/2112/02/RNQB5073</t>
  </si>
  <si>
    <t>GSK211202QFZ589</t>
  </si>
  <si>
    <t>GSK211202EYA107</t>
  </si>
  <si>
    <t>GSK211202EYJ934</t>
  </si>
  <si>
    <t>GSK211202NTJ295</t>
  </si>
  <si>
    <t>GSK211202LTR703</t>
  </si>
  <si>
    <t>GSK211202IOH921</t>
  </si>
  <si>
    <t>GSK211202CUR637</t>
  </si>
  <si>
    <t>GSK211202BHR630</t>
  </si>
  <si>
    <t>GSK211202AQL607</t>
  </si>
  <si>
    <t>GSK211202USJ938</t>
  </si>
  <si>
    <t>GSK211202OBR173</t>
  </si>
  <si>
    <t>GSK211202UXE617</t>
  </si>
  <si>
    <t>GSK211202LZI269</t>
  </si>
  <si>
    <t>GSK211202HWA754</t>
  </si>
  <si>
    <t>GSK211202GZA691</t>
  </si>
  <si>
    <t>GSK211202CGP470</t>
  </si>
  <si>
    <t>GSK211202KVL843</t>
  </si>
  <si>
    <t>GSK211202OBP492</t>
  </si>
  <si>
    <t>GSK211202VCR930</t>
  </si>
  <si>
    <t>GSK211202CBH586</t>
  </si>
  <si>
    <t>GSK211202FXA367</t>
  </si>
  <si>
    <t>GSK211202HJN948</t>
  </si>
  <si>
    <t>GSK211202ZEW916</t>
  </si>
  <si>
    <t>GSK211202QSY960</t>
  </si>
  <si>
    <t>GSK211202QAK408</t>
  </si>
  <si>
    <t>GSK211202VIW974</t>
  </si>
  <si>
    <t>GSK211202LTQ108</t>
  </si>
  <si>
    <t>GSK211202NUV319</t>
  </si>
  <si>
    <t>GSK211202YLS237</t>
  </si>
  <si>
    <t>GSK211202BEW891</t>
  </si>
  <si>
    <t>GSK211202XNH918</t>
  </si>
  <si>
    <t>GSK211202ITV716</t>
  </si>
  <si>
    <t>GSK211201WVG263</t>
  </si>
  <si>
    <t>GSK211202MJK309</t>
  </si>
  <si>
    <t>GSK211202QAV590</t>
  </si>
  <si>
    <t>GSK211202TAN309</t>
  </si>
  <si>
    <t>GSK211202BAW678</t>
  </si>
  <si>
    <t>GSK211202XGM391</t>
  </si>
  <si>
    <t>GSK211202CWF920</t>
  </si>
  <si>
    <t>GSK211202WVM842</t>
  </si>
  <si>
    <t>GSK211202SQJ401</t>
  </si>
  <si>
    <t>GSK211202GWX059</t>
  </si>
  <si>
    <t>GSK211201PVK367</t>
  </si>
  <si>
    <t>GSK211202CSU278</t>
  </si>
  <si>
    <t>GSK211202EYW796</t>
  </si>
  <si>
    <t>GSK211201NVL142</t>
  </si>
  <si>
    <t>GSK211202EHT942</t>
  </si>
  <si>
    <t>GSK211202NCM217</t>
  </si>
  <si>
    <t>GSK211202BGX564</t>
  </si>
  <si>
    <t>GSK211202BZD796</t>
  </si>
  <si>
    <t>GSK211202UGM164</t>
  </si>
  <si>
    <t>GSK211202TLR251</t>
  </si>
  <si>
    <t>GSK211202VLW104</t>
  </si>
  <si>
    <t>GSK211202QVR691</t>
  </si>
  <si>
    <t>GSK211201UJD036</t>
  </si>
  <si>
    <t>GSK211201EDO091</t>
  </si>
  <si>
    <t>GSK211202FGY615</t>
  </si>
  <si>
    <t>GSK211201VOW457</t>
  </si>
  <si>
    <t>GSK211202WTC749</t>
  </si>
  <si>
    <t>GSK211202OBG729</t>
  </si>
  <si>
    <t>GSK211201WNQ895</t>
  </si>
  <si>
    <t>GSK211201TAS280</t>
  </si>
  <si>
    <t>GSK211202PFX516</t>
  </si>
  <si>
    <t>GSK211202XMW519</t>
  </si>
  <si>
    <t>GSK211202KCS349</t>
  </si>
  <si>
    <t>GSK211202VAS291</t>
  </si>
  <si>
    <t>GSK211202JZD548</t>
  </si>
  <si>
    <t>GSK211202LYG720</t>
  </si>
  <si>
    <t>GSK211202XYN679</t>
  </si>
  <si>
    <t>GSK211201RGC168</t>
  </si>
  <si>
    <t>GSK211202INC945</t>
  </si>
  <si>
    <t>GSK211201SXM728</t>
  </si>
  <si>
    <t>GSK211201WJF097</t>
  </si>
  <si>
    <t>DMD/2112/02/ROMQ3876</t>
  </si>
  <si>
    <t>GSK211201HYE603</t>
  </si>
  <si>
    <t>GSK211201ZLP684</t>
  </si>
  <si>
    <t>GSK211202VCA503</t>
  </si>
  <si>
    <t>GSK211202PMZ456</t>
  </si>
  <si>
    <t>12/7/2021 RESTU</t>
  </si>
  <si>
    <t>DMD/2112/02/UFMK1925</t>
  </si>
  <si>
    <t>GSK211202ZCS810</t>
  </si>
  <si>
    <t>GSK211202FWU794</t>
  </si>
  <si>
    <t>GSK211202PWZ032</t>
  </si>
  <si>
    <t>GSK211202JIS975</t>
  </si>
  <si>
    <t>GSK211202YOU431</t>
  </si>
  <si>
    <t>GSK211202HVG735</t>
  </si>
  <si>
    <t>GSK211202QGP978</t>
  </si>
  <si>
    <t>GSK211202MJI142</t>
  </si>
  <si>
    <t>GSK211202YXD394</t>
  </si>
  <si>
    <t>GSK211202MWZ590</t>
  </si>
  <si>
    <t>GSK211202PAG420</t>
  </si>
  <si>
    <t>GSK211202CLW258</t>
  </si>
  <si>
    <t>GSK211202OXZ506</t>
  </si>
  <si>
    <t>GSK211202OXL257</t>
  </si>
  <si>
    <t>GSK211202RZN468</t>
  </si>
  <si>
    <t>GSK211202LXF052</t>
  </si>
  <si>
    <t>GSK211202OGT697</t>
  </si>
  <si>
    <t>GSK211202GTJ751</t>
  </si>
  <si>
    <t>GSK211202AYE120</t>
  </si>
  <si>
    <t>GSK211202DZA825</t>
  </si>
  <si>
    <t>GSK211202ACD096</t>
  </si>
  <si>
    <t>GSK211202QJW846</t>
  </si>
  <si>
    <t>GSK211202RAK580</t>
  </si>
  <si>
    <t>GSK211202NYT783</t>
  </si>
  <si>
    <t>GSK211202IRZ502</t>
  </si>
  <si>
    <t>GSK211202EVN619</t>
  </si>
  <si>
    <t>GSK211202SVG197</t>
  </si>
  <si>
    <t>GSK211202SPG013</t>
  </si>
  <si>
    <t>GSK211202UBD073</t>
  </si>
  <si>
    <t>GSK211202EZW804</t>
  </si>
  <si>
    <t>GSK211202ZAJ863</t>
  </si>
  <si>
    <t>GSK211202WRS845</t>
  </si>
  <si>
    <t>GSK211202SZF039</t>
  </si>
  <si>
    <t>GSK211202GJY897</t>
  </si>
  <si>
    <t>GSK211202AZO492</t>
  </si>
  <si>
    <t>GSK211202ZIK893</t>
  </si>
  <si>
    <t>GSK211202TLC136</t>
  </si>
  <si>
    <t>GSK211202OSU541</t>
  </si>
  <si>
    <t>GSK211202EMR642</t>
  </si>
  <si>
    <t>GSK211202TMD714</t>
  </si>
  <si>
    <t>DMD/2112/03/QUNZ9860</t>
  </si>
  <si>
    <t>GSK211203WSK248</t>
  </si>
  <si>
    <t>GSK211203XPL513</t>
  </si>
  <si>
    <t>GSK211203NSU194</t>
  </si>
  <si>
    <t>GSK211202KSB928</t>
  </si>
  <si>
    <t>GSK211203JNP083</t>
  </si>
  <si>
    <t>GSK211203EQH543</t>
  </si>
  <si>
    <t>GSK211203ASR572</t>
  </si>
  <si>
    <t>GSK211203ZHU106</t>
  </si>
  <si>
    <t>GSK211203CAY286</t>
  </si>
  <si>
    <t>GSK211203SAK360</t>
  </si>
  <si>
    <t>GSK211203HXM180</t>
  </si>
  <si>
    <t>GSK211203GOF254</t>
  </si>
  <si>
    <t>GSK211203PMC485</t>
  </si>
  <si>
    <t>GSK211203GML246</t>
  </si>
  <si>
    <t>GSK211203QJP743</t>
  </si>
  <si>
    <t>GSK211203NAE624</t>
  </si>
  <si>
    <t>GSK211203DYI853</t>
  </si>
  <si>
    <t>DMD/2112/03/UQEA6493</t>
  </si>
  <si>
    <t>GSK211203FTA302</t>
  </si>
  <si>
    <t>12/7/2021 SAKA</t>
  </si>
  <si>
    <t>DMD/2112/03/OIEJ6894</t>
  </si>
  <si>
    <t>GSK211203VLD673</t>
  </si>
  <si>
    <t>GSK211203CBK591</t>
  </si>
  <si>
    <t>GSK211203ZUD712</t>
  </si>
  <si>
    <t>GSK211203SOB156</t>
  </si>
  <si>
    <t>GSK211203PQW537</t>
  </si>
  <si>
    <t>GSK211202EMX628</t>
  </si>
  <si>
    <t>GSK211203IJE964</t>
  </si>
  <si>
    <t>GSK211203BSY346</t>
  </si>
  <si>
    <t>GSK211202FOK796</t>
  </si>
  <si>
    <t>GSK211203TVU725</t>
  </si>
  <si>
    <t>GSK211203KPR392</t>
  </si>
  <si>
    <t>GSK211202CDL612</t>
  </si>
  <si>
    <t>GSK211202DOW378</t>
  </si>
  <si>
    <t>GSK211203MZL392</t>
  </si>
  <si>
    <t>GSK211203ERG586</t>
  </si>
  <si>
    <t>GSK211203OGM538</t>
  </si>
  <si>
    <t>GSK211203ARL491</t>
  </si>
  <si>
    <t>GSK211203AQO602</t>
  </si>
  <si>
    <t>GSK211203SDU648</t>
  </si>
  <si>
    <t>GSK211203XIU437</t>
  </si>
  <si>
    <t>GSK211203STA429</t>
  </si>
  <si>
    <t>GSK211203SQK213</t>
  </si>
  <si>
    <t>GSK211202IXR960</t>
  </si>
  <si>
    <t>GSK211203PYR298</t>
  </si>
  <si>
    <t>GSK211202APQ317</t>
  </si>
  <si>
    <t>GSK211202WAM415</t>
  </si>
  <si>
    <t>GSK211203PMX124</t>
  </si>
  <si>
    <t>GSK211203EAX053</t>
  </si>
  <si>
    <t>GSK211203SDX756</t>
  </si>
  <si>
    <t>GSK211203ZBF235</t>
  </si>
  <si>
    <t>GSK211203ZAU074</t>
  </si>
  <si>
    <t>GSK211203UNA536</t>
  </si>
  <si>
    <t>GSK211203CNL213</t>
  </si>
  <si>
    <t>GSK211203JNX420</t>
  </si>
  <si>
    <t>GSK211203RHF068</t>
  </si>
  <si>
    <t>GSK211203AUY796</t>
  </si>
  <si>
    <t>GSK211202HKY346</t>
  </si>
  <si>
    <t>GSK211203UAH261</t>
  </si>
  <si>
    <t>GSK211203OKH087</t>
  </si>
  <si>
    <t>GSK211203SMQ018</t>
  </si>
  <si>
    <t>GSK211203APQ890</t>
  </si>
  <si>
    <t>GSK211202RXB297</t>
  </si>
  <si>
    <t>GSK211203LOQ371</t>
  </si>
  <si>
    <t>GSK211203UWA362</t>
  </si>
  <si>
    <t>GSK211203KYM583</t>
  </si>
  <si>
    <t>GSK211203BVR043</t>
  </si>
  <si>
    <t>GSK211203NID520</t>
  </si>
  <si>
    <t>GSK211203UCN590</t>
  </si>
  <si>
    <t>GSK211203TYX581</t>
  </si>
  <si>
    <t>GSK211203ICQ297</t>
  </si>
  <si>
    <t>GSK211203GQF235</t>
  </si>
  <si>
    <t>GSK211203HYR538</t>
  </si>
  <si>
    <t>GSK211203UXK125</t>
  </si>
  <si>
    <t>GSK211203YUD380</t>
  </si>
  <si>
    <t>GSK211203ZSW614</t>
  </si>
  <si>
    <t>GSK211203OIS876</t>
  </si>
  <si>
    <t>GSK211203UDP461</t>
  </si>
  <si>
    <t>GSK211203RGA830</t>
  </si>
  <si>
    <t>GSK211202VKL602</t>
  </si>
  <si>
    <t>GSK211202QGZ465</t>
  </si>
  <si>
    <t>GSK211203TVC756</t>
  </si>
  <si>
    <t>GSK211202WXZ186</t>
  </si>
  <si>
    <t>GSK211202OHC713</t>
  </si>
  <si>
    <t>GSK211203XST371</t>
  </si>
  <si>
    <t>GSK211203IQW723</t>
  </si>
  <si>
    <t>GSK211203IET847</t>
  </si>
  <si>
    <t>GSK211203AEU401</t>
  </si>
  <si>
    <t>GSK211203ZSY056</t>
  </si>
  <si>
    <t>GSK211203ARG168</t>
  </si>
  <si>
    <t>GSK211203XCK649</t>
  </si>
  <si>
    <t>GSK211203VRH458</t>
  </si>
  <si>
    <t>GSK211203EKJ674</t>
  </si>
  <si>
    <t>GSK211203AQI759</t>
  </si>
  <si>
    <t>GSK211203BQV596</t>
  </si>
  <si>
    <t>GSK211203BJK809</t>
  </si>
  <si>
    <t>GSK211201HNU581</t>
  </si>
  <si>
    <t>GSK211203BIT320</t>
  </si>
  <si>
    <t>GSK211202RNZ278</t>
  </si>
  <si>
    <t>GSK211203CGF238</t>
  </si>
  <si>
    <t>GSK211203YEG586</t>
  </si>
  <si>
    <t>GSK211202TSJ170</t>
  </si>
  <si>
    <t>GSK211203TVX652</t>
  </si>
  <si>
    <t>GSK211203NFD173</t>
  </si>
  <si>
    <t>GSK211203ISP761</t>
  </si>
  <si>
    <t>GSK211203EIP720</t>
  </si>
  <si>
    <t>GSK211203XNS513</t>
  </si>
  <si>
    <t>GSK211202SBG475</t>
  </si>
  <si>
    <t>GSK211203FCL801</t>
  </si>
  <si>
    <t>GSK211203SYG785</t>
  </si>
  <si>
    <t>GSK211203BNA627</t>
  </si>
  <si>
    <t>GSK211203QEA051</t>
  </si>
  <si>
    <t>GSK211203KYC198</t>
  </si>
  <si>
    <t>GSK211203EDI614</t>
  </si>
  <si>
    <t>GSK211203XZD096</t>
  </si>
  <si>
    <t>GSK211203CTK851</t>
  </si>
  <si>
    <t>GSK211203BFV521</t>
  </si>
  <si>
    <t>GSK211203MOB816</t>
  </si>
  <si>
    <t>GSK211203DCI817</t>
  </si>
  <si>
    <t>GSK211203DWT307</t>
  </si>
  <si>
    <t>GSK211203TBS264</t>
  </si>
  <si>
    <t>GSK211203NZC574</t>
  </si>
  <si>
    <t>GSK211203WXF641</t>
  </si>
  <si>
    <t>GSK211203YAD086</t>
  </si>
  <si>
    <t>GSK211203IKB930</t>
  </si>
  <si>
    <t>GSK211202NIE816</t>
  </si>
  <si>
    <t>GSK211203ATC876</t>
  </si>
  <si>
    <t>GSK211203SFX347</t>
  </si>
  <si>
    <t>GSK211203DHW793</t>
  </si>
  <si>
    <t>GSK211203KSY394</t>
  </si>
  <si>
    <t>DMD/2112/03/VWFD1890</t>
  </si>
  <si>
    <t>GSK211201TBH679</t>
  </si>
  <si>
    <t>GSK211201IPR987</t>
  </si>
  <si>
    <t>GSK211202YNP837</t>
  </si>
  <si>
    <t>GSK211202IBR748</t>
  </si>
  <si>
    <t>GSK211203FTO913</t>
  </si>
  <si>
    <t>GSK211203CIT247</t>
  </si>
  <si>
    <t>GSK211203JQA602</t>
  </si>
  <si>
    <t>GSK211203ZRB279</t>
  </si>
  <si>
    <t>GSK211203SOV068</t>
  </si>
  <si>
    <t>GSK211203FBM396</t>
  </si>
  <si>
    <t>GSK211202JHP357</t>
  </si>
  <si>
    <t>GSK211203LNS830</t>
  </si>
  <si>
    <t>DMD/2112/03/ETIB3426</t>
  </si>
  <si>
    <t>GSK211203GRL592</t>
  </si>
  <si>
    <t>GSK211203IVR029</t>
  </si>
  <si>
    <t>GSK211203QWN645</t>
  </si>
  <si>
    <t>GSK211203LVX384</t>
  </si>
  <si>
    <t>GSK211203APZ021</t>
  </si>
  <si>
    <t>GSK211202ZPO537</t>
  </si>
  <si>
    <t>GSK211202GJF265</t>
  </si>
  <si>
    <t>GSK211203KSX385</t>
  </si>
  <si>
    <t>GSK211202GBZ095</t>
  </si>
  <si>
    <t>GSK211203OMN173</t>
  </si>
  <si>
    <t>GSK211203TEQ031</t>
  </si>
  <si>
    <t>GSK211202ORP367</t>
  </si>
  <si>
    <t>GSK211203CDR105</t>
  </si>
  <si>
    <t>DMD/2112/03/PBRM7569</t>
  </si>
  <si>
    <t>GSK211203WKN426</t>
  </si>
  <si>
    <t xml:space="preserve">DMD/2112/04/CSJF2416 </t>
  </si>
  <si>
    <t>GSK211204CUB680</t>
  </si>
  <si>
    <t>GSK211204WGP965</t>
  </si>
  <si>
    <t>GSK211204RCS678</t>
  </si>
  <si>
    <t>GSK211204PJQ204</t>
  </si>
  <si>
    <t>GSK211204QYE246</t>
  </si>
  <si>
    <t>GSK211203ZBJ067</t>
  </si>
  <si>
    <t>GSK211204HAN409</t>
  </si>
  <si>
    <t>GSK211204LBP495</t>
  </si>
  <si>
    <t>GSK211203TQO549</t>
  </si>
  <si>
    <t>GSK211204VBU931</t>
  </si>
  <si>
    <t>GSK211204VGO479</t>
  </si>
  <si>
    <t>GSK211204ICH453</t>
  </si>
  <si>
    <t>GSK211204ENM378</t>
  </si>
  <si>
    <t>GSK211204ZIU143</t>
  </si>
  <si>
    <t>GSK211204LXT293</t>
  </si>
  <si>
    <t>GSK211203EAU142</t>
  </si>
  <si>
    <t>GSK211204CJU269</t>
  </si>
  <si>
    <t>GSK211204AGR471</t>
  </si>
  <si>
    <t>GSK211204ZEQ429</t>
  </si>
  <si>
    <t>GSK211204WHF294</t>
  </si>
  <si>
    <t>GSK211204RVE549</t>
  </si>
  <si>
    <t>GSK211204TKN875</t>
  </si>
  <si>
    <t>DMD/2112/04/COBH5729</t>
  </si>
  <si>
    <t>GSK211204NOF734</t>
  </si>
  <si>
    <t>DMD/2112/04/WURX7685</t>
  </si>
  <si>
    <t>GSK211204YEM480</t>
  </si>
  <si>
    <t>GSK211202CMG546</t>
  </si>
  <si>
    <t>GSK211204RLZ086</t>
  </si>
  <si>
    <t>GSK211204EDR540</t>
  </si>
  <si>
    <t>GSK211204NYT610</t>
  </si>
  <si>
    <t>GSK211204OIN215</t>
  </si>
  <si>
    <t>GSK211204TXV890</t>
  </si>
  <si>
    <t>GSK211204TJP586</t>
  </si>
  <si>
    <t>GSK211204UXR472</t>
  </si>
  <si>
    <t>GSK211204DLN021</t>
  </si>
  <si>
    <t>GSK211204MKB809</t>
  </si>
  <si>
    <t>GSK211204EVT279</t>
  </si>
  <si>
    <t>GSK211202PET012</t>
  </si>
  <si>
    <t>GSK211203LGN245</t>
  </si>
  <si>
    <t>GSK211204EYA852</t>
  </si>
  <si>
    <t>GSK211203WFR849</t>
  </si>
  <si>
    <t>GSK211204QFD978</t>
  </si>
  <si>
    <t>GSK211202JHZ249</t>
  </si>
  <si>
    <t>GSK211204KQS158</t>
  </si>
  <si>
    <t>GSK211204KYS190</t>
  </si>
  <si>
    <t>GSK211204OKD728</t>
  </si>
  <si>
    <t>GSK211204XME204</t>
  </si>
  <si>
    <t>GSK211204MFI576</t>
  </si>
  <si>
    <t>GSK211204RNJ061</t>
  </si>
  <si>
    <t>GSK211203QFB473</t>
  </si>
  <si>
    <t>GSK211204BOV138</t>
  </si>
  <si>
    <t>GSK211203XTC096</t>
  </si>
  <si>
    <t>GSK211204GMO861</t>
  </si>
  <si>
    <t>GSK211204OLX429</t>
  </si>
  <si>
    <t>GSK211204NIB802</t>
  </si>
  <si>
    <t>GSK211204AJX512</t>
  </si>
  <si>
    <t>GSK211204QBS489</t>
  </si>
  <si>
    <t>GSK211203JBK459</t>
  </si>
  <si>
    <t>GSK211204MEK768</t>
  </si>
  <si>
    <t>GSK211204ZHQ258</t>
  </si>
  <si>
    <t>GSK211204FSB378</t>
  </si>
  <si>
    <t>GSK211204KBU241</t>
  </si>
  <si>
    <t>GSK211204ZNY246</t>
  </si>
  <si>
    <t>GSK211204BVO496</t>
  </si>
  <si>
    <t>GSK211204SOI721</t>
  </si>
  <si>
    <t>GSK211204VUB704</t>
  </si>
  <si>
    <t>GSK211204RED524</t>
  </si>
  <si>
    <t>GSK211204OMJ275</t>
  </si>
  <si>
    <t>GSK211204VNH830</t>
  </si>
  <si>
    <t>GSK211204CXL698</t>
  </si>
  <si>
    <t>GSK211204XGI839</t>
  </si>
  <si>
    <t>GSK211203VSE219</t>
  </si>
  <si>
    <t>GSK211204WJU439</t>
  </si>
  <si>
    <t>GSK211203RME321</t>
  </si>
  <si>
    <t>GSK211203GKV815</t>
  </si>
  <si>
    <t>GSK211202UIF978</t>
  </si>
  <si>
    <t>GSK211204ELO046</t>
  </si>
  <si>
    <t>GSK211204TCG860</t>
  </si>
  <si>
    <t>GSK211204QOV568</t>
  </si>
  <si>
    <t>GSK211204AKH568</t>
  </si>
  <si>
    <t>GSK211202QIO967</t>
  </si>
  <si>
    <t>GSK211203CMY952</t>
  </si>
  <si>
    <t>GSK211203WFR536</t>
  </si>
  <si>
    <t>GSK211204CRW736</t>
  </si>
  <si>
    <t>GSK211204DSY983</t>
  </si>
  <si>
    <t>GSK211204RUW306</t>
  </si>
  <si>
    <t>GSK211204KMT573</t>
  </si>
  <si>
    <t>GSK211203TXZ684</t>
  </si>
  <si>
    <t>GSK211204OEL362</t>
  </si>
  <si>
    <t>GSK211204BKQ725</t>
  </si>
  <si>
    <t>GSK211203JKN920</t>
  </si>
  <si>
    <t>GSK211204ZTV640</t>
  </si>
  <si>
    <t>GSK211204NTU254</t>
  </si>
  <si>
    <t>GSK211204PDZ973</t>
  </si>
  <si>
    <t>GSK211204RPJ098</t>
  </si>
  <si>
    <t>GSK211204TQC098</t>
  </si>
  <si>
    <t>GSK211204SKR634</t>
  </si>
  <si>
    <t>GSK211203TGQ130</t>
  </si>
  <si>
    <t>GSK211204KLA901</t>
  </si>
  <si>
    <t>GSK211204GWO253</t>
  </si>
  <si>
    <t>GSK211203CBN169</t>
  </si>
  <si>
    <t>GSK211204XFB095</t>
  </si>
  <si>
    <t>GSK211204GFE954</t>
  </si>
  <si>
    <t>GSK211203WJA794</t>
  </si>
  <si>
    <t>GSK211204RXV329</t>
  </si>
  <si>
    <t>GSK211204ARB842</t>
  </si>
  <si>
    <t>GSK211204ZEX471</t>
  </si>
  <si>
    <t>GSK211204XPZ794</t>
  </si>
  <si>
    <t>GSK211204ZVO081</t>
  </si>
  <si>
    <t>GSK211204JBH273</t>
  </si>
  <si>
    <t>GSK211202XPT096</t>
  </si>
  <si>
    <t>GSK211204FCA758</t>
  </si>
  <si>
    <t>GSK211202SYV419</t>
  </si>
  <si>
    <t>GSK211204OLK419</t>
  </si>
  <si>
    <t>GSK211203SDN130</t>
  </si>
  <si>
    <t>GSK211204YOA870</t>
  </si>
  <si>
    <t>GSK211203GVL081</t>
  </si>
  <si>
    <t>GSK211203IXW135</t>
  </si>
  <si>
    <t>GSK211204RDK750</t>
  </si>
  <si>
    <t>GSK211204OUV345</t>
  </si>
  <si>
    <t>GSK211204GYR120</t>
  </si>
  <si>
    <t>GSK211204KTS843</t>
  </si>
  <si>
    <t>GSK211204DKT257</t>
  </si>
  <si>
    <t>GSK211204NRH726</t>
  </si>
  <si>
    <t>GSK211204NGS916</t>
  </si>
  <si>
    <t>GSK211204MIH921</t>
  </si>
  <si>
    <t>GSK211202SMQ567</t>
  </si>
  <si>
    <t>GSK211204WKT521</t>
  </si>
  <si>
    <t>GSK211204BFJ034</t>
  </si>
  <si>
    <t>GSK211204OCH247</t>
  </si>
  <si>
    <t>GSK211203LPY270</t>
  </si>
  <si>
    <t>GSK211204KFY937</t>
  </si>
  <si>
    <t>DMD/2112/04/NYWM1047</t>
  </si>
  <si>
    <t>GSK211204OTR165</t>
  </si>
  <si>
    <t>GSK211202XNC254</t>
  </si>
  <si>
    <t>GSK211204ZVX097</t>
  </si>
  <si>
    <t>GSK211204OVU259</t>
  </si>
  <si>
    <t>GSK211204CHJ209</t>
  </si>
  <si>
    <t>GSK211204QJV359</t>
  </si>
  <si>
    <t>GSK211204VLD418</t>
  </si>
  <si>
    <t>GSK211204FMI596</t>
  </si>
  <si>
    <t>DMD/2112/04/ZEBU8036</t>
  </si>
  <si>
    <t>GSK211204GKT910</t>
  </si>
  <si>
    <t>GSK211204DBH967</t>
  </si>
  <si>
    <t>GSK211202CAR087</t>
  </si>
  <si>
    <t>GSK211204XUZ357</t>
  </si>
  <si>
    <t>GSK211204ZPF745</t>
  </si>
  <si>
    <t>GSK211204QPF490</t>
  </si>
  <si>
    <t>GSK211204WDR290</t>
  </si>
  <si>
    <t>GSK211204YGT863</t>
  </si>
  <si>
    <t>GSK211204AVB293</t>
  </si>
  <si>
    <t>GSK211204KFX457</t>
  </si>
  <si>
    <t>GSK211204BJV351</t>
  </si>
  <si>
    <t>GSK211204QMS189</t>
  </si>
  <si>
    <t>GSK211204YRF603</t>
  </si>
  <si>
    <t>GSK211204NWM153</t>
  </si>
  <si>
    <t>GSK211204HJM980</t>
  </si>
  <si>
    <t>GSK211204DXV159</t>
  </si>
  <si>
    <t>GSK211204BDM548</t>
  </si>
  <si>
    <t>DMD/2112/04/KBXR2017</t>
  </si>
  <si>
    <t>GSK211204TQJ619</t>
  </si>
  <si>
    <t>GSK211204TDN178</t>
  </si>
  <si>
    <t>GSK211204QBW916</t>
  </si>
  <si>
    <t>GSK211204GPD407</t>
  </si>
  <si>
    <t>GSK211204JHV783</t>
  </si>
  <si>
    <t>GSK211204JNS461</t>
  </si>
  <si>
    <t>GSK211204RIH049</t>
  </si>
  <si>
    <t>GSK211204HXQ785</t>
  </si>
  <si>
    <t>GSK211204GDP137</t>
  </si>
  <si>
    <t>DMD/2112/05/KSAZ7560</t>
  </si>
  <si>
    <t>GSK211205XCV673</t>
  </si>
  <si>
    <t>GSK211205FLY135</t>
  </si>
  <si>
    <t>GSK211205NLF356</t>
  </si>
  <si>
    <t>GSK211205VNS846</t>
  </si>
  <si>
    <t>GSK211204ANM026</t>
  </si>
  <si>
    <t>GSK211205LEM675</t>
  </si>
  <si>
    <t>GSK211205ALW084</t>
  </si>
  <si>
    <t>GSK211205WPU250</t>
  </si>
  <si>
    <t>GSK211204VUQ489</t>
  </si>
  <si>
    <t>GSK211205SZO352</t>
  </si>
  <si>
    <t>GSK211205CPS325</t>
  </si>
  <si>
    <t>GSK211205ODC240</t>
  </si>
  <si>
    <t>GSK211205VEY842</t>
  </si>
  <si>
    <t>GSK211205NGR651</t>
  </si>
  <si>
    <t>GSK211204NKQ049</t>
  </si>
  <si>
    <t>GSK211205DQE184</t>
  </si>
  <si>
    <t>GSK211205URP649</t>
  </si>
  <si>
    <t>GSK211205QFO923</t>
  </si>
  <si>
    <t>GSK211205HLT241</t>
  </si>
  <si>
    <t>GSK211205TGQ186</t>
  </si>
  <si>
    <t>GSK211205RGO986</t>
  </si>
  <si>
    <t>GSK211205UBM168</t>
  </si>
  <si>
    <t>DMD/2112/05/BVWR6508</t>
  </si>
  <si>
    <t>GSK211205AYH201</t>
  </si>
  <si>
    <t>GSK211205MDU152</t>
  </si>
  <si>
    <t>12/11/2021 SAKA</t>
  </si>
  <si>
    <t>DMD/2112/05/WBIE8569</t>
  </si>
  <si>
    <t>GSK211204SMZ691</t>
  </si>
  <si>
    <t>GSK211205OSH647</t>
  </si>
  <si>
    <t>GSK211204BJY290</t>
  </si>
  <si>
    <t>GSK211205GIW528</t>
  </si>
  <si>
    <t>GSK211205TGO342</t>
  </si>
  <si>
    <t>GSK211205UOR573</t>
  </si>
  <si>
    <t>GSK211205XIT329</t>
  </si>
  <si>
    <t>GSK211205DIX180</t>
  </si>
  <si>
    <t>GSK211205HFV580</t>
  </si>
  <si>
    <t>GSK211204NAV614</t>
  </si>
  <si>
    <t>GSK211205KOG095</t>
  </si>
  <si>
    <t>GSK211205RSV327</t>
  </si>
  <si>
    <t>GSK211205JNA026</t>
  </si>
  <si>
    <t>GSK211203TAH179</t>
  </si>
  <si>
    <t>GSK211204LNP435</t>
  </si>
  <si>
    <t>GSK211204LHO645</t>
  </si>
  <si>
    <t>DMD/2112/05/QOBK7510</t>
  </si>
  <si>
    <t>GSK211205TKY342</t>
  </si>
  <si>
    <t>GSK211203KFU506</t>
  </si>
  <si>
    <t>GSK211205PMQ369</t>
  </si>
  <si>
    <t>GSK211203FHC507</t>
  </si>
  <si>
    <t>GSK211204BQV213</t>
  </si>
  <si>
    <t>GSK211204XTA587</t>
  </si>
  <si>
    <t>GSK211205NZC587</t>
  </si>
  <si>
    <t>GSK211203VRY267</t>
  </si>
  <si>
    <t>GSK211204SXE471</t>
  </si>
  <si>
    <t>GSK211204OCB524</t>
  </si>
  <si>
    <t>GSK211204VBR724</t>
  </si>
  <si>
    <t>GSK211203PMD571</t>
  </si>
  <si>
    <t>GSK211205VED315</t>
  </si>
  <si>
    <t>GSK211205XMD324</t>
  </si>
  <si>
    <t>GSK211205BCE602</t>
  </si>
  <si>
    <t>DMD/2112/05/AVPF1387</t>
  </si>
  <si>
    <t>GSK211205NCK745</t>
  </si>
  <si>
    <t>GSK211204KDO564</t>
  </si>
  <si>
    <t>GSK211204DLX304</t>
  </si>
  <si>
    <t>GSK211205NEU163</t>
  </si>
  <si>
    <t>GSK211205KAH210</t>
  </si>
  <si>
    <t>GSK211205ZEW467</t>
  </si>
  <si>
    <t>GSK211205VND761</t>
  </si>
  <si>
    <t>GSK211205HLX730</t>
  </si>
  <si>
    <t>GSK211204WHC127</t>
  </si>
  <si>
    <t>GSK211205KVN432</t>
  </si>
  <si>
    <t>GSK211204UME415</t>
  </si>
  <si>
    <t>GSK211205KEL651</t>
  </si>
  <si>
    <t>GSK211204GQD761</t>
  </si>
  <si>
    <t>GSK211205WBT274</t>
  </si>
  <si>
    <t>GSK211205NLX582</t>
  </si>
  <si>
    <t>GSK211205TXQ916</t>
  </si>
  <si>
    <t>GSK211203XQJ869</t>
  </si>
  <si>
    <t>GSK211205IEO537</t>
  </si>
  <si>
    <t>GSK211203XFT958</t>
  </si>
  <si>
    <t>GSK211205XYZ301</t>
  </si>
  <si>
    <t>GSK211205VPY036</t>
  </si>
  <si>
    <t>GSK211205EAR970</t>
  </si>
  <si>
    <t>GSK211205EXU968</t>
  </si>
  <si>
    <t>GSK211205YNS130</t>
  </si>
  <si>
    <t>GSK211205YRJ916</t>
  </si>
  <si>
    <t>GSK211204AKJ710</t>
  </si>
  <si>
    <t>GSK211205SWD064</t>
  </si>
  <si>
    <t>GSK211205UDI927</t>
  </si>
  <si>
    <t>GSK211204LAH801</t>
  </si>
  <si>
    <t>GSK211205AEN356</t>
  </si>
  <si>
    <t>GSK211205IYF205</t>
  </si>
  <si>
    <t>GSK211205ZWF206</t>
  </si>
  <si>
    <t>GSK211205KZA138</t>
  </si>
  <si>
    <t>GSK211205UMF945</t>
  </si>
  <si>
    <t>GSK211205HIR397</t>
  </si>
  <si>
    <t>GSK211203WYF731</t>
  </si>
  <si>
    <t>GSK211205LQS793</t>
  </si>
  <si>
    <t>GSK211205RZW758</t>
  </si>
  <si>
    <t>GSK211205TBZ612</t>
  </si>
  <si>
    <t>GSK211205GOT795</t>
  </si>
  <si>
    <t>GSK211205MHI463</t>
  </si>
  <si>
    <t>GSK211205QPY530</t>
  </si>
  <si>
    <t>GSK211205YHE976</t>
  </si>
  <si>
    <t>GSK211205BYP359</t>
  </si>
  <si>
    <t>GSK211205BFY964</t>
  </si>
  <si>
    <t>GSK211205WKF072</t>
  </si>
  <si>
    <t>GSK211202IDT470</t>
  </si>
  <si>
    <t>GSK211205PTV267</t>
  </si>
  <si>
    <t>GSK211203OIC342</t>
  </si>
  <si>
    <t>GSK211205FHR580</t>
  </si>
  <si>
    <t>GSK211205AMS780</t>
  </si>
  <si>
    <t>GSK211204QBS035</t>
  </si>
  <si>
    <t>GSK211205BQT640</t>
  </si>
  <si>
    <t>GSK211204RXU734</t>
  </si>
  <si>
    <t>GSK211205JKD675</t>
  </si>
  <si>
    <t>GSK211205LUO307</t>
  </si>
  <si>
    <t>GSK211204LWH954</t>
  </si>
  <si>
    <t>GSK211204OHF236</t>
  </si>
  <si>
    <t>GSK211205HGU478</t>
  </si>
  <si>
    <t>GSK211205EZC795</t>
  </si>
  <si>
    <t>GSK211205BVP921</t>
  </si>
  <si>
    <t>GSK211205TUG287</t>
  </si>
  <si>
    <t>GSK211203TJX580</t>
  </si>
  <si>
    <t>GSK211205BEM453</t>
  </si>
  <si>
    <t>GSK211204SXZ025</t>
  </si>
  <si>
    <t>GSK211204HWG943</t>
  </si>
  <si>
    <t>GSK211204SVN706</t>
  </si>
  <si>
    <t>GSK211203YOP351</t>
  </si>
  <si>
    <t>GSK211205VML718</t>
  </si>
  <si>
    <t>GSK211204TGM360</t>
  </si>
  <si>
    <t>GSK211205IZL874</t>
  </si>
  <si>
    <t>GSK211205IAO802</t>
  </si>
  <si>
    <t>GSK211205AHX568</t>
  </si>
  <si>
    <t>GSK211205YRH940</t>
  </si>
  <si>
    <t>GSK211205FON482</t>
  </si>
  <si>
    <t>GSK211203VXO715</t>
  </si>
  <si>
    <t>GSK211204ZXD327</t>
  </si>
  <si>
    <t>GSK211204TYI071</t>
  </si>
  <si>
    <t>GSK211205AKY359</t>
  </si>
  <si>
    <t>GSK211204TBJ938</t>
  </si>
  <si>
    <t>GSK211205OHP451</t>
  </si>
  <si>
    <t>GSK211203OPQ137</t>
  </si>
  <si>
    <t>GSK211205TGA146</t>
  </si>
  <si>
    <t>GSK211203HFU047</t>
  </si>
  <si>
    <t>GSK211205KQG963</t>
  </si>
  <si>
    <t>GSK211205GHI952</t>
  </si>
  <si>
    <t>GSK211205HLP410</t>
  </si>
  <si>
    <t>GSK211205DAY968</t>
  </si>
  <si>
    <t>GSK211204LPC925</t>
  </si>
  <si>
    <t>GSK211205ACE204</t>
  </si>
  <si>
    <t>GSK211205APY475</t>
  </si>
  <si>
    <t>GSK211205IYM739</t>
  </si>
  <si>
    <t>GSK211205TIB829</t>
  </si>
  <si>
    <t>GSK211205IYK420</t>
  </si>
  <si>
    <t>GSK211205LRO267</t>
  </si>
  <si>
    <t>GSK211205XLZ758</t>
  </si>
  <si>
    <t>GSK211205FQU485</t>
  </si>
  <si>
    <t>GSK211203LUD710</t>
  </si>
  <si>
    <t>GSK211204QOM423</t>
  </si>
  <si>
    <t>GSK211205IEZ891</t>
  </si>
  <si>
    <t>GSK211204JTE508</t>
  </si>
  <si>
    <t>GSK211203HYK019</t>
  </si>
  <si>
    <t>GSK211204LYH025</t>
  </si>
  <si>
    <t>GSK211203WNL718</t>
  </si>
  <si>
    <t>GSK211205NER845</t>
  </si>
  <si>
    <t>GSK211205GDL431</t>
  </si>
  <si>
    <t>GSK211205UHC358</t>
  </si>
  <si>
    <t>GSK211205GIA253</t>
  </si>
  <si>
    <t>GSK211203VEY286</t>
  </si>
  <si>
    <t>GSK211205XCT301</t>
  </si>
  <si>
    <t>GSK211205SVF928</t>
  </si>
  <si>
    <t>GSK211205CLW431</t>
  </si>
  <si>
    <t>GSK211205EOV849</t>
  </si>
  <si>
    <t>GSK211205NUS451</t>
  </si>
  <si>
    <t>GSK211205QZH294</t>
  </si>
  <si>
    <t>GSK211205KFX613</t>
  </si>
  <si>
    <t>GSK211205KNG518</t>
  </si>
  <si>
    <t>GSK211205UJA263</t>
  </si>
  <si>
    <t>DMD/2112/05/LDYC4360</t>
  </si>
  <si>
    <t>GSK211203HEB192</t>
  </si>
  <si>
    <t>DMD/2112/05/SKWC4356</t>
  </si>
  <si>
    <t>GSK211205BQL743</t>
  </si>
  <si>
    <t>GSK211205QLO714</t>
  </si>
  <si>
    <t>GSK211205DYL867</t>
  </si>
  <si>
    <t>GSK211205JLE365</t>
  </si>
  <si>
    <t>GSK211205PAV985</t>
  </si>
  <si>
    <t>GSK211205UHJ928</t>
  </si>
  <si>
    <t>GSK211205CWU271</t>
  </si>
  <si>
    <t>GSK211205QCB026</t>
  </si>
  <si>
    <t>GSK211205GOD357</t>
  </si>
  <si>
    <t>GSK211205FML250</t>
  </si>
  <si>
    <t>GSK211205XQR453</t>
  </si>
  <si>
    <t>GSK211205YOH184</t>
  </si>
  <si>
    <t>GSK211205XAC123</t>
  </si>
  <si>
    <t>GSK211205POQ308</t>
  </si>
  <si>
    <t>GSK211205AIP291</t>
  </si>
  <si>
    <t>GSK211205DRW468</t>
  </si>
  <si>
    <t>GSK211205ZMT635</t>
  </si>
  <si>
    <t>GSK211205FKX620</t>
  </si>
  <si>
    <t>GSK211205VOD653</t>
  </si>
  <si>
    <t>GSK211205HST690</t>
  </si>
  <si>
    <t>GSK211205JDL574</t>
  </si>
  <si>
    <t>GSK211205RPD258</t>
  </si>
  <si>
    <t>DMD/2112/06/NKVC8134</t>
  </si>
  <si>
    <t>GSK211206FGP615</t>
  </si>
  <si>
    <t>GSK211206LDM603</t>
  </si>
  <si>
    <t>GSK211206ZAT215</t>
  </si>
  <si>
    <t>GSK211205SAL521</t>
  </si>
  <si>
    <t>GSK211205ULH089</t>
  </si>
  <si>
    <t>GSK211205WGH293</t>
  </si>
  <si>
    <t>GSK211206AVH813</t>
  </si>
  <si>
    <t>GSK211206SZC759</t>
  </si>
  <si>
    <t>GSK211206FBW320</t>
  </si>
  <si>
    <t>DMD/2112/06/WIDE3416</t>
  </si>
  <si>
    <t>GSK211205AEZ014</t>
  </si>
  <si>
    <t>GSK211206HXU541</t>
  </si>
  <si>
    <t>GSK211206RBU819</t>
  </si>
  <si>
    <t>GSK211206YKN780</t>
  </si>
  <si>
    <t>GSK211205YDH564</t>
  </si>
  <si>
    <t>GSK211206WXB134</t>
  </si>
  <si>
    <t>GSK211205EMN634</t>
  </si>
  <si>
    <t>GSK211206ZGE710</t>
  </si>
  <si>
    <t>GSK211206VQC275</t>
  </si>
  <si>
    <t>GSK211206OKP031</t>
  </si>
  <si>
    <t>GSK211205MGE239</t>
  </si>
  <si>
    <t>GSK211205RXT560</t>
  </si>
  <si>
    <t>GSK211206QEF564</t>
  </si>
  <si>
    <t>GSK211205VLW210</t>
  </si>
  <si>
    <t>GSK211206SMQ092</t>
  </si>
  <si>
    <t>GSK211205DIR486</t>
  </si>
  <si>
    <t>GSK211206NMZ473</t>
  </si>
  <si>
    <t>GSK211206NEB739</t>
  </si>
  <si>
    <t>GSK211206POJ534</t>
  </si>
  <si>
    <t>GSK211206HZL018</t>
  </si>
  <si>
    <t>GSK211206MYH679</t>
  </si>
  <si>
    <t>GSK211206MBC329</t>
  </si>
  <si>
    <t>GSK211206NHQ125</t>
  </si>
  <si>
    <t>GSK211206SKH246</t>
  </si>
  <si>
    <t>GSK211206AOS146</t>
  </si>
  <si>
    <t>GSK211206BNK718</t>
  </si>
  <si>
    <t>GSK211206TCH462</t>
  </si>
  <si>
    <t>GSK211206WXJ961</t>
  </si>
  <si>
    <t>GSK211205GCP387</t>
  </si>
  <si>
    <t>GSK211206OUL146</t>
  </si>
  <si>
    <t>GSK211206EPC210</t>
  </si>
  <si>
    <t>GSK211206BRV759</t>
  </si>
  <si>
    <t>GSK211206HVS348</t>
  </si>
  <si>
    <t>GSK211206OWL612</t>
  </si>
  <si>
    <t>GSK211206TOI608</t>
  </si>
  <si>
    <t>GSK211206PWZ365</t>
  </si>
  <si>
    <t>GSK211206UGK647</t>
  </si>
  <si>
    <t>GSK211206VSI785</t>
  </si>
  <si>
    <t>DMD/2112/06/DXSE3469</t>
  </si>
  <si>
    <t>GSK211205SEQ046</t>
  </si>
  <si>
    <t>GSK211206BHZ459</t>
  </si>
  <si>
    <t>GSK211206JCW901</t>
  </si>
  <si>
    <t>DMD/2112/06/UIYG2841</t>
  </si>
  <si>
    <t>GSK211206FVJ165</t>
  </si>
  <si>
    <t>GSK211206BKS059</t>
  </si>
  <si>
    <t>GSK211206KFB891</t>
  </si>
  <si>
    <t>DMD/2112/07/OKVS8946</t>
  </si>
  <si>
    <t>GSK211207JBD125</t>
  </si>
  <si>
    <t>GSK211207YEN840</t>
  </si>
  <si>
    <t>GSK211207LNX137</t>
  </si>
  <si>
    <t>GSK211207WHF291</t>
  </si>
  <si>
    <t>GSK211207CBT563</t>
  </si>
  <si>
    <t>GSK211207OHJ197</t>
  </si>
  <si>
    <t>GSK211206NFJ157</t>
  </si>
  <si>
    <t>GSK211207EPV740</t>
  </si>
  <si>
    <t>GSK211207OHU742</t>
  </si>
  <si>
    <t>GSK211207WIN589</t>
  </si>
  <si>
    <t>GSK211207ARO739</t>
  </si>
  <si>
    <t>GSK211207PHZ473</t>
  </si>
  <si>
    <t>GSK211207GXZ964</t>
  </si>
  <si>
    <t>GSK211207LSZ923</t>
  </si>
  <si>
    <t>GSK211207UNO573</t>
  </si>
  <si>
    <t>GSK211207TNL435</t>
  </si>
  <si>
    <t>GSK211207QAX628</t>
  </si>
  <si>
    <t>GSK211206WIM175</t>
  </si>
  <si>
    <t>GSK211207QIN074</t>
  </si>
  <si>
    <t>GSK211207WIY862</t>
  </si>
  <si>
    <t>GSK211207YRP176</t>
  </si>
  <si>
    <t>GSK211207DEN584</t>
  </si>
  <si>
    <t>GSK211207KVY437</t>
  </si>
  <si>
    <t>GSK211207AZV612</t>
  </si>
  <si>
    <t>GSK211206XTP059</t>
  </si>
  <si>
    <t>GSK211207QVX931</t>
  </si>
  <si>
    <t>GSK211207SYW238</t>
  </si>
  <si>
    <t>GSK211207DOA437</t>
  </si>
  <si>
    <t>GSK211207NGB760</t>
  </si>
  <si>
    <t>GSK211207HBL831</t>
  </si>
  <si>
    <t>DMD/2112/07/FCZA8312</t>
  </si>
  <si>
    <t>GSK211207LIJ261</t>
  </si>
  <si>
    <t>12/13/2021 RESTU</t>
  </si>
  <si>
    <t>DMD/2112/07/HYCJ0892</t>
  </si>
  <si>
    <t>GSK211206VMH841</t>
  </si>
  <si>
    <t>GSK211207NLH153</t>
  </si>
  <si>
    <t>GSK211207BOH394</t>
  </si>
  <si>
    <t>GSK211207VXW976</t>
  </si>
  <si>
    <t>GSK211207KWM864</t>
  </si>
  <si>
    <t>GSK211207ONU093</t>
  </si>
  <si>
    <t>GSK211207PNT485</t>
  </si>
  <si>
    <t>GSK211207ZLU378</t>
  </si>
  <si>
    <t>GSK211207YXG642</t>
  </si>
  <si>
    <t>GSK211207KCZ278</t>
  </si>
  <si>
    <t>GSK211207DPN856</t>
  </si>
  <si>
    <t>GSK211207PNZ461</t>
  </si>
  <si>
    <t>GSK211205UYE278</t>
  </si>
  <si>
    <t>GSK211207VDF068</t>
  </si>
  <si>
    <t>GSK211206ZGY720</t>
  </si>
  <si>
    <t>GSK211207TAD728</t>
  </si>
  <si>
    <t>GSK211207PLZ863</t>
  </si>
  <si>
    <t>GSK211207GEP497</t>
  </si>
  <si>
    <t>GSK211207LEK632</t>
  </si>
  <si>
    <t>GSK211207VMI941</t>
  </si>
  <si>
    <t>GSK211207PAQ481</t>
  </si>
  <si>
    <t>GSK211207BPM416</t>
  </si>
  <si>
    <t>GSK211207BPC630</t>
  </si>
  <si>
    <t>GSK211207SPW409</t>
  </si>
  <si>
    <t>GSK211207UOL794</t>
  </si>
  <si>
    <t>GSK211207AQK142</t>
  </si>
  <si>
    <t>GSK211207XIO316</t>
  </si>
  <si>
    <t>GSK211207SYH490</t>
  </si>
  <si>
    <t>GSK211207SJB618</t>
  </si>
  <si>
    <t>GSK211205VAM781</t>
  </si>
  <si>
    <t>GSK211207NKX214</t>
  </si>
  <si>
    <t>GSK211207VTS412</t>
  </si>
  <si>
    <t>GSK211207NAU301</t>
  </si>
  <si>
    <t>GSK211207PUJ826</t>
  </si>
  <si>
    <t>GSK211207DKX726</t>
  </si>
  <si>
    <t>GSK211207MSD312</t>
  </si>
  <si>
    <t>GSK211207EVO698</t>
  </si>
  <si>
    <t>GSK211207OHW287</t>
  </si>
  <si>
    <t>GSK211207UZN835</t>
  </si>
  <si>
    <t>GSK211207KIX678</t>
  </si>
  <si>
    <t>GSK211207ZMQ735</t>
  </si>
  <si>
    <t>GSK211207PLU638</t>
  </si>
  <si>
    <t>GSK211207GBH203</t>
  </si>
  <si>
    <t>GSK211207GCX269</t>
  </si>
  <si>
    <t>GSK211207ZLT950</t>
  </si>
  <si>
    <t>GSK211207TRI328</t>
  </si>
  <si>
    <t>GSK211207BFX701</t>
  </si>
  <si>
    <t>GSK211207EJT584</t>
  </si>
  <si>
    <t>GSK211207MIB534</t>
  </si>
  <si>
    <t>GSK211207WSP409</t>
  </si>
  <si>
    <t>GSK211205JFM360</t>
  </si>
  <si>
    <t>GSK211207KSW340</t>
  </si>
  <si>
    <t>GSK211206YUW613</t>
  </si>
  <si>
    <t>GSK211207EFZ756</t>
  </si>
  <si>
    <t>GSK211207KSW846</t>
  </si>
  <si>
    <t>GSK211207TUI034</t>
  </si>
  <si>
    <t>GSK211207MFV471</t>
  </si>
  <si>
    <t>GSK211206URE072</t>
  </si>
  <si>
    <t>GSK211206YWO145</t>
  </si>
  <si>
    <t>GSK211207RJW397</t>
  </si>
  <si>
    <t>GSK211207BAF628</t>
  </si>
  <si>
    <t>GSK211207VXK785</t>
  </si>
  <si>
    <t>GSK211207ZKS980</t>
  </si>
  <si>
    <t>GSK211207YOQ796</t>
  </si>
  <si>
    <t>GSK211207EOF618</t>
  </si>
  <si>
    <t>GSK211207GDP312</t>
  </si>
  <si>
    <t>GSK211207CZO859</t>
  </si>
  <si>
    <t>GSK211207HBU651</t>
  </si>
  <si>
    <t>GSK211207FSX514</t>
  </si>
  <si>
    <t>GSK211207FSL046</t>
  </si>
  <si>
    <t>GSK211207XRT269</t>
  </si>
  <si>
    <t>GSK211206MST471</t>
  </si>
  <si>
    <t>GSK211207VFK286</t>
  </si>
  <si>
    <t>GSK211205MPL381</t>
  </si>
  <si>
    <t>GSK211207QFT139</t>
  </si>
  <si>
    <t>GSK211207SUA867</t>
  </si>
  <si>
    <t>GSK211205HLG241</t>
  </si>
  <si>
    <t>GSK211207WRI851</t>
  </si>
  <si>
    <t>GSK211207EJT735</t>
  </si>
  <si>
    <t>GSK211207ZGE831</t>
  </si>
  <si>
    <t>GSK211207ODY143</t>
  </si>
  <si>
    <t>GSK211207JQM068</t>
  </si>
  <si>
    <t>GSK211207SJL748</t>
  </si>
  <si>
    <t>GSK211207HBU856</t>
  </si>
  <si>
    <t>GSK211207RAT502</t>
  </si>
  <si>
    <t>GSK211207MWT783</t>
  </si>
  <si>
    <t>GSK211207SRC408</t>
  </si>
  <si>
    <t>GSK211207JHI581</t>
  </si>
  <si>
    <t>GSK211207RUB869</t>
  </si>
  <si>
    <t>GSK211207BLS462</t>
  </si>
  <si>
    <t>DMD/2112/07/UMAT6984</t>
  </si>
  <si>
    <t>GSK211207XDQ018</t>
  </si>
  <si>
    <t>GSK211206KJL624</t>
  </si>
  <si>
    <t>GSK211207MBI467</t>
  </si>
  <si>
    <t>GSK211207PGS823</t>
  </si>
  <si>
    <t>GSK211207QTE031</t>
  </si>
  <si>
    <t>GSK211207QIA674</t>
  </si>
  <si>
    <t>GSK211207TZV329</t>
  </si>
  <si>
    <t>GSK211206TUN437</t>
  </si>
  <si>
    <t>DMD/2112/07/XQJF7806</t>
  </si>
  <si>
    <t>GSK211205MCS453</t>
  </si>
  <si>
    <t>GSK211207UFP082</t>
  </si>
  <si>
    <t>GSK211207YXH084</t>
  </si>
  <si>
    <t>GSK211207HPL976</t>
  </si>
  <si>
    <t>GSK211207YVO478</t>
  </si>
  <si>
    <t>GSK211207SJA264</t>
  </si>
  <si>
    <t>GSK211207HTC034</t>
  </si>
  <si>
    <t>GSK211207ELY968</t>
  </si>
  <si>
    <t>GSK211207URE374</t>
  </si>
  <si>
    <t>GSK211207IXZ268</t>
  </si>
  <si>
    <t>GSK211205CNF690</t>
  </si>
  <si>
    <t>GSK211207XIL680</t>
  </si>
  <si>
    <t>GSK211207JNL947</t>
  </si>
  <si>
    <t>GSK211207OZC273</t>
  </si>
  <si>
    <t>GSK211207DUO674</t>
  </si>
  <si>
    <t>GSK211207BOW137</t>
  </si>
  <si>
    <t>GSK211207QYG617</t>
  </si>
  <si>
    <t>GSK211207CJU782</t>
  </si>
  <si>
    <t>GSK211207OWZ156</t>
  </si>
  <si>
    <t>GSK211207OXV502</t>
  </si>
  <si>
    <t>GSK211207LVF678</t>
  </si>
  <si>
    <t>GSK211206ZYL301</t>
  </si>
  <si>
    <t>GSK211207FKT569</t>
  </si>
  <si>
    <t>GSK211207ZEI126</t>
  </si>
  <si>
    <t>GSK211207LPB607</t>
  </si>
  <si>
    <t>GSK211207LHJ507</t>
  </si>
  <si>
    <t>GSK211206SMP492</t>
  </si>
  <si>
    <t>GSK211207OTE536</t>
  </si>
  <si>
    <t>GSK211207XJF457</t>
  </si>
  <si>
    <t>GSK211207MBC391</t>
  </si>
  <si>
    <t>GSK211207GVJ629</t>
  </si>
  <si>
    <t>GSK211207OPE937</t>
  </si>
  <si>
    <t>GSK211207RGQ639</t>
  </si>
  <si>
    <t>GSK211207TZS135</t>
  </si>
  <si>
    <t>GSK211207AKQ605</t>
  </si>
  <si>
    <t>GSK211205VZL267</t>
  </si>
  <si>
    <t>GSK211207JZP832</t>
  </si>
  <si>
    <t>GSK211205GSF497</t>
  </si>
  <si>
    <t>GSK211207GZQ745</t>
  </si>
  <si>
    <t>GSK211207EZA016</t>
  </si>
  <si>
    <t>GSK211207HEZ367</t>
  </si>
  <si>
    <t>GSK211207BLW750</t>
  </si>
  <si>
    <t>GSK211207CTA302</t>
  </si>
  <si>
    <t>GSK211207REO128</t>
  </si>
  <si>
    <t>GSK211207ZBU527</t>
  </si>
  <si>
    <t>GSK211207AEQ073</t>
  </si>
  <si>
    <t>GSK211207IDZ128</t>
  </si>
  <si>
    <t>GSK211207KYV480</t>
  </si>
  <si>
    <t>GSK211207SFU524</t>
  </si>
  <si>
    <t>GSK211207EMF084</t>
  </si>
  <si>
    <t>GSK211207UTQ261</t>
  </si>
  <si>
    <t>GSK211207VML849</t>
  </si>
  <si>
    <t>GSK211207BGC960</t>
  </si>
  <si>
    <t>GSK211207ZWV087</t>
  </si>
  <si>
    <t>GSK211207DBL562</t>
  </si>
  <si>
    <t>GSK211207ZVG092</t>
  </si>
  <si>
    <t>GSK211207RHX302</t>
  </si>
  <si>
    <t>GSK211207WDL850</t>
  </si>
  <si>
    <t>GSK211207LFX634</t>
  </si>
  <si>
    <t>GSK211207SDV807</t>
  </si>
  <si>
    <t>GSK211207ODE140</t>
  </si>
  <si>
    <t>GSK211207PNR856</t>
  </si>
  <si>
    <t>GSK211207XZM647</t>
  </si>
  <si>
    <t>GSK211207AIL126</t>
  </si>
  <si>
    <t>GSK211207FBN052</t>
  </si>
  <si>
    <t>DMD/2112/07/BGXO6792</t>
  </si>
  <si>
    <t>GSK211207JUX798</t>
  </si>
  <si>
    <t>GSK211207LDO328</t>
  </si>
  <si>
    <t>DMD/2112/08/QSXI0936</t>
  </si>
  <si>
    <t>GSK211208LTD087</t>
  </si>
  <si>
    <t>GSK211208RXM143</t>
  </si>
  <si>
    <t>GSK211208RTM257</t>
  </si>
  <si>
    <t>GSK211208PUS193</t>
  </si>
  <si>
    <t>GSK211208UDE739</t>
  </si>
  <si>
    <t>GSK211208EBX067</t>
  </si>
  <si>
    <t>GSK211208KEO819</t>
  </si>
  <si>
    <t>GSK211208NSC246</t>
  </si>
  <si>
    <t>GSK211208BCS572</t>
  </si>
  <si>
    <t>GSK211208EVN421</t>
  </si>
  <si>
    <t>GSK211207HAV125</t>
  </si>
  <si>
    <t>GSK211208SPR907</t>
  </si>
  <si>
    <t>GSK211208RQV073</t>
  </si>
  <si>
    <t>GSK211208SWV962</t>
  </si>
  <si>
    <t>GSK211208PKL925</t>
  </si>
  <si>
    <t>GSK211208RLW675</t>
  </si>
  <si>
    <t>GSK211207ZPT502</t>
  </si>
  <si>
    <t>GSK211207JHO927</t>
  </si>
  <si>
    <t>GSK211208NOF954</t>
  </si>
  <si>
    <t>GSK211208LYD349</t>
  </si>
  <si>
    <t>GSK211208ENR076</t>
  </si>
  <si>
    <t>GSK211208JUY810</t>
  </si>
  <si>
    <t>GSK211208OKE542</t>
  </si>
  <si>
    <t>GSK211208QKS940</t>
  </si>
  <si>
    <t>GSK211208VZU406</t>
  </si>
  <si>
    <t>GSK211208RXW958</t>
  </si>
  <si>
    <t>GSK211208FBK273</t>
  </si>
  <si>
    <t>DMD/2112/08/XQCT5371</t>
  </si>
  <si>
    <t>GSK211208PAY364</t>
  </si>
  <si>
    <t>GSK211208XMI740</t>
  </si>
  <si>
    <t>DMD/2112/08/TWOQ5902</t>
  </si>
  <si>
    <t>GSK211208VEZ847</t>
  </si>
  <si>
    <t>GSK211208GZM031</t>
  </si>
  <si>
    <t>GSK211208ARM510</t>
  </si>
  <si>
    <t>GSK211206HYP897</t>
  </si>
  <si>
    <t>GSK211208DPF462</t>
  </si>
  <si>
    <t>GSK211207HOS853</t>
  </si>
  <si>
    <t>GSK211206SVM357</t>
  </si>
  <si>
    <t>GSK211208CLV273</t>
  </si>
  <si>
    <t>GSK211208KTS680</t>
  </si>
  <si>
    <t>GSK211208ZGQ732</t>
  </si>
  <si>
    <t>DMD/2112/08/QNIR3149</t>
  </si>
  <si>
    <t>GSK211208HLW801</t>
  </si>
  <si>
    <t>GSK211208HAI174</t>
  </si>
  <si>
    <t>GSK211208UMR245</t>
  </si>
  <si>
    <t>GSK211207MRL310</t>
  </si>
  <si>
    <t>GSK211208DUY157</t>
  </si>
  <si>
    <t>GSK211207WYG054</t>
  </si>
  <si>
    <t>GSK211208OZQ147</t>
  </si>
  <si>
    <t>GSK211208TYV081</t>
  </si>
  <si>
    <t>GSK211208WKR178</t>
  </si>
  <si>
    <t>DMD/2112/08/ULQD0852</t>
  </si>
  <si>
    <t>GSK211208NKC927</t>
  </si>
  <si>
    <t>GSK211208ULC910</t>
  </si>
  <si>
    <t>GSK211208GHT139</t>
  </si>
  <si>
    <t>GSK211208PMS328</t>
  </si>
  <si>
    <t>GSK211207XVT150</t>
  </si>
  <si>
    <t>GSK211208UQF257</t>
  </si>
  <si>
    <t>GSK211208VPT546</t>
  </si>
  <si>
    <t>GSK211207PEZ265</t>
  </si>
  <si>
    <t>GSK211208CRO495</t>
  </si>
  <si>
    <t>GSK211208THJ184</t>
  </si>
  <si>
    <t>GSK211208XPN031</t>
  </si>
  <si>
    <t>GSK211208MHB452</t>
  </si>
  <si>
    <t>GSK211208JRO684</t>
  </si>
  <si>
    <t>GSK211208RPB905</t>
  </si>
  <si>
    <t>GSK211208EDX237</t>
  </si>
  <si>
    <t>GSK211208OBA583</t>
  </si>
  <si>
    <t>GSK211208HZD257</t>
  </si>
  <si>
    <t>GSK211208BSN615</t>
  </si>
  <si>
    <t>GSK211208ELP289</t>
  </si>
  <si>
    <t>GSK211208IBN768</t>
  </si>
  <si>
    <t>GSK211208GVX752</t>
  </si>
  <si>
    <t>GSK211208CAP091</t>
  </si>
  <si>
    <t>GSK211208FSU463</t>
  </si>
  <si>
    <t>GSK211208ZKL132</t>
  </si>
  <si>
    <t>GSK211208UOL046</t>
  </si>
  <si>
    <t>GSK211208NJH051</t>
  </si>
  <si>
    <t>GSK211208GEQ817</t>
  </si>
  <si>
    <t>GSK211206SOY184</t>
  </si>
  <si>
    <t>GSK211208TGQ573</t>
  </si>
  <si>
    <t>GSK211208QNS694</t>
  </si>
  <si>
    <t>GSK211208WQM270</t>
  </si>
  <si>
    <t>GSK211207DHQ761</t>
  </si>
  <si>
    <t>GSK211208HCL218</t>
  </si>
  <si>
    <t>GSK211208SEJ473</t>
  </si>
  <si>
    <t>GSK211207ZMH574</t>
  </si>
  <si>
    <t>GSK211208BWV502</t>
  </si>
  <si>
    <t>GSK211208NHP175</t>
  </si>
  <si>
    <t>GSK211208KMD379</t>
  </si>
  <si>
    <t>GSK211208CEN408</t>
  </si>
  <si>
    <t>GSK211208GAI480</t>
  </si>
  <si>
    <t>GSK211206QEK324</t>
  </si>
  <si>
    <t>GSK211208EBD974</t>
  </si>
  <si>
    <t>GSK211207OBA591</t>
  </si>
  <si>
    <t>GSK211207ECU240</t>
  </si>
  <si>
    <t>GSK211208WON398</t>
  </si>
  <si>
    <t>GSK211208QWR657</t>
  </si>
  <si>
    <t>GSK211207SFT416</t>
  </si>
  <si>
    <t>GSK211208GRP316</t>
  </si>
  <si>
    <t>GSK211208AJI947</t>
  </si>
  <si>
    <t>GSK211208DPR429</t>
  </si>
  <si>
    <t>GSK211208JLI580</t>
  </si>
  <si>
    <t>GSK211208TMA952</t>
  </si>
  <si>
    <t>GSK211206OTI053</t>
  </si>
  <si>
    <t>GSK211208CYZ019</t>
  </si>
  <si>
    <t>GSK211208JVB290</t>
  </si>
  <si>
    <t>GSK211208ENU175</t>
  </si>
  <si>
    <t>GSK211208UGH192</t>
  </si>
  <si>
    <t>GSK211208NGH240</t>
  </si>
  <si>
    <t>GSK211207EUT241</t>
  </si>
  <si>
    <t>GSK211208FCG234</t>
  </si>
  <si>
    <t>GSK211208QAB026</t>
  </si>
  <si>
    <t>GSK211208YJN619</t>
  </si>
  <si>
    <t>GSK211208AKP841</t>
  </si>
  <si>
    <t>GSK211208BXW759</t>
  </si>
  <si>
    <t>GSK211207ORL139</t>
  </si>
  <si>
    <t>GSK211207PDX684</t>
  </si>
  <si>
    <t>GSK211208JTF720</t>
  </si>
  <si>
    <t>GSK211208NTM025</t>
  </si>
  <si>
    <t>GSK211208GWA534</t>
  </si>
  <si>
    <t>GSK211207TSD173</t>
  </si>
  <si>
    <t>GSK211208EHR513</t>
  </si>
  <si>
    <t>GSK211208LAB420</t>
  </si>
  <si>
    <t>GSK211208OVX648</t>
  </si>
  <si>
    <t>GSK211208JVY762</t>
  </si>
  <si>
    <t>GSK211206ARE046</t>
  </si>
  <si>
    <t>GSK211206EJG518</t>
  </si>
  <si>
    <t>GSK211208PVL137</t>
  </si>
  <si>
    <t>GSK211208HJM486</t>
  </si>
  <si>
    <t>GSK211207MNL675</t>
  </si>
  <si>
    <t>GSK211207HKR502</t>
  </si>
  <si>
    <t>GSK211208GDN317</t>
  </si>
  <si>
    <t>GSK211208QLE954</t>
  </si>
  <si>
    <t>GSK211207ODM351</t>
  </si>
  <si>
    <t>GSK211208TVZ958</t>
  </si>
  <si>
    <t>GSK211208FXJ809</t>
  </si>
  <si>
    <t>GSK211208PMI582</t>
  </si>
  <si>
    <t>GSK211208PQB519</t>
  </si>
  <si>
    <t>GSK211207DVM710</t>
  </si>
  <si>
    <t>GSK211208XPS896</t>
  </si>
  <si>
    <t>GSK211208ZGT289</t>
  </si>
  <si>
    <t>GSK211207OYI803</t>
  </si>
  <si>
    <t>GSK211208WSR541</t>
  </si>
  <si>
    <t>GSK211206TQD372</t>
  </si>
  <si>
    <t>GSK211208ERN405</t>
  </si>
  <si>
    <t>GSK211208PYR759</t>
  </si>
  <si>
    <t>GSK211208MKG081</t>
  </si>
  <si>
    <t>GSK211208LZF173</t>
  </si>
  <si>
    <t>GSK211207ZJC549</t>
  </si>
  <si>
    <t>GSK211207CGP608</t>
  </si>
  <si>
    <t>GSK211208NBJ590</t>
  </si>
  <si>
    <t>GSK211208SDO652</t>
  </si>
  <si>
    <t>GSK211208UDH025</t>
  </si>
  <si>
    <t>GSK211207MOK470</t>
  </si>
  <si>
    <t>GSK211208RYU624</t>
  </si>
  <si>
    <t>GSK211208XVW580</t>
  </si>
  <si>
    <t>GSK211208DFZ723</t>
  </si>
  <si>
    <t>GSK211208COF794</t>
  </si>
  <si>
    <t>GSK211207INS607</t>
  </si>
  <si>
    <t>GSK211208ZTB176</t>
  </si>
  <si>
    <t>GSK211208ECA132</t>
  </si>
  <si>
    <t>GSK211208XEL412</t>
  </si>
  <si>
    <t>GSK211208PKB270</t>
  </si>
  <si>
    <t>GSK211207YFD345</t>
  </si>
  <si>
    <t>GSK211207BOR829</t>
  </si>
  <si>
    <t>GSK211208JWE793</t>
  </si>
  <si>
    <t>GSK211208PKM927</t>
  </si>
  <si>
    <t>GSK211208ZEP179</t>
  </si>
  <si>
    <t>GSK211207TZJ763</t>
  </si>
  <si>
    <t>GSK211208SZX543</t>
  </si>
  <si>
    <t>GSK211208DRT768</t>
  </si>
  <si>
    <t>GSK211208MVA641</t>
  </si>
  <si>
    <t>DMD/2112/08/HDLM8057</t>
  </si>
  <si>
    <t>GSK211207OVQ917</t>
  </si>
  <si>
    <t>DMD/2112/09/CNIU8514</t>
  </si>
  <si>
    <t>GSK211209YDF498</t>
  </si>
  <si>
    <t>GSK211209HIX675</t>
  </si>
  <si>
    <t>GSK211209AGD843</t>
  </si>
  <si>
    <t>GSK211209QHO795</t>
  </si>
  <si>
    <t>GSK211208FWT106</t>
  </si>
  <si>
    <t>GSK211209MAJ534</t>
  </si>
  <si>
    <t>GSK211209JXH340</t>
  </si>
  <si>
    <t>GSK211209WGX052</t>
  </si>
  <si>
    <t>GSK211209DLZ421</t>
  </si>
  <si>
    <t>GSK211209QTC479</t>
  </si>
  <si>
    <t>GSK211209OXY691</t>
  </si>
  <si>
    <t>GSK211208EYH615</t>
  </si>
  <si>
    <t>GSK211208DIW645</t>
  </si>
  <si>
    <t>GSK211209BNQ735</t>
  </si>
  <si>
    <t>GSK211209BLO971</t>
  </si>
  <si>
    <t>GSK211208BHP230</t>
  </si>
  <si>
    <t>GSK211209EXG758</t>
  </si>
  <si>
    <t>GSK211209HGE713</t>
  </si>
  <si>
    <t>DMD/2112/09/IKTG5830</t>
  </si>
  <si>
    <t>GSK211209ZQF401</t>
  </si>
  <si>
    <t xml:space="preserve">DMD/2112/09/TXPD5293 </t>
  </si>
  <si>
    <t>GSK211209TOC583</t>
  </si>
  <si>
    <t>GSK211209VJR298</t>
  </si>
  <si>
    <t>GSK211208ZGI214</t>
  </si>
  <si>
    <t>GSK211207STA142</t>
  </si>
  <si>
    <t>GSK211207NZG183</t>
  </si>
  <si>
    <t>GSK211208VWI459</t>
  </si>
  <si>
    <t>GSK211208ZQL372</t>
  </si>
  <si>
    <t>GSK211209LRQ632</t>
  </si>
  <si>
    <t>GSK211208YUM425</t>
  </si>
  <si>
    <t>GSK211209TLU896</t>
  </si>
  <si>
    <t>GSK211209LFI268</t>
  </si>
  <si>
    <t>GSK211209XJF610</t>
  </si>
  <si>
    <t>GSK211207OZF315</t>
  </si>
  <si>
    <t>GSK211208ZWL175</t>
  </si>
  <si>
    <t>GSK211209QLP497</t>
  </si>
  <si>
    <t>GSK211207BUM826</t>
  </si>
  <si>
    <t>GSK211207WYJ624</t>
  </si>
  <si>
    <t>GSK211209NBA478</t>
  </si>
  <si>
    <t>GSK211209YJS528</t>
  </si>
  <si>
    <t>GSK211209ULF983</t>
  </si>
  <si>
    <t>GSK211209DPW960</t>
  </si>
  <si>
    <t>GSK211207XPR495</t>
  </si>
  <si>
    <t>GSK211208OJG498</t>
  </si>
  <si>
    <t>GSK211207HAR210</t>
  </si>
  <si>
    <t>GSK211209YPT865</t>
  </si>
  <si>
    <t>GSK211208KEV956</t>
  </si>
  <si>
    <t>GSK211209IGB895</t>
  </si>
  <si>
    <t>GSK211209NDT475</t>
  </si>
  <si>
    <t>GSK211209BDF024</t>
  </si>
  <si>
    <t>GSK211209TIO287</t>
  </si>
  <si>
    <t>GSK211209YRD167</t>
  </si>
  <si>
    <t>GSK211209NTQ169</t>
  </si>
  <si>
    <t>GSK211209FUD170</t>
  </si>
  <si>
    <t>GSK211209OWD863</t>
  </si>
  <si>
    <t>GSK211209JDX503</t>
  </si>
  <si>
    <t>GSK211209IKO537</t>
  </si>
  <si>
    <t>GSK211209RYC189</t>
  </si>
  <si>
    <t>GSK211209TBJ830</t>
  </si>
  <si>
    <t>GSK211209HIK670</t>
  </si>
  <si>
    <t>GSK211209HBD234</t>
  </si>
  <si>
    <t>GSK211207UJE216</t>
  </si>
  <si>
    <t>GSK211209SIW059</t>
  </si>
  <si>
    <t>GSK211209OBW935</t>
  </si>
  <si>
    <t xml:space="preserve">DMD/2112/09/DLRN0297 </t>
  </si>
  <si>
    <t>GSK211209XVU810</t>
  </si>
  <si>
    <t>GSK211209CNX653</t>
  </si>
  <si>
    <t xml:space="preserve">DMD/2112/09/JBLW9523 </t>
  </si>
  <si>
    <t>GSK211208TXG182</t>
  </si>
  <si>
    <t>GSK211209SCT452</t>
  </si>
  <si>
    <t>GSK211207PZG726</t>
  </si>
  <si>
    <t>GSK211209THV150</t>
  </si>
  <si>
    <t>GSK211208NTZ570</t>
  </si>
  <si>
    <t>GSK211207VPW785</t>
  </si>
  <si>
    <t>GSK211209XQO203</t>
  </si>
  <si>
    <t>GSK211208ZNL680</t>
  </si>
  <si>
    <t>GSK211209JIA780</t>
  </si>
  <si>
    <t>GSK211208QUJ102</t>
  </si>
  <si>
    <t>12/15/2021 RESTU</t>
  </si>
  <si>
    <t>DMD/2112/09/FPBX7240</t>
  </si>
  <si>
    <t>GSK211209CMT342</t>
  </si>
  <si>
    <t>GSK211209DOW273</t>
  </si>
  <si>
    <t>GSK211209LEG306</t>
  </si>
  <si>
    <t>GSK211209PFH587</t>
  </si>
  <si>
    <t>GSK211209OZI406</t>
  </si>
  <si>
    <t>GSK211209RKT051</t>
  </si>
  <si>
    <t>GSK211209WUE874</t>
  </si>
  <si>
    <t>GSK211209WTO926</t>
  </si>
  <si>
    <t>GSK211209LNW126</t>
  </si>
  <si>
    <t>GSK211209KLO521</t>
  </si>
  <si>
    <t>GSK211209ZJQ620</t>
  </si>
  <si>
    <t>GSK211209FSR289</t>
  </si>
  <si>
    <t>GSK211209ISH093</t>
  </si>
  <si>
    <t>GSK211209YNU639</t>
  </si>
  <si>
    <t>GSK211209LIY826</t>
  </si>
  <si>
    <t>GSK211209QCW672</t>
  </si>
  <si>
    <t>GSK211209BAJ926</t>
  </si>
  <si>
    <t>GSK211209VIN213</t>
  </si>
  <si>
    <t>GSK211209XPM207</t>
  </si>
  <si>
    <t>GSK211209GIR520</t>
  </si>
  <si>
    <t>GSK211209XZI109</t>
  </si>
  <si>
    <t>GSK211209RZI561</t>
  </si>
  <si>
    <t>GSK211209ZPU542</t>
  </si>
  <si>
    <t>GSK211209DAR178</t>
  </si>
  <si>
    <t>GSK211207LOQ132</t>
  </si>
  <si>
    <t>GSK211208HSM129</t>
  </si>
  <si>
    <t>GSK211208QDP831</t>
  </si>
  <si>
    <t>GSK211208LZK854</t>
  </si>
  <si>
    <t>GSK211209AEO812</t>
  </si>
  <si>
    <t>GSK211209YSC251</t>
  </si>
  <si>
    <t>GSK211209OIU684</t>
  </si>
  <si>
    <t>GSK211209YCS186</t>
  </si>
  <si>
    <t>GSK211209LFR726</t>
  </si>
  <si>
    <t>GSK211208OLP594</t>
  </si>
  <si>
    <t>GSK211209BUZ253</t>
  </si>
  <si>
    <t>GSK211209HZJ146</t>
  </si>
  <si>
    <t>GSK211209NCG138</t>
  </si>
  <si>
    <t>GSK211209JHX264</t>
  </si>
  <si>
    <t>GSK211209BQC407</t>
  </si>
  <si>
    <t>GSK211209ECP160</t>
  </si>
  <si>
    <t>GSK211209ARW572</t>
  </si>
  <si>
    <t>GSK211207AXW379</t>
  </si>
  <si>
    <t>GSK211209KZW643</t>
  </si>
  <si>
    <t>GSK211208JHU458</t>
  </si>
  <si>
    <t>GSK211208UCM218</t>
  </si>
  <si>
    <t>GSK211209GKP239</t>
  </si>
  <si>
    <t>GSK211209PEF082</t>
  </si>
  <si>
    <t>GSK211209ZAM175</t>
  </si>
  <si>
    <t>GSK211209PRJ740</t>
  </si>
  <si>
    <t>GSK211209CVI354</t>
  </si>
  <si>
    <t>GSK211209OXP085</t>
  </si>
  <si>
    <t>GSK211209CFM870</t>
  </si>
  <si>
    <t>GSK211209HVK984</t>
  </si>
  <si>
    <t>GSK211209PRQ092</t>
  </si>
  <si>
    <t>GSK211209AQY674</t>
  </si>
  <si>
    <t>GSK211207AHO357</t>
  </si>
  <si>
    <t>GSK211207BGP426</t>
  </si>
  <si>
    <t>GSK211207UTK284</t>
  </si>
  <si>
    <t>GSK211207AMO697</t>
  </si>
  <si>
    <t>GSK211209THK025</t>
  </si>
  <si>
    <t>GSK211209CSP421</t>
  </si>
  <si>
    <t>GSK211208NIO830</t>
  </si>
  <si>
    <t>GSK211208SJA075</t>
  </si>
  <si>
    <t>GSK211209CLS186</t>
  </si>
  <si>
    <t>GSK211209RQZ579</t>
  </si>
  <si>
    <t>GSK211208MDI148</t>
  </si>
  <si>
    <t>GSK211208HLP765</t>
  </si>
  <si>
    <t>GSK211208JCU134</t>
  </si>
  <si>
    <t>GSK211209UXE768</t>
  </si>
  <si>
    <t>GSK211209TVN732</t>
  </si>
  <si>
    <t>GSK211208IEZ542</t>
  </si>
  <si>
    <t>GSK211207OWH184</t>
  </si>
  <si>
    <t>GSK211209HJM209</t>
  </si>
  <si>
    <t>GSK211209BLC415</t>
  </si>
  <si>
    <t>GSK211207BDC160</t>
  </si>
  <si>
    <t>GSK211209BEV591</t>
  </si>
  <si>
    <t>GSK211209HZA594</t>
  </si>
  <si>
    <t>GSK211207LWT032</t>
  </si>
  <si>
    <t>GSK211208FJL584</t>
  </si>
  <si>
    <t>GSK211209JEL584</t>
  </si>
  <si>
    <t>GSK211209POV631</t>
  </si>
  <si>
    <t>GSK211209EUK895</t>
  </si>
  <si>
    <t>GSK211209MBV624</t>
  </si>
  <si>
    <t>GSK211207XHA487</t>
  </si>
  <si>
    <t>GSK211209YCV739</t>
  </si>
  <si>
    <t>GSK211209WQS217</t>
  </si>
  <si>
    <t>GSK211209TVL160</t>
  </si>
  <si>
    <t>GSK211208BOZ820</t>
  </si>
  <si>
    <t>GSK211208IUV847</t>
  </si>
  <si>
    <t>DMD/2112/10/BJFC4308</t>
  </si>
  <si>
    <t>GSK211210MDZ621</t>
  </si>
  <si>
    <t>GSK211210URV235</t>
  </si>
  <si>
    <t>GSK211210XHM769</t>
  </si>
  <si>
    <t>GSK211210NFK830</t>
  </si>
  <si>
    <t>GSK211210XZW504</t>
  </si>
  <si>
    <t>GSK211210IJA519</t>
  </si>
  <si>
    <t>GSK211210OCD250</t>
  </si>
  <si>
    <t>GSK211210BNS250</t>
  </si>
  <si>
    <t>GSK211210VAW974</t>
  </si>
  <si>
    <t>GSK211210VNT512</t>
  </si>
  <si>
    <t>GSK211210KAL904</t>
  </si>
  <si>
    <t>GSK211210FOW645</t>
  </si>
  <si>
    <t>GSK211210HSA359</t>
  </si>
  <si>
    <t>GSK211210YUW601</t>
  </si>
  <si>
    <t>GSK211210ZRJ930</t>
  </si>
  <si>
    <t>GSK211210UDF035</t>
  </si>
  <si>
    <t>GSK211210JGD658</t>
  </si>
  <si>
    <t>GSK211210CJI192</t>
  </si>
  <si>
    <t>GSK211210UBO019</t>
  </si>
  <si>
    <t>GSK211210AVK509</t>
  </si>
  <si>
    <t>GSK211210KND158</t>
  </si>
  <si>
    <t>DMD/2112/10/BPDG4781</t>
  </si>
  <si>
    <t>GSK211210QED672</t>
  </si>
  <si>
    <t>GSK211210SHD516</t>
  </si>
  <si>
    <t>GSK211210UEF964</t>
  </si>
  <si>
    <t>DMD/2112/10/NHFY4356</t>
  </si>
  <si>
    <t>GSK211210BFX217</t>
  </si>
  <si>
    <t>GSK211208PUB301</t>
  </si>
  <si>
    <t>GSK211209DIE241</t>
  </si>
  <si>
    <t>GSK211210ZRY820</t>
  </si>
  <si>
    <t>GSK211210ZDT947</t>
  </si>
  <si>
    <t>GSK211210ZYW475</t>
  </si>
  <si>
    <t>GSK211210IGP950</t>
  </si>
  <si>
    <t>GSK211210RZE261</t>
  </si>
  <si>
    <t>GSK211210RQF567</t>
  </si>
  <si>
    <t>GSK211210CRU063</t>
  </si>
  <si>
    <t>GSK211209WJP173</t>
  </si>
  <si>
    <t>GSK211210HSG836</t>
  </si>
  <si>
    <t>GSK211210EAF379</t>
  </si>
  <si>
    <t>GSK211209JIY507</t>
  </si>
  <si>
    <t>GSK211210ZDG216</t>
  </si>
  <si>
    <t>GSK211210TCD416</t>
  </si>
  <si>
    <t>GSK211208RFU932</t>
  </si>
  <si>
    <t>GSK211209BKA419</t>
  </si>
  <si>
    <t>GSK211209NDH265</t>
  </si>
  <si>
    <t>GSK211210RKD852</t>
  </si>
  <si>
    <t>GSK211209DBF471</t>
  </si>
  <si>
    <t>GSK211210LZN815</t>
  </si>
  <si>
    <t>GSK211210KLZ435</t>
  </si>
  <si>
    <t>GSK211210QJC481</t>
  </si>
  <si>
    <t>GSK211209YNA625</t>
  </si>
  <si>
    <t>GSK211209RJH265</t>
  </si>
  <si>
    <t>GSK211209HAU461</t>
  </si>
  <si>
    <t>GSK211210EXG647</t>
  </si>
  <si>
    <t>GSK211209XOA164</t>
  </si>
  <si>
    <t>GSK211209DKB678</t>
  </si>
  <si>
    <t>GSK211209QSZ083</t>
  </si>
  <si>
    <t>GSK211210PTW376</t>
  </si>
  <si>
    <t>GSK211210UAD708</t>
  </si>
  <si>
    <t>GSK211209YLM257</t>
  </si>
  <si>
    <t>GSK211210FVC412</t>
  </si>
  <si>
    <t>GSK211209EOR940</t>
  </si>
  <si>
    <t>GSK211210SUV724</t>
  </si>
  <si>
    <t>GSK211210PVM417</t>
  </si>
  <si>
    <t>GSK211209QYE462</t>
  </si>
  <si>
    <t>GSK211210CXN346</t>
  </si>
  <si>
    <t>GSK211208MHT238</t>
  </si>
  <si>
    <t>GSK211210VCT018</t>
  </si>
  <si>
    <t>GSK211208MAJ915</t>
  </si>
  <si>
    <t>GSK211210MZW769</t>
  </si>
  <si>
    <t>GSK211210AVE425</t>
  </si>
  <si>
    <t>GSK211210LRB510</t>
  </si>
  <si>
    <t>GSK211209DMO163</t>
  </si>
  <si>
    <t>GSK211210ADR236</t>
  </si>
  <si>
    <t>GSK211210ITM650</t>
  </si>
  <si>
    <t>GSK211210AXV051</t>
  </si>
  <si>
    <t>GSK211208FOH462</t>
  </si>
  <si>
    <t>GSK211210EVQ052</t>
  </si>
  <si>
    <t>GSK211210TKY093</t>
  </si>
  <si>
    <t>GSK211210SHE280</t>
  </si>
  <si>
    <t>GSK211210KDA920</t>
  </si>
  <si>
    <t>GSK211210UZV402</t>
  </si>
  <si>
    <t>GSK211210PDI079</t>
  </si>
  <si>
    <t>GSK211210ASU956</t>
  </si>
  <si>
    <t>GSK211210FEJ308</t>
  </si>
  <si>
    <t>GSK211210HJG967</t>
  </si>
  <si>
    <t>GSK211210KLI453</t>
  </si>
  <si>
    <t>GSK211210SRQ281</t>
  </si>
  <si>
    <t>GSK211210RCT142</t>
  </si>
  <si>
    <t>GSK211210YJC190</t>
  </si>
  <si>
    <t>GSK211210MGK423</t>
  </si>
  <si>
    <t>GSK211210CYT781</t>
  </si>
  <si>
    <t>GSK211208JUM791</t>
  </si>
  <si>
    <t>GSK211210ZBJ364</t>
  </si>
  <si>
    <t>GSK211209YAF286</t>
  </si>
  <si>
    <t>GSK211210KWV271</t>
  </si>
  <si>
    <t>GSK211210KVL794</t>
  </si>
  <si>
    <t>GSK211209MSP376</t>
  </si>
  <si>
    <t>GSK211210HZN416</t>
  </si>
  <si>
    <t>GSK211210NIL486</t>
  </si>
  <si>
    <t>GSK211210RPK916</t>
  </si>
  <si>
    <t>GSK211210XYB824</t>
  </si>
  <si>
    <t>GSK211210NSV948</t>
  </si>
  <si>
    <t>GSK211210TNX920</t>
  </si>
  <si>
    <t>GSK211210BVC259</t>
  </si>
  <si>
    <t>GSK211210FQV542</t>
  </si>
  <si>
    <t>GSK211209LSI862</t>
  </si>
  <si>
    <t>GSK211208UDS518</t>
  </si>
  <si>
    <t>GSK211210PFY490</t>
  </si>
  <si>
    <t>GSK211210XIT465</t>
  </si>
  <si>
    <t>GSK211209IGL678</t>
  </si>
  <si>
    <t>GSK211210EGW328</t>
  </si>
  <si>
    <t>GSK211210OPI829</t>
  </si>
  <si>
    <t>GSK211210WMI694</t>
  </si>
  <si>
    <t>GSK211209FPD803</t>
  </si>
  <si>
    <t>GSK211210LJV316</t>
  </si>
  <si>
    <t>GSK211209LHV409</t>
  </si>
  <si>
    <t>GSK211209IZA210</t>
  </si>
  <si>
    <t>GSK211209KSX704</t>
  </si>
  <si>
    <t>GSK211210XKP970</t>
  </si>
  <si>
    <t>GSK211210YEC284</t>
  </si>
  <si>
    <t>GSK211210LBH295</t>
  </si>
  <si>
    <t>GSK211210JSY248</t>
  </si>
  <si>
    <t>GSK211210TEQ420</t>
  </si>
  <si>
    <t>GSK211209UPR683</t>
  </si>
  <si>
    <t>GSK211210FQY805</t>
  </si>
  <si>
    <t>GSK211210MTY274</t>
  </si>
  <si>
    <t>GSK211209SCI765</t>
  </si>
  <si>
    <t>GSK211210ABX576</t>
  </si>
  <si>
    <t>GSK211210TJO820</t>
  </si>
  <si>
    <t>GSK211210HFN147</t>
  </si>
  <si>
    <t>GSK211210OBX978</t>
  </si>
  <si>
    <t>GSK211210IWL730</t>
  </si>
  <si>
    <t>GSK211210QNR721</t>
  </si>
  <si>
    <t>GSK211210WOU437</t>
  </si>
  <si>
    <t>GSK211210QZP758</t>
  </si>
  <si>
    <t>GSK211210FSX470</t>
  </si>
  <si>
    <t>GSK211210ORW532</t>
  </si>
  <si>
    <t>GSK211210RSV893</t>
  </si>
  <si>
    <t>GSK211210UGK651</t>
  </si>
  <si>
    <t>GSK211209JSH724</t>
  </si>
  <si>
    <t>GSK211210YPU591</t>
  </si>
  <si>
    <t>GSK211210XPA904</t>
  </si>
  <si>
    <t>GSK211210DCO938</t>
  </si>
  <si>
    <t>GSK211210OFX259</t>
  </si>
  <si>
    <t>GSK211210IBH725</t>
  </si>
  <si>
    <t>GSK211210RDI764</t>
  </si>
  <si>
    <t>GSK211210SZM914</t>
  </si>
  <si>
    <t>GSK211209GYZ269</t>
  </si>
  <si>
    <t>GSK211209PYM964</t>
  </si>
  <si>
    <t>GSK211210AJE803</t>
  </si>
  <si>
    <t>GSK211210QAM364</t>
  </si>
  <si>
    <t>GSK211210CUE284</t>
  </si>
  <si>
    <t>GSK211210VKO567</t>
  </si>
  <si>
    <t>GSK211210ADB531</t>
  </si>
  <si>
    <t>GSK211208DAR345</t>
  </si>
  <si>
    <t>GSK211210PBX842</t>
  </si>
  <si>
    <t>GSK211210QVM685</t>
  </si>
  <si>
    <t>GSK211209IBV197</t>
  </si>
  <si>
    <t>GSK211209SBZ072</t>
  </si>
  <si>
    <t>GSK211209VZF198</t>
  </si>
  <si>
    <t>GSK211210GDY792</t>
  </si>
  <si>
    <t>GSK211209OEF126</t>
  </si>
  <si>
    <t>DMD/2112/10/JOXS2586</t>
  </si>
  <si>
    <t>GSK211210QZG068</t>
  </si>
  <si>
    <t>GSK211209STA197</t>
  </si>
  <si>
    <t>GSK211209ALS249</t>
  </si>
  <si>
    <t>GSK211210MJK873</t>
  </si>
  <si>
    <t>GSK211210TCW973</t>
  </si>
  <si>
    <t>GSK211210VYI904</t>
  </si>
  <si>
    <t>GSK211209VGX876</t>
  </si>
  <si>
    <t>GSK211209VAR740</t>
  </si>
  <si>
    <t>DMD/2112/11/JHAM4196</t>
  </si>
  <si>
    <t>GSK211211ATD579</t>
  </si>
  <si>
    <t>GSK211211UTO581</t>
  </si>
  <si>
    <t>GSK211211IPR270</t>
  </si>
  <si>
    <t>GSK211211JTG216</t>
  </si>
  <si>
    <t>GSK211210OQX879</t>
  </si>
  <si>
    <t>GSK211210KBH746</t>
  </si>
  <si>
    <t>GSK211211YPO084</t>
  </si>
  <si>
    <t>GSK211211OAP590</t>
  </si>
  <si>
    <t>GSK211211EDM418</t>
  </si>
  <si>
    <t>GSK211211NXY947</t>
  </si>
  <si>
    <t>GSK211211ACF935</t>
  </si>
  <si>
    <t>GSK211211YQJ319</t>
  </si>
  <si>
    <t>GSK211210KOF562</t>
  </si>
  <si>
    <t>GSK211211LVU316</t>
  </si>
  <si>
    <t>GSK211211EMQ163</t>
  </si>
  <si>
    <t>GSK211211EOS518</t>
  </si>
  <si>
    <t>GSK211211PAU019</t>
  </si>
  <si>
    <t>GSK211211PDH875</t>
  </si>
  <si>
    <t>GSK211211KFD713</t>
  </si>
  <si>
    <t>GSK211211ZED149</t>
  </si>
  <si>
    <t>GSK211211CQS249</t>
  </si>
  <si>
    <t>GSK211211STW216</t>
  </si>
  <si>
    <t>GSK211211WUM423</t>
  </si>
  <si>
    <t>DMD/2112/11/KYCI9765</t>
  </si>
  <si>
    <t>GSK211211CSQ392</t>
  </si>
  <si>
    <t>GSK211211KRF306</t>
  </si>
  <si>
    <t>12/19/2021 RESTU</t>
  </si>
  <si>
    <t>DMD/2112/11/DJFL4127</t>
  </si>
  <si>
    <t>GSK211211SZF417</t>
  </si>
  <si>
    <t>GSK211211TLU567</t>
  </si>
  <si>
    <t>GSK211211ROJ954</t>
  </si>
  <si>
    <t>GSK211211LRB264</t>
  </si>
  <si>
    <t>GSK211211RZD231</t>
  </si>
  <si>
    <t>GSK211211DCA597</t>
  </si>
  <si>
    <t>GSK211211OGQ834</t>
  </si>
  <si>
    <t>GSK211211IAE682</t>
  </si>
  <si>
    <t>DMD/2112/11/EFRQ9426</t>
  </si>
  <si>
    <t>GSK211211EGA598</t>
  </si>
  <si>
    <t>12/17/2021 RESTU</t>
  </si>
  <si>
    <t>DMD/2112/11/ZCXN7423</t>
  </si>
  <si>
    <t>GSK211211HFN847</t>
  </si>
  <si>
    <t>GSK211209RGH672</t>
  </si>
  <si>
    <t>GSK211211VRA073</t>
  </si>
  <si>
    <t>GSK211211GYW471</t>
  </si>
  <si>
    <t>GSK211211XYT720</t>
  </si>
  <si>
    <t>GSK211211RZU751</t>
  </si>
  <si>
    <t>GSK211211NED690</t>
  </si>
  <si>
    <t>GSK211211ZMI803</t>
  </si>
  <si>
    <t>GSK211211SWI907</t>
  </si>
  <si>
    <t>GSK211211FHA576</t>
  </si>
  <si>
    <t>GSK211209ZNG805</t>
  </si>
  <si>
    <t>GSK211211KYC617</t>
  </si>
  <si>
    <t>GSK211211JTA693</t>
  </si>
  <si>
    <t>GSK211211EPR125</t>
  </si>
  <si>
    <t>GSK211210VWC079</t>
  </si>
  <si>
    <t>GSK211211KZM089</t>
  </si>
  <si>
    <t>GSK211211HLC426</t>
  </si>
  <si>
    <t>GSK211210LYT450</t>
  </si>
  <si>
    <t>GSK211211UAT025</t>
  </si>
  <si>
    <t>GSK211211JDR619</t>
  </si>
  <si>
    <t>GSK211211QCE806</t>
  </si>
  <si>
    <t>GSK211211IDJ256</t>
  </si>
  <si>
    <t>GSK211211ZJR903</t>
  </si>
  <si>
    <t>GSK211211OYR497</t>
  </si>
  <si>
    <t>GSK211211RWK093</t>
  </si>
  <si>
    <t>GSK211210HTR830</t>
  </si>
  <si>
    <t>GSK211211GVR805</t>
  </si>
  <si>
    <t>GSK211211EHP803</t>
  </si>
  <si>
    <t>GSK211211VDO301</t>
  </si>
  <si>
    <t>GSK211211KDW168</t>
  </si>
  <si>
    <t>GSK211211FYV328</t>
  </si>
  <si>
    <t>GSK211211KPV518</t>
  </si>
  <si>
    <t>GSK211211FZQ034</t>
  </si>
  <si>
    <t>GSK211210WQJ928</t>
  </si>
  <si>
    <t>GSK211211XAM965</t>
  </si>
  <si>
    <t>GSK211211HGW481</t>
  </si>
  <si>
    <t>GSK211211INH954</t>
  </si>
  <si>
    <t>GSK211210POJ760</t>
  </si>
  <si>
    <t>GSK211210LOU047</t>
  </si>
  <si>
    <t>GSK211211GXY945</t>
  </si>
  <si>
    <t>GSK211211AWK842</t>
  </si>
  <si>
    <t>GSK211210JFW943</t>
  </si>
  <si>
    <t>GSK211211ZMK108</t>
  </si>
  <si>
    <t>GSK211211CBV792</t>
  </si>
  <si>
    <t>GSK211211YNS650</t>
  </si>
  <si>
    <t>GSK211211WQI198</t>
  </si>
  <si>
    <t>GSK211211PWS417</t>
  </si>
  <si>
    <t>GSK211211OTP468</t>
  </si>
  <si>
    <t>GSK211211VIJ196</t>
  </si>
  <si>
    <t>GSK211211ZWA271</t>
  </si>
  <si>
    <t>GSK211211KVW935</t>
  </si>
  <si>
    <t>GSK211210REU849</t>
  </si>
  <si>
    <t>GSK211211IHM469</t>
  </si>
  <si>
    <t>GSK211210UBN638</t>
  </si>
  <si>
    <t>GSK211211XIF086</t>
  </si>
  <si>
    <t>GSK211210EUS124</t>
  </si>
  <si>
    <t>GSK211211DCU914</t>
  </si>
  <si>
    <t>GSK211210WAI073</t>
  </si>
  <si>
    <t>GSK211211AWE859</t>
  </si>
  <si>
    <t>GSK211211ZNW976</t>
  </si>
  <si>
    <t>GSK211211JWY958</t>
  </si>
  <si>
    <t>GSK211211DOV850</t>
  </si>
  <si>
    <t>GSK211211AOX536</t>
  </si>
  <si>
    <t>GSK211211NPJ503</t>
  </si>
  <si>
    <t>GSK211211JKW148</t>
  </si>
  <si>
    <t>GSK211210AJZ420</t>
  </si>
  <si>
    <t>GSK211211XMS896</t>
  </si>
  <si>
    <t>GSK211211CTA172</t>
  </si>
  <si>
    <t>GSK211210PJV730</t>
  </si>
  <si>
    <t>GSK211211XAG862</t>
  </si>
  <si>
    <t>GSK211211WCH216</t>
  </si>
  <si>
    <t>GSK211211ZDJ812</t>
  </si>
  <si>
    <t>GSK211211VGY210</t>
  </si>
  <si>
    <t>GSK211211DBZ762</t>
  </si>
  <si>
    <t>GSK211210RYN540</t>
  </si>
  <si>
    <t>GSK211211XNF928</t>
  </si>
  <si>
    <t>GSK211211ZVW532</t>
  </si>
  <si>
    <t>GSK211210JLH635</t>
  </si>
  <si>
    <t>GSK211211BLQ412</t>
  </si>
  <si>
    <t>GSK211211KOJ013</t>
  </si>
  <si>
    <t>GSK211211JLV062</t>
  </si>
  <si>
    <t>GSK211210HCA805</t>
  </si>
  <si>
    <t>GSK211211YZX597</t>
  </si>
  <si>
    <t>GSK211211JWU516</t>
  </si>
  <si>
    <t>GSK211211HQJ631</t>
  </si>
  <si>
    <t>GSK211211JDL241</t>
  </si>
  <si>
    <t>GSK211210WQE897</t>
  </si>
  <si>
    <t>GSK211210SGT508</t>
  </si>
  <si>
    <t>GSK211211LPX867</t>
  </si>
  <si>
    <t>GSK211211JHW180</t>
  </si>
  <si>
    <t>GSK211211GVJ941</t>
  </si>
  <si>
    <t>GSK211211EMH257</t>
  </si>
  <si>
    <t>GSK211211FRM876</t>
  </si>
  <si>
    <t>GSK211211JFQ402</t>
  </si>
  <si>
    <t>GSK211211NSW594</t>
  </si>
  <si>
    <t>GSK211211LPY450</t>
  </si>
  <si>
    <t>GSK211211URC538</t>
  </si>
  <si>
    <t>GSK211211OFL457</t>
  </si>
  <si>
    <t>GSK211211KVO713</t>
  </si>
  <si>
    <t>GSK211211PYL457</t>
  </si>
  <si>
    <t>GSK211211CFW826</t>
  </si>
  <si>
    <t>GSK211211VIZ514</t>
  </si>
  <si>
    <t>GSK211211GEB381</t>
  </si>
  <si>
    <t>GSK211211LQJ215</t>
  </si>
  <si>
    <t>GSK211211VCL147</t>
  </si>
  <si>
    <t>GSK211210FEQ962</t>
  </si>
  <si>
    <t>DMD/2112/11/NETG2607</t>
  </si>
  <si>
    <t>GSK211211MNF531</t>
  </si>
  <si>
    <t>GSK211211CAL268</t>
  </si>
  <si>
    <t>GSK211210ZQM326</t>
  </si>
  <si>
    <t>GSK211210AKV387</t>
  </si>
  <si>
    <t>GSK211211ETP283</t>
  </si>
  <si>
    <t>GSK211210TSY731</t>
  </si>
  <si>
    <t>GSK211211PVI346</t>
  </si>
  <si>
    <t>GSK211211VLR074</t>
  </si>
  <si>
    <t>GSK211211PSJ082</t>
  </si>
  <si>
    <t>GSK211210EBQ534</t>
  </si>
  <si>
    <t>GSK211211LJB724</t>
  </si>
  <si>
    <t xml:space="preserve"> DMD/2112/11/TLOG7492</t>
  </si>
  <si>
    <t>GSK211211OEL908</t>
  </si>
  <si>
    <t>GSK211211JHF173</t>
  </si>
  <si>
    <t>GSK211211KSG024</t>
  </si>
  <si>
    <t>GSK211211HLF479</t>
  </si>
  <si>
    <t>GSK211211VXL081</t>
  </si>
  <si>
    <t>GSK211211DZI158</t>
  </si>
  <si>
    <t>GSK211211DOB432</t>
  </si>
  <si>
    <t>GSK211211QLH352</t>
  </si>
  <si>
    <t>GSK211211IAF721</t>
  </si>
  <si>
    <t>GSK211211QDF592</t>
  </si>
  <si>
    <t>GSK211211RVE270</t>
  </si>
  <si>
    <t>GSK211211FTK926</t>
  </si>
  <si>
    <t>GSK211211MPJ142</t>
  </si>
  <si>
    <t>GSK211211KDJ295</t>
  </si>
  <si>
    <t>GSK211211WXY932</t>
  </si>
  <si>
    <t>GSK211211HFL839</t>
  </si>
  <si>
    <t>GSK211211WMP738</t>
  </si>
  <si>
    <t>GSK211211TDW439</t>
  </si>
  <si>
    <t>GSK211211PHZ318</t>
  </si>
  <si>
    <t>GSK211211KAE863</t>
  </si>
  <si>
    <t>GSK211211LQE831</t>
  </si>
  <si>
    <t>GSK211211RIZ239</t>
  </si>
  <si>
    <t>GSK211211OLM250</t>
  </si>
  <si>
    <t>GSK211211OGY523</t>
  </si>
  <si>
    <t>GSK211211RKI196</t>
  </si>
  <si>
    <t>GSK211211PZT978</t>
  </si>
  <si>
    <t>GSK211211OQG489</t>
  </si>
  <si>
    <t>GSK211211VXJ495</t>
  </si>
  <si>
    <t>GSK211211AXY042</t>
  </si>
  <si>
    <t>GSK211211OXB980</t>
  </si>
  <si>
    <t>DMD/2112/12/VSNA6078</t>
  </si>
  <si>
    <t>DMD/2112/12/KCAP0412</t>
  </si>
  <si>
    <t>GSK211212TQR751</t>
  </si>
  <si>
    <t>GSK211212ULC706</t>
  </si>
  <si>
    <t>GSK211211TWV198</t>
  </si>
  <si>
    <t>GSK211212KEF956</t>
  </si>
  <si>
    <t>GSK211212VQC835</t>
  </si>
  <si>
    <t>GSK211211PAY716</t>
  </si>
  <si>
    <t>GSK211212ZCP312</t>
  </si>
  <si>
    <t>GSK211212WIS719</t>
  </si>
  <si>
    <t>GSK211212HYE729</t>
  </si>
  <si>
    <t>GSK211212DAT015</t>
  </si>
  <si>
    <t>GSK211212QFS653</t>
  </si>
  <si>
    <t>GSK211212RWO920</t>
  </si>
  <si>
    <t>GSK211212NVK741</t>
  </si>
  <si>
    <t>GSK211212BFR386</t>
  </si>
  <si>
    <t>GSK211211NWE853</t>
  </si>
  <si>
    <t>GSK211212JSI327</t>
  </si>
  <si>
    <t>GSK211212XUA169</t>
  </si>
  <si>
    <t>GSK211212WQD739</t>
  </si>
  <si>
    <t>GSK211212EMK645</t>
  </si>
  <si>
    <t>GSK211212ZER037</t>
  </si>
  <si>
    <t>GSK211212DWH147</t>
  </si>
  <si>
    <t>GSK211212AIP273</t>
  </si>
  <si>
    <t>GSK211212LAK185</t>
  </si>
  <si>
    <t>GSK211212MDZ145</t>
  </si>
  <si>
    <t>DMD/2112/12/IQMD1735</t>
  </si>
  <si>
    <t>GSK211212HJA581</t>
  </si>
  <si>
    <t>GSK211212RFM410</t>
  </si>
  <si>
    <t>GSK211212PUF371</t>
  </si>
  <si>
    <t>GSK211212SOL719</t>
  </si>
  <si>
    <t>GSK211212JBQ695</t>
  </si>
  <si>
    <t>GSK211211LZQ894</t>
  </si>
  <si>
    <t>GSK211212YUM972</t>
  </si>
  <si>
    <t>GSK211212KLD318</t>
  </si>
  <si>
    <t>GSK211212PIU837</t>
  </si>
  <si>
    <t>GSK211212XQR354</t>
  </si>
  <si>
    <t>GSK211212KWG259</t>
  </si>
  <si>
    <t>GSK211212TPF241</t>
  </si>
  <si>
    <t>GSK211212ERN428</t>
  </si>
  <si>
    <t>GSK211212FHK764</t>
  </si>
  <si>
    <t>GSK211212XWR039</t>
  </si>
  <si>
    <t>GSK211212MBA923</t>
  </si>
  <si>
    <t>GSK211212QJS043</t>
  </si>
  <si>
    <t>GSK211212XKE429</t>
  </si>
  <si>
    <t>GSK211211ZAG718</t>
  </si>
  <si>
    <t>GSK211212RVG345</t>
  </si>
  <si>
    <t>GSK211212SNU378</t>
  </si>
  <si>
    <t>GSK211212KBL324</t>
  </si>
  <si>
    <t>GSK211212ROF031</t>
  </si>
  <si>
    <t>GSK211212XNH306</t>
  </si>
  <si>
    <t>GSK211212CYX978</t>
  </si>
  <si>
    <t>GSK211212XQW593</t>
  </si>
  <si>
    <t>GSK211212VPT241</t>
  </si>
  <si>
    <t>GSK211212DLO620</t>
  </si>
  <si>
    <t>GSK211212HWG352</t>
  </si>
  <si>
    <t>DMD/2112/13/BTPZ9281</t>
  </si>
  <si>
    <t>GSK211212BKZ458</t>
  </si>
  <si>
    <t>DMD/2112/12/LTVJ9357</t>
  </si>
  <si>
    <t>GSK211210XUL285</t>
  </si>
  <si>
    <t>GSK211211GCU745</t>
  </si>
  <si>
    <t>GSK211212PIF809</t>
  </si>
  <si>
    <t>GSK211211YDL723</t>
  </si>
  <si>
    <t>GSK211212MXC178</t>
  </si>
  <si>
    <t>GSK211211BNE710</t>
  </si>
  <si>
    <t>GSK211211UNG548</t>
  </si>
  <si>
    <t>GSK211212TWA437</t>
  </si>
  <si>
    <t>GSK211212WSR521</t>
  </si>
  <si>
    <t>DMD/2112/12/QNBY0612</t>
  </si>
  <si>
    <t>GSK211212QNY052</t>
  </si>
  <si>
    <t>GSK211210DPJ156</t>
  </si>
  <si>
    <t>GSK211212SCK824</t>
  </si>
  <si>
    <t>GSK211211TLW431</t>
  </si>
  <si>
    <t>GSK211212OID619</t>
  </si>
  <si>
    <t>GSK211212KTQ230</t>
  </si>
  <si>
    <t>GSK211211XOY307</t>
  </si>
  <si>
    <t>GSK211212QBF768</t>
  </si>
  <si>
    <t>GSK211212BQH204</t>
  </si>
  <si>
    <t>GSK211212OCY023</t>
  </si>
  <si>
    <t>GSK211212WDS458</t>
  </si>
  <si>
    <t>GSK211212SOL695</t>
  </si>
  <si>
    <t>GSK211212PUR421</t>
  </si>
  <si>
    <t>GSK211212SLC479</t>
  </si>
  <si>
    <t>GSK211212PLO294</t>
  </si>
  <si>
    <t>GSK211212PTQ564</t>
  </si>
  <si>
    <t>GSK211210JLN859</t>
  </si>
  <si>
    <t>GSK211211HTL014</t>
  </si>
  <si>
    <t>GSK211212BAP601</t>
  </si>
  <si>
    <t>GSK211212TGD762</t>
  </si>
  <si>
    <t>GSK211212PKL832</t>
  </si>
  <si>
    <t>GSK211212MPD148</t>
  </si>
  <si>
    <t>GSK211212TBZ356</t>
  </si>
  <si>
    <t>GSK211212WCL709</t>
  </si>
  <si>
    <t>GSK211212WMP598</t>
  </si>
  <si>
    <t>GSK211212ZHN314</t>
  </si>
  <si>
    <t>GSK211212NRP758</t>
  </si>
  <si>
    <t>GSK211212CPZ621</t>
  </si>
  <si>
    <t>GSK211210JLA196</t>
  </si>
  <si>
    <t>GSK211212GCR183</t>
  </si>
  <si>
    <t>GSK211211VPD175</t>
  </si>
  <si>
    <t>GSK211211JWE916</t>
  </si>
  <si>
    <t>GSK211212JQZ532</t>
  </si>
  <si>
    <t>GSK211211UVD457</t>
  </si>
  <si>
    <t>GSK211212OTN420</t>
  </si>
  <si>
    <t>GSK211211NGR820</t>
  </si>
  <si>
    <t>GSK211212FLE692</t>
  </si>
  <si>
    <t>GSK211212GOT072</t>
  </si>
  <si>
    <t>GSK211212QJF925</t>
  </si>
  <si>
    <t>GSK211212GRV018</t>
  </si>
  <si>
    <t>GSK211212MXZ450</t>
  </si>
  <si>
    <t>GSK211210POR904</t>
  </si>
  <si>
    <t>GSK211212UWH352</t>
  </si>
  <si>
    <t>GSK211212NXO895</t>
  </si>
  <si>
    <t>GSK211212VUT182</t>
  </si>
  <si>
    <t>GSK211212ADY378</t>
  </si>
  <si>
    <t>GSK211212OQE506</t>
  </si>
  <si>
    <t>GSK211212WOJ567</t>
  </si>
  <si>
    <t>GSK211210ZAK745</t>
  </si>
  <si>
    <t>GSK211212BCW429</t>
  </si>
  <si>
    <t>GSK211212OHQ342</t>
  </si>
  <si>
    <t>GSK211211GPH354</t>
  </si>
  <si>
    <t>GSK211212KQH605</t>
  </si>
  <si>
    <t>GSK211212YBX539</t>
  </si>
  <si>
    <t>GSK211212UYL296</t>
  </si>
  <si>
    <t>GSK211212LRF691</t>
  </si>
  <si>
    <t>GSK211211HNU615</t>
  </si>
  <si>
    <t>GSK211212ZOA180</t>
  </si>
  <si>
    <t>GSK211212WBE678</t>
  </si>
  <si>
    <t>GSK211212ZWJ184</t>
  </si>
  <si>
    <t>GSK211212MHA518</t>
  </si>
  <si>
    <t>GSK211210LBI768</t>
  </si>
  <si>
    <t>GSK211212CHK140</t>
  </si>
  <si>
    <t>GSK211211XSB198</t>
  </si>
  <si>
    <t>GSK211212BUV279</t>
  </si>
  <si>
    <t>GSK211210TVH593</t>
  </si>
  <si>
    <t>gsk211212ucx258</t>
  </si>
  <si>
    <t>GSK211211PLX275</t>
  </si>
  <si>
    <t>GSK211212YFR659</t>
  </si>
  <si>
    <t>GSK211212EDK425</t>
  </si>
  <si>
    <t>GSK211210RLQ436</t>
  </si>
  <si>
    <t>DMD/2112/13/CLNX7915</t>
  </si>
  <si>
    <t>GSK211213OLS194</t>
  </si>
  <si>
    <t>GSK211213GNF413</t>
  </si>
  <si>
    <t>GSK211213ARN714</t>
  </si>
  <si>
    <t>GSK211212HFK183</t>
  </si>
  <si>
    <t>GSK211212ZAO783</t>
  </si>
  <si>
    <t>GSK211213BWO719</t>
  </si>
  <si>
    <t>GSK211213HFC748</t>
  </si>
  <si>
    <t>GSK211213QTS932</t>
  </si>
  <si>
    <t>GSK211213XQE570</t>
  </si>
  <si>
    <t>GSK211213CAN526</t>
  </si>
  <si>
    <t>GSK211213BUO603</t>
  </si>
  <si>
    <t>GSK211213YBL943</t>
  </si>
  <si>
    <t>GSK211212QOW543</t>
  </si>
  <si>
    <t>GSK211212KEU457</t>
  </si>
  <si>
    <t>GSK211213JQG671</t>
  </si>
  <si>
    <t>GSK211212JGO750</t>
  </si>
  <si>
    <t>GSK211213YEW309</t>
  </si>
  <si>
    <t>GSK211213SKN873</t>
  </si>
  <si>
    <t>GSK211213UXN298</t>
  </si>
  <si>
    <t>GSK211213XAC138</t>
  </si>
  <si>
    <t>GSK211213JSY385</t>
  </si>
  <si>
    <t>GSK211212ZUH794</t>
  </si>
  <si>
    <t>GSK211213EVP508</t>
  </si>
  <si>
    <t>GSK211213FXP180</t>
  </si>
  <si>
    <t>DMD/2112/13/TNEF6105</t>
  </si>
  <si>
    <t>GSK211213HUL632</t>
  </si>
  <si>
    <t>GSK211213QSH018</t>
  </si>
  <si>
    <t>GSK211213LSB069</t>
  </si>
  <si>
    <t>DMD/2112/13/SUCA6703</t>
  </si>
  <si>
    <t>GSK211213JCY657</t>
  </si>
  <si>
    <t>GSK211213HFN894</t>
  </si>
  <si>
    <t>GSK211212GNY210</t>
  </si>
  <si>
    <t>GSK211213DOB214</t>
  </si>
  <si>
    <t>GSK211213VHE562</t>
  </si>
  <si>
    <t>GSK211213HGE458</t>
  </si>
  <si>
    <t>GSK211213NHG512</t>
  </si>
  <si>
    <t>GSK211213TBP321</t>
  </si>
  <si>
    <t>GSK211213DTO465</t>
  </si>
  <si>
    <t>GSK211213IJU304</t>
  </si>
  <si>
    <t>GSK211213LKH839</t>
  </si>
  <si>
    <t>GSK211213MPE754</t>
  </si>
  <si>
    <t>GSK211213PRD305</t>
  </si>
  <si>
    <t>GSK211213TLU687</t>
  </si>
  <si>
    <t>GSK211213UZA352</t>
  </si>
  <si>
    <t>GSK211213VHA921</t>
  </si>
  <si>
    <t>GSK211212XKV024</t>
  </si>
  <si>
    <t>GSK211213WPM632</t>
  </si>
  <si>
    <t>GSK211213HOX817</t>
  </si>
  <si>
    <t>GSK211213MWD459</t>
  </si>
  <si>
    <t>GSK211213MCB652</t>
  </si>
  <si>
    <t>GSK211213BUE347</t>
  </si>
  <si>
    <t>GSK211213WXO027</t>
  </si>
  <si>
    <t>GSK211213LAE783</t>
  </si>
  <si>
    <t>GSK211213GKM287</t>
  </si>
  <si>
    <t>GSK211213MUO490</t>
  </si>
  <si>
    <t>GSK211213EYW483</t>
  </si>
  <si>
    <t>GSK211212VXK729</t>
  </si>
  <si>
    <t>GSK211213PQA619</t>
  </si>
  <si>
    <t>GSK211213CNP367</t>
  </si>
  <si>
    <t>GSK211213NTP034</t>
  </si>
  <si>
    <t>GSK211213RZJ758</t>
  </si>
  <si>
    <t>GSK211213YUH971</t>
  </si>
  <si>
    <t>GSK211213OVT409</t>
  </si>
  <si>
    <t>DMD/2112/13/EDZB2971</t>
  </si>
  <si>
    <t>GSK211212MRP829</t>
  </si>
  <si>
    <t>DMD/2112/13/IETC5740</t>
  </si>
  <si>
    <t>GSK211211CGS540</t>
  </si>
  <si>
    <t>DMD/2112/13/EYIS8502</t>
  </si>
  <si>
    <t>GSK211212BFM728</t>
  </si>
  <si>
    <t>GSK211213FTQ825</t>
  </si>
  <si>
    <t>GSK211212EUN931</t>
  </si>
  <si>
    <t>GSK211213BQO817</t>
  </si>
  <si>
    <t>GSK211213CQK095</t>
  </si>
  <si>
    <t>GSK211213ROB053</t>
  </si>
  <si>
    <t>GSK211212VMG472</t>
  </si>
  <si>
    <t>GSK211212ICB073</t>
  </si>
  <si>
    <t>GSK211212FML960</t>
  </si>
  <si>
    <t>GSK211211LKJ265</t>
  </si>
  <si>
    <t>GSK211212KVH342</t>
  </si>
  <si>
    <t>GSK211212RGS186</t>
  </si>
  <si>
    <t>GSK211213TXN576</t>
  </si>
  <si>
    <t>GSK211213QKM948</t>
  </si>
  <si>
    <t>GSK211213NWG154</t>
  </si>
  <si>
    <t>GSK211213LJH972</t>
  </si>
  <si>
    <t>GSK211212DKI527</t>
  </si>
  <si>
    <t>GSK211213BUK389</t>
  </si>
  <si>
    <t>GSK211213YCM165</t>
  </si>
  <si>
    <t>GSK211213CRJ658</t>
  </si>
  <si>
    <t>GSK211212NIZ764</t>
  </si>
  <si>
    <t>GSK211213GHJ354</t>
  </si>
  <si>
    <t>GSK211213EOT286</t>
  </si>
  <si>
    <t>GSK211213EQR094</t>
  </si>
  <si>
    <t>GSK211213DVC840</t>
  </si>
  <si>
    <t>GSK211213SFG697</t>
  </si>
  <si>
    <t>GSK211212HLJ085</t>
  </si>
  <si>
    <t>GSK211213JSH045</t>
  </si>
  <si>
    <t>GSK211213QUS863</t>
  </si>
  <si>
    <t>GSK211213EOG391</t>
  </si>
  <si>
    <t>GSK211213AYH983</t>
  </si>
  <si>
    <t>GSK211213HIN137</t>
  </si>
  <si>
    <t>GSK211213VUX829</t>
  </si>
  <si>
    <t>GSK211211TJP498</t>
  </si>
  <si>
    <t>GSK211212NEV546</t>
  </si>
  <si>
    <t>GSK211213AVW186</t>
  </si>
  <si>
    <t>GSK211213DLQ054</t>
  </si>
  <si>
    <t>GSK211212JYL835</t>
  </si>
  <si>
    <t>GSK211212LEQ580</t>
  </si>
  <si>
    <t>GSK211213BWT172</t>
  </si>
  <si>
    <t>GSK211213MAF872</t>
  </si>
  <si>
    <t>GSK211212WXB358</t>
  </si>
  <si>
    <t>GSK211211ORL473</t>
  </si>
  <si>
    <t>GSK211212XZH318</t>
  </si>
  <si>
    <t>GSK211212JUP897</t>
  </si>
  <si>
    <t>GSK211212GWN187</t>
  </si>
  <si>
    <t>GSK211213UGO154</t>
  </si>
  <si>
    <t>GSK211212CHS945</t>
  </si>
  <si>
    <t>GSK211210DJV092</t>
  </si>
  <si>
    <t>GSK211213MYE193</t>
  </si>
  <si>
    <t>GSK211213ALE179</t>
  </si>
  <si>
    <t>GSK211212HZF498</t>
  </si>
  <si>
    <t>GSK211213PKE320</t>
  </si>
  <si>
    <t>GSK211212CGI382</t>
  </si>
  <si>
    <t>GSK211213RMU871</t>
  </si>
  <si>
    <t>GSK211212LMB841</t>
  </si>
  <si>
    <t>GSK211213FKB043</t>
  </si>
  <si>
    <t>GSK211212VLZ679</t>
  </si>
  <si>
    <t>GSK211212NPO237</t>
  </si>
  <si>
    <t>GSK211212GIE406</t>
  </si>
  <si>
    <t>GSK211213ARY523</t>
  </si>
  <si>
    <t>GSK211212RNC528</t>
  </si>
  <si>
    <t>GSK211212VDH256</t>
  </si>
  <si>
    <t>GSK211213CRW957</t>
  </si>
  <si>
    <t>GSK211213DMV286</t>
  </si>
  <si>
    <t>GSK211213BRC397</t>
  </si>
  <si>
    <t>GSK211213KOC270</t>
  </si>
  <si>
    <t>GSK211212TYR163</t>
  </si>
  <si>
    <t>GSK211211VMI725</t>
  </si>
  <si>
    <t>GSK211212KHV961</t>
  </si>
  <si>
    <t>GSK211213JSH386</t>
  </si>
  <si>
    <t>GSK211212JVS589</t>
  </si>
  <si>
    <t>GSK211213WCY952</t>
  </si>
  <si>
    <t>GSK211213YVB831</t>
  </si>
  <si>
    <t>GSK211213HEC846</t>
  </si>
  <si>
    <t>GSK211212NAV581</t>
  </si>
  <si>
    <t>GSK211213KPA173</t>
  </si>
  <si>
    <t>GSK211213LZI621</t>
  </si>
  <si>
    <t>GSK211213JOL940</t>
  </si>
  <si>
    <t>GSK211213NRA403</t>
  </si>
  <si>
    <t>GSK211213EOA297</t>
  </si>
  <si>
    <t>GSK211212XBP509</t>
  </si>
  <si>
    <t>GSK211213LVE513</t>
  </si>
  <si>
    <t>GSK211213VZI497</t>
  </si>
  <si>
    <t>GSK211213FEA413</t>
  </si>
  <si>
    <t>GSK211213WVD852</t>
  </si>
  <si>
    <t>GSK211213ZXE854</t>
  </si>
  <si>
    <t>GSK211212DLW179</t>
  </si>
  <si>
    <t>GSK211213LGW215</t>
  </si>
  <si>
    <t>GSK211213RDN153</t>
  </si>
  <si>
    <t>GSK211213VOX235</t>
  </si>
  <si>
    <t>GSK211213WJG231</t>
  </si>
  <si>
    <t>GSK211212DBC094</t>
  </si>
  <si>
    <t>GSK211212AUQ426</t>
  </si>
  <si>
    <t>GSK211211AJM517</t>
  </si>
  <si>
    <t>GSK211211XIF839</t>
  </si>
  <si>
    <t>GSK211212AYT906</t>
  </si>
  <si>
    <t>GSK211213JWS890</t>
  </si>
  <si>
    <t>GSK211212CJD017</t>
  </si>
  <si>
    <t>GSK211212UFO049</t>
  </si>
  <si>
    <t>GSK211212COF029</t>
  </si>
  <si>
    <t>GSK211211ZME165</t>
  </si>
  <si>
    <t>GSK211213WFL415</t>
  </si>
  <si>
    <t>DMD/2112/13/TDPK6897</t>
  </si>
  <si>
    <t>GSK211212AVB670</t>
  </si>
  <si>
    <t>DMD/2112/13/DZSB4935</t>
  </si>
  <si>
    <t>GSK211212BAE401</t>
  </si>
  <si>
    <t>GSK211212BQP862</t>
  </si>
  <si>
    <t>GSK211213OIU509</t>
  </si>
  <si>
    <t>GSK211213DUH501</t>
  </si>
  <si>
    <t>GSK211211YXV548</t>
  </si>
  <si>
    <t>DMD/2112/14/OHWR6974</t>
  </si>
  <si>
    <t>GSK211214BIA621</t>
  </si>
  <si>
    <t>GSK211214GYE319</t>
  </si>
  <si>
    <t>GSK211214WGQ326</t>
  </si>
  <si>
    <t>GSK211214ZLA735</t>
  </si>
  <si>
    <t>GSK211214ATE345</t>
  </si>
  <si>
    <t>GSK211214UPI712</t>
  </si>
  <si>
    <t>GSK211214BCY938</t>
  </si>
  <si>
    <t>GSK211214CNS350</t>
  </si>
  <si>
    <t>GSK211214HAG265</t>
  </si>
  <si>
    <t>GSK211213BAI573</t>
  </si>
  <si>
    <t>GSK211214VZG650</t>
  </si>
  <si>
    <t>GSK211214GIY734</t>
  </si>
  <si>
    <t>GSK211214QIM139</t>
  </si>
  <si>
    <t>GSK211214HMY976</t>
  </si>
  <si>
    <t>GSK211214YZD143</t>
  </si>
  <si>
    <t>GSK211214HIY718</t>
  </si>
  <si>
    <t>GSK211214EZR627</t>
  </si>
  <si>
    <t>GSK211214BAS453</t>
  </si>
  <si>
    <t>GSK211214JWM687</t>
  </si>
  <si>
    <t>GSK211214UJW062</t>
  </si>
  <si>
    <t>GSK211214YCB869</t>
  </si>
  <si>
    <t>GSK211214BHD675</t>
  </si>
  <si>
    <t>GSK211214KDS971</t>
  </si>
  <si>
    <t>GSK211214WOT234</t>
  </si>
  <si>
    <t>GSK211214RMP156</t>
  </si>
  <si>
    <t>GSK211214HCG751</t>
  </si>
  <si>
    <t>GSK211214RZI312</t>
  </si>
  <si>
    <t>12/21/2021 RESTU</t>
  </si>
  <si>
    <t>DMD/2112/14/JACY8512</t>
  </si>
  <si>
    <t>GSK211214MBQ759</t>
  </si>
  <si>
    <t>GSK211213UZJ021</t>
  </si>
  <si>
    <t>GSK211214ZXN352</t>
  </si>
  <si>
    <t>GSK211214SNO375</t>
  </si>
  <si>
    <t>GSK211214PMC174</t>
  </si>
  <si>
    <t>GSK211213XWY491</t>
  </si>
  <si>
    <t>GSK211214WEK246</t>
  </si>
  <si>
    <t>GSK211214QZI218</t>
  </si>
  <si>
    <t>GSK211214ZXM568</t>
  </si>
  <si>
    <t>GSK211214SGW405</t>
  </si>
  <si>
    <t>GSK211213OFA351</t>
  </si>
  <si>
    <t>GSK211214DRM709</t>
  </si>
  <si>
    <t>GSK211214FYH940</t>
  </si>
  <si>
    <t>GSK211213EFO031</t>
  </si>
  <si>
    <t>GSK211214GHF156</t>
  </si>
  <si>
    <t>GSK211214LUP421</t>
  </si>
  <si>
    <t>GSK211214YHQ892</t>
  </si>
  <si>
    <t>GSK211214MHI640</t>
  </si>
  <si>
    <t>GSK211214MAR512</t>
  </si>
  <si>
    <t>GSK211214SQM865</t>
  </si>
  <si>
    <t>GSK211214HUW216</t>
  </si>
  <si>
    <t>GSK211214LJO921</t>
  </si>
  <si>
    <t>GSK211214EOU260</t>
  </si>
  <si>
    <t>GSK211213DLQ854</t>
  </si>
  <si>
    <t>GSK211214ASK683</t>
  </si>
  <si>
    <t>DMD/2112/14/PXLY2451</t>
  </si>
  <si>
    <t>GSK211214MTN962</t>
  </si>
  <si>
    <t>GSK211214QJB742</t>
  </si>
  <si>
    <t>GSK211214KCN579</t>
  </si>
  <si>
    <t>GSK211214PCG891</t>
  </si>
  <si>
    <t>DMD/2112/14/KOMS1702</t>
  </si>
  <si>
    <t>GSK211214MZE407</t>
  </si>
  <si>
    <t>GSK211214CBV315</t>
  </si>
  <si>
    <t>GSK211214ISW397</t>
  </si>
  <si>
    <t>GSK211214IFX768</t>
  </si>
  <si>
    <t>GSK211214NYR645</t>
  </si>
  <si>
    <t>GSK211214HGS073</t>
  </si>
  <si>
    <t>DMD/2112/14/MIXJ2753</t>
  </si>
  <si>
    <t>GSK211214SKJ091</t>
  </si>
  <si>
    <t>GSK211214OYM985</t>
  </si>
  <si>
    <t>GSK211214VMA324</t>
  </si>
  <si>
    <t>GSK211214BIQ764</t>
  </si>
  <si>
    <t>GSK211214JDX451</t>
  </si>
  <si>
    <t>GSK211214NLD978</t>
  </si>
  <si>
    <t>GSK211214GWH341</t>
  </si>
  <si>
    <t>GSK211214UYW243</t>
  </si>
  <si>
    <t>GSK211214OAG035</t>
  </si>
  <si>
    <t>GSK211214PQE754</t>
  </si>
  <si>
    <t>GSK211214BFG792</t>
  </si>
  <si>
    <t>GSK211214HJO971</t>
  </si>
  <si>
    <t>GSK211214ZEJ541</t>
  </si>
  <si>
    <t>GSK211214MIT394</t>
  </si>
  <si>
    <t>GSK211214ZAI481</t>
  </si>
  <si>
    <t>GSK211214JFE269</t>
  </si>
  <si>
    <t>GSK211214GVO738</t>
  </si>
  <si>
    <t>GSK211214QRU894</t>
  </si>
  <si>
    <t>GSK211214IVM829</t>
  </si>
  <si>
    <t>GSK211214DKM263</t>
  </si>
  <si>
    <t>GSK211214QFM610</t>
  </si>
  <si>
    <t>DMD/2112/14/LXOK8104</t>
  </si>
  <si>
    <t>GSK211214FVE219</t>
  </si>
  <si>
    <t>GSK211214EAU634</t>
  </si>
  <si>
    <t>GSK211214SJI926</t>
  </si>
  <si>
    <t>GSK211214FPS853</t>
  </si>
  <si>
    <t>GSK211214OQP350</t>
  </si>
  <si>
    <t>GSK211214SRT512</t>
  </si>
  <si>
    <t>GSK211214KUD504</t>
  </si>
  <si>
    <t>GSK211214VZN154</t>
  </si>
  <si>
    <t>GSK211214DMS168</t>
  </si>
  <si>
    <t>GSK211214HNE963</t>
  </si>
  <si>
    <t>GSK211214ZHC139</t>
  </si>
  <si>
    <t>GSK211214QJC485</t>
  </si>
  <si>
    <t>GSK211214OTM208</t>
  </si>
  <si>
    <t>GSK211214HKW165</t>
  </si>
  <si>
    <t>GSK211214LTQ125</t>
  </si>
  <si>
    <t>GSK211214JXE912</t>
  </si>
  <si>
    <t>GSK211214NAQ754</t>
  </si>
  <si>
    <t>GSK211214DYK140</t>
  </si>
  <si>
    <t>GSK211214NZW752</t>
  </si>
  <si>
    <t>GSK211214DHP418</t>
  </si>
  <si>
    <t>GSK211214VWY308</t>
  </si>
  <si>
    <t>GSK211214YXF391</t>
  </si>
  <si>
    <t>GSK211214UDW456</t>
  </si>
  <si>
    <t>GSK211214ZHW649</t>
  </si>
  <si>
    <t>GSK211214SGM526</t>
  </si>
  <si>
    <t>GSK211214DOH468</t>
  </si>
  <si>
    <t>GSK211214OQA532</t>
  </si>
  <si>
    <t>GSK211214KZN809</t>
  </si>
  <si>
    <t>GSK211214SAJ813</t>
  </si>
  <si>
    <t>GSK211214TYC387</t>
  </si>
  <si>
    <t>DMD/2112/14/RJXM1965</t>
  </si>
  <si>
    <t>GSK211214BVW085</t>
  </si>
  <si>
    <t>DMD/2112/14/IZYX1062</t>
  </si>
  <si>
    <t>GSK211212MAI605</t>
  </si>
  <si>
    <t>GSK211214OSL284</t>
  </si>
  <si>
    <t>GSK211212DZS904</t>
  </si>
  <si>
    <t>GSK211214EFB784</t>
  </si>
  <si>
    <t>GSK211213TAN587</t>
  </si>
  <si>
    <t>GSK211213AID197</t>
  </si>
  <si>
    <t>GSK211213BEM469</t>
  </si>
  <si>
    <t>GSK211213ZKI809</t>
  </si>
  <si>
    <t>GSK211214HOB621</t>
  </si>
  <si>
    <t>GSK211213QUM625</t>
  </si>
  <si>
    <t>GSK211214ZUR948</t>
  </si>
  <si>
    <t>GSK211214HET463</t>
  </si>
  <si>
    <t>GSK211213NAF798</t>
  </si>
  <si>
    <t>GSK211213KFD649</t>
  </si>
  <si>
    <t>GSK211213GEB156</t>
  </si>
  <si>
    <t>GSK211213PVO075</t>
  </si>
  <si>
    <t>GSK211213ASJ350</t>
  </si>
  <si>
    <t>GSK211213ECP283</t>
  </si>
  <si>
    <t>GSK211213EOZ723</t>
  </si>
  <si>
    <t>GSK211213LVG750</t>
  </si>
  <si>
    <t>GSK211213YEV413</t>
  </si>
  <si>
    <t>GSK211213AKY524</t>
  </si>
  <si>
    <t>GSK211213DTV073</t>
  </si>
  <si>
    <t>GSK211213VXN529</t>
  </si>
  <si>
    <t>GSK211213UCQ985</t>
  </si>
  <si>
    <t>DMD/2112/14/SDVW7946</t>
  </si>
  <si>
    <t>GSK211214UHA295</t>
  </si>
  <si>
    <t>GSK211214EFS634</t>
  </si>
  <si>
    <t>GSK211214PBA936</t>
  </si>
  <si>
    <t>GSK211214DIY926</t>
  </si>
  <si>
    <t>GSK211214QXH372</t>
  </si>
  <si>
    <t>GSK211214JYX645</t>
  </si>
  <si>
    <t>GSK211214ZYQ790</t>
  </si>
  <si>
    <t>GSK211214VGL893</t>
  </si>
  <si>
    <t>GSK211214TYJ867</t>
  </si>
  <si>
    <t>GSK211214MHK019</t>
  </si>
  <si>
    <t>GSK211214VIX519</t>
  </si>
  <si>
    <t>GSK211214QRO087</t>
  </si>
  <si>
    <t>GSK211214MCQ189</t>
  </si>
  <si>
    <t>GSK211214COD481</t>
  </si>
  <si>
    <t>GSK211214ORQ912</t>
  </si>
  <si>
    <t>GSK211213QNO935</t>
  </si>
  <si>
    <t>GSK211214FQN714</t>
  </si>
  <si>
    <t>GSK211214SUP506</t>
  </si>
  <si>
    <t>GSK211214VQB254</t>
  </si>
  <si>
    <t>GSK211214JHY158</t>
  </si>
  <si>
    <t>GSK211214PJH470</t>
  </si>
  <si>
    <t>GSK211214ESB128</t>
  </si>
  <si>
    <t>GSK211214MYH245</t>
  </si>
  <si>
    <t>GSK211214YHX416</t>
  </si>
  <si>
    <t>GSK211214VAO519</t>
  </si>
  <si>
    <t>GSK211214YUM392</t>
  </si>
  <si>
    <t>GSK211214ART159</t>
  </si>
  <si>
    <t>GSK211214GAD714</t>
  </si>
  <si>
    <t>GSK211214XRB186</t>
  </si>
  <si>
    <t>GSK211214YBL602</t>
  </si>
  <si>
    <t>GSK211214NKZ507</t>
  </si>
  <si>
    <t>GSK211214DOG875</t>
  </si>
  <si>
    <t>GSK211214VIF576</t>
  </si>
  <si>
    <t>GSK211214KNQ463</t>
  </si>
  <si>
    <t>GSK211214DHG902</t>
  </si>
  <si>
    <t>GSK211214ZMA192</t>
  </si>
  <si>
    <t>GSK211214TUC749</t>
  </si>
  <si>
    <t>GSK211214YEC092</t>
  </si>
  <si>
    <t>GSK211214MSC968</t>
  </si>
  <si>
    <t>GSK211214ALN803</t>
  </si>
  <si>
    <t>GSK211214GTJ481</t>
  </si>
  <si>
    <t>GSK211214YUJ082</t>
  </si>
  <si>
    <t>GSK211214CHW907</t>
  </si>
  <si>
    <t>GSK211214BDV917</t>
  </si>
  <si>
    <t>GSK211214OZK649</t>
  </si>
  <si>
    <t>GSK211214MTA682</t>
  </si>
  <si>
    <t>GSK211214QLS382</t>
  </si>
  <si>
    <t>GSK211214PBA769</t>
  </si>
  <si>
    <t>GSK211214NLS691</t>
  </si>
  <si>
    <t>GSK211214DNK879</t>
  </si>
  <si>
    <t>GSK211214FNM185</t>
  </si>
  <si>
    <t>GSK211214NEP491</t>
  </si>
  <si>
    <t>GSK211214YDX037</t>
  </si>
  <si>
    <t>GSK211214HRZ264</t>
  </si>
  <si>
    <t>GSK211214UIZ734</t>
  </si>
  <si>
    <t>GSK211213NUH946</t>
  </si>
  <si>
    <t>GSK211214CUW719</t>
  </si>
  <si>
    <t>GSK211214MHD934</t>
  </si>
  <si>
    <t>GSK211214RSF842</t>
  </si>
  <si>
    <t>GSK211214LUY540</t>
  </si>
  <si>
    <t>GSK211214HQL403</t>
  </si>
  <si>
    <t>GSK211214KMC329</t>
  </si>
  <si>
    <t>GSK211214PRJ427</t>
  </si>
  <si>
    <t>GSK211214FEO058</t>
  </si>
  <si>
    <t>GSK211214YHW981</t>
  </si>
  <si>
    <t>GSK211214VBA305</t>
  </si>
  <si>
    <t>GSK211214JSB851</t>
  </si>
  <si>
    <t>GSK211214GXJ892</t>
  </si>
  <si>
    <t>GSK211214VFR653</t>
  </si>
  <si>
    <t>GSK211214GBK867</t>
  </si>
  <si>
    <t>GSK211214SFB814</t>
  </si>
  <si>
    <t>GSK211214AFX048</t>
  </si>
  <si>
    <t>GSK211214SIB632</t>
  </si>
  <si>
    <t>GSK211214IOJ790</t>
  </si>
  <si>
    <t>GSK211214SNE409</t>
  </si>
  <si>
    <t>GSK211214AYX580</t>
  </si>
  <si>
    <t>GSK211214ESJ893</t>
  </si>
  <si>
    <t>GSK211214KXZ372</t>
  </si>
  <si>
    <t>GSK211214NSI085</t>
  </si>
  <si>
    <t>GSK211214LMW634</t>
  </si>
  <si>
    <t>GSK211214VHZ947</t>
  </si>
  <si>
    <t>GSK211214QCK814</t>
  </si>
  <si>
    <t>GSK211214YJN437</t>
  </si>
  <si>
    <t>GSK211213HTE315</t>
  </si>
  <si>
    <t>GSK211214BPR875</t>
  </si>
  <si>
    <t>GSK211214SKG471</t>
  </si>
  <si>
    <t>GSK211214GUL038</t>
  </si>
  <si>
    <t>GSK211214CMZ481</t>
  </si>
  <si>
    <t>GSK211214JDV403</t>
  </si>
  <si>
    <t>GSK211214OKL081</t>
  </si>
  <si>
    <t>GSK211214CNA729</t>
  </si>
  <si>
    <t>GSK211214OEN810</t>
  </si>
  <si>
    <t>GSK211214FGU701</t>
  </si>
  <si>
    <t>GSK211214GQK542</t>
  </si>
  <si>
    <t>GSK211214RIT908</t>
  </si>
  <si>
    <t>GSK211214KQX271</t>
  </si>
  <si>
    <t>GSK211214FRH527</t>
  </si>
  <si>
    <t>GSK211214AVT940</t>
  </si>
  <si>
    <t>GSK211214MLS845</t>
  </si>
  <si>
    <t>GSK211214EDB562</t>
  </si>
  <si>
    <t>GSK211214HFG520</t>
  </si>
  <si>
    <t>GSK211213YIK465</t>
  </si>
  <si>
    <t>GSK211213HVF529</t>
  </si>
  <si>
    <t>GSK211214KUO782</t>
  </si>
  <si>
    <t>GSK211214HMO140</t>
  </si>
  <si>
    <t>GSK211214CLX269</t>
  </si>
  <si>
    <t>GSK211214LVI972</t>
  </si>
  <si>
    <t>GSK211214LIS754</t>
  </si>
  <si>
    <t>GSK211214UID295</t>
  </si>
  <si>
    <t>GSK211214JPX748</t>
  </si>
  <si>
    <t>GSK211214DLY671</t>
  </si>
  <si>
    <t>GSK211214LKW961</t>
  </si>
  <si>
    <t>GSK211214ESM032</t>
  </si>
  <si>
    <t>GSK211214LGJ950</t>
  </si>
  <si>
    <t>GSK211214CNB417</t>
  </si>
  <si>
    <t>GSK211214EQB491</t>
  </si>
  <si>
    <t>GSK211214XVY529</t>
  </si>
  <si>
    <t>GSK211214ZDN283</t>
  </si>
  <si>
    <t>GSK211214ZIY841</t>
  </si>
  <si>
    <t>GSK211214ENL978</t>
  </si>
  <si>
    <t>GSK211214MHD527</t>
  </si>
  <si>
    <t>GSK211214RWH358</t>
  </si>
  <si>
    <t>GSK211214JRC264</t>
  </si>
  <si>
    <t>GSK211214DQU917</t>
  </si>
  <si>
    <t>GSK211214AXD036</t>
  </si>
  <si>
    <t>GSK211214QOR504</t>
  </si>
  <si>
    <t>GSK211214FGK081</t>
  </si>
  <si>
    <t>GSK211214GUA786</t>
  </si>
  <si>
    <t>GSK211214OWP807</t>
  </si>
  <si>
    <t>GSK211214FWD387</t>
  </si>
  <si>
    <t>GSK211214TUS148</t>
  </si>
  <si>
    <t>GSK211214FDQ843</t>
  </si>
  <si>
    <t>GSK211214SDC490</t>
  </si>
  <si>
    <t>GSK211214MVY783</t>
  </si>
  <si>
    <t>GSK211214JHK203</t>
  </si>
  <si>
    <t>GSK211214HWL139</t>
  </si>
  <si>
    <t>GSK211214MYW974</t>
  </si>
  <si>
    <t>GSK211214KFX653</t>
  </si>
  <si>
    <t>GSK211214YWO137</t>
  </si>
  <si>
    <t>GSK211214MPU702</t>
  </si>
  <si>
    <t>GSK211214ZJY345</t>
  </si>
  <si>
    <t>GSK211214ONV195</t>
  </si>
  <si>
    <t>GSK211214CSP587</t>
  </si>
  <si>
    <t>GSK211214CML297</t>
  </si>
  <si>
    <t>GSK211213MGH069</t>
  </si>
  <si>
    <t>GSK211214YID560</t>
  </si>
  <si>
    <t>GSK211214GXH970</t>
  </si>
  <si>
    <t>GSK211213CHI570</t>
  </si>
  <si>
    <t>GSK211214FNU305</t>
  </si>
  <si>
    <t>GSK211214PTA341</t>
  </si>
  <si>
    <t>GSK211214NFB502</t>
  </si>
  <si>
    <t>GSK211213GAS794</t>
  </si>
  <si>
    <t>GSK211214NRA286</t>
  </si>
  <si>
    <t>GSK211214SZT389</t>
  </si>
  <si>
    <t>GSK211214HVO954</t>
  </si>
  <si>
    <t>GSK211214IDT847</t>
  </si>
  <si>
    <t>GSK211214JTF268</t>
  </si>
  <si>
    <t>GSK211214PBJ872</t>
  </si>
  <si>
    <t>GSK211214CQK017</t>
  </si>
  <si>
    <t>GSK211214VWS564</t>
  </si>
  <si>
    <t>GSK211214AHX263</t>
  </si>
  <si>
    <t>GSK211214FPA796</t>
  </si>
  <si>
    <t>DMD/2112/14/JISQ5264</t>
  </si>
  <si>
    <t>GSK211213NKV803</t>
  </si>
  <si>
    <t>GSK211213ONW632</t>
  </si>
  <si>
    <t>GSK211213LMC016</t>
  </si>
  <si>
    <t>DMD/2112/14/IFDT0869</t>
  </si>
  <si>
    <t>GSK211214GOE105</t>
  </si>
  <si>
    <t>GSK211214QVH489</t>
  </si>
  <si>
    <t>GSK211214GPC075</t>
  </si>
  <si>
    <t>GSK211214XMO874</t>
  </si>
  <si>
    <t>GSK211214BNO164</t>
  </si>
  <si>
    <t>GSK211214ZSA453</t>
  </si>
  <si>
    <t>DMD/2112/15/BHPG0168</t>
  </si>
  <si>
    <t>GSK211215XSF408</t>
  </si>
  <si>
    <t>DMD/2112/15/RMXI1807</t>
  </si>
  <si>
    <t>GSK211215XTB321</t>
  </si>
  <si>
    <t>DMD/2112/15/GVLX7420</t>
  </si>
  <si>
    <t>GSK211215AIE670</t>
  </si>
  <si>
    <t>GSK211215ELR364</t>
  </si>
  <si>
    <t>GSK211215RMB721</t>
  </si>
  <si>
    <t>GSK211215WCX382</t>
  </si>
  <si>
    <t>GSK211215PUY524</t>
  </si>
  <si>
    <t>GSK211215KXI570</t>
  </si>
  <si>
    <t>GSK211215NED072</t>
  </si>
  <si>
    <t>GSK211215FHT297</t>
  </si>
  <si>
    <t>GSK211215PGF219</t>
  </si>
  <si>
    <t>GSK211215UQS435</t>
  </si>
  <si>
    <t>GSK211215VRO638</t>
  </si>
  <si>
    <t>GSK211214HCW709</t>
  </si>
  <si>
    <t>GSK211215UIY519</t>
  </si>
  <si>
    <t>GSK211214GKW902</t>
  </si>
  <si>
    <t>GSK211215WLK374</t>
  </si>
  <si>
    <t>GSK211215DLO371</t>
  </si>
  <si>
    <t>GSK211215QWF270</t>
  </si>
  <si>
    <t>GSK211215DMC517</t>
  </si>
  <si>
    <t>GSK211214RIX614</t>
  </si>
  <si>
    <t>GSK211215CAQ691</t>
  </si>
  <si>
    <t>GSK211215DIY830</t>
  </si>
  <si>
    <t>GSK211215GCB748</t>
  </si>
  <si>
    <t>GSK211215XEC043</t>
  </si>
  <si>
    <t>GSK211215ADS408</t>
  </si>
  <si>
    <t>GSK211215OMC346</t>
  </si>
  <si>
    <t>GSK211215GOY620</t>
  </si>
  <si>
    <t>GSK211215DUM047</t>
  </si>
  <si>
    <t>GSK211215RUW325</t>
  </si>
  <si>
    <t>GSK211215IES743</t>
  </si>
  <si>
    <t>GSK211215OVJ735</t>
  </si>
  <si>
    <t>GSK211215SIV874</t>
  </si>
  <si>
    <t>GSK211215HVW850</t>
  </si>
  <si>
    <t>GSK211215OBW615</t>
  </si>
  <si>
    <t>GSK211214GIS816</t>
  </si>
  <si>
    <t>GSK211215PSZ152</t>
  </si>
  <si>
    <t>GSK211215UPC324</t>
  </si>
  <si>
    <t>GSK211215TZN563</t>
  </si>
  <si>
    <t>GSK211215BTW157</t>
  </si>
  <si>
    <t>GSK211215SAN802</t>
  </si>
  <si>
    <t>GSK211214CWJ948</t>
  </si>
  <si>
    <t>GSK211215UDQ471</t>
  </si>
  <si>
    <t>GSK211214CTZ186</t>
  </si>
  <si>
    <t>GSK211215JVR143</t>
  </si>
  <si>
    <t>GSK211214CKV369</t>
  </si>
  <si>
    <t>GSK211215FTQ134</t>
  </si>
  <si>
    <t>GSK211214AHZ687</t>
  </si>
  <si>
    <t>GSK211215JTY954</t>
  </si>
  <si>
    <t>GSK211215YTP576</t>
  </si>
  <si>
    <t>GSK211215XWV392</t>
  </si>
  <si>
    <t>GSK211215EYP934</t>
  </si>
  <si>
    <t>GSK211215CWO742</t>
  </si>
  <si>
    <t>GSK211215QTJ894</t>
  </si>
  <si>
    <t>GSK211215CUB051</t>
  </si>
  <si>
    <t>GSK211214MXA342</t>
  </si>
  <si>
    <t>DMD/2112/15/TMRI7862</t>
  </si>
  <si>
    <t>GSK211215HTZ296</t>
  </si>
  <si>
    <t>DMD/2112/15/NGVP4528</t>
  </si>
  <si>
    <t>GSK211215PLE831</t>
  </si>
  <si>
    <t>DMD/2112/15/GNKU6923</t>
  </si>
  <si>
    <t>GSK211215JCR867</t>
  </si>
  <si>
    <t>DMD/2112/15/ODLN2845</t>
  </si>
  <si>
    <t>GSK211215YKT703</t>
  </si>
  <si>
    <t>GSK211215YUB294</t>
  </si>
  <si>
    <t>GSK211215YER327</t>
  </si>
  <si>
    <t>GSK211215OPB265</t>
  </si>
  <si>
    <t>GSK211215DXA051</t>
  </si>
  <si>
    <t>GSK211215PES613</t>
  </si>
  <si>
    <t>GSK211214FUB279</t>
  </si>
  <si>
    <t>GSK211215EOI132</t>
  </si>
  <si>
    <t>GSK211215UKJ742</t>
  </si>
  <si>
    <t>GSK211215ZBE032</t>
  </si>
  <si>
    <t>GSK211215OFK049</t>
  </si>
  <si>
    <t>GSK211215RYW072</t>
  </si>
  <si>
    <t>GSK211215ADL354</t>
  </si>
  <si>
    <t>GSK211215KXN340</t>
  </si>
  <si>
    <t>GSK211215YAP238</t>
  </si>
  <si>
    <t>GSK211215HCB340</t>
  </si>
  <si>
    <t>GSK211215CKP970</t>
  </si>
  <si>
    <t>GSK211215ILG017</t>
  </si>
  <si>
    <t>GSK211215CXS168</t>
  </si>
  <si>
    <t>GSK211215TWD210</t>
  </si>
  <si>
    <t>GSK211215SCP602</t>
  </si>
  <si>
    <t>GSK211215ZSW103</t>
  </si>
  <si>
    <t>GSK211215PRQ539</t>
  </si>
  <si>
    <t>GSK211215NJW952</t>
  </si>
  <si>
    <t>GSK211215GLF164</t>
  </si>
  <si>
    <t>GSK211215AZU962</t>
  </si>
  <si>
    <t>GSK211215RVX178</t>
  </si>
  <si>
    <t>GSK211215BUI203</t>
  </si>
  <si>
    <t>GSK211215ATQ157</t>
  </si>
  <si>
    <t>GSK211215WUP964</t>
  </si>
  <si>
    <t>GSK211215LCP893</t>
  </si>
  <si>
    <t>GSK211215OYE523</t>
  </si>
  <si>
    <t>GSK211215PFE542</t>
  </si>
  <si>
    <t>GSK211215DQS102</t>
  </si>
  <si>
    <t>GSK211215KSF659</t>
  </si>
  <si>
    <t>GSK211215IHJ498</t>
  </si>
  <si>
    <t>GSK211215IXG827</t>
  </si>
  <si>
    <t>GSK211215XJU029</t>
  </si>
  <si>
    <t>GSK211215QML204</t>
  </si>
  <si>
    <t>GSK211215IFE430</t>
  </si>
  <si>
    <t>GSK211215XHM907</t>
  </si>
  <si>
    <t>GSK211215RAU264</t>
  </si>
  <si>
    <t>GSK211215GAU928</t>
  </si>
  <si>
    <t>DMD/2112/15/JLAP2190</t>
  </si>
  <si>
    <t>GSK211214GNQ034</t>
  </si>
  <si>
    <t>GSK211214UBG915</t>
  </si>
  <si>
    <t>GSK211215PED276</t>
  </si>
  <si>
    <t>GSK211214HYN839</t>
  </si>
  <si>
    <t>GSK211215EAU275</t>
  </si>
  <si>
    <t>GSK211215TZJ270</t>
  </si>
  <si>
    <t>GSK211214ENC469</t>
  </si>
  <si>
    <t>GSK211215YNC539</t>
  </si>
  <si>
    <t>GSK211214FUG317</t>
  </si>
  <si>
    <t>GSK211215DFK549</t>
  </si>
  <si>
    <t>GSK211215JSD492</t>
  </si>
  <si>
    <t>GSK211215XVF348</t>
  </si>
  <si>
    <t>GSK211215BXV403</t>
  </si>
  <si>
    <t>GSK211215BFR403</t>
  </si>
  <si>
    <t>GSK211215QUO531</t>
  </si>
  <si>
    <t>GSK211214JXB702</t>
  </si>
  <si>
    <t>GSK211215NZQ534</t>
  </si>
  <si>
    <t>GSK211215EWH397</t>
  </si>
  <si>
    <t>GSK211214PLU469</t>
  </si>
  <si>
    <t>GSK211215TSI932</t>
  </si>
  <si>
    <t>GSK211215NSW547</t>
  </si>
  <si>
    <t>GSK211215YBR672</t>
  </si>
  <si>
    <t>GSK211215ULC042</t>
  </si>
  <si>
    <t>GSK211215MRX630</t>
  </si>
  <si>
    <t>GSK211215BCR968</t>
  </si>
  <si>
    <t>GSK211215DGY975</t>
  </si>
  <si>
    <t>GSK211215TYN843</t>
  </si>
  <si>
    <t>GSK211215LOZ346</t>
  </si>
  <si>
    <t>GSK211215CYI948</t>
  </si>
  <si>
    <t>GSK211215RJY190</t>
  </si>
  <si>
    <t>GSK211214SHA521</t>
  </si>
  <si>
    <t>GSK211215DVJ024</t>
  </si>
  <si>
    <t>GSK211215SXM073</t>
  </si>
  <si>
    <t>GSK211214PDJ245</t>
  </si>
  <si>
    <t>GSK211214WSH058</t>
  </si>
  <si>
    <t>GSK211215CVW237</t>
  </si>
  <si>
    <t>GSK211215OQL901</t>
  </si>
  <si>
    <t>GSK211215PIT601</t>
  </si>
  <si>
    <t>GSK211215APD108</t>
  </si>
  <si>
    <t>GSK211215IDP496</t>
  </si>
  <si>
    <t>GSK211215EWS046</t>
  </si>
  <si>
    <t>GSK211215YVK094</t>
  </si>
  <si>
    <t>GSK211215IBA463</t>
  </si>
  <si>
    <t>GSK211214VHK876</t>
  </si>
  <si>
    <t>GSK211215UKF813</t>
  </si>
  <si>
    <t>GSK211215TIB986</t>
  </si>
  <si>
    <t>GSK211215BQG243</t>
  </si>
  <si>
    <t>GSK211215UWA986</t>
  </si>
  <si>
    <t>GSK211214OAM491</t>
  </si>
  <si>
    <t>GSK211215MRP063</t>
  </si>
  <si>
    <t>GSK211215XGB406</t>
  </si>
  <si>
    <t>GSK211215QBP658</t>
  </si>
  <si>
    <t>GSK211214WVS470</t>
  </si>
  <si>
    <t>GSK211214VIQ709</t>
  </si>
  <si>
    <t>GSK211215NGF549</t>
  </si>
  <si>
    <t>GSK211215EMU879</t>
  </si>
  <si>
    <t>GSK211213NMR367</t>
  </si>
  <si>
    <t>GSK211215FRQ638</t>
  </si>
  <si>
    <t>GSK211215ACS607</t>
  </si>
  <si>
    <t>GSK211215WXJ826</t>
  </si>
  <si>
    <t>GSK211215QTD901</t>
  </si>
  <si>
    <t>GSK211214FTG104</t>
  </si>
  <si>
    <t>GSK211214EJZ408</t>
  </si>
  <si>
    <t>GSK211215JYE816</t>
  </si>
  <si>
    <t>GSK211214AWJ853</t>
  </si>
  <si>
    <t>GSK211215WOX654</t>
  </si>
  <si>
    <t>GSK211214ZGR837</t>
  </si>
  <si>
    <t>GSK211215BPC024</t>
  </si>
  <si>
    <t>GSK211215GEY426</t>
  </si>
  <si>
    <t>GSK211215JOZ831</t>
  </si>
  <si>
    <t>GSK211215LUZ621</t>
  </si>
  <si>
    <t>GSK211215LPY820</t>
  </si>
  <si>
    <t>GSK211215JPX864</t>
  </si>
  <si>
    <t>GSK211215WZV251</t>
  </si>
  <si>
    <t>GSK211215JGU908</t>
  </si>
  <si>
    <t>GSK211215DXI641</t>
  </si>
  <si>
    <t>GSK211215CGE274</t>
  </si>
  <si>
    <t>GSK211215XUO639</t>
  </si>
  <si>
    <t>GSK211215MIJ457</t>
  </si>
  <si>
    <t>GSK211215HSD310</t>
  </si>
  <si>
    <t>GSK211215UMF125</t>
  </si>
  <si>
    <t>GSK211215QBG532</t>
  </si>
  <si>
    <t>GSK211215YHJ014</t>
  </si>
  <si>
    <t>GSK211215VCU927</t>
  </si>
  <si>
    <t>GSK211215JYB601</t>
  </si>
  <si>
    <t>GSK211215WDX256</t>
  </si>
  <si>
    <t>GSK211215FVM458</t>
  </si>
  <si>
    <t>GSK211215IAH587</t>
  </si>
  <si>
    <t>GSK211215CJV426</t>
  </si>
  <si>
    <t>GSK211215RCX516</t>
  </si>
  <si>
    <t>GSK211215LNW907</t>
  </si>
  <si>
    <t>GSK211215HRC279</t>
  </si>
  <si>
    <t>GSK211215RVJ856</t>
  </si>
  <si>
    <t>GSK211215DOK085</t>
  </si>
  <si>
    <t>GSK211215ARW034</t>
  </si>
  <si>
    <t>GSK211215SLJ635</t>
  </si>
  <si>
    <t>GSK211214OKH274</t>
  </si>
  <si>
    <t>GSK211214SXV648</t>
  </si>
  <si>
    <t>GSK211215JTH869</t>
  </si>
  <si>
    <t>GSK211215GDQ195</t>
  </si>
  <si>
    <t>GSK211215ZEY892</t>
  </si>
  <si>
    <t>GSK211215IYW186</t>
  </si>
  <si>
    <t>GSK211215FUL720</t>
  </si>
  <si>
    <t>GSK211215BUC872</t>
  </si>
  <si>
    <t>GSK211215EAJ405</t>
  </si>
  <si>
    <t>GSK211215ZVP786</t>
  </si>
  <si>
    <t>GSK211215PYD461</t>
  </si>
  <si>
    <t>GSK211215VCN682</t>
  </si>
  <si>
    <t>GSK211215CIW913</t>
  </si>
  <si>
    <t>GSK211215NWH281</t>
  </si>
  <si>
    <t>GSK211215OWP863</t>
  </si>
  <si>
    <t>GSK211215YMJ067</t>
  </si>
  <si>
    <t>GSK211215LHV326</t>
  </si>
  <si>
    <t>GSK211214YXU268</t>
  </si>
  <si>
    <t>GSK211215WIL298</t>
  </si>
  <si>
    <t>GSK211215FCD914</t>
  </si>
  <si>
    <t>GSK211215LXH152</t>
  </si>
  <si>
    <t>GSK211215XBY572</t>
  </si>
  <si>
    <t>GSK211215YDV486</t>
  </si>
  <si>
    <t>GSK211215JCX410</t>
  </si>
  <si>
    <t>GSK211214IJO942</t>
  </si>
  <si>
    <t>GSK211215OUR892</t>
  </si>
  <si>
    <t>GSK211215NOU179</t>
  </si>
  <si>
    <t>GSK211215XSW419</t>
  </si>
  <si>
    <t>GSK211215VAP617</t>
  </si>
  <si>
    <t>GSK211215GRZ364</t>
  </si>
  <si>
    <t>GSK211215RWB620</t>
  </si>
  <si>
    <t>GSK211215HAV904</t>
  </si>
  <si>
    <t>GSK211215JCN926</t>
  </si>
  <si>
    <t>GSK211215ONJ260</t>
  </si>
  <si>
    <t>GSK211215SBZ324</t>
  </si>
  <si>
    <t>GSK211215KLA687</t>
  </si>
  <si>
    <t>GSK211215XRA381</t>
  </si>
  <si>
    <t>GSK211214DUB956</t>
  </si>
  <si>
    <t>GSK211215MXL923</t>
  </si>
  <si>
    <t>GSK211215XTH435</t>
  </si>
  <si>
    <t>GSK211215PTB543</t>
  </si>
  <si>
    <t>GSK211215FPM239</t>
  </si>
  <si>
    <t>GSK211214USD752</t>
  </si>
  <si>
    <t>GSK211215DCM028</t>
  </si>
  <si>
    <t>GSK211215GCH804</t>
  </si>
  <si>
    <t>GSK211215VJT829</t>
  </si>
  <si>
    <t>GSK211215EOQ815</t>
  </si>
  <si>
    <t>GSK211215GJZ592</t>
  </si>
  <si>
    <t>GSK211215MYK931</t>
  </si>
  <si>
    <t>GSK211214SZR028</t>
  </si>
  <si>
    <t>GSK211215ZIP576</t>
  </si>
  <si>
    <t>DMD/2112/15/UMGE9760</t>
  </si>
  <si>
    <t>GSK211215FNA981</t>
  </si>
  <si>
    <t>GSK211215SBG379</t>
  </si>
  <si>
    <t>GSK211215WGJ530</t>
  </si>
  <si>
    <t>GSK211214DLN307</t>
  </si>
  <si>
    <t>GSK211215CSU548</t>
  </si>
  <si>
    <t>GSK211215YDP834</t>
  </si>
  <si>
    <t>GSK211214FHK519</t>
  </si>
  <si>
    <t>DMD/2112/15/YAVZ8154</t>
  </si>
  <si>
    <t>GSK211214EFJ204</t>
  </si>
  <si>
    <t>GSK211215AJG036</t>
  </si>
  <si>
    <t>GSK211215KIT637</t>
  </si>
  <si>
    <t>GSK211215IZD245</t>
  </si>
  <si>
    <t>GSK211215BSK720</t>
  </si>
  <si>
    <t>GSK211214LBY135</t>
  </si>
  <si>
    <t>GSK211214XYI470</t>
  </si>
  <si>
    <t>GSK211215KHW081</t>
  </si>
  <si>
    <t>GSK211215WOK073</t>
  </si>
  <si>
    <t>GSK211215CGP657</t>
  </si>
  <si>
    <t>GSK211214ZUS596</t>
  </si>
  <si>
    <t>GSK211215LFJ783</t>
  </si>
  <si>
    <t>GSK211214OCX352</t>
  </si>
  <si>
    <t>GSK211215ZOY875</t>
  </si>
  <si>
    <t>GSK211214YJQ829</t>
  </si>
  <si>
    <t>GSK211215MLG684</t>
  </si>
  <si>
    <t>GSK211214JDM421</t>
  </si>
  <si>
    <t>GSK211215GFR726</t>
  </si>
  <si>
    <t>GSK211214RCD698</t>
  </si>
  <si>
    <t>GSK211214IZY163</t>
  </si>
  <si>
    <t>GSK211215JVB675</t>
  </si>
  <si>
    <t>GSK211215TVW192</t>
  </si>
  <si>
    <t>GSK211214RKB720</t>
  </si>
  <si>
    <t>GSK211215PRA389</t>
  </si>
  <si>
    <t>GSK211215WRE895</t>
  </si>
  <si>
    <t>GSK211215XOP856</t>
  </si>
  <si>
    <t>GSK211214GAB231</t>
  </si>
  <si>
    <t>GSK211214EBQ639</t>
  </si>
  <si>
    <t>GSK211214NVO968</t>
  </si>
  <si>
    <t>GSK211215JHX180</t>
  </si>
  <si>
    <t>GSK211213YIE270</t>
  </si>
  <si>
    <t>GSK211214XTV245</t>
  </si>
  <si>
    <t>GSK211214QPL392</t>
  </si>
  <si>
    <t>GSK211214XOZ309</t>
  </si>
  <si>
    <t>GSK211215QVK540</t>
  </si>
  <si>
    <t>GSK211215QDV129</t>
  </si>
  <si>
    <t>GSK211214XDU052</t>
  </si>
  <si>
    <t>GSK211214NPT581</t>
  </si>
  <si>
    <t>GSK211215LJP086</t>
  </si>
  <si>
    <t>GSK211215LDP483</t>
  </si>
  <si>
    <t>GSK211215GFK074</t>
  </si>
  <si>
    <t>GSK211215ZHJ432</t>
  </si>
  <si>
    <t>GSK211214ENC594</t>
  </si>
  <si>
    <t>GSK211214MIZ564</t>
  </si>
  <si>
    <t>GSK211215QKP693</t>
  </si>
  <si>
    <t>GSK211214NHR970</t>
  </si>
  <si>
    <t>GSK211214DZU713</t>
  </si>
  <si>
    <t>GSK211215EQV460</t>
  </si>
  <si>
    <t>GSK211215WVD358</t>
  </si>
  <si>
    <t>GSK211214LDQ164</t>
  </si>
  <si>
    <t>GSK211215GTJ834</t>
  </si>
  <si>
    <t>GSK211214PWK875</t>
  </si>
  <si>
    <t>GSK211214AVI491</t>
  </si>
  <si>
    <t>GSK211214MCD605</t>
  </si>
  <si>
    <t>GSK211214WHK208</t>
  </si>
  <si>
    <t>GSK211215YDH194</t>
  </si>
  <si>
    <t>GSK211215NFM068</t>
  </si>
  <si>
    <t>GSK211215MQI692</t>
  </si>
  <si>
    <t>GSK211214ORH178</t>
  </si>
  <si>
    <t>GSK211215MUQ120</t>
  </si>
  <si>
    <t>GSK211214XMZ823</t>
  </si>
  <si>
    <t>GSK211215NFB923</t>
  </si>
  <si>
    <t>GSK211215TAF892</t>
  </si>
  <si>
    <t>GSK211214DGK763</t>
  </si>
  <si>
    <t>GSK211214KSN579</t>
  </si>
  <si>
    <t>GSK211214PRB579</t>
  </si>
  <si>
    <t>GSK211214BYE391</t>
  </si>
  <si>
    <t>GSK211215KEI420</t>
  </si>
  <si>
    <t>GSK211215KMJ348</t>
  </si>
  <si>
    <t>DMD/2112/15/MWAT6014</t>
  </si>
  <si>
    <t>GSK211215AKN932</t>
  </si>
  <si>
    <t>DMD/2112/16/ZWBI1684</t>
  </si>
  <si>
    <t>GSK211216UBT730</t>
  </si>
  <si>
    <t>GSK211216HSJ071</t>
  </si>
  <si>
    <t>GSK211215VPD925</t>
  </si>
  <si>
    <t>GSK211215TOX063</t>
  </si>
  <si>
    <t>GSK211216KTS593</t>
  </si>
  <si>
    <t>GSK211216QTS652</t>
  </si>
  <si>
    <t>GSK211215PUW347</t>
  </si>
  <si>
    <t>GSK211216PKH293</t>
  </si>
  <si>
    <t>GSK211215OKR594</t>
  </si>
  <si>
    <t>GSK211215AMK719</t>
  </si>
  <si>
    <t>GSK211215EZA413</t>
  </si>
  <si>
    <t>GSK211216NJR853</t>
  </si>
  <si>
    <t>GSK211215KGH065</t>
  </si>
  <si>
    <t>GSK211215TCH798</t>
  </si>
  <si>
    <t>GSK211216NMX261</t>
  </si>
  <si>
    <t>GSK211216DSU192</t>
  </si>
  <si>
    <t>GSK211216TZS521</t>
  </si>
  <si>
    <t>GSK211216GIV485</t>
  </si>
  <si>
    <t>GSK211216QKV359</t>
  </si>
  <si>
    <t>GSK211216MRD967</t>
  </si>
  <si>
    <t>GSK211216HPA591</t>
  </si>
  <si>
    <t>GSK211216RWC475</t>
  </si>
  <si>
    <t>DMD/2112/16/XFRG5408</t>
  </si>
  <si>
    <t>GSK211216RXB216</t>
  </si>
  <si>
    <t>GSK211216WHE685</t>
  </si>
  <si>
    <t>DMD/2112/16/MGZF0798</t>
  </si>
  <si>
    <t>GSK211214VGM634</t>
  </si>
  <si>
    <t>GSK211215HJX419</t>
  </si>
  <si>
    <t>GSK211215PJH103</t>
  </si>
  <si>
    <t>GSK211214DFL134</t>
  </si>
  <si>
    <t>GSK211213RWF794</t>
  </si>
  <si>
    <t>GSK211215CDG479</t>
  </si>
  <si>
    <t>GSK211213XIB732</t>
  </si>
  <si>
    <t>GSK211214XMY250</t>
  </si>
  <si>
    <t>GSK211215WQM791</t>
  </si>
  <si>
    <t>GSK211214LKC730</t>
  </si>
  <si>
    <t>GSK211216MGL185</t>
  </si>
  <si>
    <t>GSK211214SEB493</t>
  </si>
  <si>
    <t>GSK211215JWP903</t>
  </si>
  <si>
    <t>GSK211214LJC926</t>
  </si>
  <si>
    <t>GSK211215EHM816</t>
  </si>
  <si>
    <t>DMD/2112/16/CZSB1065</t>
  </si>
  <si>
    <t>GSK211215PXW210</t>
  </si>
  <si>
    <t>GSK211213STZ574</t>
  </si>
  <si>
    <t>GSK211214TON635</t>
  </si>
  <si>
    <t>GSK211214NJV576</t>
  </si>
  <si>
    <t>GSK211215VRB254</t>
  </si>
  <si>
    <t>GSK211215GND302</t>
  </si>
  <si>
    <t>GSK211214DPT235</t>
  </si>
  <si>
    <t>GSK211215NQH725</t>
  </si>
  <si>
    <t>GSK211214WCZ941</t>
  </si>
  <si>
    <t>GSK211214FBC123</t>
  </si>
  <si>
    <t>GSK211215KIL186</t>
  </si>
  <si>
    <t>GSK211215HRB463</t>
  </si>
  <si>
    <t>GSK211214YLX324</t>
  </si>
  <si>
    <t>GSK211215WUR157</t>
  </si>
  <si>
    <t>GSK211214IVX653</t>
  </si>
  <si>
    <t>GSK211216LVX049</t>
  </si>
  <si>
    <t>GSK211216WGQ598</t>
  </si>
  <si>
    <t>GSK211216ZBK301</t>
  </si>
  <si>
    <t>GSK211215SRP590</t>
  </si>
  <si>
    <t>GSK211216AQY426</t>
  </si>
  <si>
    <t>GSK211214AQE095</t>
  </si>
  <si>
    <t>GSK211213ESL124</t>
  </si>
  <si>
    <t>GSK211214ZGO951</t>
  </si>
  <si>
    <t>GSK211215ANR637</t>
  </si>
  <si>
    <t>GSK211214UAX465</t>
  </si>
  <si>
    <t>GSK211214UBE157</t>
  </si>
  <si>
    <t>GSK211214SZT167</t>
  </si>
  <si>
    <t>GSK211214RNI305</t>
  </si>
  <si>
    <t>GSK211215XLZ954</t>
  </si>
  <si>
    <t>GSK211216CNS263</t>
  </si>
  <si>
    <t>GSK211215RGB376</t>
  </si>
  <si>
    <t>GSK211216XTR347</t>
  </si>
  <si>
    <t>GSK211215OGU081</t>
  </si>
  <si>
    <t>GSK211216RKZ708</t>
  </si>
  <si>
    <t>GSK211215GLI791</t>
  </si>
  <si>
    <t>GSK211216DXL068</t>
  </si>
  <si>
    <t>GSK211215PHS074</t>
  </si>
  <si>
    <t>GSK211215KMY891</t>
  </si>
  <si>
    <t>GSK211216JGE154</t>
  </si>
  <si>
    <t>GSK211216RNU491</t>
  </si>
  <si>
    <t>GSK211216AFU276</t>
  </si>
  <si>
    <t>GSK211216QXB672</t>
  </si>
  <si>
    <t>GSK211215ARO759</t>
  </si>
  <si>
    <t>GSK211216QAJ875</t>
  </si>
  <si>
    <t>GSK211216ERG372</t>
  </si>
  <si>
    <t>GSK211215FCR753</t>
  </si>
  <si>
    <t>GSK211215JMG259</t>
  </si>
  <si>
    <t>GSK211215IBU086</t>
  </si>
  <si>
    <t>GSK211216LEC793</t>
  </si>
  <si>
    <t>GSK211215POU105</t>
  </si>
  <si>
    <t>GSK211215PHG187</t>
  </si>
  <si>
    <t>GSK211214YMF816</t>
  </si>
  <si>
    <t>GSK211216JXV956</t>
  </si>
  <si>
    <t>GSK211215GYO902</t>
  </si>
  <si>
    <t>GSK211216GPC123</t>
  </si>
  <si>
    <t>GSK211216CTK463</t>
  </si>
  <si>
    <t>GSK211216OGW497</t>
  </si>
  <si>
    <t>GSK211215XNM513</t>
  </si>
  <si>
    <t>GSK211216QPX812</t>
  </si>
  <si>
    <t>GSK211216GYW496</t>
  </si>
  <si>
    <t>GSK211215XDA278</t>
  </si>
  <si>
    <t>GSK211214DIT813</t>
  </si>
  <si>
    <t>GSK211214ZXB362</t>
  </si>
  <si>
    <t>GSK211216XMW912</t>
  </si>
  <si>
    <t>GSK211216NQU507</t>
  </si>
  <si>
    <t>GSK211215TER215</t>
  </si>
  <si>
    <t>GSK211216GNX904</t>
  </si>
  <si>
    <t>GSK211215JTO456</t>
  </si>
  <si>
    <t>GSK211215AOI462</t>
  </si>
  <si>
    <t>GSK211214VYX321</t>
  </si>
  <si>
    <t>GSK211216XGP260</t>
  </si>
  <si>
    <t>GSK211216YXF321</t>
  </si>
  <si>
    <t>GSK211215LVM782</t>
  </si>
  <si>
    <t>GSK211215GIA795</t>
  </si>
  <si>
    <t>GSK211216NWG297</t>
  </si>
  <si>
    <t>GSK211216ZBF016</t>
  </si>
  <si>
    <t>GSK211216DRM307</t>
  </si>
  <si>
    <t>GSK211216TQF824</t>
  </si>
  <si>
    <t>GSK211215OKX230</t>
  </si>
  <si>
    <t>GSK211216EVA017</t>
  </si>
  <si>
    <t>GSK211214UJD751</t>
  </si>
  <si>
    <t>GSK211214EAB418</t>
  </si>
  <si>
    <t>GSK211216BKW125</t>
  </si>
  <si>
    <t>GSK211216UHD201</t>
  </si>
  <si>
    <t>GSK211215ESA709</t>
  </si>
  <si>
    <t>GSK211215THX865</t>
  </si>
  <si>
    <t>GSK211215GCL720</t>
  </si>
  <si>
    <t>GSK211215JWF869</t>
  </si>
  <si>
    <t>GSK211215WJE628</t>
  </si>
  <si>
    <t>GSK211216EAR869</t>
  </si>
  <si>
    <t>GSK211216FUP129</t>
  </si>
  <si>
    <t>GSK211214XSM503</t>
  </si>
  <si>
    <t>GSK211215ERY639</t>
  </si>
  <si>
    <t>GSK211215RZY675</t>
  </si>
  <si>
    <t>GSK211215NDX538</t>
  </si>
  <si>
    <t>GSK211216HTO397</t>
  </si>
  <si>
    <t>GSK211216KZL398</t>
  </si>
  <si>
    <t>GSK211215LEV538</t>
  </si>
  <si>
    <t>GSK211216PTQ892</t>
  </si>
  <si>
    <t>GSK211215FAC470</t>
  </si>
  <si>
    <t>GSK211215UYH267</t>
  </si>
  <si>
    <t>GSK211216QDL967</t>
  </si>
  <si>
    <t>GSK211216FUA402</t>
  </si>
  <si>
    <t>GSK211216KNE105</t>
  </si>
  <si>
    <t>GSK211216TUZ089</t>
  </si>
  <si>
    <t>GSK211216GLX186</t>
  </si>
  <si>
    <t>GSK211216MOP087</t>
  </si>
  <si>
    <t>GSK211215LFB987</t>
  </si>
  <si>
    <t>GSK211215NPE961</t>
  </si>
  <si>
    <t>GSK211213JQG173</t>
  </si>
  <si>
    <t>GSK211215AWM084</t>
  </si>
  <si>
    <t>GSK211216LZI243</t>
  </si>
  <si>
    <t>GSK211215DUZ263</t>
  </si>
  <si>
    <t>GSK211214XDO684</t>
  </si>
  <si>
    <t>GSK211216MUG798</t>
  </si>
  <si>
    <t>GSK211214UVL094</t>
  </si>
  <si>
    <t>GSK211215YLK427</t>
  </si>
  <si>
    <t>GSK211216SHI571</t>
  </si>
  <si>
    <t>GSK211213RGY482</t>
  </si>
  <si>
    <t>GSK211215EAM827</t>
  </si>
  <si>
    <t>GSK211215EZH481</t>
  </si>
  <si>
    <t>GSK211216GKC074</t>
  </si>
  <si>
    <t>GSK211215VOL035</t>
  </si>
  <si>
    <t>GSK211215VEB231</t>
  </si>
  <si>
    <t>GSK211216UHA218</t>
  </si>
  <si>
    <t>GSK211214LYK371</t>
  </si>
  <si>
    <t>GSK211215ALB408</t>
  </si>
  <si>
    <t>GSK211216MAJ705</t>
  </si>
  <si>
    <t>GSK211216BAM947</t>
  </si>
  <si>
    <t>GSK211215WGI326</t>
  </si>
  <si>
    <t>GSK211215KHD597</t>
  </si>
  <si>
    <t>GSK211216VZA736</t>
  </si>
  <si>
    <t>GSK211216AUJ185</t>
  </si>
  <si>
    <t>GSK211214IDZ135</t>
  </si>
  <si>
    <t>GSK211216BHU890</t>
  </si>
  <si>
    <t>GSK211215SUM682</t>
  </si>
  <si>
    <t>GSK211214NQO148</t>
  </si>
  <si>
    <t>GSK211216JUH296</t>
  </si>
  <si>
    <t>GSK211215UIG018</t>
  </si>
  <si>
    <t>GSK211215QJX796</t>
  </si>
  <si>
    <t>GSK211215XIN941</t>
  </si>
  <si>
    <t>GSK211215WSL378</t>
  </si>
  <si>
    <t>GSK211215WNA831</t>
  </si>
  <si>
    <t>GSK211216RMX671</t>
  </si>
  <si>
    <t>GSK211216IXS045</t>
  </si>
  <si>
    <t>GSK211216SIQ318</t>
  </si>
  <si>
    <t>GSK211216FNH546</t>
  </si>
  <si>
    <t>GSK211216LXR468</t>
  </si>
  <si>
    <t>GSK211216MTN749</t>
  </si>
  <si>
    <t>GSK211215OUI268</t>
  </si>
  <si>
    <t>GSK211216PKR475</t>
  </si>
  <si>
    <t>GSK211216JOK958</t>
  </si>
  <si>
    <t>GSK211216SBQ704</t>
  </si>
  <si>
    <t>GSK211216OTP714</t>
  </si>
  <si>
    <t>GSK211215WHL492</t>
  </si>
  <si>
    <t>GSK211215NBH493</t>
  </si>
  <si>
    <t>GSK211215PNH397</t>
  </si>
  <si>
    <t>GSK211215CJW852</t>
  </si>
  <si>
    <t>GSK211215ZTM830</t>
  </si>
  <si>
    <t>GSK211215IUZ162</t>
  </si>
  <si>
    <t>GSK211216TFX162</t>
  </si>
  <si>
    <t>GSK211216FMR721</t>
  </si>
  <si>
    <t>GSK211216NMY254</t>
  </si>
  <si>
    <t>GSK211215SHN374</t>
  </si>
  <si>
    <t>GSK211216UVP735</t>
  </si>
  <si>
    <t>GSK211215ZFE739</t>
  </si>
  <si>
    <t>GSK211216SOQ670</t>
  </si>
  <si>
    <t>GSK211216XZT823</t>
  </si>
  <si>
    <t>GSK211216CIK560</t>
  </si>
  <si>
    <t>GSK211216VSX243</t>
  </si>
  <si>
    <t>GSK211216RUL249</t>
  </si>
  <si>
    <t>GSK211216EVH608</t>
  </si>
  <si>
    <t>GSK211216CPK704</t>
  </si>
  <si>
    <t>GSK211215GQW279</t>
  </si>
  <si>
    <t>GSK211215DPE692</t>
  </si>
  <si>
    <t>GSK211216SBZ821</t>
  </si>
  <si>
    <t>GSK211216NJK603</t>
  </si>
  <si>
    <t>GSK211216IRS706</t>
  </si>
  <si>
    <t>GSK211215KAR158</t>
  </si>
  <si>
    <t>GSK211215QJL976</t>
  </si>
  <si>
    <t>GSK211216XNI629</t>
  </si>
  <si>
    <t>GSK211216QXG379</t>
  </si>
  <si>
    <t>GSK211216DCK104</t>
  </si>
  <si>
    <t>GSK211216ETB821</t>
  </si>
  <si>
    <t>GSK211216CRY540</t>
  </si>
  <si>
    <t>GSK211216ZAD857</t>
  </si>
  <si>
    <t>GSK211216DFA697</t>
  </si>
  <si>
    <t>GSK211214AXB638</t>
  </si>
  <si>
    <t>GSK211215ZVI325</t>
  </si>
  <si>
    <t>GSK211216ICM563</t>
  </si>
  <si>
    <t>GSK211216YQK216</t>
  </si>
  <si>
    <t>GSK211215RHU971</t>
  </si>
  <si>
    <t>GSK211214PIF426</t>
  </si>
  <si>
    <t>GSK211215GSQ129</t>
  </si>
  <si>
    <t>GSK211215PQD498</t>
  </si>
  <si>
    <t>GSK211216BZH251</t>
  </si>
  <si>
    <t>GSK211216QLK903</t>
  </si>
  <si>
    <t>GSK211216KDG150</t>
  </si>
  <si>
    <t>GSK211216CHV215</t>
  </si>
  <si>
    <t>GSK211216BLQ235</t>
  </si>
  <si>
    <t>GSK211216GCY405</t>
  </si>
  <si>
    <t>GSK211215ZKV253</t>
  </si>
  <si>
    <t>GSK211215PBK731</t>
  </si>
  <si>
    <t>GSK211215CRW062</t>
  </si>
  <si>
    <t>GSK211216MIH847</t>
  </si>
  <si>
    <t>GSK211214IAW485</t>
  </si>
  <si>
    <t>GSK211216NXH035</t>
  </si>
  <si>
    <t>DMD/2112/16/PJAE9610</t>
  </si>
  <si>
    <t>GSK211216FMW592</t>
  </si>
  <si>
    <t>DMD/2112/16/ZJTA9724</t>
  </si>
  <si>
    <t>GSK211215ONY734</t>
  </si>
  <si>
    <t>GSK211214XSM694</t>
  </si>
  <si>
    <t>GSK211216QED506</t>
  </si>
  <si>
    <t>GSK211214HJG597</t>
  </si>
  <si>
    <t>DMD/2112/16/JQHZ6923</t>
  </si>
  <si>
    <t>GSK211216JRW684</t>
  </si>
  <si>
    <t>GSK211216AJH503</t>
  </si>
  <si>
    <t>GSK211216VHR325</t>
  </si>
  <si>
    <t>GSK211215HPB438</t>
  </si>
  <si>
    <t>DMD/2112/16/OTDE3617</t>
  </si>
  <si>
    <t>GSK211215MZT075</t>
  </si>
  <si>
    <t>DMD/2112/16/LOQF7639</t>
  </si>
  <si>
    <t>GSK211216UHA374</t>
  </si>
  <si>
    <t>GSK211216CMW351</t>
  </si>
  <si>
    <t>GSK211216INL746</t>
  </si>
  <si>
    <t>GSK211216OZA938</t>
  </si>
  <si>
    <t>GSK211216SXA503</t>
  </si>
  <si>
    <t>GSK211216SDF241</t>
  </si>
  <si>
    <t>GSK211216DOZ367</t>
  </si>
  <si>
    <t>GSK211216GVM851</t>
  </si>
  <si>
    <t>GSK211216IGH193</t>
  </si>
  <si>
    <t>GSK211216QIK901</t>
  </si>
  <si>
    <t>GSK211216TEA453</t>
  </si>
  <si>
    <t>GSK211216CQW312</t>
  </si>
  <si>
    <t>GSK211216GJZ396</t>
  </si>
  <si>
    <t>GSK211216DTN953</t>
  </si>
  <si>
    <t>GSK211216JQS276</t>
  </si>
  <si>
    <t>GSK211216MOK865</t>
  </si>
  <si>
    <t>GSK211216ZDO865</t>
  </si>
  <si>
    <t>GSK211216LXZ461</t>
  </si>
  <si>
    <t>GSK211216DRK439</t>
  </si>
  <si>
    <t>GSK211216PRW047</t>
  </si>
  <si>
    <t>GSK211216PTE416</t>
  </si>
  <si>
    <t>GSK211216VPZ146</t>
  </si>
  <si>
    <t>GSK211216NJS470</t>
  </si>
  <si>
    <t>GSK211216MIJ968</t>
  </si>
  <si>
    <t>GSK211215BYH104</t>
  </si>
  <si>
    <t>GSK211216CFQ027</t>
  </si>
  <si>
    <t>GSK211216TSN863</t>
  </si>
  <si>
    <t>GSK211216GVT351</t>
  </si>
  <si>
    <t>GSK211216SXQ495</t>
  </si>
  <si>
    <t>GSK211216ARB034</t>
  </si>
  <si>
    <t>GSK211216QWX946</t>
  </si>
  <si>
    <t>GSK211215QHB591</t>
  </si>
  <si>
    <t>GSK211216CUN365</t>
  </si>
  <si>
    <t>GSK211216TFK819</t>
  </si>
  <si>
    <t>GSK211216KWM809</t>
  </si>
  <si>
    <t>GSK211216RQC593</t>
  </si>
  <si>
    <t>GSK211216YVA234</t>
  </si>
  <si>
    <t>GSK211216KPC430</t>
  </si>
  <si>
    <t>GSK211216YLE728</t>
  </si>
  <si>
    <t>GSK211216GVS951</t>
  </si>
  <si>
    <t>GSK211216EZF602</t>
  </si>
  <si>
    <t>GSK211216RXQ312</t>
  </si>
  <si>
    <t>GSK211216AHR056</t>
  </si>
  <si>
    <t>GSK211216DBO850</t>
  </si>
  <si>
    <t>GSK211216JXE169</t>
  </si>
  <si>
    <t>GSK211216HOB241</t>
  </si>
  <si>
    <t>GSK211216YMP695</t>
  </si>
  <si>
    <t>GSK211216ADX403</t>
  </si>
  <si>
    <t>GSK211216PQE713</t>
  </si>
  <si>
    <t>GSK211216XVR158</t>
  </si>
  <si>
    <t>GSK211216EBM097</t>
  </si>
  <si>
    <t>GSK211216TCM178</t>
  </si>
  <si>
    <t>DMD/2112/16/HDRQ1392</t>
  </si>
  <si>
    <t>GSK211216GDX274</t>
  </si>
  <si>
    <t>DMD/2112/16/NVPQ3847</t>
  </si>
  <si>
    <t>GSK211214IKS783</t>
  </si>
  <si>
    <t>GSK211215CJN521</t>
  </si>
  <si>
    <t>DMD/2112/16/QEKN4703</t>
  </si>
  <si>
    <t>GSK211216TJL078</t>
  </si>
  <si>
    <t>GSK211215EOC984</t>
  </si>
  <si>
    <t>GSK211216KTI867</t>
  </si>
  <si>
    <t>gsk211216oyh862</t>
  </si>
  <si>
    <t>DMD/2112/16/YECV5712</t>
  </si>
  <si>
    <t>GSK211214ESB651</t>
  </si>
  <si>
    <t>DMD/2112/16/QXAR8596</t>
  </si>
  <si>
    <t>GSK211216VTQ948</t>
  </si>
  <si>
    <t>DMD/2112/16/LXHG1864</t>
  </si>
  <si>
    <t>GSK211216QSP105</t>
  </si>
  <si>
    <t>GSK211216FTO148</t>
  </si>
  <si>
    <t>GSK211216ITN968</t>
  </si>
  <si>
    <t>GSK211216AKU472</t>
  </si>
  <si>
    <t>DMD/2112/16/IWLV1078</t>
  </si>
  <si>
    <t>GSK211216HCV048</t>
  </si>
  <si>
    <t>GSK211216MIY863</t>
  </si>
  <si>
    <t>GSK211216NZO074</t>
  </si>
  <si>
    <t>GSK211216ROV849</t>
  </si>
  <si>
    <t>GSK211216QSC201</t>
  </si>
  <si>
    <t>GSK211216LOX483</t>
  </si>
  <si>
    <t>GSK211216QGA957</t>
  </si>
  <si>
    <t>GSK211216RXE750</t>
  </si>
  <si>
    <t>GSK211216BQW692</t>
  </si>
  <si>
    <t>GSK211216MVK763</t>
  </si>
  <si>
    <t>GSK211216QJW924</t>
  </si>
  <si>
    <t>GSK211216FBA843</t>
  </si>
  <si>
    <t>GSK211216VLS904</t>
  </si>
  <si>
    <t>GSK211216BVE793</t>
  </si>
  <si>
    <t>GSK211216FSB856</t>
  </si>
  <si>
    <t>DMD/2112/16/VFJU5741</t>
  </si>
  <si>
    <t>GSK211215XID976</t>
  </si>
  <si>
    <t>GSK211215YJL025</t>
  </si>
  <si>
    <t>GSK211215YAF273</t>
  </si>
  <si>
    <t>GSK211215ZCK570</t>
  </si>
  <si>
    <t>GSK211215JMI049</t>
  </si>
  <si>
    <t>GSK211215NHU275</t>
  </si>
  <si>
    <t>GSK211215MAK208</t>
  </si>
  <si>
    <t>GSK211215HDI503</t>
  </si>
  <si>
    <t>GSK211215WVD069</t>
  </si>
  <si>
    <t>GSK211215VWK804</t>
  </si>
  <si>
    <t>GSK211215ICU217</t>
  </si>
  <si>
    <t>GSK211215QVW718</t>
  </si>
  <si>
    <t>GSK211215AQJ286</t>
  </si>
  <si>
    <t>GSK211215AHF826</t>
  </si>
  <si>
    <t>GSK211215EZV130</t>
  </si>
  <si>
    <t>GSK211215VYP528</t>
  </si>
  <si>
    <t>GSK211215REO763</t>
  </si>
  <si>
    <t>DMD/2112/17/GNUX7501</t>
  </si>
  <si>
    <t>GSK211217UEA389</t>
  </si>
  <si>
    <t>GSK211217VGK160</t>
  </si>
  <si>
    <t>GSK211217SFV780</t>
  </si>
  <si>
    <t>GSK211217ENW453</t>
  </si>
  <si>
    <t>GSK211217AEL641</t>
  </si>
  <si>
    <t>GSK211217LIX957</t>
  </si>
  <si>
    <t>GSK211216TOA187</t>
  </si>
  <si>
    <t>GSK211217EAM907</t>
  </si>
  <si>
    <t>GSK211217PYS423</t>
  </si>
  <si>
    <t>GSK211216BKG234</t>
  </si>
  <si>
    <t>GSK211217EML276</t>
  </si>
  <si>
    <t>GSK211217PCA629</t>
  </si>
  <si>
    <t>GSK211216TPN285</t>
  </si>
  <si>
    <t>GSK211217WEQ973</t>
  </si>
  <si>
    <t>GSK211217KNC957</t>
  </si>
  <si>
    <t>GSK211217PSK876</t>
  </si>
  <si>
    <t>GSK211217GBZ049</t>
  </si>
  <si>
    <t>GSK211217JZA903</t>
  </si>
  <si>
    <t>GSK211217ZXC139</t>
  </si>
  <si>
    <t>GSK211217NID702</t>
  </si>
  <si>
    <t>GSK211216OAY824</t>
  </si>
  <si>
    <t>GSK211217FKM572</t>
  </si>
  <si>
    <t>DMD/2112/17/AFRL8143</t>
  </si>
  <si>
    <t>GSK211217CEN418</t>
  </si>
  <si>
    <t>DMD/2112/17/AOKF6829</t>
  </si>
  <si>
    <t>GSK211217GBZ468</t>
  </si>
  <si>
    <t>GSK211217UJP894</t>
  </si>
  <si>
    <t>GSK211217UGH297</t>
  </si>
  <si>
    <t>GSK211217MSG403</t>
  </si>
  <si>
    <t>GSK211217PLA496</t>
  </si>
  <si>
    <t>GSK211217XCE573</t>
  </si>
  <si>
    <t>GSK211216HNX680</t>
  </si>
  <si>
    <t>GSK211217GJE531</t>
  </si>
  <si>
    <t>GSK211217ECK286</t>
  </si>
  <si>
    <t>GSK211217QMJ014</t>
  </si>
  <si>
    <t>GSK211217RWG164</t>
  </si>
  <si>
    <t>GSK211216YGM524</t>
  </si>
  <si>
    <t>GSK211217FOB870</t>
  </si>
  <si>
    <t>GSK211217TWA905</t>
  </si>
  <si>
    <t>GSK211216VBP253</t>
  </si>
  <si>
    <t>GSK211217ZIJ064</t>
  </si>
  <si>
    <t>GSK211217SJF296</t>
  </si>
  <si>
    <t>GSK211217FEL309</t>
  </si>
  <si>
    <t>GSK211217FBR756</t>
  </si>
  <si>
    <t>GSK211217TSL635</t>
  </si>
  <si>
    <t>GSK211217JIS018</t>
  </si>
  <si>
    <t>GSK211217HTA512</t>
  </si>
  <si>
    <t>GSK211217EAZ137</t>
  </si>
  <si>
    <t>GSK211217YHW183</t>
  </si>
  <si>
    <t>GSK211217IZY078</t>
  </si>
  <si>
    <t>GSK211217HCA519</t>
  </si>
  <si>
    <t>GSK211217ZGE372</t>
  </si>
  <si>
    <t>GSK211217FKH682</t>
  </si>
  <si>
    <t>GSK211217EQW713</t>
  </si>
  <si>
    <t>GSK211217EFQ284</t>
  </si>
  <si>
    <t>GSK211217MGT153</t>
  </si>
  <si>
    <t>GSK211217ETN432</t>
  </si>
  <si>
    <t>DMD/2112/17/QBWY4386</t>
  </si>
  <si>
    <t>GSK211216EZA392</t>
  </si>
  <si>
    <t>GSK211217MOZ941</t>
  </si>
  <si>
    <t>GSK211217GBX263</t>
  </si>
  <si>
    <t>GSK211217PRD368</t>
  </si>
  <si>
    <t>GSK211216BOU129</t>
  </si>
  <si>
    <t>GSK211216FTH478</t>
  </si>
  <si>
    <t>GSK211217MPN954</t>
  </si>
  <si>
    <t>GSK211217QFU509</t>
  </si>
  <si>
    <t>GSK211216JSP805</t>
  </si>
  <si>
    <t>GSK211217DAR261</t>
  </si>
  <si>
    <t>GSK211216OTS074</t>
  </si>
  <si>
    <t>GSK211217LGP761</t>
  </si>
  <si>
    <t>GSK211217ANH179</t>
  </si>
  <si>
    <t>GSK211217WMX185</t>
  </si>
  <si>
    <t>GSK211217SCB516</t>
  </si>
  <si>
    <t>GSK211217HJU571</t>
  </si>
  <si>
    <t>GSK211215WBR837</t>
  </si>
  <si>
    <t>GSK211217QYD679</t>
  </si>
  <si>
    <t>GSK211215HIT827</t>
  </si>
  <si>
    <t>GSK211217AIZ531</t>
  </si>
  <si>
    <t>GSK211215UYR290</t>
  </si>
  <si>
    <t>GSK211216TPM357</t>
  </si>
  <si>
    <t>GSK211216LYM059</t>
  </si>
  <si>
    <t>GSK211217MFX910</t>
  </si>
  <si>
    <t>GSK211217MFB673</t>
  </si>
  <si>
    <t>GSK211217CML394</t>
  </si>
  <si>
    <t>GSK211216IDX104</t>
  </si>
  <si>
    <t>GSK211216KWO851</t>
  </si>
  <si>
    <t>GSK211217CFG732</t>
  </si>
  <si>
    <t>GSK211215AMG791</t>
  </si>
  <si>
    <t>GSK211217GHC817</t>
  </si>
  <si>
    <t>GSK211217RDY156</t>
  </si>
  <si>
    <t>GSK211217RTS523</t>
  </si>
  <si>
    <t>GSK211217XWU489</t>
  </si>
  <si>
    <t>GSK211215OIG045</t>
  </si>
  <si>
    <t>GSK211217TGJ926</t>
  </si>
  <si>
    <t>GSK211217VWG045</t>
  </si>
  <si>
    <t>GSK211217QJH841</t>
  </si>
  <si>
    <t>GSK211215KTF519</t>
  </si>
  <si>
    <t>GSK211217ISU293</t>
  </si>
  <si>
    <t>GSK211216TVM748</t>
  </si>
  <si>
    <t>GSK211217PSL561</t>
  </si>
  <si>
    <t>GSK211216AXL159</t>
  </si>
  <si>
    <t>GSK211216RBA854</t>
  </si>
  <si>
    <t>GSK211217JGT296</t>
  </si>
  <si>
    <t>GSK211217HCF397</t>
  </si>
  <si>
    <t>GSK211217IVZ378</t>
  </si>
  <si>
    <t>GSK211217GSF157</t>
  </si>
  <si>
    <t>GSK211217ICY364</t>
  </si>
  <si>
    <t>GSK211217LIK641</t>
  </si>
  <si>
    <t>GSK211215RDL264</t>
  </si>
  <si>
    <t>GSK211217ESR089</t>
  </si>
  <si>
    <t>GSK211217PSA305</t>
  </si>
  <si>
    <t>GSK211217MSG842</t>
  </si>
  <si>
    <t>GSK211217NWF301</t>
  </si>
  <si>
    <t>GSK211217SXY351</t>
  </si>
  <si>
    <t>GSK211217TZM168</t>
  </si>
  <si>
    <t>GSK211217QVG729</t>
  </si>
  <si>
    <t>GSK211217LWO891</t>
  </si>
  <si>
    <t>GSK211217PBR574</t>
  </si>
  <si>
    <t>GSK211217GMR734</t>
  </si>
  <si>
    <t>GSK211217EPH917</t>
  </si>
  <si>
    <t>GSK211217TQR068</t>
  </si>
  <si>
    <t>GSK211217GLP326</t>
  </si>
  <si>
    <t>GSK211217XIV576</t>
  </si>
  <si>
    <t>GSK211215WAD410</t>
  </si>
  <si>
    <t>GSK211216UYD728</t>
  </si>
  <si>
    <t>GSK211217EGR730</t>
  </si>
  <si>
    <t>GSK211217KNV921</t>
  </si>
  <si>
    <t>GSK211217UMX674</t>
  </si>
  <si>
    <t>GSK211217EVL702</t>
  </si>
  <si>
    <t>GSK211217UKR489</t>
  </si>
  <si>
    <t>GSK211217YCF198</t>
  </si>
  <si>
    <t>GSK211217QRG106</t>
  </si>
  <si>
    <t>GSK211217XEO865</t>
  </si>
  <si>
    <t>GSK211217VWI876</t>
  </si>
  <si>
    <t>GSK211217KZB491</t>
  </si>
  <si>
    <t>GSK211216HYK062</t>
  </si>
  <si>
    <t>GSK211216HPO930</t>
  </si>
  <si>
    <t>GSK211217PBK734</t>
  </si>
  <si>
    <t>GSK211217EMZ682</t>
  </si>
  <si>
    <t>GSK211217QDK503</t>
  </si>
  <si>
    <t>GSK211217MQT794</t>
  </si>
  <si>
    <t>GSK211215BQU254</t>
  </si>
  <si>
    <t>GSK211217DWP637</t>
  </si>
  <si>
    <t>GSK211214IDR169</t>
  </si>
  <si>
    <t>GSK211214TBE936</t>
  </si>
  <si>
    <t>GSK211217EFA986</t>
  </si>
  <si>
    <t>GSK211217UTC452</t>
  </si>
  <si>
    <t>GSK211217IMG016</t>
  </si>
  <si>
    <t>GSK211217KEF810</t>
  </si>
  <si>
    <t>GSK211217OTB304</t>
  </si>
  <si>
    <t>GSK211217VSI742</t>
  </si>
  <si>
    <t>GSK211217ZRO256</t>
  </si>
  <si>
    <t>GSK211217JIX190</t>
  </si>
  <si>
    <t>GSK211217CKN968</t>
  </si>
  <si>
    <t>GSK211217XKS416</t>
  </si>
  <si>
    <t>GSK211217FPU654</t>
  </si>
  <si>
    <t>GSK211217LWY684</t>
  </si>
  <si>
    <t>GSK211217YXS472</t>
  </si>
  <si>
    <t>GSK211216JPI497</t>
  </si>
  <si>
    <t>GSK211217JXP674</t>
  </si>
  <si>
    <t>GSK211216FJO196</t>
  </si>
  <si>
    <t>GSK211216GKE670</t>
  </si>
  <si>
    <t>GSK211217KIG734</t>
  </si>
  <si>
    <t>DMD/2112/17/TYVG6924</t>
  </si>
  <si>
    <t>GSK211217XBW084</t>
  </si>
  <si>
    <t>GSK211217NVT201</t>
  </si>
  <si>
    <t>DMD/2112/17/NGQD3178</t>
  </si>
  <si>
    <t>GSK211217IDW531</t>
  </si>
  <si>
    <t>DMD/2112/17/FUXW2357</t>
  </si>
  <si>
    <t>GSK211216LTN860</t>
  </si>
  <si>
    <t>GSK211217GNK096</t>
  </si>
  <si>
    <t>GSK211217UJE483</t>
  </si>
  <si>
    <t>GSK211217IJS497</t>
  </si>
  <si>
    <t>GSK211214VON183</t>
  </si>
  <si>
    <t>GSK211216RMZ145</t>
  </si>
  <si>
    <t>GSK211217KAV851</t>
  </si>
  <si>
    <t>GSK211217SZO803</t>
  </si>
  <si>
    <t>GSK211217WPL265</t>
  </si>
  <si>
    <t>DMD/2112/17/MDNF3850</t>
  </si>
  <si>
    <t>GSK211217VBG965</t>
  </si>
  <si>
    <t>DMD/2112/18/GOKN0247</t>
  </si>
  <si>
    <t>GSK211217ZBO106</t>
  </si>
  <si>
    <t>GSK211218KXR301</t>
  </si>
  <si>
    <t>GSK211218GVM138</t>
  </si>
  <si>
    <t>GSK211218VGX384</t>
  </si>
  <si>
    <t>GSK211218MEY823</t>
  </si>
  <si>
    <t>GSK211218BKI143</t>
  </si>
  <si>
    <t>GSK211217WJH398</t>
  </si>
  <si>
    <t>GSK211218DSG705</t>
  </si>
  <si>
    <t>GSK211218IJU521</t>
  </si>
  <si>
    <t>GSK211217HWQ982</t>
  </si>
  <si>
    <t>GSK211217PEX269</t>
  </si>
  <si>
    <t>GSK211217BXT104</t>
  </si>
  <si>
    <t>GSK211218MXW491</t>
  </si>
  <si>
    <t>GSK211218ETR381</t>
  </si>
  <si>
    <t>GSK211218QCK329</t>
  </si>
  <si>
    <t>GSK211218TIH839</t>
  </si>
  <si>
    <t>GSK211217YOV762</t>
  </si>
  <si>
    <t>GSK211218MYR023</t>
  </si>
  <si>
    <t>GSK211218HZR180</t>
  </si>
  <si>
    <t>GSK211218KPV706</t>
  </si>
  <si>
    <t>GSK211218MLE509</t>
  </si>
  <si>
    <t>GSK211217NGV205</t>
  </si>
  <si>
    <t>GSK211218FLT258</t>
  </si>
  <si>
    <t>GSK211218NGE105</t>
  </si>
  <si>
    <t>GSK211217HVQ984</t>
  </si>
  <si>
    <t>GSK211218USQ345</t>
  </si>
  <si>
    <t>GSK211218HWE426</t>
  </si>
  <si>
    <t>GSK211218APM724</t>
  </si>
  <si>
    <t>GSK211217XQA725</t>
  </si>
  <si>
    <t>GSK211217FGP416</t>
  </si>
  <si>
    <t>GSK211217YUW614</t>
  </si>
  <si>
    <t>GSK211218NWI681</t>
  </si>
  <si>
    <t>GSK211218ZSL623</t>
  </si>
  <si>
    <t>DMD/2112/18/MINX9741</t>
  </si>
  <si>
    <t>GSK211218XDU142</t>
  </si>
  <si>
    <t>GSK211218HVG609</t>
  </si>
  <si>
    <t>12/24/2021 RESTU</t>
  </si>
  <si>
    <t xml:space="preserve">DMD/2112/18/NRVG4592 </t>
  </si>
  <si>
    <t>GSK211218GJQ950</t>
  </si>
  <si>
    <t>GSK211218FDM623</t>
  </si>
  <si>
    <t>GSK211218VGY430</t>
  </si>
  <si>
    <t>GSK211218KMA945</t>
  </si>
  <si>
    <t>GSK211218ETG849</t>
  </si>
  <si>
    <t>GSK211218FAH876</t>
  </si>
  <si>
    <t>GSK211218AKU609</t>
  </si>
  <si>
    <t>GSK211217ENV074</t>
  </si>
  <si>
    <t>GSK211218ZHC047</t>
  </si>
  <si>
    <t>GSK211218DRO120</t>
  </si>
  <si>
    <t>GSK211218EFS146</t>
  </si>
  <si>
    <t>GSK211218UVO430</t>
  </si>
  <si>
    <t>GSK211218ION158</t>
  </si>
  <si>
    <t>GSK211218RYI732</t>
  </si>
  <si>
    <t>GSK211218AGB021</t>
  </si>
  <si>
    <t>GSK211217MKJ385</t>
  </si>
  <si>
    <t>GSK211218KME850</t>
  </si>
  <si>
    <t>GSK211217RKE928</t>
  </si>
  <si>
    <t>GSK211218IWE721</t>
  </si>
  <si>
    <t>GSK211218TFK948</t>
  </si>
  <si>
    <t>GSK211218BNR289</t>
  </si>
  <si>
    <t>GSK211218JAR590</t>
  </si>
  <si>
    <t>GSK211218CWP296</t>
  </si>
  <si>
    <t>GSK211218FMI429</t>
  </si>
  <si>
    <t>GSK211218EWQ790</t>
  </si>
  <si>
    <t>GSK211218KWC982</t>
  </si>
  <si>
    <t>GSK211218TWH485</t>
  </si>
  <si>
    <t>GSK211218XYO207</t>
  </si>
  <si>
    <t>GSK211218WJL071</t>
  </si>
  <si>
    <t>GSK211218UQZ193</t>
  </si>
  <si>
    <t>GSK211218FZG658</t>
  </si>
  <si>
    <t>GSK211218YOS497</t>
  </si>
  <si>
    <t>GSK211218HRU276</t>
  </si>
  <si>
    <t>GSK211218KLO410</t>
  </si>
  <si>
    <t>GSK211218OMV357</t>
  </si>
  <si>
    <t>GSK211218IVM527</t>
  </si>
  <si>
    <t>DMD/2112/18/RGJP8076</t>
  </si>
  <si>
    <t>GSK211218WJB239</t>
  </si>
  <si>
    <t>DMD/2112/18/KVIQ7261</t>
  </si>
  <si>
    <t>GSK211218ADU274</t>
  </si>
  <si>
    <t>GSK211218VGQ371</t>
  </si>
  <si>
    <t>GSK211218MOZ827</t>
  </si>
  <si>
    <t>GSK211218XBF812</t>
  </si>
  <si>
    <t>GSK211218YEN573</t>
  </si>
  <si>
    <t>GSK211218EKL481</t>
  </si>
  <si>
    <t>GSK211218JKX859</t>
  </si>
  <si>
    <t>GSK211218ACQ607</t>
  </si>
  <si>
    <t>GSK211218LWG713</t>
  </si>
  <si>
    <t>GSK211218CDM504</t>
  </si>
  <si>
    <t>GSK211218ANR234</t>
  </si>
  <si>
    <t>GSK211218GVB178</t>
  </si>
  <si>
    <t>GSK211218TEU139</t>
  </si>
  <si>
    <t>GSK211218GNU280</t>
  </si>
  <si>
    <t>GSK211218YBF417</t>
  </si>
  <si>
    <t>GSK211218EAX764</t>
  </si>
  <si>
    <t>GSK211218LDP794</t>
  </si>
  <si>
    <t>GSK211218ZEN408</t>
  </si>
  <si>
    <t>GSK211215SWT896</t>
  </si>
  <si>
    <t>GSK211218UCP213</t>
  </si>
  <si>
    <t>GSK211218AWT256</t>
  </si>
  <si>
    <t>GSK211218THR387</t>
  </si>
  <si>
    <t>GSK211218DBR862</t>
  </si>
  <si>
    <t>GSK211218GNX145</t>
  </si>
  <si>
    <t>GSK211218FEG205</t>
  </si>
  <si>
    <t>GSK211218HTA719</t>
  </si>
  <si>
    <t>GSK211217BMQ613</t>
  </si>
  <si>
    <t>GSK211218LRU527</t>
  </si>
  <si>
    <t>GSK211218EPY497</t>
  </si>
  <si>
    <t>GSK211218OAE523</t>
  </si>
  <si>
    <t>GSK211218EBK840</t>
  </si>
  <si>
    <t>GSK211218KOX503</t>
  </si>
  <si>
    <t>GSK211218KFV705</t>
  </si>
  <si>
    <t>GSK211218KHI597</t>
  </si>
  <si>
    <t>GSK211218IGX432</t>
  </si>
  <si>
    <t>GSK211217JEB398</t>
  </si>
  <si>
    <t>GSK211214VOW794</t>
  </si>
  <si>
    <t>GSK211217PYL432</t>
  </si>
  <si>
    <t>GSK211218RQD801</t>
  </si>
  <si>
    <t>GSK211216AVL791</t>
  </si>
  <si>
    <t>GSK211215WUP613</t>
  </si>
  <si>
    <t>GSK211218AGO781</t>
  </si>
  <si>
    <t>GSK211218DGF379</t>
  </si>
  <si>
    <t>GSK211218GVY038</t>
  </si>
  <si>
    <t>GSK211217CBX294</t>
  </si>
  <si>
    <t>GSK211218YOQ652</t>
  </si>
  <si>
    <t>GSK211218VAE896</t>
  </si>
  <si>
    <t>GSK211218YPI682</t>
  </si>
  <si>
    <t>GSK211218ITH043</t>
  </si>
  <si>
    <t>GSK211218SZU537</t>
  </si>
  <si>
    <t>GSK211218WPM798</t>
  </si>
  <si>
    <t>GSK211217BPS397</t>
  </si>
  <si>
    <t>GSK211218KQP210</t>
  </si>
  <si>
    <t>GSK211218WZI175</t>
  </si>
  <si>
    <t>GSK211218YHR923</t>
  </si>
  <si>
    <t>GSK211217ZTO981</t>
  </si>
  <si>
    <t>GSK211215YVB387</t>
  </si>
  <si>
    <t>GSK211216YOB710</t>
  </si>
  <si>
    <t>GSK211216TEU685</t>
  </si>
  <si>
    <t>GSK211218CXR370</t>
  </si>
  <si>
    <t>GSK211218UGQ205</t>
  </si>
  <si>
    <t>GSK211218AVI469</t>
  </si>
  <si>
    <t>GSK211216VCX284</t>
  </si>
  <si>
    <t>GSK211217FTV490</t>
  </si>
  <si>
    <t>GSK211218JHK976</t>
  </si>
  <si>
    <t>GSK211218NMX879</t>
  </si>
  <si>
    <t>GSK211217RDK129</t>
  </si>
  <si>
    <t>GSK211218KJE546</t>
  </si>
  <si>
    <t>GSK211217EXZ326</t>
  </si>
  <si>
    <t>GSK211217SNO843</t>
  </si>
  <si>
    <t>GSK211216NYL516</t>
  </si>
  <si>
    <t>GSK211218FRZ289</t>
  </si>
  <si>
    <t>GSK211217UWE685</t>
  </si>
  <si>
    <t>GSK211218DWK397</t>
  </si>
  <si>
    <t>GSK211216TDC745</t>
  </si>
  <si>
    <t>GSK211217JOU231</t>
  </si>
  <si>
    <t>GSK211218EDO945</t>
  </si>
  <si>
    <t>GSK211218NAO836</t>
  </si>
  <si>
    <t>GSK211217OYR850</t>
  </si>
  <si>
    <t>gsk211215xrk492</t>
  </si>
  <si>
    <t>GSK211218CJS693</t>
  </si>
  <si>
    <t>GSK211218BHF973</t>
  </si>
  <si>
    <t>GSK211215HCZ250</t>
  </si>
  <si>
    <t>GSK211218NIJ149</t>
  </si>
  <si>
    <t>GSK211218SVA237</t>
  </si>
  <si>
    <t>GSK211217PNV897</t>
  </si>
  <si>
    <t>GSK211218VQA839</t>
  </si>
  <si>
    <t>GSK211218ISC206</t>
  </si>
  <si>
    <t>GSK211218AKP304</t>
  </si>
  <si>
    <t>GSK211218WPF582</t>
  </si>
  <si>
    <t>GSK211218YMV962</t>
  </si>
  <si>
    <t>GSK211218TJB408</t>
  </si>
  <si>
    <t>GSK211217VHR281</t>
  </si>
  <si>
    <t>GSK211218UEF806</t>
  </si>
  <si>
    <t>GSK211218OGA920</t>
  </si>
  <si>
    <t>GSK211217UNS298</t>
  </si>
  <si>
    <t>GSK211218RPM381</t>
  </si>
  <si>
    <t>GSK211217DBG847</t>
  </si>
  <si>
    <t>GSK211216ZWQ214</t>
  </si>
  <si>
    <t>GSK211217QPL729</t>
  </si>
  <si>
    <t>GSK211218MYB960</t>
  </si>
  <si>
    <t>gsk211215uor428</t>
  </si>
  <si>
    <t>GSK211218YXT456</t>
  </si>
  <si>
    <t>GSK211218QRH256</t>
  </si>
  <si>
    <t>GSK211217LEU591</t>
  </si>
  <si>
    <t>GSK211218KDP930</t>
  </si>
  <si>
    <t>GSK211218MBP529</t>
  </si>
  <si>
    <t>GSK211218NCT267</t>
  </si>
  <si>
    <t>GSK211218YVO539</t>
  </si>
  <si>
    <t>GSK211218CHI724</t>
  </si>
  <si>
    <t>GSK211218NEA057</t>
  </si>
  <si>
    <t>GSK211217ZBO735</t>
  </si>
  <si>
    <t>GSK211218UTO301</t>
  </si>
  <si>
    <t>GSK211218SVL235</t>
  </si>
  <si>
    <t>GSK211216CKQ628</t>
  </si>
  <si>
    <t>GSK211218CYI834</t>
  </si>
  <si>
    <t>GSK211217GUR607</t>
  </si>
  <si>
    <t>GSK211218NAO186</t>
  </si>
  <si>
    <t>GSK211215OCP730</t>
  </si>
  <si>
    <t>GSK211217HMS789</t>
  </si>
  <si>
    <t>GSK211215PBA419</t>
  </si>
  <si>
    <t>GSK211218QVF378</t>
  </si>
  <si>
    <t>GSK211218DKW563</t>
  </si>
  <si>
    <t>GSK211218MZO679</t>
  </si>
  <si>
    <t>GSK211218CSD397</t>
  </si>
  <si>
    <t>GSK211217UMK618</t>
  </si>
  <si>
    <t>GSK211214BQP946</t>
  </si>
  <si>
    <t>GSK211218PTA931</t>
  </si>
  <si>
    <t>GSK211218KMA702</t>
  </si>
  <si>
    <t>GSK211218BUW953</t>
  </si>
  <si>
    <t>GSK211215ORL907</t>
  </si>
  <si>
    <t>GSK211218NZJ847</t>
  </si>
  <si>
    <t>GSK211218LDA052</t>
  </si>
  <si>
    <t>GSK211218UHD520</t>
  </si>
  <si>
    <t>GSK211218IFM641</t>
  </si>
  <si>
    <t>GSK211215RZN186</t>
  </si>
  <si>
    <t>DMD/2112/18/MFST9013</t>
  </si>
  <si>
    <t>GSK211215GNL815</t>
  </si>
  <si>
    <t>DMD/2112/18/BWCQ7532</t>
  </si>
  <si>
    <t>GSK211218RCV261</t>
  </si>
  <si>
    <t>GSK211218MVE159</t>
  </si>
  <si>
    <t>GSK211216ATZ398</t>
  </si>
  <si>
    <t>GSK211217DQS931</t>
  </si>
  <si>
    <t>GSK211216OXA874</t>
  </si>
  <si>
    <t>GSK211218UFM127</t>
  </si>
  <si>
    <t>GSK211218LCZ286</t>
  </si>
  <si>
    <t>GSK211217HTJ710</t>
  </si>
  <si>
    <t>DMD/2112/18/VCOZ4857</t>
  </si>
  <si>
    <t>GSK211218MYC134</t>
  </si>
  <si>
    <t>GSK211218LRT340</t>
  </si>
  <si>
    <t>GSK211218TGX231</t>
  </si>
  <si>
    <t>GSK211218IST950</t>
  </si>
  <si>
    <t>GSK211218JHS536</t>
  </si>
  <si>
    <t>GSK211218KZO921</t>
  </si>
  <si>
    <t>GSK211218BOY154</t>
  </si>
  <si>
    <t>GSK211218EJC934</t>
  </si>
  <si>
    <t>GSK211218GAI389</t>
  </si>
  <si>
    <t>GSK211218ZCM764</t>
  </si>
  <si>
    <t>GSK211218ACB623</t>
  </si>
  <si>
    <t>GSK211218JOU083</t>
  </si>
  <si>
    <t>GSK211218TXR978</t>
  </si>
  <si>
    <t xml:space="preserve">DMD/2112/18/FJZP5187  </t>
  </si>
  <si>
    <t>GSK211218WQG109</t>
  </si>
  <si>
    <t>GSK211218XQR036</t>
  </si>
  <si>
    <t>GSK211218UKH267</t>
  </si>
  <si>
    <t>GSK211218HJE405</t>
  </si>
  <si>
    <t>GSK211218UEM461</t>
  </si>
  <si>
    <t>GSK211218UJW073</t>
  </si>
  <si>
    <t>GSK211218GTU387</t>
  </si>
  <si>
    <t>GSK211218BAV126</t>
  </si>
  <si>
    <t>GSK211218WFR526</t>
  </si>
  <si>
    <t>DMD/2112/18/MPDQ9654</t>
  </si>
  <si>
    <t>GSK211218MAD289</t>
  </si>
  <si>
    <t>GSK211218YIM862</t>
  </si>
  <si>
    <t>DMD/2112/19/SGEX6280</t>
  </si>
  <si>
    <t>GSK211219PUY631</t>
  </si>
  <si>
    <t>GSK211219OPX590</t>
  </si>
  <si>
    <t>GSK211218KSX948</t>
  </si>
  <si>
    <t>GSK211219SRU485</t>
  </si>
  <si>
    <t>GSK211218JAO047</t>
  </si>
  <si>
    <t>GSK211219YLV273</t>
  </si>
  <si>
    <t>GSK211219UIT394</t>
  </si>
  <si>
    <t>GSK211219YBO043</t>
  </si>
  <si>
    <t>GSK211218CTN420</t>
  </si>
  <si>
    <t>GSK211219BPV430</t>
  </si>
  <si>
    <t>GSK211219REL709</t>
  </si>
  <si>
    <t>GSK211218VWG809</t>
  </si>
  <si>
    <t>GSK211219WDN097</t>
  </si>
  <si>
    <t>GSK211219DPV480</t>
  </si>
  <si>
    <t>GSK211219DRV502</t>
  </si>
  <si>
    <t>GSK211218EKY321</t>
  </si>
  <si>
    <t>GSK211218VYO407</t>
  </si>
  <si>
    <t>GSK211219NGI965</t>
  </si>
  <si>
    <t>GSK211218UEZ971</t>
  </si>
  <si>
    <t>GSK211219IWL169</t>
  </si>
  <si>
    <t>GSK211219XHN321</t>
  </si>
  <si>
    <t>GSK211219TXF842</t>
  </si>
  <si>
    <t>GSK211219KCP986</t>
  </si>
  <si>
    <t>GSK211218JSU430</t>
  </si>
  <si>
    <t>GSK211219CRK476</t>
  </si>
  <si>
    <t>GSK211219BGZ248</t>
  </si>
  <si>
    <t>GSK211219MHS169</t>
  </si>
  <si>
    <t>GSK211218AZQ916</t>
  </si>
  <si>
    <t>GSK211219ZYD673</t>
  </si>
  <si>
    <t>GSK211219KSJ574</t>
  </si>
  <si>
    <t>GSK211219KGV841</t>
  </si>
  <si>
    <t>GSK211219MCD289</t>
  </si>
  <si>
    <t>GSK211219GOP872</t>
  </si>
  <si>
    <t>GSK211218FWO270</t>
  </si>
  <si>
    <t>GSK211219HIX570</t>
  </si>
  <si>
    <t>DMD/2112/19/QYTD5918</t>
  </si>
  <si>
    <t>GSK211219HZF614</t>
  </si>
  <si>
    <t>DMD/2112/19/INJA3612</t>
  </si>
  <si>
    <t>GSK211218QTK394</t>
  </si>
  <si>
    <t>GSK211219EMS637</t>
  </si>
  <si>
    <t>GSK211219EKV716</t>
  </si>
  <si>
    <t>GSK211218BEF270</t>
  </si>
  <si>
    <t>GSK211219TAX487</t>
  </si>
  <si>
    <t>GSK211219RFK420</t>
  </si>
  <si>
    <t>GSK211219HAI819</t>
  </si>
  <si>
    <t>GSK211219ZFX302</t>
  </si>
  <si>
    <t>GSK211219PBC127</t>
  </si>
  <si>
    <t>GSK211219NMV562</t>
  </si>
  <si>
    <t>GSK211218JCR627</t>
  </si>
  <si>
    <t>GSK211219PFH834</t>
  </si>
  <si>
    <t>GSK211219JPG385</t>
  </si>
  <si>
    <t>GSK211219SNO917</t>
  </si>
  <si>
    <t>GSK211219DNV862</t>
  </si>
  <si>
    <t>GSK211219ZSF506</t>
  </si>
  <si>
    <t>GSK211219UGK983</t>
  </si>
  <si>
    <t>GSK211219MJS136</t>
  </si>
  <si>
    <t>GSK211218UOF208</t>
  </si>
  <si>
    <t>GSK211219OKY643</t>
  </si>
  <si>
    <t>GSK211219TWB839</t>
  </si>
  <si>
    <t>GSK211219DHB806</t>
  </si>
  <si>
    <t>GSK211218XWO509</t>
  </si>
  <si>
    <t>GSK211218USK906</t>
  </si>
  <si>
    <t>GSK211218EFC374</t>
  </si>
  <si>
    <t>GSK211219FJA309</t>
  </si>
  <si>
    <t>GSK211218POT684</t>
  </si>
  <si>
    <t>GSK211219NUS928</t>
  </si>
  <si>
    <t>GSK211219HRV942</t>
  </si>
  <si>
    <t>GSK211219JFZ069</t>
  </si>
  <si>
    <t>DMD/2112/19/XZIM3854</t>
  </si>
  <si>
    <t>GSK211219CHG021</t>
  </si>
  <si>
    <t>DMD/2112/19/SQJX4170</t>
  </si>
  <si>
    <t>GSK211219DGV201</t>
  </si>
  <si>
    <t>GSK211219KCD067</t>
  </si>
  <si>
    <t>GSK211219UZI780</t>
  </si>
  <si>
    <t>GSK211219NYE217</t>
  </si>
  <si>
    <t>GSK211219XDG034</t>
  </si>
  <si>
    <t>GSK211219BRO281</t>
  </si>
  <si>
    <t>GSK211219YRO876</t>
  </si>
  <si>
    <t>GSK211217WIK825</t>
  </si>
  <si>
    <t>GSK211219NLX856</t>
  </si>
  <si>
    <t>GSK211219FVI507</t>
  </si>
  <si>
    <t>GSK211217AUT864</t>
  </si>
  <si>
    <t>GSK211218WUR731</t>
  </si>
  <si>
    <t>GSK211219TWE670</t>
  </si>
  <si>
    <t>GSK211219NIG172</t>
  </si>
  <si>
    <t>GSK211219INK081</t>
  </si>
  <si>
    <t>GSK211219XEW389</t>
  </si>
  <si>
    <t>GSK211219RCY245</t>
  </si>
  <si>
    <t>GSK211218DJW185</t>
  </si>
  <si>
    <t>GSK211219OKP152</t>
  </si>
  <si>
    <t>GSK211219GFN251</t>
  </si>
  <si>
    <t>GSK211216TNC439</t>
  </si>
  <si>
    <t>GSK211219EOK985</t>
  </si>
  <si>
    <t>GSK211219AUF829</t>
  </si>
  <si>
    <t>GSK211217ZUF578</t>
  </si>
  <si>
    <t>GSK211217BGC087</t>
  </si>
  <si>
    <t>GSK211219XKP290</t>
  </si>
  <si>
    <t>GSK211219FRV096</t>
  </si>
  <si>
    <t>GSK211219NYG946</t>
  </si>
  <si>
    <t>GSK211216CMB720</t>
  </si>
  <si>
    <t>GSK211219LIH893</t>
  </si>
  <si>
    <t>GSK211219FMS179</t>
  </si>
  <si>
    <t>GSK211218GRA853</t>
  </si>
  <si>
    <t>GSK211218CJH064</t>
  </si>
  <si>
    <t>GSK211219TUR791</t>
  </si>
  <si>
    <t>GSK211219HTN592</t>
  </si>
  <si>
    <t>GSK211219CBW890</t>
  </si>
  <si>
    <t>GSK211216JRW372</t>
  </si>
  <si>
    <t>GSK211219ZOG985</t>
  </si>
  <si>
    <t>GSK211219DGC275</t>
  </si>
  <si>
    <t>GSK211218UTB210</t>
  </si>
  <si>
    <t>GSK211218HYT075</t>
  </si>
  <si>
    <t>GSK211218IZM367</t>
  </si>
  <si>
    <t>GSK211215PMZ473</t>
  </si>
  <si>
    <t>GSK211218GKM097</t>
  </si>
  <si>
    <t>GSK211218ODI104</t>
  </si>
  <si>
    <t>GSK211218HMK527</t>
  </si>
  <si>
    <t>GSK211218ZWO396</t>
  </si>
  <si>
    <t>GSK211218OSU543</t>
  </si>
  <si>
    <t>GSK211215BXW352</t>
  </si>
  <si>
    <t>GSK211219YOI360</t>
  </si>
  <si>
    <t>GSK211219SHA645</t>
  </si>
  <si>
    <t>GSK211219BHR852</t>
  </si>
  <si>
    <t>GSK211219OLZ697</t>
  </si>
  <si>
    <t>GSK211219SFI023</t>
  </si>
  <si>
    <t>GSK211219XJP098</t>
  </si>
  <si>
    <t>GSK211218WVX046</t>
  </si>
  <si>
    <t>GSK211219FWZ143</t>
  </si>
  <si>
    <t>GSK211219JTH785</t>
  </si>
  <si>
    <t>GSK211219GJP041</t>
  </si>
  <si>
    <t>GSK211218AMW502</t>
  </si>
  <si>
    <t>GSK211219QWP571</t>
  </si>
  <si>
    <t>GSK211219BJI942</t>
  </si>
  <si>
    <t>GSK211219NMA562</t>
  </si>
  <si>
    <t>GSK211219GUF467</t>
  </si>
  <si>
    <t>GSK211218FNR943</t>
  </si>
  <si>
    <t>GSK211219NFO936</t>
  </si>
  <si>
    <t>GSK211218JKY439</t>
  </si>
  <si>
    <t>GSK211219HNP963</t>
  </si>
  <si>
    <t>GSK211219JNY587</t>
  </si>
  <si>
    <t>GSK211219KMJ276</t>
  </si>
  <si>
    <t>GSK211218TVL054</t>
  </si>
  <si>
    <t>GSK211219FBG893</t>
  </si>
  <si>
    <t>GSK211219WTA186</t>
  </si>
  <si>
    <t>GSK211219YQN581</t>
  </si>
  <si>
    <t>GSK211218PST159</t>
  </si>
  <si>
    <t>GSK211218VPB170</t>
  </si>
  <si>
    <t>GSK211218ANG293</t>
  </si>
  <si>
    <t>GSK211219LPY615</t>
  </si>
  <si>
    <t>GSK211219ZAN231</t>
  </si>
  <si>
    <t>GSK211219MQZ482</t>
  </si>
  <si>
    <t>GSK211218XNK729</t>
  </si>
  <si>
    <t>GSK211219PQS943</t>
  </si>
  <si>
    <t>GSK211218UMF591</t>
  </si>
  <si>
    <t>GSK211219ZYX504</t>
  </si>
  <si>
    <t>GSK211218ADW318</t>
  </si>
  <si>
    <t>GSK211218NUY905</t>
  </si>
  <si>
    <t>GSK211215JAZ275</t>
  </si>
  <si>
    <t>GSK211219OZJ485</t>
  </si>
  <si>
    <t>GSK211218FVH139</t>
  </si>
  <si>
    <t>GSK211219PYX036</t>
  </si>
  <si>
    <t>GSK211219GAC786</t>
  </si>
  <si>
    <t>GSK211219NUE610</t>
  </si>
  <si>
    <t>GSK211219CPY430</t>
  </si>
  <si>
    <t>GSK211218TKL621</t>
  </si>
  <si>
    <t>GSK211219VCX475</t>
  </si>
  <si>
    <t>GSK211219SGC796</t>
  </si>
  <si>
    <t>GSK211217SFK506</t>
  </si>
  <si>
    <t>GSK211219JLH103</t>
  </si>
  <si>
    <t>GSK211216WIX324</t>
  </si>
  <si>
    <t>GSK211216WOC530</t>
  </si>
  <si>
    <t>GSK211219DLN879</t>
  </si>
  <si>
    <t>GSK211219ITX740</t>
  </si>
  <si>
    <t>GSK211219OTB764</t>
  </si>
  <si>
    <t>GSK211219RQN425</t>
  </si>
  <si>
    <t>GSK211219XTW297</t>
  </si>
  <si>
    <t>GSK211219VHO506</t>
  </si>
  <si>
    <t>GSK211219CBL391</t>
  </si>
  <si>
    <t>GSK211219HBP794</t>
  </si>
  <si>
    <t>GSK211218YUT687</t>
  </si>
  <si>
    <t>GSK211219VLQ130</t>
  </si>
  <si>
    <t>GSK211219QDO542</t>
  </si>
  <si>
    <t>GSK211219SAY470</t>
  </si>
  <si>
    <t>GSK211219FDH139</t>
  </si>
  <si>
    <t>GSK211219GSX832</t>
  </si>
  <si>
    <t>GSK211217YTZ465</t>
  </si>
  <si>
    <t>GSK211219MCJ925</t>
  </si>
  <si>
    <t>GSK211215CTR469</t>
  </si>
  <si>
    <t>GSK211219KND268</t>
  </si>
  <si>
    <t>GSK211219PGM894</t>
  </si>
  <si>
    <t>GSK211218RLQ716</t>
  </si>
  <si>
    <t>GSK211218UQJ853</t>
  </si>
  <si>
    <t>GSK211219FAX716</t>
  </si>
  <si>
    <t>GSK211219LMR806</t>
  </si>
  <si>
    <t>GSK211218UJY924</t>
  </si>
  <si>
    <t>GSK211218DEF967</t>
  </si>
  <si>
    <t>GSK211219UHM734</t>
  </si>
  <si>
    <t>GSK211215FGY437</t>
  </si>
  <si>
    <t>GSK211218NWA560</t>
  </si>
  <si>
    <t>GSK211218QHY428</t>
  </si>
  <si>
    <t>GSK211219VFB452</t>
  </si>
  <si>
    <t>GSK211219MIY756</t>
  </si>
  <si>
    <t>GSK211219NAU258</t>
  </si>
  <si>
    <t>GSK211219XNF129</t>
  </si>
  <si>
    <t>GSK211215KXZ654</t>
  </si>
  <si>
    <t>GSK211218CIN573</t>
  </si>
  <si>
    <t>GSK211219TSL476</t>
  </si>
  <si>
    <t>GSK211219YAD042</t>
  </si>
  <si>
    <t>GSK211216TSG471</t>
  </si>
  <si>
    <t>GSK211219UOY104</t>
  </si>
  <si>
    <t>GSK211216SFB709</t>
  </si>
  <si>
    <t>GSK211218PBI620</t>
  </si>
  <si>
    <t>GSK211219DCO328</t>
  </si>
  <si>
    <t>GSK211219SHO473</t>
  </si>
  <si>
    <t>GSK211219SHI396</t>
  </si>
  <si>
    <t>GSK211218KAD638</t>
  </si>
  <si>
    <t>GSK211219XOB604</t>
  </si>
  <si>
    <t>GSK211218HYI068</t>
  </si>
  <si>
    <t>GSK211218FTI625</t>
  </si>
  <si>
    <t>GSK211218JIY074</t>
  </si>
  <si>
    <t>GSK211218HIQ145</t>
  </si>
  <si>
    <t>GSK211217DPQ458</t>
  </si>
  <si>
    <t>GSK211219WPS235</t>
  </si>
  <si>
    <t>GSK211219WMK234</t>
  </si>
  <si>
    <t>GSK211218MHE930</t>
  </si>
  <si>
    <t>GSK211219YJL812</t>
  </si>
  <si>
    <t>GSK211219WRB470</t>
  </si>
  <si>
    <t>DMD/2112/19/UMSJ6921</t>
  </si>
  <si>
    <t>GSK211217ACT652</t>
  </si>
  <si>
    <t>GSK211219SBR769</t>
  </si>
  <si>
    <t>GSK211219YHQ263</t>
  </si>
  <si>
    <t>GSK211219BRJ549</t>
  </si>
  <si>
    <t>GSK211214KTN329</t>
  </si>
  <si>
    <t>DMD/2112/19/DVIC2739</t>
  </si>
  <si>
    <t>GSK211219IKY548</t>
  </si>
  <si>
    <t>DMD/2112/19/DBIR9731</t>
  </si>
  <si>
    <t>GSK211218NIJ624</t>
  </si>
  <si>
    <t>DMD/2112/20/KBZC2914</t>
  </si>
  <si>
    <t>GSK211219UXS971</t>
  </si>
  <si>
    <t>GSK211219CIU793</t>
  </si>
  <si>
    <t>GSK211219HUJ052</t>
  </si>
  <si>
    <t>GSK211219NJK712</t>
  </si>
  <si>
    <t>GSK211220NVQ921</t>
  </si>
  <si>
    <t>GSK211219MAW834</t>
  </si>
  <si>
    <t>GSK211220HIV831</t>
  </si>
  <si>
    <t>GSK211219LPQ384</t>
  </si>
  <si>
    <t>GSK211220WRF984</t>
  </si>
  <si>
    <t>GSK211220QOZ082</t>
  </si>
  <si>
    <t>GSK211220PRH925</t>
  </si>
  <si>
    <t>GSK211220YFM795</t>
  </si>
  <si>
    <t>GSK211219OSQ419</t>
  </si>
  <si>
    <t>GSK211219FAM529</t>
  </si>
  <si>
    <t>DMD/2112/20/HKYF6849</t>
  </si>
  <si>
    <t>GSK211220XPT308</t>
  </si>
  <si>
    <t>DMD/2112/20/MTWZ5286</t>
  </si>
  <si>
    <t>GSK211220VEC024</t>
  </si>
  <si>
    <t>GSK211220QEN647</t>
  </si>
  <si>
    <t>GSK211220IXY948</t>
  </si>
  <si>
    <t>GSK211220KQL152</t>
  </si>
  <si>
    <t>GSK211219GTO652</t>
  </si>
  <si>
    <t>GSK211220JQO907</t>
  </si>
  <si>
    <t>GSK211219JHB149</t>
  </si>
  <si>
    <t>GSK211220ANZ721</t>
  </si>
  <si>
    <t>GSK211220BJY680</t>
  </si>
  <si>
    <t>GSK211219PSQ902</t>
  </si>
  <si>
    <t>GSK211220SKZ781</t>
  </si>
  <si>
    <t>GSK211220JUH904</t>
  </si>
  <si>
    <t>DMD/2112/20/QKJG8527</t>
  </si>
  <si>
    <t>GSK211220CBW562</t>
  </si>
  <si>
    <t>DMD/2112/20/FDAR4871</t>
  </si>
  <si>
    <t>GSK211218GNC057</t>
  </si>
  <si>
    <t>GSK211220HDZ389</t>
  </si>
  <si>
    <t>GSK211219VIO537</t>
  </si>
  <si>
    <t>GSK211220TIM481</t>
  </si>
  <si>
    <t>GSK211220RCP896</t>
  </si>
  <si>
    <t>GSK211219CFR257</t>
  </si>
  <si>
    <t>GSK211220DNW846</t>
  </si>
  <si>
    <t>GSK211220WMD152</t>
  </si>
  <si>
    <t>GSK211217CAE876</t>
  </si>
  <si>
    <t>GSK211220ZWR678</t>
  </si>
  <si>
    <t>GSK211220EOX671</t>
  </si>
  <si>
    <t>GSK211219HZC708</t>
  </si>
  <si>
    <t>GSK211220KIF015</t>
  </si>
  <si>
    <t>GSK211219ABF920</t>
  </si>
  <si>
    <t>GSK211219WHX235</t>
  </si>
  <si>
    <t>GSK211220MZL632</t>
  </si>
  <si>
    <t>GSK211220LQK249</t>
  </si>
  <si>
    <t>GSK211220YWO921</t>
  </si>
  <si>
    <t>GSK211220HAP125</t>
  </si>
  <si>
    <t>GSK211219ZTL310</t>
  </si>
  <si>
    <t>GSK211220NJW159</t>
  </si>
  <si>
    <t>GSK211219BSN709</t>
  </si>
  <si>
    <t>GSK211220MKZ059</t>
  </si>
  <si>
    <t>GSK211219CIS670</t>
  </si>
  <si>
    <t>GSK211220TCW529</t>
  </si>
  <si>
    <t>GSK211219WUK257</t>
  </si>
  <si>
    <t>GSK211219WOD093</t>
  </si>
  <si>
    <t>GSK211220DYJ425</t>
  </si>
  <si>
    <t>GSK211219FBY762</t>
  </si>
  <si>
    <t>GSK211220VFZ726</t>
  </si>
  <si>
    <t>GSK211220SNF940</t>
  </si>
  <si>
    <t>GSK211219SXF024</t>
  </si>
  <si>
    <t>GSK211218DGN529</t>
  </si>
  <si>
    <t>GSK211219JUX703</t>
  </si>
  <si>
    <t>GSK211220HVO863</t>
  </si>
  <si>
    <t>GSK211220FPI821</t>
  </si>
  <si>
    <t>GSK211220QGR206</t>
  </si>
  <si>
    <t>GSK211220HRN032</t>
  </si>
  <si>
    <t>GSK211218ERT815</t>
  </si>
  <si>
    <t>GSK211220GCU971</t>
  </si>
  <si>
    <t>GSK211220IKB312</t>
  </si>
  <si>
    <t>GSK211220NZG419</t>
  </si>
  <si>
    <t>GSK211219FTN579</t>
  </si>
  <si>
    <t>GSK211219MCN814</t>
  </si>
  <si>
    <t>gsk211220ryb095</t>
  </si>
  <si>
    <t>GSK211220UGN752</t>
  </si>
  <si>
    <t>gsk211219rof127</t>
  </si>
  <si>
    <t>GSK211220XKC208</t>
  </si>
  <si>
    <t>GSK211220RGE438</t>
  </si>
  <si>
    <t>GSK211219BYN387</t>
  </si>
  <si>
    <t>GSK211219QPC837</t>
  </si>
  <si>
    <t>GSK211217BHW614</t>
  </si>
  <si>
    <t>GSK211219THA187</t>
  </si>
  <si>
    <t>GSK211219EOS865</t>
  </si>
  <si>
    <t>GSK211220KXP052</t>
  </si>
  <si>
    <t>GSK211219ZFW169</t>
  </si>
  <si>
    <t>GSK211219VUY830</t>
  </si>
  <si>
    <t>GSK211218WCT237</t>
  </si>
  <si>
    <t>gsk211219gql637</t>
  </si>
  <si>
    <t>GSK211219QPK598</t>
  </si>
  <si>
    <t>GSK211220PLV608</t>
  </si>
  <si>
    <t>GSK211219DWQ179</t>
  </si>
  <si>
    <t>GSK211219IRD593</t>
  </si>
  <si>
    <t>GSK211220RVB197</t>
  </si>
  <si>
    <t>GSK211220QAS815</t>
  </si>
  <si>
    <t>GSK211219PFY257</t>
  </si>
  <si>
    <t>GSK211220DFB306</t>
  </si>
  <si>
    <t>GSK211215NUJ684</t>
  </si>
  <si>
    <t>DMD/2112/20/YASJ2761</t>
  </si>
  <si>
    <t>GSK211219UXV793</t>
  </si>
  <si>
    <t>GSK211220BYX268</t>
  </si>
  <si>
    <t>GSK211220XNG083</t>
  </si>
  <si>
    <t>DMD/2112/20/ZGIW2406</t>
  </si>
  <si>
    <t>GSK211219VEH618</t>
  </si>
  <si>
    <t>DMD/2112/21/KLBJ4652</t>
  </si>
  <si>
    <t>GSK211221NOX245</t>
  </si>
  <si>
    <t>GSK211221QPU675</t>
  </si>
  <si>
    <t>GSK211221BNA826</t>
  </si>
  <si>
    <t>GSK211221RFH960</t>
  </si>
  <si>
    <t>GSK211220ZBA108</t>
  </si>
  <si>
    <t>GSK211221SLG705</t>
  </si>
  <si>
    <t>GSK211221GBV284</t>
  </si>
  <si>
    <t>GSK211221DMY603</t>
  </si>
  <si>
    <t>GSK211221TKB948</t>
  </si>
  <si>
    <t>GSK211220MWF319</t>
  </si>
  <si>
    <t>GSK211221KIM615</t>
  </si>
  <si>
    <t>GSK211221JNX539</t>
  </si>
  <si>
    <t>GSK211220WNR163</t>
  </si>
  <si>
    <t>GSK211221ZSP410</t>
  </si>
  <si>
    <t>GSK211221SFG385</t>
  </si>
  <si>
    <t>GSK211221AHX539</t>
  </si>
  <si>
    <t>GSK211221AJX716</t>
  </si>
  <si>
    <t>GSK211221TVB825</t>
  </si>
  <si>
    <t>GSK211221KBO749</t>
  </si>
  <si>
    <t>GSK211221OSD238</t>
  </si>
  <si>
    <t>GSK211221OAL793</t>
  </si>
  <si>
    <t>GSK211221PGU510</t>
  </si>
  <si>
    <t>GSK211221GAC736</t>
  </si>
  <si>
    <t>GSK211220HNR412</t>
  </si>
  <si>
    <t>GSK211221RPH349</t>
  </si>
  <si>
    <t>GSK211221HWK078</t>
  </si>
  <si>
    <t>GSK211221GNK164</t>
  </si>
  <si>
    <t>GSK211221HNU913</t>
  </si>
  <si>
    <t>GSK211221GXS452</t>
  </si>
  <si>
    <t>GSK211221INB531</t>
  </si>
  <si>
    <t>GSK211221ZRM693</t>
  </si>
  <si>
    <t>GSK211221ZNU643</t>
  </si>
  <si>
    <t>GSK211221AQE904</t>
  </si>
  <si>
    <t>GSK211221SPV250</t>
  </si>
  <si>
    <t>GSK211221WGC107</t>
  </si>
  <si>
    <t>GSK211221CBM972</t>
  </si>
  <si>
    <t>GSK211220QOZ146</t>
  </si>
  <si>
    <t>GSK211221SVR805</t>
  </si>
  <si>
    <t>GSK211221PGI624</t>
  </si>
  <si>
    <t>GSK211221MLT067</t>
  </si>
  <si>
    <t>GSK211221JAN572</t>
  </si>
  <si>
    <t>GSK211221QWV053</t>
  </si>
  <si>
    <t>GSK211221QNC204</t>
  </si>
  <si>
    <t>GSK211221KRW924</t>
  </si>
  <si>
    <t>GSK211221API869</t>
  </si>
  <si>
    <t>GSK211221VLH963</t>
  </si>
  <si>
    <t>GSK211221MQV471</t>
  </si>
  <si>
    <t>GSK211221VGF218</t>
  </si>
  <si>
    <t>GSK211221CQP739</t>
  </si>
  <si>
    <t>GSK211221HYD590</t>
  </si>
  <si>
    <t>DMD/2112/21/LGBU1327</t>
  </si>
  <si>
    <t>GSK211221JNO754</t>
  </si>
  <si>
    <t>DMD/2112/21/HJBO5862</t>
  </si>
  <si>
    <t>GSK211221TCN015</t>
  </si>
  <si>
    <t xml:space="preserve"> DMD/2112/21/FDAR6918 </t>
  </si>
  <si>
    <t>GSK211221KPQ491</t>
  </si>
  <si>
    <t>GSK211221VNK250</t>
  </si>
  <si>
    <t>GSK211221DMG824</t>
  </si>
  <si>
    <t>GSK211221NIL627</t>
  </si>
  <si>
    <t>GSK211221VRZ652</t>
  </si>
  <si>
    <t>GSK211221ZWS982</t>
  </si>
  <si>
    <t>GSK211221JSV613</t>
  </si>
  <si>
    <t>GSK211221VQS795</t>
  </si>
  <si>
    <t>GSK211221AHV728</t>
  </si>
  <si>
    <t>GSK211221KJL452</t>
  </si>
  <si>
    <t>GSK211220LAG051</t>
  </si>
  <si>
    <t>GSK211221ZJI892</t>
  </si>
  <si>
    <t>GSK211221DYF036</t>
  </si>
  <si>
    <t>GSK211221AWP243</t>
  </si>
  <si>
    <t>GSK211221IGH297</t>
  </si>
  <si>
    <t>GSK211221GNK417</t>
  </si>
  <si>
    <t>GSK211221QLF473</t>
  </si>
  <si>
    <t>GSK211220KLW492</t>
  </si>
  <si>
    <t>GSK211221RIM956</t>
  </si>
  <si>
    <t>GSK211221OVN071</t>
  </si>
  <si>
    <t>GSK211221CXI283</t>
  </si>
  <si>
    <t>GSK211221HGX470</t>
  </si>
  <si>
    <t>GSK211221YQT720</t>
  </si>
  <si>
    <t>GSK211221ISX082</t>
  </si>
  <si>
    <t>GSK211221IKJ016</t>
  </si>
  <si>
    <t>GSK211221SFR102</t>
  </si>
  <si>
    <t>GSK211221SRD730</t>
  </si>
  <si>
    <t>GSK211221QGE829</t>
  </si>
  <si>
    <t>GSK211221XIK781</t>
  </si>
  <si>
    <t>GSK211221WAX890</t>
  </si>
  <si>
    <t>GSK211221WVI540</t>
  </si>
  <si>
    <t>GSK211221WLE972</t>
  </si>
  <si>
    <t xml:space="preserve">DMD/2112/21/QBNL5219 </t>
  </si>
  <si>
    <t>GSK211221NPF670</t>
  </si>
  <si>
    <t>DMD/2112/21/SBVU9648</t>
  </si>
  <si>
    <t>GSK211221MCN419</t>
  </si>
  <si>
    <t>GSK211221PSJ652</t>
  </si>
  <si>
    <t>GSK211221TFD085</t>
  </si>
  <si>
    <t>GSK211221KLZ835</t>
  </si>
  <si>
    <t>GSK211221XLF428</t>
  </si>
  <si>
    <t>GSK211221RLI635</t>
  </si>
  <si>
    <t>GSK211221UHS679</t>
  </si>
  <si>
    <t>GSK211221CIP218</t>
  </si>
  <si>
    <t>GSK211221CBS462</t>
  </si>
  <si>
    <t>GSK211221OCE768</t>
  </si>
  <si>
    <t>GSK211221YOW891</t>
  </si>
  <si>
    <t>GSK211221PVU869</t>
  </si>
  <si>
    <t>GSK211221CHX763</t>
  </si>
  <si>
    <t>GSK211221GYZ406</t>
  </si>
  <si>
    <t>GSK211221WGJ403</t>
  </si>
  <si>
    <t>GSK211221IWV682</t>
  </si>
  <si>
    <t>GSK211221ZIQ924</t>
  </si>
  <si>
    <t>GSK211221TEO419</t>
  </si>
  <si>
    <t>GSK211221PWR361</t>
  </si>
  <si>
    <t>GSK211221JBM085</t>
  </si>
  <si>
    <t>GSK211221IOD907</t>
  </si>
  <si>
    <t>GSK211221CRA813</t>
  </si>
  <si>
    <t>GSK211221NGX807</t>
  </si>
  <si>
    <t>GSK211221WCE712</t>
  </si>
  <si>
    <t>GSK211221TJD640</t>
  </si>
  <si>
    <t>GSK211221WRZ306</t>
  </si>
  <si>
    <t>GSK211221PZA027</t>
  </si>
  <si>
    <t>GSK211221YQV981</t>
  </si>
  <si>
    <t>GSK211221EBX724</t>
  </si>
  <si>
    <t>GSK211221PBQ837</t>
  </si>
  <si>
    <t>GSK211221ILC302</t>
  </si>
  <si>
    <t>GSK211221FRZ807</t>
  </si>
  <si>
    <t>GSK211221UOA957</t>
  </si>
  <si>
    <t>GSK211221JKS638</t>
  </si>
  <si>
    <t>DMD/2112/21/YNIW7029</t>
  </si>
  <si>
    <t>GSK211221MKD723</t>
  </si>
  <si>
    <t>GSK211221AXN438</t>
  </si>
  <si>
    <t>GSK211221MID420</t>
  </si>
  <si>
    <t>GSK211221BRO089</t>
  </si>
  <si>
    <t xml:space="preserve"> DMD/2112/21/NRBQ9710 </t>
  </si>
  <si>
    <t>GSK211221HIM906</t>
  </si>
  <si>
    <t>GSK211221IWS946</t>
  </si>
  <si>
    <t>GSK211221VZL817</t>
  </si>
  <si>
    <t>GSK211221QKZ807</t>
  </si>
  <si>
    <t>GSK211221OUM187</t>
  </si>
  <si>
    <t>GSK211221ZPQ809</t>
  </si>
  <si>
    <t>GSK211221LIX632</t>
  </si>
  <si>
    <t>GSK211221AHT409</t>
  </si>
  <si>
    <t>GSK211221ADC548</t>
  </si>
  <si>
    <t>GSK211221SKV357</t>
  </si>
  <si>
    <t>GSK211221ZTN963</t>
  </si>
  <si>
    <t>GSK211221KCI120</t>
  </si>
  <si>
    <t>GSK211221GYV842</t>
  </si>
  <si>
    <t>GSK211221JDB317</t>
  </si>
  <si>
    <t>GSK211221GCZ832</t>
  </si>
  <si>
    <t>GSK211221EJN925</t>
  </si>
  <si>
    <t>GSK211221WBA981</t>
  </si>
  <si>
    <t>GSK211221MAU402</t>
  </si>
  <si>
    <t>GSK211221UYC365</t>
  </si>
  <si>
    <t>GSK211221XGD659</t>
  </si>
  <si>
    <t>GSK211221SGB147</t>
  </si>
  <si>
    <t>GSK211221EWT871</t>
  </si>
  <si>
    <t>GSK211221DCG029</t>
  </si>
  <si>
    <t>GSK211221FUA749</t>
  </si>
  <si>
    <t>GSK211221BMU408</t>
  </si>
  <si>
    <t>GSK211221KON516</t>
  </si>
  <si>
    <t>GSK211221SBN492</t>
  </si>
  <si>
    <t>GSK211221OTE359</t>
  </si>
  <si>
    <t>GSK211221BZW921</t>
  </si>
  <si>
    <t>GSK211221ZJU173</t>
  </si>
  <si>
    <t>GSK211221VWK149</t>
  </si>
  <si>
    <t>GSK211221GZD312</t>
  </si>
  <si>
    <t>GSK211221PFE271</t>
  </si>
  <si>
    <t>GSK211221JXN032</t>
  </si>
  <si>
    <t>GSK211221ICL285</t>
  </si>
  <si>
    <t>GSK211221SNM438</t>
  </si>
  <si>
    <t>GSK211220GMN253</t>
  </si>
  <si>
    <t>GSK211221WTD079</t>
  </si>
  <si>
    <t>GSK211221WYG340</t>
  </si>
  <si>
    <t>GSK211220CVG816</t>
  </si>
  <si>
    <t>GSK211220UTV725</t>
  </si>
  <si>
    <t>GSK211221ACL480</t>
  </si>
  <si>
    <t>GSK211221OAY340</t>
  </si>
  <si>
    <t>GSK211221WLA371</t>
  </si>
  <si>
    <t>GSK211220KLV701</t>
  </si>
  <si>
    <t>GSK211221YTB302</t>
  </si>
  <si>
    <t>GSK211221KBS204</t>
  </si>
  <si>
    <t>GSK211221YBN536</t>
  </si>
  <si>
    <t>GSK211221XDZ370</t>
  </si>
  <si>
    <t>GSK211220FRA361</t>
  </si>
  <si>
    <t>GSK211221HRN871</t>
  </si>
  <si>
    <t>GSK211221LNM834</t>
  </si>
  <si>
    <t>GSK211221OQP056</t>
  </si>
  <si>
    <t>GSK211221GCN092</t>
  </si>
  <si>
    <t>GSK211221IHT579</t>
  </si>
  <si>
    <t>GSK211221NCF127</t>
  </si>
  <si>
    <t>GSK211221YKJ326</t>
  </si>
  <si>
    <t>GSK211221DXR047</t>
  </si>
  <si>
    <t>GSK211220SIN392</t>
  </si>
  <si>
    <t>GSK211221IEY498</t>
  </si>
  <si>
    <t>GSK211221QGT375</t>
  </si>
  <si>
    <t>GSK211221UME827</t>
  </si>
  <si>
    <t>GSK211221AXL824</t>
  </si>
  <si>
    <t>GSK211221UPN319</t>
  </si>
  <si>
    <t>GSK211221RQM243</t>
  </si>
  <si>
    <t>GSK211220LHX810</t>
  </si>
  <si>
    <t>GSK211221NSM936</t>
  </si>
  <si>
    <t>GSK211221XVA792</t>
  </si>
  <si>
    <t>GSK211221WYC231</t>
  </si>
  <si>
    <t>GSK211221JZD679</t>
  </si>
  <si>
    <t>GSK211221CWY657</t>
  </si>
  <si>
    <t>GSK211221RYH158</t>
  </si>
  <si>
    <t>GSK211221IZB280</t>
  </si>
  <si>
    <t>GSK211221SBH173</t>
  </si>
  <si>
    <t>GSK211221PGZ956</t>
  </si>
  <si>
    <t>GSK211221CSZ528</t>
  </si>
  <si>
    <t>GSK211221IRC057</t>
  </si>
  <si>
    <t>GSK211221XOE652</t>
  </si>
  <si>
    <t>GSK211221SVG083</t>
  </si>
  <si>
    <t>GSK211221OMQ927</t>
  </si>
  <si>
    <t>GSK211221XZC876</t>
  </si>
  <si>
    <t>GSK211221RFT305</t>
  </si>
  <si>
    <t>GSK211221SMA873</t>
  </si>
  <si>
    <t>GSK211220YTQ184</t>
  </si>
  <si>
    <t>GSK211221APL837</t>
  </si>
  <si>
    <t>GSK211220HIZ862</t>
  </si>
  <si>
    <t>GSK211221ZIW309</t>
  </si>
  <si>
    <t>GSK211221QIJ137</t>
  </si>
  <si>
    <t>GSK211221UXS358</t>
  </si>
  <si>
    <t>GSK211221XKT823</t>
  </si>
  <si>
    <t>GSK211220CBV937</t>
  </si>
  <si>
    <t>GSK211221PAE032</t>
  </si>
  <si>
    <t>GSK211221TVL201</t>
  </si>
  <si>
    <t>GSK211221QLO271</t>
  </si>
  <si>
    <t>GSK211221UKT523</t>
  </si>
  <si>
    <t>GSK211221LHG905</t>
  </si>
  <si>
    <t>GSK211221CQR803</t>
  </si>
  <si>
    <t>GSK211221EHW601</t>
  </si>
  <si>
    <t>GSK211221RKB390</t>
  </si>
  <si>
    <t>GSK211221RGP613</t>
  </si>
  <si>
    <t>GSK211221BFO794</t>
  </si>
  <si>
    <t>GSK211221XKG705</t>
  </si>
  <si>
    <t>GSK211221RPS607</t>
  </si>
  <si>
    <t>GSK211221CTN529</t>
  </si>
  <si>
    <t>GSK211221FBG739</t>
  </si>
  <si>
    <t>GSK211221QDH203</t>
  </si>
  <si>
    <t>GSK211221LKW801</t>
  </si>
  <si>
    <t>GSK211221UVB386</t>
  </si>
  <si>
    <t>GSK211221LGM985</t>
  </si>
  <si>
    <t>GSK211221DIB693</t>
  </si>
  <si>
    <t>GSK211221FDV367</t>
  </si>
  <si>
    <t>GSK211221PYU853</t>
  </si>
  <si>
    <t>GSK211221LPI064</t>
  </si>
  <si>
    <t>GSK211221TNJ480</t>
  </si>
  <si>
    <t>GSK211221CKG509</t>
  </si>
  <si>
    <t>GSK211221YNG761</t>
  </si>
  <si>
    <t>12/27/2021 RESTU</t>
  </si>
  <si>
    <t>DMD/2112/22/AIDO0259</t>
  </si>
  <si>
    <t>GSK211222KIT476</t>
  </si>
  <si>
    <t>GSK211222KRO294</t>
  </si>
  <si>
    <t>GSK211222SLM281</t>
  </si>
  <si>
    <t>GSK211222TUI687</t>
  </si>
  <si>
    <t>GSK211222MYO264</t>
  </si>
  <si>
    <t>GSK211222ANL673</t>
  </si>
  <si>
    <t>GSK211222PVS379</t>
  </si>
  <si>
    <t>GSK211222QLP370</t>
  </si>
  <si>
    <t>GSK211222FJG356</t>
  </si>
  <si>
    <t>GSK211222JSU261</t>
  </si>
  <si>
    <t>GSK211221VIC617</t>
  </si>
  <si>
    <t>GSK211222ACJ980</t>
  </si>
  <si>
    <t>GSK211222RVE826</t>
  </si>
  <si>
    <t>GSK211222RVD078</t>
  </si>
  <si>
    <t>GSK211222QPM418</t>
  </si>
  <si>
    <t>GSK211222FLH290</t>
  </si>
  <si>
    <t>GSK211222MSV584</t>
  </si>
  <si>
    <t>GSK211222PMU148</t>
  </si>
  <si>
    <t>GSK211222YLB810</t>
  </si>
  <si>
    <t>GSK211222IAO475</t>
  </si>
  <si>
    <t>GSK211222JLU573</t>
  </si>
  <si>
    <t>GSK211222NER265</t>
  </si>
  <si>
    <t>GSK211222HCI370</t>
  </si>
  <si>
    <t>GSK211222PKT509</t>
  </si>
  <si>
    <t>GSK211222ZTJ486</t>
  </si>
  <si>
    <t>GSK211222QNP704</t>
  </si>
  <si>
    <t>GSK211222AMD723</t>
  </si>
  <si>
    <t>GSK211222INH207</t>
  </si>
  <si>
    <t>GSK211222LCR481</t>
  </si>
  <si>
    <t>GSK211222XVY405</t>
  </si>
  <si>
    <t>GSK211222OVK907</t>
  </si>
  <si>
    <t>GSK211222NFC190</t>
  </si>
  <si>
    <t>GSK211222ZVU470</t>
  </si>
  <si>
    <t>GSK211221MGL298</t>
  </si>
  <si>
    <t>GSK211222YVO978</t>
  </si>
  <si>
    <t>DMD/2112/22/JOTR2491</t>
  </si>
  <si>
    <t>GSK211222UIB213</t>
  </si>
  <si>
    <t>DMD/2112/22/IMCP2463</t>
  </si>
  <si>
    <t>GSK211222MXL794</t>
  </si>
  <si>
    <t>GSK211222LNK572</t>
  </si>
  <si>
    <t>GSK211222BCR701</t>
  </si>
  <si>
    <t>GSK211222INT610</t>
  </si>
  <si>
    <t>GSK211222BKU615</t>
  </si>
  <si>
    <t>GSK211222NDL652</t>
  </si>
  <si>
    <t>GSK211222YRS165</t>
  </si>
  <si>
    <t>GSK211222HDW496</t>
  </si>
  <si>
    <t>GSK211222JGR530</t>
  </si>
  <si>
    <t>GSK211221NMO612</t>
  </si>
  <si>
    <t>GSK211222XQF420</t>
  </si>
  <si>
    <t>GSK211222MSB879</t>
  </si>
  <si>
    <t>GSK211222DWT198</t>
  </si>
  <si>
    <t>GSK211222QFY285</t>
  </si>
  <si>
    <t>GSK211222LRZ514</t>
  </si>
  <si>
    <t>GSK211222QFP314</t>
  </si>
  <si>
    <t>GSK211222VSM861</t>
  </si>
  <si>
    <t>GSK211222YJL317</t>
  </si>
  <si>
    <t>GSK211222IHM318</t>
  </si>
  <si>
    <t>GSK211222ZUV561</t>
  </si>
  <si>
    <t>GSK211222XJG693</t>
  </si>
  <si>
    <t>GSK211222XGR523</t>
  </si>
  <si>
    <t>GSK211222XJK649</t>
  </si>
  <si>
    <t>GSK211222LSI576</t>
  </si>
  <si>
    <t>GSK211222EPK368</t>
  </si>
  <si>
    <t>GSK211222XIO429</t>
  </si>
  <si>
    <t>GSK211222DJP945</t>
  </si>
  <si>
    <t>GSK211222CGO309</t>
  </si>
  <si>
    <t>GSK211222AWF709</t>
  </si>
  <si>
    <t>GSK211222NMY365</t>
  </si>
  <si>
    <t>GSK211222OLE573</t>
  </si>
  <si>
    <t>GSK211222BTZ542</t>
  </si>
  <si>
    <t>GSK211222UAE538</t>
  </si>
  <si>
    <t>GSK211222MKX928</t>
  </si>
  <si>
    <t>GSK211222UZG795</t>
  </si>
  <si>
    <t>GSK211222EYJ587</t>
  </si>
  <si>
    <t>GSK211222SWV540</t>
  </si>
  <si>
    <t>DMD/2112/22/MTXE1076</t>
  </si>
  <si>
    <t>GSK211222IBD594</t>
  </si>
  <si>
    <t>GSK211222WHD783</t>
  </si>
  <si>
    <t>GSK211222ECL021</t>
  </si>
  <si>
    <t>DMD/2112/22/XQKC5371</t>
  </si>
  <si>
    <t>GSK211221GYQ945</t>
  </si>
  <si>
    <t>GSK211222SPY893</t>
  </si>
  <si>
    <t>GSK211222DMS305</t>
  </si>
  <si>
    <t>GSK211222UTK637</t>
  </si>
  <si>
    <t>GSK211220SUI924</t>
  </si>
  <si>
    <t>GSK211222HWG798</t>
  </si>
  <si>
    <t>GSK211219TGS726</t>
  </si>
  <si>
    <t>GSK211222XIW497</t>
  </si>
  <si>
    <t>GSK211219IZF504</t>
  </si>
  <si>
    <t>GSK211221RHW249</t>
  </si>
  <si>
    <t>GSK211221SJA203</t>
  </si>
  <si>
    <t>GSK211221NBD730</t>
  </si>
  <si>
    <t>GSK211222FLB418</t>
  </si>
  <si>
    <t>GSK211222LBK816</t>
  </si>
  <si>
    <t>GSK211218REJ375</t>
  </si>
  <si>
    <t>GSK211222YFE178</t>
  </si>
  <si>
    <t>GSK211221TNL083</t>
  </si>
  <si>
    <t>GSK211222NGY895</t>
  </si>
  <si>
    <t>GSK211220KIW928</t>
  </si>
  <si>
    <t>GSK211220FRX639</t>
  </si>
  <si>
    <t>GSK211222ORJ329</t>
  </si>
  <si>
    <t>GSK211222IRH368</t>
  </si>
  <si>
    <t>GSK211222TRA012</t>
  </si>
  <si>
    <t>GSK211222NOG184</t>
  </si>
  <si>
    <t>GSK211221JZP713</t>
  </si>
  <si>
    <t>GSK211222IQD735</t>
  </si>
  <si>
    <t>GSK211222QDT287</t>
  </si>
  <si>
    <t>GSK211222OMS513</t>
  </si>
  <si>
    <t>GSK211222RCK546</t>
  </si>
  <si>
    <t>GSK211222VEX740</t>
  </si>
  <si>
    <t>GSK211222DRA905</t>
  </si>
  <si>
    <t>GSK211220ZFK287</t>
  </si>
  <si>
    <t>GSK211222IEW245</t>
  </si>
  <si>
    <t>GSK211221COZ179</t>
  </si>
  <si>
    <t>GSK211220XMG765</t>
  </si>
  <si>
    <t>GSK211222BKY630</t>
  </si>
  <si>
    <t>GSK211222MEL065</t>
  </si>
  <si>
    <t>GSK211222JCS936</t>
  </si>
  <si>
    <t>GSK211220HYS539</t>
  </si>
  <si>
    <t>GSK211221TAH418</t>
  </si>
  <si>
    <t>GSK211222KBN764</t>
  </si>
  <si>
    <t>GSK211219QJO219</t>
  </si>
  <si>
    <t>GSK211219BKY149</t>
  </si>
  <si>
    <t>GSK211219EAG741</t>
  </si>
  <si>
    <t>GSK211222WKH961</t>
  </si>
  <si>
    <t>GSK211219IBN536</t>
  </si>
  <si>
    <t>GSK211221IFN187</t>
  </si>
  <si>
    <t>GSK211222SKE240</t>
  </si>
  <si>
    <t>GSK211222ACT469</t>
  </si>
  <si>
    <t>GSK211222QKW497</t>
  </si>
  <si>
    <t>GSK211222GUJ970</t>
  </si>
  <si>
    <t>GSK211222KDG178</t>
  </si>
  <si>
    <t>GSK211222OGN349</t>
  </si>
  <si>
    <t>GSK211222YFV432</t>
  </si>
  <si>
    <t>GSK211222VCB035</t>
  </si>
  <si>
    <t>GSK211222LTI075</t>
  </si>
  <si>
    <t>GSK211222ARX736</t>
  </si>
  <si>
    <t>GSK211222WDU850</t>
  </si>
  <si>
    <t>GSK211220XAS509</t>
  </si>
  <si>
    <t>GSK211222JFB960</t>
  </si>
  <si>
    <t>GSK211222MRX095</t>
  </si>
  <si>
    <t>GSK211222BYD504</t>
  </si>
  <si>
    <t>GSK211222DYA042</t>
  </si>
  <si>
    <t>GSK211222HWV826</t>
  </si>
  <si>
    <t>GSK211222ASJ169</t>
  </si>
  <si>
    <t>GSK211222TDA973</t>
  </si>
  <si>
    <t>GSK211222DEK798</t>
  </si>
  <si>
    <t>GSK211222FKD724</t>
  </si>
  <si>
    <t>GSK211222VAF356</t>
  </si>
  <si>
    <t>GSK211222UPE320</t>
  </si>
  <si>
    <t>GSK211221PMO201</t>
  </si>
  <si>
    <t>GSK211219UHZ937</t>
  </si>
  <si>
    <t>GSK211222RBS159</t>
  </si>
  <si>
    <t>GSK211220GAN170</t>
  </si>
  <si>
    <t>GSK211222HSZ760</t>
  </si>
  <si>
    <t>GSK211219WIT579</t>
  </si>
  <si>
    <t>GSK211218TSG351</t>
  </si>
  <si>
    <t>GSK211218KXW317</t>
  </si>
  <si>
    <t>GSK211222TQN067</t>
  </si>
  <si>
    <t>GSK211222XFT584</t>
  </si>
  <si>
    <t>GSK211222QNZ341</t>
  </si>
  <si>
    <t>GSK211222PWH804</t>
  </si>
  <si>
    <t>GSK211221YSX680</t>
  </si>
  <si>
    <t>GSK211222ESJ458</t>
  </si>
  <si>
    <t>GSK211221HBF862</t>
  </si>
  <si>
    <t>GSK211221RAD735</t>
  </si>
  <si>
    <t>GSK211220QNY147</t>
  </si>
  <si>
    <t>GSK211222DIG073</t>
  </si>
  <si>
    <t>GSK211220TVB504</t>
  </si>
  <si>
    <t>GSK211220HNM428</t>
  </si>
  <si>
    <t>GSK211222VGU059</t>
  </si>
  <si>
    <t>GSK211221BCQ270</t>
  </si>
  <si>
    <t>GSK211222YTK736</t>
  </si>
  <si>
    <t>GSK211222RAD240</t>
  </si>
  <si>
    <t>GSK211222URG294</t>
  </si>
  <si>
    <t>GSK211222ILS947</t>
  </si>
  <si>
    <t>GSK211222PCA387</t>
  </si>
  <si>
    <t>GSK211222GWK735</t>
  </si>
  <si>
    <t>GSK211222BUH361</t>
  </si>
  <si>
    <t>GSK211222DWM941</t>
  </si>
  <si>
    <t>GSK211222TAH169</t>
  </si>
  <si>
    <t>GSK211222BSI963</t>
  </si>
  <si>
    <t>GSK211222YSB348</t>
  </si>
  <si>
    <t>GSK211222UTK692</t>
  </si>
  <si>
    <t>GSK211222EWM134</t>
  </si>
  <si>
    <t>GSK211222BSE803</t>
  </si>
  <si>
    <t>GSK211222RUF876</t>
  </si>
  <si>
    <t>GSK211222VAT438</t>
  </si>
  <si>
    <t>GSK211222IPJ876</t>
  </si>
  <si>
    <t>GSK211222XWE270</t>
  </si>
  <si>
    <t>GSK211222IBG583</t>
  </si>
  <si>
    <t>GSK211222LMH873</t>
  </si>
  <si>
    <t>GSK211222SNT146</t>
  </si>
  <si>
    <t>GSK211221DQV370</t>
  </si>
  <si>
    <t>GSK211222FCP397</t>
  </si>
  <si>
    <t>GSK211222XDY579</t>
  </si>
  <si>
    <t>GSK211222DHS096</t>
  </si>
  <si>
    <t>GSK211222FNY964</t>
  </si>
  <si>
    <t>GSK211222YBD672</t>
  </si>
  <si>
    <t>GSK211222ZFJ401</t>
  </si>
  <si>
    <t>GSK211222CHR528</t>
  </si>
  <si>
    <t>GSK211222EHT824</t>
  </si>
  <si>
    <t>GSK211221FNS075</t>
  </si>
  <si>
    <t>GSK211222TKH147</t>
  </si>
  <si>
    <t>GSK211222AVT348</t>
  </si>
  <si>
    <t>GSK211222SQJ196</t>
  </si>
  <si>
    <t>GSK211222OTN370</t>
  </si>
  <si>
    <t>GSK211222HAC832</t>
  </si>
  <si>
    <t>GSK211222TMQ215</t>
  </si>
  <si>
    <t>GSK211222KVA823</t>
  </si>
  <si>
    <t>GSK211219TQJ512</t>
  </si>
  <si>
    <t>GSK211222OHG769</t>
  </si>
  <si>
    <t>GSK211222UGK401</t>
  </si>
  <si>
    <t>GSK211222WGC632</t>
  </si>
  <si>
    <t>GSK211221BOK630</t>
  </si>
  <si>
    <t>GSK211222HEF078</t>
  </si>
  <si>
    <t>GSK211222QCF976</t>
  </si>
  <si>
    <t>GSK211222MYB267</t>
  </si>
  <si>
    <t>GSK211222ZSB963</t>
  </si>
  <si>
    <t>GSK211222PFH824</t>
  </si>
  <si>
    <t>GSK211222CDN689</t>
  </si>
  <si>
    <t>GSK211222UYD029</t>
  </si>
  <si>
    <t>GSK211219AYV190</t>
  </si>
  <si>
    <t>GSK211222DBM294</t>
  </si>
  <si>
    <t>GSK211222EXT637</t>
  </si>
  <si>
    <t>GSK211222WXD863</t>
  </si>
  <si>
    <t>GSK211222BTN804</t>
  </si>
  <si>
    <t>GSK211221JSM628</t>
  </si>
  <si>
    <t>GSK211222UJS965</t>
  </si>
  <si>
    <t>GSK211221VFD340</t>
  </si>
  <si>
    <t>GSK211222VUY492</t>
  </si>
  <si>
    <t>gsk211222awi309</t>
  </si>
  <si>
    <t>GSK211222PSJ806</t>
  </si>
  <si>
    <t>GSK211222ONH512</t>
  </si>
  <si>
    <t>GSK211222RAF315</t>
  </si>
  <si>
    <t>GSK211222IGM479</t>
  </si>
  <si>
    <t>GSK211222YDX275</t>
  </si>
  <si>
    <t>GSK211222XCO702</t>
  </si>
  <si>
    <t>GSK211222MBQ149</t>
  </si>
  <si>
    <t>GSK211221EBT302</t>
  </si>
  <si>
    <t>GSK211222UQB617</t>
  </si>
  <si>
    <t>GSK211219IRF153</t>
  </si>
  <si>
    <t>GSK211222XFG418</t>
  </si>
  <si>
    <t>GSK211221DKF013</t>
  </si>
  <si>
    <t>GSK211221YOD452</t>
  </si>
  <si>
    <t>GSK211222DMG027</t>
  </si>
  <si>
    <t>GSK211222MRF239</t>
  </si>
  <si>
    <t>GSK211222VYK630</t>
  </si>
  <si>
    <t>GSK211222HUJ945</t>
  </si>
  <si>
    <t>GSK211222WLK758</t>
  </si>
  <si>
    <t>GSK211222UQI568</t>
  </si>
  <si>
    <t>GSK211222RYG984</t>
  </si>
  <si>
    <t>GSK211221TCU780</t>
  </si>
  <si>
    <t>GSK211222HSD531</t>
  </si>
  <si>
    <t>GSK211222XIY705</t>
  </si>
  <si>
    <t>GSK211222VHN035</t>
  </si>
  <si>
    <t>GSK211222PRW690</t>
  </si>
  <si>
    <t>GSK211222IBQ159</t>
  </si>
  <si>
    <t>GSK211221JRO680</t>
  </si>
  <si>
    <t>GSK211219CWJ230</t>
  </si>
  <si>
    <t>GSK211219LQH309</t>
  </si>
  <si>
    <t>DMD/2112/22/HGDX7308</t>
  </si>
  <si>
    <t>GSK211219BRI089</t>
  </si>
  <si>
    <t>DMD/2112/22/WESR8701</t>
  </si>
  <si>
    <t>GSK211222JVI647</t>
  </si>
  <si>
    <t>GSK211222OIQ827</t>
  </si>
  <si>
    <t>GSK211219PVX678</t>
  </si>
  <si>
    <t>GSK211222KLN703</t>
  </si>
  <si>
    <t>GSK211219ZHX341</t>
  </si>
  <si>
    <t>GSK211222HFA843</t>
  </si>
  <si>
    <t>GSK211220QUT791</t>
  </si>
  <si>
    <t>GSK211221WHS453</t>
  </si>
  <si>
    <t>GSK211222AHY567</t>
  </si>
  <si>
    <t>GSK211219SZD302</t>
  </si>
  <si>
    <t>GSK211222KRA057</t>
  </si>
  <si>
    <t>GSK211222YFQ562</t>
  </si>
  <si>
    <t>DMD/2112/23/QYSJ5609</t>
  </si>
  <si>
    <t>GSK211223AUR820</t>
  </si>
  <si>
    <t>GSK211223HNW624</t>
  </si>
  <si>
    <t>GSK211223JQB795</t>
  </si>
  <si>
    <t>GSK211223GOF465</t>
  </si>
  <si>
    <t>GSK211223YHB436</t>
  </si>
  <si>
    <t>GSK211222MOZ863</t>
  </si>
  <si>
    <t>GSK211223EOL481</t>
  </si>
  <si>
    <t>GSK211223HOT238</t>
  </si>
  <si>
    <t>GSK211223NIB829</t>
  </si>
  <si>
    <t>GSK211223NTF179</t>
  </si>
  <si>
    <t>GSK211223NSK582</t>
  </si>
  <si>
    <t>GSK211223IET796</t>
  </si>
  <si>
    <t>GSK211223REM850</t>
  </si>
  <si>
    <t>GSK211223WUT350</t>
  </si>
  <si>
    <t>GSK211223YRS031</t>
  </si>
  <si>
    <t>GSK211222HCO980</t>
  </si>
  <si>
    <t>GSK211223GBJ912</t>
  </si>
  <si>
    <t>GSK211223RNJ361</t>
  </si>
  <si>
    <t>GSK211223QZV250</t>
  </si>
  <si>
    <t>GSK211222HVI470</t>
  </si>
  <si>
    <t>GSK211222ONR325</t>
  </si>
  <si>
    <t>GSK211223EON506</t>
  </si>
  <si>
    <t>GSK211223BKN723</t>
  </si>
  <si>
    <t>GSK211222WGL598</t>
  </si>
  <si>
    <t>GSK211222CNH156</t>
  </si>
  <si>
    <t>GSK211222TKC279</t>
  </si>
  <si>
    <t>GSK211223EXM397</t>
  </si>
  <si>
    <t>GSK211223LFO034</t>
  </si>
  <si>
    <t>GSK211223AHV390</t>
  </si>
  <si>
    <t>GSK211223PXS912</t>
  </si>
  <si>
    <t>GSK211222HAD536</t>
  </si>
  <si>
    <t>GSK211223JCW805</t>
  </si>
  <si>
    <t>GSK211223NJE936</t>
  </si>
  <si>
    <t>GSK211223BJH719</t>
  </si>
  <si>
    <t>GSK211223INV106</t>
  </si>
  <si>
    <t>DMD/2112/23/IGCW7429</t>
  </si>
  <si>
    <t>GSK211223PTL752</t>
  </si>
  <si>
    <t>DMD/2112/23/ZYDH5640</t>
  </si>
  <si>
    <t>GSK211223BEH354</t>
  </si>
  <si>
    <t>GSK211223ZRB293</t>
  </si>
  <si>
    <t>GSK211223RTX568</t>
  </si>
  <si>
    <t>GSK211223KAJ506</t>
  </si>
  <si>
    <t>GSK211223ASZ308</t>
  </si>
  <si>
    <t>GSK211223XHS671</t>
  </si>
  <si>
    <t>GSK211223UJZ416</t>
  </si>
  <si>
    <t>GSK211223BGX927</t>
  </si>
  <si>
    <t>GSK211223RZX092</t>
  </si>
  <si>
    <t>GSK211223UMC426</t>
  </si>
  <si>
    <t>GSK211223BOE082</t>
  </si>
  <si>
    <t>GSK211223IHF386</t>
  </si>
  <si>
    <t>GSK211223ZPH540</t>
  </si>
  <si>
    <t>GSK211223LFG683</t>
  </si>
  <si>
    <t>GSK211223QSH920</t>
  </si>
  <si>
    <t>GSK211223JZC359</t>
  </si>
  <si>
    <t>GSK211223VQH246</t>
  </si>
  <si>
    <t>GSK211223ZLF798</t>
  </si>
  <si>
    <t>GSK211223DGO689</t>
  </si>
  <si>
    <t>GSK211223JWZ418</t>
  </si>
  <si>
    <t>GSK211223BVR971</t>
  </si>
  <si>
    <t>GSK211223FJR609</t>
  </si>
  <si>
    <t>GSK211223BOS605</t>
  </si>
  <si>
    <t>GSK211223JSA905</t>
  </si>
  <si>
    <t>GSK211223XWA174</t>
  </si>
  <si>
    <t>GSK211223ARV802</t>
  </si>
  <si>
    <t>GSK211223VZQ536</t>
  </si>
  <si>
    <t>GSK211223HJR480</t>
  </si>
  <si>
    <t>GSK211223GWL127</t>
  </si>
  <si>
    <t>GSK211223JMU742</t>
  </si>
  <si>
    <t>GSK211223TPO136</t>
  </si>
  <si>
    <t>GSK211223SEO473</t>
  </si>
  <si>
    <t>DMD/2112/23/COZH5184</t>
  </si>
  <si>
    <t>GSK211223VWB569</t>
  </si>
  <si>
    <t>DMD/2112/23/XGOM2957</t>
  </si>
  <si>
    <t>GSK211223JCQ435</t>
  </si>
  <si>
    <t>GSK211223QDL192</t>
  </si>
  <si>
    <t>GSK211222BEH019</t>
  </si>
  <si>
    <t>GSK211223USC738</t>
  </si>
  <si>
    <t>GSK211223PMW247</t>
  </si>
  <si>
    <t>GSK211223JUD536</t>
  </si>
  <si>
    <t>GSK211223KZG230</t>
  </si>
  <si>
    <t>GSK211223RUP082</t>
  </si>
  <si>
    <t>GSK211221VZM193</t>
  </si>
  <si>
    <t>GSK211223SDH986</t>
  </si>
  <si>
    <t>GSK211222ZNW927</t>
  </si>
  <si>
    <t>GSK211223AMT689</t>
  </si>
  <si>
    <t>GSK211221CJG526</t>
  </si>
  <si>
    <t>GSK211223KTW258</t>
  </si>
  <si>
    <t>GSK211223IQG673</t>
  </si>
  <si>
    <t>GSK211220ELD703</t>
  </si>
  <si>
    <t>GSK211223ZWG359</t>
  </si>
  <si>
    <t>GSK211223GSK957</t>
  </si>
  <si>
    <t>GSK211222VTH219</t>
  </si>
  <si>
    <t>GSK211223EXF648</t>
  </si>
  <si>
    <t>GSK211220OMG287</t>
  </si>
  <si>
    <t>GSK211223KER794</t>
  </si>
  <si>
    <t>GSK211223DIL749</t>
  </si>
  <si>
    <t>GSK211221KTL183</t>
  </si>
  <si>
    <t>GSK211222VDS684</t>
  </si>
  <si>
    <t>GSK211222KUB536</t>
  </si>
  <si>
    <t>GSK211223GLM637</t>
  </si>
  <si>
    <t>GSK211223OVQ687</t>
  </si>
  <si>
    <t>GSK211223AQB768</t>
  </si>
  <si>
    <t>GSK211223EVX705</t>
  </si>
  <si>
    <t>GSK211222BCQ761</t>
  </si>
  <si>
    <t>GSK211223BQP147</t>
  </si>
  <si>
    <t>GSK211223RLB573</t>
  </si>
  <si>
    <t>GSK211223AVT630</t>
  </si>
  <si>
    <t>GSK211222PVQ048</t>
  </si>
  <si>
    <t>GSK211222DBT807</t>
  </si>
  <si>
    <t>GSK211223AQR569</t>
  </si>
  <si>
    <t>GSK211223CNX029</t>
  </si>
  <si>
    <t>GSK211223ZCF718</t>
  </si>
  <si>
    <t>GSK211223PMH253</t>
  </si>
  <si>
    <t>GSK211223JVO276</t>
  </si>
  <si>
    <t>GSK211223TFN904</t>
  </si>
  <si>
    <t>GSK211223PKX241</t>
  </si>
  <si>
    <t>GSK211223OYF350</t>
  </si>
  <si>
    <t>GSK211223YQJ836</t>
  </si>
  <si>
    <t>GSK211223PAK471</t>
  </si>
  <si>
    <t>GSK211221LNA461</t>
  </si>
  <si>
    <t>GSK211223OKX574</t>
  </si>
  <si>
    <t>GSK211221KGN869</t>
  </si>
  <si>
    <t>GSK211221VDK201</t>
  </si>
  <si>
    <t>GSK211223MCX105</t>
  </si>
  <si>
    <t>GSK211223XPY048</t>
  </si>
  <si>
    <t>GSK211223IVF785</t>
  </si>
  <si>
    <t>GSK211223QOX761</t>
  </si>
  <si>
    <t>GSK211222LAZ943</t>
  </si>
  <si>
    <t>GSK211223RYS319</t>
  </si>
  <si>
    <t>GSK211222QCE547</t>
  </si>
  <si>
    <t>GSK211223WZC529</t>
  </si>
  <si>
    <t>GSK211223TJC496</t>
  </si>
  <si>
    <t>GSK211223JQX609</t>
  </si>
  <si>
    <t>GSK211222XML146</t>
  </si>
  <si>
    <t>GSK211222JID298</t>
  </si>
  <si>
    <t>GSK211223CDZ948</t>
  </si>
  <si>
    <t>GSK211223BCT820</t>
  </si>
  <si>
    <t>GSK211223KVB206</t>
  </si>
  <si>
    <t>GSK211222LUN126</t>
  </si>
  <si>
    <t>GSK211223LTY708</t>
  </si>
  <si>
    <t>GSK211223ZGN692</t>
  </si>
  <si>
    <t>GSK211223YBL635</t>
  </si>
  <si>
    <t>GSK211223ASX534</t>
  </si>
  <si>
    <t>GSK211223RMP621</t>
  </si>
  <si>
    <t>GSK211223ROM986</t>
  </si>
  <si>
    <t>GSK211223HQA405</t>
  </si>
  <si>
    <t>GSK211221MRD730</t>
  </si>
  <si>
    <t>GSK211222QUZ892</t>
  </si>
  <si>
    <t>GSK211221NHW397</t>
  </si>
  <si>
    <t>GSK211223BQP360</t>
  </si>
  <si>
    <t>GSK211223XOG198</t>
  </si>
  <si>
    <t>GSK211223IXW754</t>
  </si>
  <si>
    <t>GSK211223KYD013</t>
  </si>
  <si>
    <t>GSK211223HUL587</t>
  </si>
  <si>
    <t>GSK211223RBD147</t>
  </si>
  <si>
    <t>GSK211223BCE621</t>
  </si>
  <si>
    <t>GSK211223YKO029</t>
  </si>
  <si>
    <t>GSK211222ZWU915</t>
  </si>
  <si>
    <t>GSK211222KAS780</t>
  </si>
  <si>
    <t>GSK211223PHJ126</t>
  </si>
  <si>
    <t>GSK211223HNO678</t>
  </si>
  <si>
    <t>GSK211221FOA719</t>
  </si>
  <si>
    <t>GSK211221FKY186</t>
  </si>
  <si>
    <t>GSK211223FJH109</t>
  </si>
  <si>
    <t>GSK211222LTG108</t>
  </si>
  <si>
    <t>GSK211223IUC964</t>
  </si>
  <si>
    <t>GSK211223UPJ432</t>
  </si>
  <si>
    <t>GSK211221WJF128</t>
  </si>
  <si>
    <t>GSK211222YGK136</t>
  </si>
  <si>
    <t>GSK211223EJK764</t>
  </si>
  <si>
    <t>GSK211223SCB956</t>
  </si>
  <si>
    <t>GSK211223OEB637</t>
  </si>
  <si>
    <t>GSK211219FXD896</t>
  </si>
  <si>
    <t>GSK211223EUG619</t>
  </si>
  <si>
    <t>GSK211223YFB623</t>
  </si>
  <si>
    <t>GSK211222DOT147</t>
  </si>
  <si>
    <t>GSK211221HBV792</t>
  </si>
  <si>
    <t>GSK211223CHP074</t>
  </si>
  <si>
    <t>GSK211222TGZ786</t>
  </si>
  <si>
    <t>GSK211221ZFY037</t>
  </si>
  <si>
    <t>GSK211223MVT146</t>
  </si>
  <si>
    <t>GSK211222BWC803</t>
  </si>
  <si>
    <t>GSK211223ZPO965</t>
  </si>
  <si>
    <t>GSK211223WME014</t>
  </si>
  <si>
    <t>GSK211223GXU245</t>
  </si>
  <si>
    <t>GSK211223JXG123</t>
  </si>
  <si>
    <t>GSK211221OCM304</t>
  </si>
  <si>
    <t>GSK211222QBM203</t>
  </si>
  <si>
    <t>GSK211223RVW591</t>
  </si>
  <si>
    <t>GSK211219TQD384</t>
  </si>
  <si>
    <t>GSK211222RBI120</t>
  </si>
  <si>
    <t>GSK211221RQL645</t>
  </si>
  <si>
    <t>GSK211223LJX326</t>
  </si>
  <si>
    <t>GSK211223ZQV913</t>
  </si>
  <si>
    <t>GSK211223GTX384</t>
  </si>
  <si>
    <t>GSK211221XFE731</t>
  </si>
  <si>
    <t>GSK211223SEX852</t>
  </si>
  <si>
    <t>GSK211222ZFS230</t>
  </si>
  <si>
    <t>GSK211223DTS805</t>
  </si>
  <si>
    <t>GSK211223NUC825</t>
  </si>
  <si>
    <t>GSK211222YRF872</t>
  </si>
  <si>
    <t>GSK211223BAU314</t>
  </si>
  <si>
    <t>GSK211223GDU576</t>
  </si>
  <si>
    <t>GSK211220DUH607</t>
  </si>
  <si>
    <t>GSK211223IBO468</t>
  </si>
  <si>
    <t>GSK211221WLD768</t>
  </si>
  <si>
    <t>GSK211223CSF783</t>
  </si>
  <si>
    <t>GSK211222NFT269</t>
  </si>
  <si>
    <t>GSK211223IVB870</t>
  </si>
  <si>
    <t>GSK211223AWD675</t>
  </si>
  <si>
    <t>GSK211223XEC204</t>
  </si>
  <si>
    <t>GSK211223TMN970</t>
  </si>
  <si>
    <t>GSK211223MQS275</t>
  </si>
  <si>
    <t>GSK211223ZMI271</t>
  </si>
  <si>
    <t>GSK211223QIM164</t>
  </si>
  <si>
    <t>GSK211223IKT278</t>
  </si>
  <si>
    <t>GSK211223YGU678</t>
  </si>
  <si>
    <t>GSK211223GJM093</t>
  </si>
  <si>
    <t>GSK211223FOI173</t>
  </si>
  <si>
    <t>GSK211222ZQR147</t>
  </si>
  <si>
    <t>GSK211222WXY514</t>
  </si>
  <si>
    <t>GSK211222EWS460</t>
  </si>
  <si>
    <t>GSK211222UBE260</t>
  </si>
  <si>
    <t>GSK211221MYI852</t>
  </si>
  <si>
    <t>GSK211223NHD506</t>
  </si>
  <si>
    <t>GSK211223SAV497</t>
  </si>
  <si>
    <t>GSK211223OZV874</t>
  </si>
  <si>
    <t>GSK211221WGM849</t>
  </si>
  <si>
    <t>GSK211223PYT902</t>
  </si>
  <si>
    <t>DMD/2112/23/NXCP1408</t>
  </si>
  <si>
    <t>GSK211222UQT852</t>
  </si>
  <si>
    <t>GSK211221XJI695</t>
  </si>
  <si>
    <t>GSK211223FDA269</t>
  </si>
  <si>
    <t>GSK211223KVY587</t>
  </si>
  <si>
    <t>GSK211223QSL964</t>
  </si>
  <si>
    <t>GSK211223UTN614</t>
  </si>
  <si>
    <t>DMD/2112/23/RTZH3965</t>
  </si>
  <si>
    <t>GSK211223GWF769</t>
  </si>
  <si>
    <t>GSK211223VIS738</t>
  </si>
  <si>
    <t>GSK211223DIO690</t>
  </si>
  <si>
    <t>GSK211223MQB263</t>
  </si>
  <si>
    <t>GSK211223NMQ641</t>
  </si>
  <si>
    <t>GSK211223NLT053</t>
  </si>
  <si>
    <t>GSK211223JXG340</t>
  </si>
  <si>
    <t>GSK211223MAV367</t>
  </si>
  <si>
    <t>GSK211223KBT691</t>
  </si>
  <si>
    <t>GSK211223SXF341</t>
  </si>
  <si>
    <t>GSK211223RUK832</t>
  </si>
  <si>
    <t>GSK211223KOD740</t>
  </si>
  <si>
    <t>GSK211222WFJ062</t>
  </si>
  <si>
    <t>DMD/2112/24/XAJG1268</t>
  </si>
  <si>
    <t>GSK211223XUQ536</t>
  </si>
  <si>
    <t>12/28/2021 RESTU</t>
  </si>
  <si>
    <t xml:space="preserve">  DMD/2112/24/LCPH5346</t>
  </si>
  <si>
    <t>GSK211224OYT156</t>
  </si>
  <si>
    <t>GSK211223AJU891</t>
  </si>
  <si>
    <t>GSK211224DGU895</t>
  </si>
  <si>
    <t>GSK211224IDP923</t>
  </si>
  <si>
    <t>GSK211224TNR504</t>
  </si>
  <si>
    <t>GSK211224TVL849</t>
  </si>
  <si>
    <t>GSK211224BLG496</t>
  </si>
  <si>
    <t>GSK211223DZX685</t>
  </si>
  <si>
    <t>GSK211224AVX567</t>
  </si>
  <si>
    <t>GSK211223STR604</t>
  </si>
  <si>
    <t>GSK211224DPB196</t>
  </si>
  <si>
    <t>GSK211223FDU786</t>
  </si>
  <si>
    <t>GSK211224FMK860</t>
  </si>
  <si>
    <t>GSK211224FED493</t>
  </si>
  <si>
    <t>GSK211224ZEF378</t>
  </si>
  <si>
    <t>GSK211224ZTA840</t>
  </si>
  <si>
    <t>GSK211224KIF619</t>
  </si>
  <si>
    <t>GSK211224GMC350</t>
  </si>
  <si>
    <t>GSK211224DTZ479</t>
  </si>
  <si>
    <t>GSK211224QWX035</t>
  </si>
  <si>
    <t>GSK211223MQI139</t>
  </si>
  <si>
    <t>GSK211224CTY685</t>
  </si>
  <si>
    <t>GSK211223WAG253</t>
  </si>
  <si>
    <t>GSK211224BOG837</t>
  </si>
  <si>
    <t>GSK211224AXO328</t>
  </si>
  <si>
    <t xml:space="preserve">DMD/2112/24/QJEY7638  </t>
  </si>
  <si>
    <t>GSK211224ZVC541</t>
  </si>
  <si>
    <t>GSK211224ITX328</t>
  </si>
  <si>
    <t>GSK211224TJC283</t>
  </si>
  <si>
    <t xml:space="preserve">DMD/2112/24/YAKH6019  </t>
  </si>
  <si>
    <t>GSK211224CQW061</t>
  </si>
  <si>
    <t>GSK211224IMY126</t>
  </si>
  <si>
    <t>GSK211224ESU802</t>
  </si>
  <si>
    <t>GSK211224TVO893</t>
  </si>
  <si>
    <t>GSK211224YEM053</t>
  </si>
  <si>
    <t>GSK211224ADG598</t>
  </si>
  <si>
    <t>GSK211224OTS095</t>
  </si>
  <si>
    <t>GSK211224WFS345</t>
  </si>
  <si>
    <t>GSK211224LRA475</t>
  </si>
  <si>
    <t>GSK211224DRE146</t>
  </si>
  <si>
    <t>GSK211224SZP387</t>
  </si>
  <si>
    <t>GSK211223ZSJ623</t>
  </si>
  <si>
    <t>GSK211224RGW978</t>
  </si>
  <si>
    <t>GSK211224MXZ837</t>
  </si>
  <si>
    <t>GSK211224TOQ320</t>
  </si>
  <si>
    <t>GSK211224GZS285</t>
  </si>
  <si>
    <t>GSK211223ONZ279</t>
  </si>
  <si>
    <t>GSK211224JNR648</t>
  </si>
  <si>
    <t>GSK211224LXC278</t>
  </si>
  <si>
    <t>GSK211224EFX879</t>
  </si>
  <si>
    <t>GSK211224ZAV629</t>
  </si>
  <si>
    <t>GSK211224ZRC952</t>
  </si>
  <si>
    <t>GSK211224HNV328</t>
  </si>
  <si>
    <t>GSK211224CYR293</t>
  </si>
  <si>
    <t>GSK211224YWQ865</t>
  </si>
  <si>
    <t>GSK211224WXF043</t>
  </si>
  <si>
    <t>GSK211224SYX428</t>
  </si>
  <si>
    <t xml:space="preserve">DMD/2112/24/YWFJ3269 </t>
  </si>
  <si>
    <t>GSK211224DSY472</t>
  </si>
  <si>
    <t>DMD/2112/24/VKDJ6379</t>
  </si>
  <si>
    <t>GSK211224DQS205</t>
  </si>
  <si>
    <t>GSK211224NST478</t>
  </si>
  <si>
    <t>GSK211224LXF234</t>
  </si>
  <si>
    <t>GSK211222GQV736</t>
  </si>
  <si>
    <t>GSK211223LZK053</t>
  </si>
  <si>
    <t>GSK211224PFX074</t>
  </si>
  <si>
    <t>GSK211224ISW148</t>
  </si>
  <si>
    <t>GSK211224KPQ973</t>
  </si>
  <si>
    <t>GSK211224FXZ062</t>
  </si>
  <si>
    <t>GSK211222MFS631</t>
  </si>
  <si>
    <t>GSK211223HXC830</t>
  </si>
  <si>
    <t>GSK211224YDT456</t>
  </si>
  <si>
    <t>GSK211222SBN986</t>
  </si>
  <si>
    <t>GSK211224PED605</t>
  </si>
  <si>
    <t>GSK211222ENI396</t>
  </si>
  <si>
    <t>GSK211224UPF317</t>
  </si>
  <si>
    <t>GSK211224PYG915</t>
  </si>
  <si>
    <t>GSK211224SWC218</t>
  </si>
  <si>
    <t>GSK211224WHI749</t>
  </si>
  <si>
    <t>GSK211224WLS571</t>
  </si>
  <si>
    <t>GSK211224REJ896</t>
  </si>
  <si>
    <t>GSK211224FQI481</t>
  </si>
  <si>
    <t>GSK211224SFX349</t>
  </si>
  <si>
    <t>GSK211224LPY290</t>
  </si>
  <si>
    <t>GSK211224HAT405</t>
  </si>
  <si>
    <t>GSK211221VQP954</t>
  </si>
  <si>
    <t>GSK211224MDO834</t>
  </si>
  <si>
    <t>GSK211224CIZ781</t>
  </si>
  <si>
    <t>GSK211222WOA724</t>
  </si>
  <si>
    <t>GSK211224SNA502</t>
  </si>
  <si>
    <t>GSK211224QOJ271</t>
  </si>
  <si>
    <t>GSK211223SPV019</t>
  </si>
  <si>
    <t>GSK211224HSX378</t>
  </si>
  <si>
    <t>GSK211224WUM613</t>
  </si>
  <si>
    <t>GSK211223GDU971</t>
  </si>
  <si>
    <t>GSK211224WVO903</t>
  </si>
  <si>
    <t>GSK211224LTA319</t>
  </si>
  <si>
    <t>GSK211224FTN673</t>
  </si>
  <si>
    <t>GSK211224QBZ795</t>
  </si>
  <si>
    <t>GSK211224OWY971</t>
  </si>
  <si>
    <t>GSK211224RCB704</t>
  </si>
  <si>
    <t>GSK211222FQD596</t>
  </si>
  <si>
    <t>GSK211224UKC205</t>
  </si>
  <si>
    <t>GSK211221TIQ805</t>
  </si>
  <si>
    <t>GSK211224ZHI503</t>
  </si>
  <si>
    <t>GSK211224KID976</t>
  </si>
  <si>
    <t>GSK211224CPH965</t>
  </si>
  <si>
    <t>GSK211224YFH049</t>
  </si>
  <si>
    <t>GSK211224VGI917</t>
  </si>
  <si>
    <t>GSK211224JOF634</t>
  </si>
  <si>
    <t>GSK211224FPQ694</t>
  </si>
  <si>
    <t>GSK211224IWM196</t>
  </si>
  <si>
    <t>GSK211224FOS917</t>
  </si>
  <si>
    <t>GSK211222ESJ823</t>
  </si>
  <si>
    <t>GSK211224FLE697</t>
  </si>
  <si>
    <t>GSK211224JGP569</t>
  </si>
  <si>
    <t>GSK211224GLS524</t>
  </si>
  <si>
    <t>GSK211223MTI241</t>
  </si>
  <si>
    <t>GSK211224CWX538</t>
  </si>
  <si>
    <t>GSK211221CTA716</t>
  </si>
  <si>
    <t>GSK211224LIP178</t>
  </si>
  <si>
    <t>GSK211224WGT561</t>
  </si>
  <si>
    <t>GSK211223NXA514</t>
  </si>
  <si>
    <t>GSK211224XKZ057</t>
  </si>
  <si>
    <t>GSK211224JUW708</t>
  </si>
  <si>
    <t>GSK211224PIQ058</t>
  </si>
  <si>
    <t>GSK211223OGF192</t>
  </si>
  <si>
    <t>GSK211223JPQ610</t>
  </si>
  <si>
    <t>GSK211224PSD560</t>
  </si>
  <si>
    <t>GSK211223UWA734</t>
  </si>
  <si>
    <t>GSK211224IMJ197</t>
  </si>
  <si>
    <t>GSK211224AVM546</t>
  </si>
  <si>
    <t>GSK211224HRU081</t>
  </si>
  <si>
    <t>GSK211224DNV079</t>
  </si>
  <si>
    <t>GSK211224WSI038</t>
  </si>
  <si>
    <t>GSK211224CQG125</t>
  </si>
  <si>
    <t>GSK211224MKW142</t>
  </si>
  <si>
    <t>GSK211224QPN649</t>
  </si>
  <si>
    <t>GSK211224TQI672</t>
  </si>
  <si>
    <t>GSK211224LWY201</t>
  </si>
  <si>
    <t>GSK211224NMU793</t>
  </si>
  <si>
    <t>GSK211224CYO861</t>
  </si>
  <si>
    <t>GSK211224PTV564</t>
  </si>
  <si>
    <t>GSK211223IQK134</t>
  </si>
  <si>
    <t>GSK211224QXU504</t>
  </si>
  <si>
    <t>GSK211224BFA163</t>
  </si>
  <si>
    <t>GSK211224MGB128</t>
  </si>
  <si>
    <t>GSK211224SLU456</t>
  </si>
  <si>
    <t>GSK211222DRV430</t>
  </si>
  <si>
    <t>GSK211224TQL297</t>
  </si>
  <si>
    <t>GSK211221OFS574</t>
  </si>
  <si>
    <t>GSK211224QYZ624</t>
  </si>
  <si>
    <t>GSK211224NEG136</t>
  </si>
  <si>
    <t>GSK211223RML453</t>
  </si>
  <si>
    <t>GSK211222ZKV253</t>
  </si>
  <si>
    <t>GSK211222KIY104</t>
  </si>
  <si>
    <t>GSK211224YAK312</t>
  </si>
  <si>
    <t>GSK211224KTR742</t>
  </si>
  <si>
    <t>GSK211224QTS253</t>
  </si>
  <si>
    <t>GSK211223KJD218</t>
  </si>
  <si>
    <t>GSK211224MYP917</t>
  </si>
  <si>
    <t>GSK211224SCP613</t>
  </si>
  <si>
    <t>GSK211221QNH293</t>
  </si>
  <si>
    <t>GSK211221CRN850</t>
  </si>
  <si>
    <t>GSK211223YJQ049</t>
  </si>
  <si>
    <t>GSK211224EUO801</t>
  </si>
  <si>
    <t>GSK211222DCE961</t>
  </si>
  <si>
    <t>GSK211224ESI329</t>
  </si>
  <si>
    <t>GSK211223SZC514</t>
  </si>
  <si>
    <t>GSK211224ULZ894</t>
  </si>
  <si>
    <t>GSK211224BUY672</t>
  </si>
  <si>
    <t>GSK211223BOU849</t>
  </si>
  <si>
    <t>GSK211224DNK140</t>
  </si>
  <si>
    <t>GSK211224MGO120</t>
  </si>
  <si>
    <t>GSK211222YES431</t>
  </si>
  <si>
    <t>GSK211224UKC456</t>
  </si>
  <si>
    <t>GSK211224HJM049</t>
  </si>
  <si>
    <t>GSK211224IAK897</t>
  </si>
  <si>
    <t>GSK211224CDE308</t>
  </si>
  <si>
    <t>GSK211224RKN683</t>
  </si>
  <si>
    <t>GSK211222MUI039</t>
  </si>
  <si>
    <t>GSK211223WMF706</t>
  </si>
  <si>
    <t>GSK211224DVB537</t>
  </si>
  <si>
    <t>GSK211222IZV856</t>
  </si>
  <si>
    <t>GSK211223EPB209</t>
  </si>
  <si>
    <t>GSK211223QFB348</t>
  </si>
  <si>
    <t>GSK211223LDW936</t>
  </si>
  <si>
    <t>GSK211223RYG619</t>
  </si>
  <si>
    <t>GSK211223HPI045</t>
  </si>
  <si>
    <t>GSK211223WVE942</t>
  </si>
  <si>
    <t>GSK211222UGK345</t>
  </si>
  <si>
    <t>GSK211224TMA384</t>
  </si>
  <si>
    <t>GSK211224NUX639</t>
  </si>
  <si>
    <t>GSK211224ZNS930</t>
  </si>
  <si>
    <t>GSK211223MSC164</t>
  </si>
  <si>
    <t>GSK211224XYS243</t>
  </si>
  <si>
    <t>GSK211222TZC476</t>
  </si>
  <si>
    <t>GSK211222XVP367</t>
  </si>
  <si>
    <t>GSK211221BAG295</t>
  </si>
  <si>
    <t>GSK211224WEN207</t>
  </si>
  <si>
    <t>DMD/2112/24/EZFG1674</t>
  </si>
  <si>
    <t>GSK211224UAL251</t>
  </si>
  <si>
    <t xml:space="preserve">DMD/2112/24/SPCJ0324  </t>
  </si>
  <si>
    <t>GSK211224MFW904</t>
  </si>
  <si>
    <t>GSK211224HGI250</t>
  </si>
  <si>
    <t>GSK211223RJP579</t>
  </si>
  <si>
    <t>GSK211223YLR287</t>
  </si>
  <si>
    <t>GSK211224MHK183</t>
  </si>
  <si>
    <t>GSK211222YFB350</t>
  </si>
  <si>
    <t>GSK211224ZWR524</t>
  </si>
  <si>
    <t>GSK211224VOQ642</t>
  </si>
  <si>
    <t>GSK211224XKY217</t>
  </si>
  <si>
    <t xml:space="preserve">DMD/2112/24/DYLQ2785  </t>
  </si>
  <si>
    <t>GSK211223PDV602</t>
  </si>
  <si>
    <t>GSK211223MIB236</t>
  </si>
  <si>
    <t>GSK211223FRV750</t>
  </si>
  <si>
    <t>GSK211223XHK518</t>
  </si>
  <si>
    <t>GSK211224OMQ049</t>
  </si>
  <si>
    <t>GSK211224ANI295</t>
  </si>
  <si>
    <t>GSK211224CBV053</t>
  </si>
  <si>
    <t>GSK211224ZKR673</t>
  </si>
  <si>
    <t>GSK211224WYF943</t>
  </si>
  <si>
    <t>GSK211224KBN317</t>
  </si>
  <si>
    <t>GSK211224OSL137</t>
  </si>
  <si>
    <t>GSK211224XCR629</t>
  </si>
  <si>
    <t>GSK211224LJD826</t>
  </si>
  <si>
    <t>GSK211224MFK018</t>
  </si>
  <si>
    <t>GSK211224QOR980</t>
  </si>
  <si>
    <t>GSK211224LFB680</t>
  </si>
  <si>
    <t>GSK211224VLR654</t>
  </si>
  <si>
    <t>GSK211224LXS567</t>
  </si>
  <si>
    <t>GSK211224FHQ397</t>
  </si>
  <si>
    <t>GSK211224APG814</t>
  </si>
  <si>
    <t>GSK211224CWA970</t>
  </si>
  <si>
    <t>GSK211224QZN647</t>
  </si>
  <si>
    <t>DMD/2112/25/SGTE6389</t>
  </si>
  <si>
    <t>GSK211224CJF853</t>
  </si>
  <si>
    <t>GSK211224TJF381</t>
  </si>
  <si>
    <t>GSK211225AVK730</t>
  </si>
  <si>
    <t>GSK211224CEZ537</t>
  </si>
  <si>
    <t>GSK211225ELU983</t>
  </si>
  <si>
    <t>GSK211225KPJ936</t>
  </si>
  <si>
    <t>GSK211225QLV584</t>
  </si>
  <si>
    <t>GSK211225ZMC418</t>
  </si>
  <si>
    <t>GSK211225IMH846</t>
  </si>
  <si>
    <t>GSK211225KSO574</t>
  </si>
  <si>
    <t>GSK211225TZC527</t>
  </si>
  <si>
    <t>GSK211225XSH215</t>
  </si>
  <si>
    <t>GSK211225UES476</t>
  </si>
  <si>
    <t>GSK211225EMA396</t>
  </si>
  <si>
    <t>GSK211225QTJ574</t>
  </si>
  <si>
    <t>GSK211225KZX215</t>
  </si>
  <si>
    <t>GSK211225QVT510</t>
  </si>
  <si>
    <t>GSK211225ZJV473</t>
  </si>
  <si>
    <t>GSK211224PCA574</t>
  </si>
  <si>
    <t>GSK211225AOU913</t>
  </si>
  <si>
    <t>GSK211225BMG152</t>
  </si>
  <si>
    <t>GSK211225IDZ824</t>
  </si>
  <si>
    <t>GSK211225EBA721</t>
  </si>
  <si>
    <t>GSK211224EZG591</t>
  </si>
  <si>
    <t>DMD/2112/25/HIVU5869</t>
  </si>
  <si>
    <t>GSK211225MZX248</t>
  </si>
  <si>
    <t>DMD/2112/25/GCNM8947</t>
  </si>
  <si>
    <t>GSK211224VGE596</t>
  </si>
  <si>
    <t>GSK211225ZWH973</t>
  </si>
  <si>
    <t>GSK211225MSA543</t>
  </si>
  <si>
    <t>GSK211225YFD426</t>
  </si>
  <si>
    <t>GSK211225EKG839</t>
  </si>
  <si>
    <t>GSK211225FGH904</t>
  </si>
  <si>
    <t>GSK211225YVD257</t>
  </si>
  <si>
    <t>GSK211225HKI923</t>
  </si>
  <si>
    <t>GSK211225RZG259</t>
  </si>
  <si>
    <t>GSK211224ESO106</t>
  </si>
  <si>
    <t>GSK211225KSP601</t>
  </si>
  <si>
    <t>GSK211225GNB469</t>
  </si>
  <si>
    <t>GSK211225NOT248</t>
  </si>
  <si>
    <t>GSK211225XIU109</t>
  </si>
  <si>
    <t>GSK211225HIF408</t>
  </si>
  <si>
    <t>GSK211224ZBL624</t>
  </si>
  <si>
    <t>GSK211225REU231</t>
  </si>
  <si>
    <t>GSK211225IOS137</t>
  </si>
  <si>
    <t>GSK211225LYS758</t>
  </si>
  <si>
    <t>GSK211225OXW301</t>
  </si>
  <si>
    <t>GSK211225OQV704</t>
  </si>
  <si>
    <t>GSK211225QGW068</t>
  </si>
  <si>
    <t>GSK211225KZT529</t>
  </si>
  <si>
    <t>GSK211225NGL312</t>
  </si>
  <si>
    <t>GSK211225SOA109</t>
  </si>
  <si>
    <t>GSK211225EFA517</t>
  </si>
  <si>
    <t>GSK211225ADW264</t>
  </si>
  <si>
    <t>GSK211225TSB745</t>
  </si>
  <si>
    <t xml:space="preserve">DMD/2112/25/NBYF5408 </t>
  </si>
  <si>
    <t>GSK211225NJR629</t>
  </si>
  <si>
    <t>GSK211225PLT673</t>
  </si>
  <si>
    <t>GSK211225KEJ547</t>
  </si>
  <si>
    <t>DMD/2112/25/YPMN4501</t>
  </si>
  <si>
    <t>GSK211222ZLQ289</t>
  </si>
  <si>
    <t>GSK211224NFQ106</t>
  </si>
  <si>
    <t>GSK211225JSD782</t>
  </si>
  <si>
    <t>GSK211224ACG096</t>
  </si>
  <si>
    <t>GSK211225AFL245</t>
  </si>
  <si>
    <t>GSK211222JGF683</t>
  </si>
  <si>
    <t>GSK211225BQW307</t>
  </si>
  <si>
    <t>GSK211225MLD257</t>
  </si>
  <si>
    <t>GSK211225GTY271</t>
  </si>
  <si>
    <t>GSK211223UWD148</t>
  </si>
  <si>
    <t>GSK211224PWI629</t>
  </si>
  <si>
    <t>GSK211225MGE974</t>
  </si>
  <si>
    <t>GSK211222IGD896</t>
  </si>
  <si>
    <t>GSK211225QZR639</t>
  </si>
  <si>
    <t>GSK211224KZG631</t>
  </si>
  <si>
    <t>GSK211222BXE542</t>
  </si>
  <si>
    <t>GSK211223PXG532</t>
  </si>
  <si>
    <t>GSK211222DLX593</t>
  </si>
  <si>
    <t>GSK211224JBM639</t>
  </si>
  <si>
    <t>GSK211225YMW617</t>
  </si>
  <si>
    <t>GSK211224ZRH397</t>
  </si>
  <si>
    <t>GSK211224CDI450</t>
  </si>
  <si>
    <t>GSK211223EDI428</t>
  </si>
  <si>
    <t>GSK211222RWA723</t>
  </si>
  <si>
    <t>GSK211223PGO423</t>
  </si>
  <si>
    <t>GSK211225ZHR598</t>
  </si>
  <si>
    <t>GSK211225WBS386</t>
  </si>
  <si>
    <t>GSK211225JNY630</t>
  </si>
  <si>
    <t>GSK211222BJN327</t>
  </si>
  <si>
    <t>GSK211225FBC416</t>
  </si>
  <si>
    <t>GSK211223ERV607</t>
  </si>
  <si>
    <t>GSK211225JDP980</t>
  </si>
  <si>
    <t>GSK211225GIK732</t>
  </si>
  <si>
    <t>GSK211225IBJ538</t>
  </si>
  <si>
    <t>GSK211224YEK954</t>
  </si>
  <si>
    <t>GSK211225RWQ781</t>
  </si>
  <si>
    <t>GSK211225NCH294</t>
  </si>
  <si>
    <t>GSK211225EPJ916</t>
  </si>
  <si>
    <t>GSK211225IDB650</t>
  </si>
  <si>
    <t>GSK211225LDJ956</t>
  </si>
  <si>
    <t>GSK211225OMI520</t>
  </si>
  <si>
    <t>GSK211223PMW286</t>
  </si>
  <si>
    <t>GSK211224BSC859</t>
  </si>
  <si>
    <t>GSK211225UNC820</t>
  </si>
  <si>
    <t>GSK211224VEX356</t>
  </si>
  <si>
    <t>GSK211222CET107</t>
  </si>
  <si>
    <t>GSK211222VJX034</t>
  </si>
  <si>
    <t>GSK211225ZYX520</t>
  </si>
  <si>
    <t>GSK211225PMH102</t>
  </si>
  <si>
    <t>GSK211224RZX548</t>
  </si>
  <si>
    <t>GSK211224QPF573</t>
  </si>
  <si>
    <t>GSK211224YUQ971</t>
  </si>
  <si>
    <t>GSK211225AVF530</t>
  </si>
  <si>
    <t>GSK211225TSN417</t>
  </si>
  <si>
    <t>GSK211225DES072</t>
  </si>
  <si>
    <t>GSK211222ALE564</t>
  </si>
  <si>
    <t>GSK211224TNC647</t>
  </si>
  <si>
    <t>GSK211222JFV374</t>
  </si>
  <si>
    <t>GSK211223QUI495</t>
  </si>
  <si>
    <t>GSK211223PZO058</t>
  </si>
  <si>
    <t>GSK211223OZI502</t>
  </si>
  <si>
    <t>GSK211225VDX462</t>
  </si>
  <si>
    <t>GSK211225EYN427</t>
  </si>
  <si>
    <t>GSK211225TAO739</t>
  </si>
  <si>
    <t>GSK211222YFO570</t>
  </si>
  <si>
    <t>GSK211225SPI017</t>
  </si>
  <si>
    <t>GSK211225XGF264</t>
  </si>
  <si>
    <t>GSK211225LJG581</t>
  </si>
  <si>
    <t>GSK211225BMZ019</t>
  </si>
  <si>
    <t>GSK211225VLZ527</t>
  </si>
  <si>
    <t>GSK211225LTN793</t>
  </si>
  <si>
    <t>GSK211225JLS406</t>
  </si>
  <si>
    <t>GSK211225EQT695</t>
  </si>
  <si>
    <t>GSK211225DWA794</t>
  </si>
  <si>
    <t>GSK211224CRQ302</t>
  </si>
  <si>
    <t>GSK211225RAS342</t>
  </si>
  <si>
    <t>GSK211224GSB537</t>
  </si>
  <si>
    <t>GSK211225ABU598</t>
  </si>
  <si>
    <t>GSK211225ADF145</t>
  </si>
  <si>
    <t>GSK211225WZS528</t>
  </si>
  <si>
    <t>GSK211225DES024</t>
  </si>
  <si>
    <t>GSK211225MJT809</t>
  </si>
  <si>
    <t>GSK211225XOP310</t>
  </si>
  <si>
    <t>GSK211225EOK974</t>
  </si>
  <si>
    <t>GSK211225SAP547</t>
  </si>
  <si>
    <t>GSK211224ZHK501</t>
  </si>
  <si>
    <t>GSK211224FGM179</t>
  </si>
  <si>
    <t>GSK211225TPS678</t>
  </si>
  <si>
    <t>GSK211225DLR364</t>
  </si>
  <si>
    <t>GSK211225JBI052</t>
  </si>
  <si>
    <t>GSK211224HSX438</t>
  </si>
  <si>
    <t>GSK211225QYF279</t>
  </si>
  <si>
    <t>GSK211225LUO051</t>
  </si>
  <si>
    <t>GSK211225SKC352</t>
  </si>
  <si>
    <t>GSK211225JKW267</t>
  </si>
  <si>
    <t>GSK211224HDF235</t>
  </si>
  <si>
    <t>GSK211225QWM182</t>
  </si>
  <si>
    <t>GSK211225LDC726</t>
  </si>
  <si>
    <t>GSK211225VLO197</t>
  </si>
  <si>
    <t>GSK211225EIZ315</t>
  </si>
  <si>
    <t>GSK211225CWU296</t>
  </si>
  <si>
    <t>GSK211225OUR651</t>
  </si>
  <si>
    <t>GSK211223TKQ892</t>
  </si>
  <si>
    <t>GSK211224OKP423</t>
  </si>
  <si>
    <t>GSK211225WCN148</t>
  </si>
  <si>
    <t>GSK211225FTG638</t>
  </si>
  <si>
    <t>GSK211225CHD209</t>
  </si>
  <si>
    <t>GSK211225CMK569</t>
  </si>
  <si>
    <t>GSK211225BHC194</t>
  </si>
  <si>
    <t>GSK211225GEW084</t>
  </si>
  <si>
    <t>GSK211225EXS056</t>
  </si>
  <si>
    <t>GSK211223HKP195</t>
  </si>
  <si>
    <t>GSK211225VAK150</t>
  </si>
  <si>
    <t>GSK211225OVB971</t>
  </si>
  <si>
    <t>GSK211222OUT324</t>
  </si>
  <si>
    <t>GSK211225BEF491</t>
  </si>
  <si>
    <t>GSK211225XJD451</t>
  </si>
  <si>
    <t>GSK211223PVZ409</t>
  </si>
  <si>
    <t>GSK211225TAE930</t>
  </si>
  <si>
    <t>GSK211225SCZ136</t>
  </si>
  <si>
    <t>GSK211225UCN927</t>
  </si>
  <si>
    <t>GSK211225VNW845</t>
  </si>
  <si>
    <t>GSK211225QST649</t>
  </si>
  <si>
    <t>GSK211225HAL095</t>
  </si>
  <si>
    <t>GSK211224DEN653</t>
  </si>
  <si>
    <t>GSK211225SCG631</t>
  </si>
  <si>
    <t>DMD/2112/25/ZVFG1273</t>
  </si>
  <si>
    <t>GSK211225ZUW065</t>
  </si>
  <si>
    <t>GSK211224XWK059</t>
  </si>
  <si>
    <t>GSK211225EYK365</t>
  </si>
  <si>
    <t>GSK211225MAU631</t>
  </si>
  <si>
    <t>DMD/2112/25/VDMP1632</t>
  </si>
  <si>
    <t>GSK211224VSY573</t>
  </si>
  <si>
    <t>GSK211224KTS128</t>
  </si>
  <si>
    <t>GSK211224API267</t>
  </si>
  <si>
    <t>GSK211225TVH472</t>
  </si>
  <si>
    <t>GSK211225GJE495</t>
  </si>
  <si>
    <t>DMD/2112/25/NOQD0578</t>
  </si>
  <si>
    <t>GSK211225SPX130</t>
  </si>
  <si>
    <t>DMD/2112/26/IAZG0781</t>
  </si>
  <si>
    <t>GSK211226SXP680</t>
  </si>
  <si>
    <t>GSK211226DXO352</t>
  </si>
  <si>
    <t>GSK211225BVJ703</t>
  </si>
  <si>
    <t>GSK211226NIG924</t>
  </si>
  <si>
    <t>GSK211226ATO689</t>
  </si>
  <si>
    <t>GSK211226PFS718</t>
  </si>
  <si>
    <t>GSK211226YHG324</t>
  </si>
  <si>
    <t>GSK211225GAS195</t>
  </si>
  <si>
    <t>GSK211225NKG187</t>
  </si>
  <si>
    <t>GSK211226RYL547</t>
  </si>
  <si>
    <t>GSK211225OIP318</t>
  </si>
  <si>
    <t>GSK211226TJV641</t>
  </si>
  <si>
    <t>GSK211226IDJ058</t>
  </si>
  <si>
    <t>GSK211226JEO692</t>
  </si>
  <si>
    <t>GSK211226AMN173</t>
  </si>
  <si>
    <t>DMD/2112/26/NPKA5920</t>
  </si>
  <si>
    <t>GSK211226XLG460</t>
  </si>
  <si>
    <t>GSK211226PRG317</t>
  </si>
  <si>
    <t>DMD/2112/26/ZHAE4270</t>
  </si>
  <si>
    <t>GSK211225LKX350</t>
  </si>
  <si>
    <t>GSK211226KXG961</t>
  </si>
  <si>
    <t>GSK211226SRC301</t>
  </si>
  <si>
    <t>GSK211226TDV213</t>
  </si>
  <si>
    <t>GSK211226HXJ258</t>
  </si>
  <si>
    <t>GSK211226OCS821</t>
  </si>
  <si>
    <t>GSK211226UDF621</t>
  </si>
  <si>
    <t>GSK211226GDU704</t>
  </si>
  <si>
    <t>GSK211226IXT536</t>
  </si>
  <si>
    <t>GSK211226PCK031</t>
  </si>
  <si>
    <t>GSK211226YOW610</t>
  </si>
  <si>
    <t>GSK211226WNJ546</t>
  </si>
  <si>
    <t>GSK211226YLP341</t>
  </si>
  <si>
    <t>GSK211225XOM295</t>
  </si>
  <si>
    <t>GSK211226VIQ974</t>
  </si>
  <si>
    <t>GSK211226WDI278</t>
  </si>
  <si>
    <t>GSK211226SVU623</t>
  </si>
  <si>
    <t>GSK211226LCV481</t>
  </si>
  <si>
    <t>GSK211226BYQ396</t>
  </si>
  <si>
    <t>GSK211226LKT461</t>
  </si>
  <si>
    <t>GSK211226VOM892</t>
  </si>
  <si>
    <t>GSK211226ADK312</t>
  </si>
  <si>
    <t>GSK211226LBO285</t>
  </si>
  <si>
    <t>DMD/2112/26/YRJX5417</t>
  </si>
  <si>
    <t>GSK211226BQA510</t>
  </si>
  <si>
    <t>GSK211226BIZ132</t>
  </si>
  <si>
    <t>DMD/2112/26/AMHI7361</t>
  </si>
  <si>
    <t>GSK211226HOL130</t>
  </si>
  <si>
    <t>GSK211226RTZ013</t>
  </si>
  <si>
    <t>GSK211226FNZ562</t>
  </si>
  <si>
    <t>GSK211226KYN028</t>
  </si>
  <si>
    <t>GSK211226CWN450</t>
  </si>
  <si>
    <t>GSK211226LHY408</t>
  </si>
  <si>
    <t>GSK211226TBI984</t>
  </si>
  <si>
    <t>GSK211226MBI305</t>
  </si>
  <si>
    <t>GSK211226NXH621</t>
  </si>
  <si>
    <t>GSK211226TFC952</t>
  </si>
  <si>
    <t>GSK211224LJN381</t>
  </si>
  <si>
    <t>GSK211225IQN679</t>
  </si>
  <si>
    <t>GSK211226CWU168</t>
  </si>
  <si>
    <t>GSK211225UAG157</t>
  </si>
  <si>
    <t>GSK211225JXP038</t>
  </si>
  <si>
    <t>GSK211224MDJ963</t>
  </si>
  <si>
    <t>GSK211226TFR230</t>
  </si>
  <si>
    <t>GSK211226NGX327</t>
  </si>
  <si>
    <t>GSK211225GHF274</t>
  </si>
  <si>
    <t>GSK211225OQX450</t>
  </si>
  <si>
    <t>GSK211226QTC612</t>
  </si>
  <si>
    <t>GSK211226KHB084</t>
  </si>
  <si>
    <t>GSK211226SHZ603</t>
  </si>
  <si>
    <t>GSK211225NBE729</t>
  </si>
  <si>
    <t>GSK211226KMA273</t>
  </si>
  <si>
    <t>GSK211226VQG295</t>
  </si>
  <si>
    <t>GSK211226HAE763</t>
  </si>
  <si>
    <t>GSK211226CYL503</t>
  </si>
  <si>
    <t>GSK211224WTI915</t>
  </si>
  <si>
    <t>GSK211226AQD493</t>
  </si>
  <si>
    <t>GSK211226TND956</t>
  </si>
  <si>
    <t>GSK211225HDM938</t>
  </si>
  <si>
    <t>GSK211224PYB609</t>
  </si>
  <si>
    <t>GSK211226ROM890</t>
  </si>
  <si>
    <t>GSK211225CBT286</t>
  </si>
  <si>
    <t>GSK211226NZL469</t>
  </si>
  <si>
    <t>GSK211226QRE826</t>
  </si>
  <si>
    <t>GSK211224IAB018</t>
  </si>
  <si>
    <t>GSK211226VWG428</t>
  </si>
  <si>
    <t>GSK211226EHW378</t>
  </si>
  <si>
    <t>GSK211226XIL841</t>
  </si>
  <si>
    <t>GSK211225VAU687</t>
  </si>
  <si>
    <t>GSK211226EDG968</t>
  </si>
  <si>
    <t>GSK211225PEF674</t>
  </si>
  <si>
    <t>GSK211223HYW159</t>
  </si>
  <si>
    <t>GSK211225FGP437</t>
  </si>
  <si>
    <t>GSK211225HUF690</t>
  </si>
  <si>
    <t>GSK211225JWA540</t>
  </si>
  <si>
    <t>GSK211225RMJ839</t>
  </si>
  <si>
    <t>GSK211225TOR972</t>
  </si>
  <si>
    <t>GSK211224AWD651</t>
  </si>
  <si>
    <t>GSK211226DTN719</t>
  </si>
  <si>
    <t>GSK211226ZNP053</t>
  </si>
  <si>
    <t>GSK211225TDG168</t>
  </si>
  <si>
    <t>GSK211226TUF674</t>
  </si>
  <si>
    <t>GSK211225WXZ325</t>
  </si>
  <si>
    <t>GSK211225AIG619</t>
  </si>
  <si>
    <t>GSK211225OIF749</t>
  </si>
  <si>
    <t>GSK211226DBP250</t>
  </si>
  <si>
    <t>GSK211225HSR297</t>
  </si>
  <si>
    <t>GSK211224GBW584</t>
  </si>
  <si>
    <t>GSK211225KOC859</t>
  </si>
  <si>
    <t>GSK211225BQD679</t>
  </si>
  <si>
    <t>GSK211223DFP510</t>
  </si>
  <si>
    <t>GSK211226BUZ023</t>
  </si>
  <si>
    <t>GSK211225OZT018</t>
  </si>
  <si>
    <t>GSK211225HEM052</t>
  </si>
  <si>
    <t>GSK211224BTJ879</t>
  </si>
  <si>
    <t>GSK211226LMI472</t>
  </si>
  <si>
    <t>GSK211223RQL582</t>
  </si>
  <si>
    <t>GSK211225CLI805</t>
  </si>
  <si>
    <t>GSK211224WHU305</t>
  </si>
  <si>
    <t>GSK211225DCL425</t>
  </si>
  <si>
    <t>GSK211226HUP143</t>
  </si>
  <si>
    <t>GSK211226EFM087</t>
  </si>
  <si>
    <t>GSK211226DTB798</t>
  </si>
  <si>
    <t>GSK211225UVD516</t>
  </si>
  <si>
    <t>GSK211226QBZ431</t>
  </si>
  <si>
    <t>GSK211226DSY820</t>
  </si>
  <si>
    <t>GSK211226XFL538</t>
  </si>
  <si>
    <t>DMD/2112/26/NDRI3057</t>
  </si>
  <si>
    <t>GSK211226DRW730</t>
  </si>
  <si>
    <t>GSK211226DUP961</t>
  </si>
  <si>
    <t>GSK211225MGX217</t>
  </si>
  <si>
    <t>GSK211224GZE358</t>
  </si>
  <si>
    <t>GSK211226YRZ514</t>
  </si>
  <si>
    <t>GSK211226ZXC294</t>
  </si>
  <si>
    <t>GSK211226AKP674</t>
  </si>
  <si>
    <t>DMD/2112/27/MUHG0261</t>
  </si>
  <si>
    <t>GSK211227QNT794</t>
  </si>
  <si>
    <t>GSK211226PZQ635</t>
  </si>
  <si>
    <t>GSK211227YDR468</t>
  </si>
  <si>
    <t>GSK211227FSI315</t>
  </si>
  <si>
    <t>GSK211227WVA084</t>
  </si>
  <si>
    <t>GSK211227OSV529</t>
  </si>
  <si>
    <t>GSK211226ESN394</t>
  </si>
  <si>
    <t>GSK211227SWR289</t>
  </si>
  <si>
    <t>GSK211227JXZ721</t>
  </si>
  <si>
    <t>GSK211227MXB018</t>
  </si>
  <si>
    <t>GSK211227AKE436</t>
  </si>
  <si>
    <t>GSK211227MRG956</t>
  </si>
  <si>
    <t>GSK211227PSR931</t>
  </si>
  <si>
    <t>DMD/2112/27/PUCB5107</t>
  </si>
  <si>
    <t>GSK211227RDN605</t>
  </si>
  <si>
    <t>01/01/2022 RESTU</t>
  </si>
  <si>
    <t>DMD/2112/27/EOWK1289</t>
  </si>
  <si>
    <t>GSK211227BHN240</t>
  </si>
  <si>
    <t>GSK211227DBN204</t>
  </si>
  <si>
    <t>GSK211226UTY379</t>
  </si>
  <si>
    <t>GSK211227AXC469</t>
  </si>
  <si>
    <t>GSK211227RQG438</t>
  </si>
  <si>
    <t>GSK211227OMX403</t>
  </si>
  <si>
    <t>GSK211227PWE894</t>
  </si>
  <si>
    <t>GSK211226GSU147</t>
  </si>
  <si>
    <t>GSK211226JLN409</t>
  </si>
  <si>
    <t>GSK211227IKF231</t>
  </si>
  <si>
    <t>GSK211227YLM390</t>
  </si>
  <si>
    <t>GSK211226IDH356</t>
  </si>
  <si>
    <t>GSK211227WCH801</t>
  </si>
  <si>
    <t>DMD/2112/27/MRDW2879</t>
  </si>
  <si>
    <t>GSK211227QNG347</t>
  </si>
  <si>
    <t>GSK211227JDM498</t>
  </si>
  <si>
    <t>GSK211227IQK937</t>
  </si>
  <si>
    <t>GSK211226GNE249</t>
  </si>
  <si>
    <t>GSK211226NKB571</t>
  </si>
  <si>
    <t>GSK211227LWD367</t>
  </si>
  <si>
    <t>GSK211227CEJ839</t>
  </si>
  <si>
    <t>GSK211227JVY214</t>
  </si>
  <si>
    <t>GSK211226YOR205</t>
  </si>
  <si>
    <t>GSK211227QEL276</t>
  </si>
  <si>
    <t>GSK211227WVZ598</t>
  </si>
  <si>
    <t>GSK211226SVL238</t>
  </si>
  <si>
    <t>GSK211227IGY592</t>
  </si>
  <si>
    <t>GSK211227AGV980</t>
  </si>
  <si>
    <t>GSK211227XID146</t>
  </si>
  <si>
    <t>GSK211227ZYS836</t>
  </si>
  <si>
    <t>GSK211227EHJ675</t>
  </si>
  <si>
    <t>GSK211226PBW597</t>
  </si>
  <si>
    <t>GSK211227BJA472</t>
  </si>
  <si>
    <t>GSK211227FTW815</t>
  </si>
  <si>
    <t>GSK211227HIE316</t>
  </si>
  <si>
    <t>GSK211227OQT714</t>
  </si>
  <si>
    <t>GSK211227LAR032</t>
  </si>
  <si>
    <t>GSK211227KMR940</t>
  </si>
  <si>
    <t>GSK211226GVB978</t>
  </si>
  <si>
    <t>GSK211227LSW126</t>
  </si>
  <si>
    <t>GSK211227PJE681</t>
  </si>
  <si>
    <t>GSK211227SUR859</t>
  </si>
  <si>
    <t>GSK211227JOA567</t>
  </si>
  <si>
    <t>GSK211227ETD927</t>
  </si>
  <si>
    <t>DMD/2112/27/DBIY8903</t>
  </si>
  <si>
    <t>GSK211227XPF329</t>
  </si>
  <si>
    <t>GSK211227PHZ749</t>
  </si>
  <si>
    <t>DMD/2112/27/YPCD8294</t>
  </si>
  <si>
    <t>GSK211227WOB208</t>
  </si>
  <si>
    <t>GSK211227SMD846</t>
  </si>
  <si>
    <t>GSK211227YLC586</t>
  </si>
  <si>
    <t>GSK211227MUO320</t>
  </si>
  <si>
    <t>DMD/2112/28/FIQA2461</t>
  </si>
  <si>
    <t>GSK211228QUZ614</t>
  </si>
  <si>
    <t>GSK211228VXR096</t>
  </si>
  <si>
    <t>GSK211228EUH648</t>
  </si>
  <si>
    <t>GSK211228VSO897</t>
  </si>
  <si>
    <t>GSK211228VAH472</t>
  </si>
  <si>
    <t>GSK211228VBU904</t>
  </si>
  <si>
    <t>GSK211228QCF207</t>
  </si>
  <si>
    <t>GSK211228ZPT902</t>
  </si>
  <si>
    <t>GSK211228JYG169</t>
  </si>
  <si>
    <t>GSK211228URX304</t>
  </si>
  <si>
    <t>GSK211228RWA514</t>
  </si>
  <si>
    <t>GSK211228KJW276</t>
  </si>
  <si>
    <t>GSK211228IYA203</t>
  </si>
  <si>
    <t>GSK211228CNR253</t>
  </si>
  <si>
    <t>GSK211228UDI250</t>
  </si>
  <si>
    <t>GSK211228WTB968</t>
  </si>
  <si>
    <t>GSK211228VNR401</t>
  </si>
  <si>
    <t>GSK211228BYF354</t>
  </si>
  <si>
    <t>GSK211228CSH302</t>
  </si>
  <si>
    <t>GSK211228OHQ491</t>
  </si>
  <si>
    <t>GSK211228EYZ157</t>
  </si>
  <si>
    <t>GSK211228NJZ841</t>
  </si>
  <si>
    <t>GSK211227YNB751</t>
  </si>
  <si>
    <t>GSK211228VDB537</t>
  </si>
  <si>
    <t>GSK211228FED697</t>
  </si>
  <si>
    <t>GSK211228YLK376</t>
  </si>
  <si>
    <t>GSK211228MYA037</t>
  </si>
  <si>
    <t>GSK211228RPE398</t>
  </si>
  <si>
    <t>GSK211228OPH981</t>
  </si>
  <si>
    <t>GSK211228CXY724</t>
  </si>
  <si>
    <t>GSK211228MHV749</t>
  </si>
  <si>
    <t>GSK211228MJV571</t>
  </si>
  <si>
    <t>GSK211228KMV237</t>
  </si>
  <si>
    <t>GSK211228FCI507</t>
  </si>
  <si>
    <t>DMD/2112/28/WYGX7613</t>
  </si>
  <si>
    <t>GSK211228MUN037</t>
  </si>
  <si>
    <t>DMD/2112/28/GVKE7240</t>
  </si>
  <si>
    <t>GSK211228ENG732</t>
  </si>
  <si>
    <t>GSK211228OWF438</t>
  </si>
  <si>
    <t>GSK211228WZG801</t>
  </si>
  <si>
    <t>GSK211228JEP024</t>
  </si>
  <si>
    <t>GSK211228UCH896</t>
  </si>
  <si>
    <t>GSK211228OJV054</t>
  </si>
  <si>
    <t>GSK211228YDP754</t>
  </si>
  <si>
    <t>GSK211228DUB168</t>
  </si>
  <si>
    <t>GSK211228ZDF823</t>
  </si>
  <si>
    <t>GSK211228BEM285</t>
  </si>
  <si>
    <t>GSK211228QSJ531</t>
  </si>
  <si>
    <t>GSK211228NBT487</t>
  </si>
  <si>
    <t>GSK211228HBZ281</t>
  </si>
  <si>
    <t>GSK211228HQG261</t>
  </si>
  <si>
    <t>GSK211228OJC805</t>
  </si>
  <si>
    <t>GSK211228CPH198</t>
  </si>
  <si>
    <t>GSK211228RPJ241</t>
  </si>
  <si>
    <t>GSK211228LVR024</t>
  </si>
  <si>
    <t>GSK211228KTQ160</t>
  </si>
  <si>
    <t>GSK211228FSV170</t>
  </si>
  <si>
    <t>GSK211228MJH562</t>
  </si>
  <si>
    <t>GSK211228LXF905</t>
  </si>
  <si>
    <t>GSK211228UZH124</t>
  </si>
  <si>
    <t>GSK211228TBI216</t>
  </si>
  <si>
    <t>GSK211228VCO951</t>
  </si>
  <si>
    <t>GSK211228GDY702</t>
  </si>
  <si>
    <t>GSK211228APC546</t>
  </si>
  <si>
    <t>GSK211228XOZ319</t>
  </si>
  <si>
    <t>GSK211228SBI678</t>
  </si>
  <si>
    <t>GSK211228MAJ863</t>
  </si>
  <si>
    <t>GSK211227KFY593</t>
  </si>
  <si>
    <t>GSK211228RUH045</t>
  </si>
  <si>
    <t>GSK211228OQN371</t>
  </si>
  <si>
    <t>GSK211228OAW359</t>
  </si>
  <si>
    <t>DMD/2112/28/GOLP9037</t>
  </si>
  <si>
    <t>GSK211228ENT697</t>
  </si>
  <si>
    <t>GSK211228HGJ206</t>
  </si>
  <si>
    <t>DMD/2112/28/TIQL9106</t>
  </si>
  <si>
    <t>GSK211228TPS548</t>
  </si>
  <si>
    <t>GSK211228WCT712</t>
  </si>
  <si>
    <t>GSK211228IWV859</t>
  </si>
  <si>
    <t>GSK211228IZF079</t>
  </si>
  <si>
    <t>GSK211228ZPA472</t>
  </si>
  <si>
    <t>GSK211227TNF915</t>
  </si>
  <si>
    <t>GSK211226CPN731</t>
  </si>
  <si>
    <t>GSK211226BAG859</t>
  </si>
  <si>
    <t>GSK211228LRB593</t>
  </si>
  <si>
    <t>GSK211228QTR743</t>
  </si>
  <si>
    <t>GSK211228GCR540</t>
  </si>
  <si>
    <t>GSK211228GDF560</t>
  </si>
  <si>
    <t>GSK211226UDQ803</t>
  </si>
  <si>
    <t>GSK211228GHA785</t>
  </si>
  <si>
    <t>GSK211226ZAK925</t>
  </si>
  <si>
    <t>GSK211228WER925</t>
  </si>
  <si>
    <t>GSK211228EXN751</t>
  </si>
  <si>
    <t>GSK211225LGW094</t>
  </si>
  <si>
    <t>GSK211228WKB428</t>
  </si>
  <si>
    <t>GSK211228JMF354</t>
  </si>
  <si>
    <t>GSK211228YJC836</t>
  </si>
  <si>
    <t>GSK211228LST591</t>
  </si>
  <si>
    <t>GSK211228URQ407</t>
  </si>
  <si>
    <t>GSK211228OUB273</t>
  </si>
  <si>
    <t>GSK211228DBP413</t>
  </si>
  <si>
    <t>GSK211228XIW725</t>
  </si>
  <si>
    <t>GSK211228XIF750</t>
  </si>
  <si>
    <t>GSK211228FLP284</t>
  </si>
  <si>
    <t>GSK211226WKS610</t>
  </si>
  <si>
    <t>GSK211228AQV826</t>
  </si>
  <si>
    <t>GSK211228UVI814</t>
  </si>
  <si>
    <t>GSK211228ATV645</t>
  </si>
  <si>
    <t>GSK211228FMV780</t>
  </si>
  <si>
    <t>GSK211226FUR457</t>
  </si>
  <si>
    <t>GSK211228YWZ836</t>
  </si>
  <si>
    <t>GSK211228QYF764</t>
  </si>
  <si>
    <t>GSK211226CVF380</t>
  </si>
  <si>
    <t>GSK211228CIH130</t>
  </si>
  <si>
    <t>GSK211225YLS925</t>
  </si>
  <si>
    <t>GSK211228QPN032</t>
  </si>
  <si>
    <t>GSK211228OWC384</t>
  </si>
  <si>
    <t>GSK211228PGA783</t>
  </si>
  <si>
    <t>GSK211228IOG189</t>
  </si>
  <si>
    <t>GSK211228WKM728</t>
  </si>
  <si>
    <t>GSK211228MGB548</t>
  </si>
  <si>
    <t>GSK211228TUA235</t>
  </si>
  <si>
    <t>GSK211228XEF742</t>
  </si>
  <si>
    <t>GSK211228ZKP983</t>
  </si>
  <si>
    <t>GSK211228FEB712</t>
  </si>
  <si>
    <t>GSK211228ZBN015</t>
  </si>
  <si>
    <t>GSK211226RPM480</t>
  </si>
  <si>
    <t>GSK211228UEQ836</t>
  </si>
  <si>
    <t>GSK211228AVJ829</t>
  </si>
  <si>
    <t>GSK211226HPY243</t>
  </si>
  <si>
    <t>GSK211227VPA396</t>
  </si>
  <si>
    <t>GSK211228NFK294</t>
  </si>
  <si>
    <t>GSK211228WJN430</t>
  </si>
  <si>
    <t>GSK211228VEA863</t>
  </si>
  <si>
    <t>GSK211225FWX431</t>
  </si>
  <si>
    <t>GSK211228FOD804</t>
  </si>
  <si>
    <t>GSK211228EOQ524</t>
  </si>
  <si>
    <t>GSK211228CTN634</t>
  </si>
  <si>
    <t>GSK211228HQB308</t>
  </si>
  <si>
    <t>GSK211228KEP137</t>
  </si>
  <si>
    <t>GSK211228OGC084</t>
  </si>
  <si>
    <t>GSK211228HYN834</t>
  </si>
  <si>
    <t>GSK211228OAI471</t>
  </si>
  <si>
    <t>GSK211228XBC925</t>
  </si>
  <si>
    <t>GSK211228HDA508</t>
  </si>
  <si>
    <t>GSK211228PHW564</t>
  </si>
  <si>
    <t>GSK211228TDC264</t>
  </si>
  <si>
    <t>GSK211228XJG641</t>
  </si>
  <si>
    <t>GSK211228ZFB120</t>
  </si>
  <si>
    <t>GSK211228WXR593</t>
  </si>
  <si>
    <t>GSK211228KFX182</t>
  </si>
  <si>
    <t>GSK211225EAR631</t>
  </si>
  <si>
    <t>GSK211228UTX965</t>
  </si>
  <si>
    <t>GSK211228LWU276</t>
  </si>
  <si>
    <t>GSK211228NPI965</t>
  </si>
  <si>
    <t>GSK211228XVD806</t>
  </si>
  <si>
    <t>GSK211228UWR017</t>
  </si>
  <si>
    <t>GSK211228LWH950</t>
  </si>
  <si>
    <t>GSK211228YOH380</t>
  </si>
  <si>
    <t>GSK211228ORI765</t>
  </si>
  <si>
    <t>GSK211228NAJ581</t>
  </si>
  <si>
    <t>GSK211228MTP687</t>
  </si>
  <si>
    <t>GSK211228XUW782</t>
  </si>
  <si>
    <t>GSK211228QUR348</t>
  </si>
  <si>
    <t>GSK211228BHE479</t>
  </si>
  <si>
    <t>GSK211228EFJ375</t>
  </si>
  <si>
    <t>GSK211228EUL321</t>
  </si>
  <si>
    <t>GSK211228HZR079</t>
  </si>
  <si>
    <t>GSK211228RTB045</t>
  </si>
  <si>
    <t>GSK211228TPA716</t>
  </si>
  <si>
    <t>GSK211228PXC724</t>
  </si>
  <si>
    <t>GSK211228MAO875</t>
  </si>
  <si>
    <t>GSK211228SHJ152</t>
  </si>
  <si>
    <t>GSK211225GSY071</t>
  </si>
  <si>
    <t>GSK211226CTO352</t>
  </si>
  <si>
    <t>GSK211228QYG341</t>
  </si>
  <si>
    <t>GSK211228PRE247</t>
  </si>
  <si>
    <t>GSK211228MZW870</t>
  </si>
  <si>
    <t>GSK211228TGK728</t>
  </si>
  <si>
    <t>GSK211228BSY480</t>
  </si>
  <si>
    <t>GSK211228ELS402</t>
  </si>
  <si>
    <t>GSK211228PGE743</t>
  </si>
  <si>
    <t>GSK211228JUO829</t>
  </si>
  <si>
    <t>GSK211228CSZ519</t>
  </si>
  <si>
    <t>GSK211226ZUY624</t>
  </si>
  <si>
    <t>GSK211228HXD943</t>
  </si>
  <si>
    <t>GSK211228BPS843</t>
  </si>
  <si>
    <t>GSK211228IHM143</t>
  </si>
  <si>
    <t>GSK211228KUD279</t>
  </si>
  <si>
    <t>GSK211228PVB481</t>
  </si>
  <si>
    <t>GSK211228GAO140</t>
  </si>
  <si>
    <t>GSK211228AOY106</t>
  </si>
  <si>
    <t>GSK211228JVS218</t>
  </si>
  <si>
    <t>GSK211228IGS902</t>
  </si>
  <si>
    <t>GSK211226GEO197</t>
  </si>
  <si>
    <t>GSK211228HRE823</t>
  </si>
  <si>
    <t>GSK211228COP672</t>
  </si>
  <si>
    <t>GSK211228BFU918</t>
  </si>
  <si>
    <t>GSK211228WYZ362</t>
  </si>
  <si>
    <t>GSK211228ULB206</t>
  </si>
  <si>
    <t>GSK211228QAE149</t>
  </si>
  <si>
    <t>GSK211228ERZ807</t>
  </si>
  <si>
    <t>GSK211225LCJ182</t>
  </si>
  <si>
    <t>GSK211228PRN097</t>
  </si>
  <si>
    <t>GSK211228ZFW542</t>
  </si>
  <si>
    <t>GSK211228YMR736</t>
  </si>
  <si>
    <t>GSK211225NLK527</t>
  </si>
  <si>
    <t>GSK211226MJD851</t>
  </si>
  <si>
    <t>GSK211226CLZ670</t>
  </si>
  <si>
    <t>GSK211226RDO326</t>
  </si>
  <si>
    <t>GSK211228XMV947</t>
  </si>
  <si>
    <t>GSK211228OIH971</t>
  </si>
  <si>
    <t>GSK211228XTZ685</t>
  </si>
  <si>
    <t>GSK211228FYV634</t>
  </si>
  <si>
    <t>GSK211228JKP649</t>
  </si>
  <si>
    <t>GSK211228DWU159</t>
  </si>
  <si>
    <t>GSK211228JYI178</t>
  </si>
  <si>
    <t>GSK211224LZU180</t>
  </si>
  <si>
    <t>GSK211228KCZ249</t>
  </si>
  <si>
    <t>GSK211228IDV302</t>
  </si>
  <si>
    <t>GSK211226QIA897</t>
  </si>
  <si>
    <t>GSK211228HVL862</t>
  </si>
  <si>
    <t>GSK211226YSC719</t>
  </si>
  <si>
    <t>GSK211228MJD652</t>
  </si>
  <si>
    <t>GSK211228MZS074</t>
  </si>
  <si>
    <t>GSK211228ADV571</t>
  </si>
  <si>
    <t>DMD/2112/28/SWUB0276</t>
  </si>
  <si>
    <t>GSK211228EYL723</t>
  </si>
  <si>
    <t>GSK211228PTX419</t>
  </si>
  <si>
    <t>GSK211228ZIN576</t>
  </si>
  <si>
    <t>GSK211225TXN824</t>
  </si>
  <si>
    <t>GSK211226LEF841</t>
  </si>
  <si>
    <t>01/02/2022 RESTU</t>
  </si>
  <si>
    <t>DMD/2112/28/PHBX8925</t>
  </si>
  <si>
    <t>DMD/2112/28/ZSWI1245</t>
  </si>
  <si>
    <t>GSK211224UCJ975</t>
  </si>
  <si>
    <t>GSK211228JBT801</t>
  </si>
  <si>
    <t>GSK211228FYH013</t>
  </si>
  <si>
    <t>DMD/2112/29/NARG4038</t>
  </si>
  <si>
    <t>GSK211228PIC928</t>
  </si>
  <si>
    <t>GSK211229LNI582</t>
  </si>
  <si>
    <t>GSK211229RAX270</t>
  </si>
  <si>
    <t>GSK211229LSI947</t>
  </si>
  <si>
    <t>GSK211229LKI510</t>
  </si>
  <si>
    <t>GSK211229BWH712</t>
  </si>
  <si>
    <t>GSK211229FJA032</t>
  </si>
  <si>
    <t>GSK211229EGO189</t>
  </si>
  <si>
    <t>GSK211228ALQ205</t>
  </si>
  <si>
    <t>GSK211229CHQ345</t>
  </si>
  <si>
    <t>GSK211229AKX589</t>
  </si>
  <si>
    <t>GSK211229ZIX012</t>
  </si>
  <si>
    <t>GSK211229XKL804</t>
  </si>
  <si>
    <t>GSK211229CDE518</t>
  </si>
  <si>
    <t>GSK211229GVZ083</t>
  </si>
  <si>
    <t>GSK211229ZSX304</t>
  </si>
  <si>
    <t>GSK211229FPX381</t>
  </si>
  <si>
    <t>GSK211229YNT436</t>
  </si>
  <si>
    <t>GSK211229OWR720</t>
  </si>
  <si>
    <t>GSK211229ATG947</t>
  </si>
  <si>
    <t>GSK211229NZP524</t>
  </si>
  <si>
    <t>GSK211229CBP148</t>
  </si>
  <si>
    <t>GSK211229URB693</t>
  </si>
  <si>
    <t>GSK211229YLF698</t>
  </si>
  <si>
    <t>GSK211229KSQ951</t>
  </si>
  <si>
    <t>GSK211228VZB972</t>
  </si>
  <si>
    <t>GSK211229GPW025</t>
  </si>
  <si>
    <t>GSK211229BWU801</t>
  </si>
  <si>
    <t>GSK211229FZL469</t>
  </si>
  <si>
    <t>DMD/2112/29/SVWC5021</t>
  </si>
  <si>
    <t>GSK211229RHI873</t>
  </si>
  <si>
    <t>GSK211229GEK253</t>
  </si>
  <si>
    <t>GSK211229ADM364</t>
  </si>
  <si>
    <t>GSK211229FBD720</t>
  </si>
  <si>
    <t>GSK211229OWL619</t>
  </si>
  <si>
    <t>GSK211229FAM631</t>
  </si>
  <si>
    <t>GSK211229TMC530</t>
  </si>
  <si>
    <t>GSK211228WEJ961</t>
  </si>
  <si>
    <t>GSK211229FTI904</t>
  </si>
  <si>
    <t>GSK211229JVC264</t>
  </si>
  <si>
    <t>DMD/2112/29/WCFZ3281</t>
  </si>
  <si>
    <t>GSK211229TMW892</t>
  </si>
  <si>
    <t>GSK211229BVE703</t>
  </si>
  <si>
    <t xml:space="preserve">DMD/2112/29/NFJY6527 </t>
  </si>
  <si>
    <t>GSK211229LZD820</t>
  </si>
  <si>
    <t>GSK211229YVU014</t>
  </si>
  <si>
    <t>GSK211229JSI974</t>
  </si>
  <si>
    <t>GSK211229JND056</t>
  </si>
  <si>
    <t>GSK211229IXQ910</t>
  </si>
  <si>
    <t>GSK211229TAO769</t>
  </si>
  <si>
    <t>GSK211229FDQ169</t>
  </si>
  <si>
    <t>GSK211229MUF162</t>
  </si>
  <si>
    <t>GSK211229FPU908</t>
  </si>
  <si>
    <t>GSK211229OIL134</t>
  </si>
  <si>
    <t>GSK211229NIK043</t>
  </si>
  <si>
    <t>GSK211229HVP201</t>
  </si>
  <si>
    <t>GSK211229KGL365</t>
  </si>
  <si>
    <t>GSK211229WGV327</t>
  </si>
  <si>
    <t>GSK211229QOM691</t>
  </si>
  <si>
    <t>GSK211229QCL126</t>
  </si>
  <si>
    <t>GSK211229FRY964</t>
  </si>
  <si>
    <t>GSK211229HIA761</t>
  </si>
  <si>
    <t>GSK211229LIX189</t>
  </si>
  <si>
    <t>GSK211229KFA367</t>
  </si>
  <si>
    <t>GSK211229QEZ791</t>
  </si>
  <si>
    <t>GSK211229SHZ568</t>
  </si>
  <si>
    <t>GSK211229RBH459</t>
  </si>
  <si>
    <t>GSK211229WIO329</t>
  </si>
  <si>
    <t>DMD/2112/29/ELKV6132</t>
  </si>
  <si>
    <t>GSK211229ISX791</t>
  </si>
  <si>
    <t>DMD/2112/29/HYMI5970</t>
  </si>
  <si>
    <t>GSK211229TSB671</t>
  </si>
  <si>
    <t>GSK211227WXK398</t>
  </si>
  <si>
    <t>GSK211227KHN306</t>
  </si>
  <si>
    <t>GSK211227HLO126</t>
  </si>
  <si>
    <t>GSK211228EGC105</t>
  </si>
  <si>
    <t>GSK211229ALP139</t>
  </si>
  <si>
    <t>GSK211229VWY579</t>
  </si>
  <si>
    <t>GSK211229TQX269</t>
  </si>
  <si>
    <t>GSK211228TDN524</t>
  </si>
  <si>
    <t>GSK211229RLV942</t>
  </si>
  <si>
    <t>GSK211229EQK547</t>
  </si>
  <si>
    <t>GSK211229USA981</t>
  </si>
  <si>
    <t>GSK211229PRK918</t>
  </si>
  <si>
    <t>GSK211229YLQ527</t>
  </si>
  <si>
    <t>GSK211229CZU974</t>
  </si>
  <si>
    <t>GSK211229SDK793</t>
  </si>
  <si>
    <t>GSK211229HUQ827</t>
  </si>
  <si>
    <t>GSK211229KRM543</t>
  </si>
  <si>
    <t>GSK211228KZP273</t>
  </si>
  <si>
    <t>GSK211229VTS179</t>
  </si>
  <si>
    <t>GSK211229KWP487</t>
  </si>
  <si>
    <t>GSK211228VOD174</t>
  </si>
  <si>
    <t>GSK211229QZU926</t>
  </si>
  <si>
    <t>GSK211229OWY213</t>
  </si>
  <si>
    <t>GSK211229BUZ275</t>
  </si>
  <si>
    <t>GSK211229RPN613</t>
  </si>
  <si>
    <t>GSK211229DZX374</t>
  </si>
  <si>
    <t>GSK211229WJH085</t>
  </si>
  <si>
    <t>GSK211229VPY239</t>
  </si>
  <si>
    <t>GSK211229QCY417</t>
  </si>
  <si>
    <t>GSK211229QJD326</t>
  </si>
  <si>
    <t>GSK211229RUE107</t>
  </si>
  <si>
    <t>GSK211229VXJ285</t>
  </si>
  <si>
    <t>GSK211229UPG956</t>
  </si>
  <si>
    <t>GSK211229UZE845</t>
  </si>
  <si>
    <t>GSK211228VKQ437</t>
  </si>
  <si>
    <t>GSK211229NBP912</t>
  </si>
  <si>
    <t>GSK211229LZP860</t>
  </si>
  <si>
    <t>GSK211229IRD590</t>
  </si>
  <si>
    <t>GSK211229JLW684</t>
  </si>
  <si>
    <t>GSK211229GOW586</t>
  </si>
  <si>
    <t>GSK211228VAK184</t>
  </si>
  <si>
    <t>GSK211229DZV249</t>
  </si>
  <si>
    <t>GSK211228JNI954</t>
  </si>
  <si>
    <t>GSK211228NWI197</t>
  </si>
  <si>
    <t>GSK211229KSE315</t>
  </si>
  <si>
    <t>GSK211229QPX158</t>
  </si>
  <si>
    <t>GSK211229QYX103</t>
  </si>
  <si>
    <t>GSK211227JCV301</t>
  </si>
  <si>
    <t>GSK211228YUD987</t>
  </si>
  <si>
    <t>GSK211229PIG142</t>
  </si>
  <si>
    <t>GSK211229PBV953</t>
  </si>
  <si>
    <t>GSK211228MKV068</t>
  </si>
  <si>
    <t>GSK211229GZR398</t>
  </si>
  <si>
    <t>GSK211229WGX162</t>
  </si>
  <si>
    <t>GSK211229LHO968</t>
  </si>
  <si>
    <t>GSK211229DHJ842</t>
  </si>
  <si>
    <t>GSK211229IOF752</t>
  </si>
  <si>
    <t>GSK211229BNC832</t>
  </si>
  <si>
    <t>GSK211229RWO617</t>
  </si>
  <si>
    <t>GSK211229OEX758</t>
  </si>
  <si>
    <t>GSK211229RZT647</t>
  </si>
  <si>
    <t>GSK211229LHJ250</t>
  </si>
  <si>
    <t>GSK211229NKU140</t>
  </si>
  <si>
    <t>GSK211229XVL579</t>
  </si>
  <si>
    <t>GSK211229LVD015</t>
  </si>
  <si>
    <t>GSK211228NYX892</t>
  </si>
  <si>
    <t>GSK211229OUQ582</t>
  </si>
  <si>
    <t>GSK211229UDL186</t>
  </si>
  <si>
    <t>GSK211229KDE913</t>
  </si>
  <si>
    <t>GSK211229TSM293</t>
  </si>
  <si>
    <t>GSK211228HXF869</t>
  </si>
  <si>
    <t>GSK211229ZKL628</t>
  </si>
  <si>
    <t>GSK211229HXD184</t>
  </si>
  <si>
    <t>GSK211229QHS278</t>
  </si>
  <si>
    <t>GSK211229JBK627</t>
  </si>
  <si>
    <t>GSK211229UAR965</t>
  </si>
  <si>
    <t>GSK211228DZV387</t>
  </si>
  <si>
    <t>GSK211229OTF259</t>
  </si>
  <si>
    <t>GSK211229EPL785</t>
  </si>
  <si>
    <t>GSK211229IBO671</t>
  </si>
  <si>
    <t>GSK211229LGB638</t>
  </si>
  <si>
    <t>GSK211229VYR107</t>
  </si>
  <si>
    <t>GSK211229MZT065</t>
  </si>
  <si>
    <t>GSK211229UYF398</t>
  </si>
  <si>
    <t>GSK211229OTV386</t>
  </si>
  <si>
    <t>GSK211229IDJ601</t>
  </si>
  <si>
    <t>GSK211228ZCB286</t>
  </si>
  <si>
    <t>GSK211229WQN457</t>
  </si>
  <si>
    <t>GSK211229ZAH562</t>
  </si>
  <si>
    <t>GSK211229RZN749</t>
  </si>
  <si>
    <t>GSK211229BNK483</t>
  </si>
  <si>
    <t>GSK211229AKX475</t>
  </si>
  <si>
    <t>GSK211229OGE863</t>
  </si>
  <si>
    <t>GSK211229PXJ721</t>
  </si>
  <si>
    <t>GSK211228PMD589</t>
  </si>
  <si>
    <t>GSK211228HNB316</t>
  </si>
  <si>
    <t>GSK211229JUW059</t>
  </si>
  <si>
    <t>GSK211229ZYK761</t>
  </si>
  <si>
    <t>GSK211228MHD482</t>
  </si>
  <si>
    <t>GSK211229AQJ361</t>
  </si>
  <si>
    <t>GSK211229RQF719</t>
  </si>
  <si>
    <t>GSK211229ODN230</t>
  </si>
  <si>
    <t>GSK211229HVK721</t>
  </si>
  <si>
    <t>GSK211228FKS095</t>
  </si>
  <si>
    <t>GSK211229MCV941</t>
  </si>
  <si>
    <t>GSK211228ULK714</t>
  </si>
  <si>
    <t>GSK211228ISR583</t>
  </si>
  <si>
    <t>GSK211229YQV276</t>
  </si>
  <si>
    <t>GSK211229MJL524</t>
  </si>
  <si>
    <t>GSK211227QWS718</t>
  </si>
  <si>
    <t>GSK211228PMI691</t>
  </si>
  <si>
    <t>GSK211229WMZ150</t>
  </si>
  <si>
    <t>GSK211227PFI481</t>
  </si>
  <si>
    <t>GSK211229PQJ603</t>
  </si>
  <si>
    <t>GSK211229WSB039</t>
  </si>
  <si>
    <t>DMD/2112/29/XQSB7604</t>
  </si>
  <si>
    <t>GSK211227IHL750</t>
  </si>
  <si>
    <t>GSK211229LRE304</t>
  </si>
  <si>
    <t>GSK211229QKJ783</t>
  </si>
  <si>
    <t>GSK211226DVS658</t>
  </si>
  <si>
    <t>GSK211229ADF350</t>
  </si>
  <si>
    <t>GSK211226FHU183</t>
  </si>
  <si>
    <t>GSK211228PWR581</t>
  </si>
  <si>
    <t>GSK211229PYX953</t>
  </si>
  <si>
    <t>GSK211229LQB714</t>
  </si>
  <si>
    <t>GSK211226YKX586</t>
  </si>
  <si>
    <t>GSK211229AEZ405</t>
  </si>
  <si>
    <t>DMD/2112/30/ULEH8612</t>
  </si>
  <si>
    <t>GSK211230UIH075</t>
  </si>
  <si>
    <t>GSK211230REA293</t>
  </si>
  <si>
    <t>GSK211230VWL103</t>
  </si>
  <si>
    <t>GSK211230HRL239</t>
  </si>
  <si>
    <t>GSK211229ZJV271</t>
  </si>
  <si>
    <t>GSK211230HUI985</t>
  </si>
  <si>
    <t>GSK211230TFP641</t>
  </si>
  <si>
    <t>GSK211229YVU607</t>
  </si>
  <si>
    <t>GSK211230HGK263</t>
  </si>
  <si>
    <t>GSK211230GMT903</t>
  </si>
  <si>
    <t>GSK211230SBA924</t>
  </si>
  <si>
    <t>GSK211230VXB431</t>
  </si>
  <si>
    <t>GSK211230QGE816</t>
  </si>
  <si>
    <t>GSK211230QKP540</t>
  </si>
  <si>
    <t>GSK211230POU724</t>
  </si>
  <si>
    <t>GSK211230IZE718</t>
  </si>
  <si>
    <t>GSK211230KHR082</t>
  </si>
  <si>
    <t>GSK211230LEO742</t>
  </si>
  <si>
    <t>GSK211230GQM163</t>
  </si>
  <si>
    <t>GSK211230KYU297</t>
  </si>
  <si>
    <t>GSK211230OFX381</t>
  </si>
  <si>
    <t>GSK211230JNR205</t>
  </si>
  <si>
    <t>GSK211230EPK972</t>
  </si>
  <si>
    <t>GSK211230IVT491</t>
  </si>
  <si>
    <t>GSK211230NWD487</t>
  </si>
  <si>
    <t>DMD/2112/30/WPGO1073</t>
  </si>
  <si>
    <t>GSK211230PGO643</t>
  </si>
  <si>
    <t>DMD/2112/30/AWEJ1829</t>
  </si>
  <si>
    <t>GSK211229JMX853</t>
  </si>
  <si>
    <t>GSK211230KLR235</t>
  </si>
  <si>
    <t>GSK211230HFD361</t>
  </si>
  <si>
    <t>GSK211230NJE273</t>
  </si>
  <si>
    <t>GSK211230IKG512</t>
  </si>
  <si>
    <t>GSK211230FYS026</t>
  </si>
  <si>
    <t>GSK211230DFC307</t>
  </si>
  <si>
    <t>GSK211230RKS652</t>
  </si>
  <si>
    <t>GSK211230IXG937</t>
  </si>
  <si>
    <t>GSK211230XYE136</t>
  </si>
  <si>
    <t>GSK211230RPK049</t>
  </si>
  <si>
    <t>GSK211230KPR128</t>
  </si>
  <si>
    <t>GSK211230SLX972</t>
  </si>
  <si>
    <t>GSK211230POM589</t>
  </si>
  <si>
    <t>GSK211230WQF432</t>
  </si>
  <si>
    <t>GSK211230UJB784</t>
  </si>
  <si>
    <t>GSK211230AFN318</t>
  </si>
  <si>
    <t>GSK211230TOX175</t>
  </si>
  <si>
    <t>GSK211230STG187</t>
  </si>
  <si>
    <t>GSK211230YEL425</t>
  </si>
  <si>
    <t>GSK211230KCY019</t>
  </si>
  <si>
    <t>GSK211230JGN139</t>
  </si>
  <si>
    <t>DMD/2112/30/BVWE8325</t>
  </si>
  <si>
    <t>GSK211230CBV241</t>
  </si>
  <si>
    <t>01/03/2022 RESTU</t>
  </si>
  <si>
    <t>DMD/2112/30/FYVM1946</t>
  </si>
  <si>
    <t>GSK211229QPX381</t>
  </si>
  <si>
    <t>GSK211229VQX961</t>
  </si>
  <si>
    <t>GSK211230KGH486</t>
  </si>
  <si>
    <t>GSK211230WHT803</t>
  </si>
  <si>
    <t>GSK211230KDB657</t>
  </si>
  <si>
    <t>GSK211230EJY357</t>
  </si>
  <si>
    <t>GSK211230RAK763</t>
  </si>
  <si>
    <t>GSK211229GKF203</t>
  </si>
  <si>
    <t>GSK211228XBG485</t>
  </si>
  <si>
    <t>GSK211228LJS849</t>
  </si>
  <si>
    <t>GSK211228JOM165</t>
  </si>
  <si>
    <t>GSK211228XWN764</t>
  </si>
  <si>
    <t>GSK211229OJI168</t>
  </si>
  <si>
    <t>GSK211229EYG934</t>
  </si>
  <si>
    <t>GSK211229RCH518</t>
  </si>
  <si>
    <t>GSK211229LGP429</t>
  </si>
  <si>
    <t>GSK211229CDM841</t>
  </si>
  <si>
    <t>GSK211229KGE520</t>
  </si>
  <si>
    <t>GSK211230XJS569</t>
  </si>
  <si>
    <t>GSK211230NIC014</t>
  </si>
  <si>
    <t>GSK211230EUK270</t>
  </si>
  <si>
    <t>GSK211230XCI082</t>
  </si>
  <si>
    <t>GSK211230DPQ514</t>
  </si>
  <si>
    <t>GSK211230GJT589</t>
  </si>
  <si>
    <t>GSK211230YJP284</t>
  </si>
  <si>
    <t>GSK211230FAE561</t>
  </si>
  <si>
    <t>GSK211230FKC792</t>
  </si>
  <si>
    <t>GSK211230FIK630</t>
  </si>
  <si>
    <t>GSK211230WBI012</t>
  </si>
  <si>
    <t>GSK211230VDP465</t>
  </si>
  <si>
    <t>GSK211230UKS624</t>
  </si>
  <si>
    <t>GSK211230FMJ582</t>
  </si>
  <si>
    <t>GSK211230QBR026</t>
  </si>
  <si>
    <t>GSK211230XWC916</t>
  </si>
  <si>
    <t>GSK211230LQD843</t>
  </si>
  <si>
    <t>GSK211230FBH451</t>
  </si>
  <si>
    <t>GSK211230POZ472</t>
  </si>
  <si>
    <t>GSK211230ZPC059</t>
  </si>
  <si>
    <t>GSK211230LOB836</t>
  </si>
  <si>
    <t>GSK211230WNS182</t>
  </si>
  <si>
    <t>GSK211230WTS470</t>
  </si>
  <si>
    <t>GSK211230SWX584</t>
  </si>
  <si>
    <t>GSK211230TNR690</t>
  </si>
  <si>
    <t>GSK211230FJL518</t>
  </si>
  <si>
    <t>GSK211230QVH465</t>
  </si>
  <si>
    <t>GSK211230WKC738</t>
  </si>
  <si>
    <t>GSK211230KCU043</t>
  </si>
  <si>
    <t>GSK211230RVZ204</t>
  </si>
  <si>
    <t>GSK211230GLK351</t>
  </si>
  <si>
    <t>GSK211230ADP439</t>
  </si>
  <si>
    <t>GSK211230JKU703</t>
  </si>
  <si>
    <t>GSK211230CYF026</t>
  </si>
  <si>
    <t>GSK211230JFG120</t>
  </si>
  <si>
    <t>GSK211230VPO708</t>
  </si>
  <si>
    <t>GSK211230AVH345</t>
  </si>
  <si>
    <t>GSK211230EYB203</t>
  </si>
  <si>
    <t>GSK211230DBO867</t>
  </si>
  <si>
    <t>GSK211230JXG583</t>
  </si>
  <si>
    <t>GSK211230ATS649</t>
  </si>
  <si>
    <t>GSK211230PVU401</t>
  </si>
  <si>
    <t>GSK211230EKU152</t>
  </si>
  <si>
    <t>GSK211230VBA640</t>
  </si>
  <si>
    <t>GSK211230BNE143</t>
  </si>
  <si>
    <t>GSK211230EUG917</t>
  </si>
  <si>
    <t>GSK211230WRC140</t>
  </si>
  <si>
    <t>GSK211230BPK613</t>
  </si>
  <si>
    <t>GSK211230BWJ564</t>
  </si>
  <si>
    <t>GSK211230OTX491</t>
  </si>
  <si>
    <t>GSK211230HWQ357</t>
  </si>
  <si>
    <t>GSK211230SAO063</t>
  </si>
  <si>
    <t>GSK211230FGR417</t>
  </si>
  <si>
    <t>GSK211230GUC192</t>
  </si>
  <si>
    <t>GSK211230ZSE098</t>
  </si>
  <si>
    <t>GSK211230BMP529</t>
  </si>
  <si>
    <t>GSK211230SYG150</t>
  </si>
  <si>
    <t>GSK211230MLI784</t>
  </si>
  <si>
    <t>GSK211230HWJ564</t>
  </si>
  <si>
    <t>GSK211230MFX285</t>
  </si>
  <si>
    <t>GSK211230TWK917</t>
  </si>
  <si>
    <t>GSK211230NYW806</t>
  </si>
  <si>
    <t>GSK211230JVS425</t>
  </si>
  <si>
    <t>GSK211230GUK621</t>
  </si>
  <si>
    <t>GSK211230SPB539</t>
  </si>
  <si>
    <t>GSK211230RLV875</t>
  </si>
  <si>
    <t>GSK211230CGN903</t>
  </si>
  <si>
    <t>GSK211230SPV162</t>
  </si>
  <si>
    <t>GSK211230BZJ067</t>
  </si>
  <si>
    <t>GSK211230ZFL536</t>
  </si>
  <si>
    <t>GSK211230IFD756</t>
  </si>
  <si>
    <t>GSK211230DGN703</t>
  </si>
  <si>
    <t>GSK211230LSF520</t>
  </si>
  <si>
    <t>GSK211230AQW376</t>
  </si>
  <si>
    <t>GSK211230AFE583</t>
  </si>
  <si>
    <t>GSK211230UJT375</t>
  </si>
  <si>
    <t>GSK211230CAP920</t>
  </si>
  <si>
    <t>GSK211230MIS834</t>
  </si>
  <si>
    <t>GSK211230IHO175</t>
  </si>
  <si>
    <t>GSK211230FRD713</t>
  </si>
  <si>
    <t>GSK211230FRV795</t>
  </si>
  <si>
    <t>GSK211230ZPD310</t>
  </si>
  <si>
    <t>GSK211230TZJ846</t>
  </si>
  <si>
    <t>GSK211230UPS502</t>
  </si>
  <si>
    <t>GSK211230RSE354</t>
  </si>
  <si>
    <t>DMD/2112/30/GAQE4037</t>
  </si>
  <si>
    <t>GSK211227FVZ236</t>
  </si>
  <si>
    <t>GSK211228CEA479</t>
  </si>
  <si>
    <t>GSK211229BEG402</t>
  </si>
  <si>
    <t>GSK211229NDR259</t>
  </si>
  <si>
    <t>GSK211230QUB835</t>
  </si>
  <si>
    <t>GSK211230BXF265</t>
  </si>
  <si>
    <t>GSK211230YVF528</t>
  </si>
  <si>
    <t>GSK211230XQG954</t>
  </si>
  <si>
    <t>GSK211230CNU450</t>
  </si>
  <si>
    <t>GSK211230MKF621</t>
  </si>
  <si>
    <t>DMD/2112/30/UNEZ2817</t>
  </si>
  <si>
    <t>GSK211230BIX267</t>
  </si>
  <si>
    <t>GSK211230NXE340</t>
  </si>
  <si>
    <t>GSK211230ADB972</t>
  </si>
  <si>
    <t>GSK211230JRW082</t>
  </si>
  <si>
    <t>GSK211230ESL831</t>
  </si>
  <si>
    <t>GSK211230GWX219</t>
  </si>
  <si>
    <t>GSK211230MFT084</t>
  </si>
  <si>
    <t>GSK211230SCR894</t>
  </si>
  <si>
    <t>GSK211230EKW795</t>
  </si>
  <si>
    <t>GSK211230CNJ968</t>
  </si>
  <si>
    <t>GSK211230QYW510</t>
  </si>
  <si>
    <t>GSK211230CIT208</t>
  </si>
  <si>
    <t>GSK211230EFI786</t>
  </si>
  <si>
    <t>GSK211230CBJ862</t>
  </si>
  <si>
    <t>GSK211230FVI501</t>
  </si>
  <si>
    <t>GSK211230YZR851</t>
  </si>
  <si>
    <t>GSK211230HIB429</t>
  </si>
  <si>
    <t>GSK211230CIF203</t>
  </si>
  <si>
    <t>GSK211230ZAX309</t>
  </si>
  <si>
    <t>GSK211230FHX743</t>
  </si>
  <si>
    <t>GSK211230JXG823</t>
  </si>
  <si>
    <t>GSK211230FKD589</t>
  </si>
  <si>
    <t>GSK211230BMA174</t>
  </si>
  <si>
    <t>GSK211230CQM097</t>
  </si>
  <si>
    <t>DMD/2112/31/YQUG8051</t>
  </si>
  <si>
    <t>GSK211231ZWF419</t>
  </si>
  <si>
    <t>DMD/2112/31/EYOQ8695</t>
  </si>
  <si>
    <t>GSK211231MEC752</t>
  </si>
  <si>
    <t>GSK211230WYT142</t>
  </si>
  <si>
    <t>GSK211231BMR692</t>
  </si>
  <si>
    <t>GSK211230QDO971</t>
  </si>
  <si>
    <t>GSK211231IOU057</t>
  </si>
  <si>
    <t>GSK211231WAT519</t>
  </si>
  <si>
    <t>GSK211231YGB325</t>
  </si>
  <si>
    <t>GSK211230KAE273</t>
  </si>
  <si>
    <t>GSK211231GLP268</t>
  </si>
  <si>
    <t>GSK211231SHT079</t>
  </si>
  <si>
    <t>GSK211231WEC670</t>
  </si>
  <si>
    <t>GSK211231ZWU239</t>
  </si>
  <si>
    <t>GSK211230EBY849</t>
  </si>
  <si>
    <t>GSK211231HAI801</t>
  </si>
  <si>
    <t>GSK211228EIL739</t>
  </si>
  <si>
    <t>GSK211228TCL745</t>
  </si>
  <si>
    <t>GSK211231HOI501</t>
  </si>
  <si>
    <t>GSK211231HAT254</t>
  </si>
  <si>
    <t>GSK211229OMI106</t>
  </si>
  <si>
    <t>GSK211231ZEB568</t>
  </si>
  <si>
    <t>GSK211228GRI294</t>
  </si>
  <si>
    <t>GSK211228LQI651</t>
  </si>
  <si>
    <t>GSK211228HUA807</t>
  </si>
  <si>
    <t>GSK211228MBE609</t>
  </si>
  <si>
    <t>GSK211228IRW038</t>
  </si>
  <si>
    <t>GSK211228ZDP072</t>
  </si>
  <si>
    <t>GSK211231YJD206</t>
  </si>
  <si>
    <t>GSK211231DSC468</t>
  </si>
  <si>
    <t>GSK211231QIE795</t>
  </si>
  <si>
    <t>GSK211229CUY754</t>
  </si>
  <si>
    <t>GSK211229FTU365</t>
  </si>
  <si>
    <t>GSK211229KOJ367</t>
  </si>
  <si>
    <t>GSK211229JXQ653</t>
  </si>
  <si>
    <t>GSK211231BUG759</t>
  </si>
  <si>
    <t>GSK211229NYT019</t>
  </si>
  <si>
    <t>GSK211231XPY420</t>
  </si>
  <si>
    <t>GSK211231MRT197</t>
  </si>
  <si>
    <t>GSK211228VHX132</t>
  </si>
  <si>
    <t>GSK211231UVC964</t>
  </si>
  <si>
    <t>GSK211228FIU832</t>
  </si>
  <si>
    <t>GSK211228WHV294</t>
  </si>
  <si>
    <t>DMD/2112/31/RGCV1079</t>
  </si>
  <si>
    <t>GSK211231CGN438</t>
  </si>
  <si>
    <t>GSK211231SYP475</t>
  </si>
  <si>
    <t>GSK211231XIW738</t>
  </si>
  <si>
    <t>GSK211230AKB294</t>
  </si>
  <si>
    <t>GSK211230OJP798</t>
  </si>
  <si>
    <t>GSK211231DTK926</t>
  </si>
  <si>
    <t>GSK211231CQZ026</t>
  </si>
  <si>
    <t>GSK211231INK193</t>
  </si>
  <si>
    <t>GSK211231PSE064</t>
  </si>
  <si>
    <t>GSK211231OTI670</t>
  </si>
  <si>
    <t>GSK211231XLF754</t>
  </si>
  <si>
    <t>GSK211230AHB308</t>
  </si>
  <si>
    <t>GSK211231KCD273</t>
  </si>
  <si>
    <t>GSK211231QEL051</t>
  </si>
  <si>
    <t>GSK211231EVJ849</t>
  </si>
  <si>
    <t>GSK211231UBE014</t>
  </si>
  <si>
    <t>GSK211231LMZ178</t>
  </si>
  <si>
    <t>GSK211231MXZ736</t>
  </si>
  <si>
    <t>GSK211231OTK498</t>
  </si>
  <si>
    <t>GSK211230ITX058</t>
  </si>
  <si>
    <t>GSK211231VSC103</t>
  </si>
  <si>
    <t>GSK211231BRU642</t>
  </si>
  <si>
    <t>GSK211231VOQ641</t>
  </si>
  <si>
    <t>DMD/2112/31/HEDW9067</t>
  </si>
  <si>
    <t>GSK211231YQB149</t>
  </si>
  <si>
    <t>GSK211229RHE495</t>
  </si>
  <si>
    <t xml:space="preserve">DMD/2112/31/XANQ9257 </t>
  </si>
  <si>
    <t>GSK211229VZS019</t>
  </si>
  <si>
    <t>GSK211230SHB598</t>
  </si>
  <si>
    <t>GSK211230PEG073</t>
  </si>
  <si>
    <t>GSK211230ZVS684</t>
  </si>
  <si>
    <t>GSK211230TXF582</t>
  </si>
  <si>
    <t>GSK211230WDY431</t>
  </si>
  <si>
    <t>GSK211229UOE247</t>
  </si>
  <si>
    <t>GSK211229LCH285</t>
  </si>
  <si>
    <t>GSK211230CSA029</t>
  </si>
  <si>
    <t>GSK211229YVW820</t>
  </si>
  <si>
    <t>GSK211230TAW093</t>
  </si>
  <si>
    <t>GSK211230SKV479</t>
  </si>
  <si>
    <t>GSK211229CDH382</t>
  </si>
  <si>
    <t>GSK211229CXH641</t>
  </si>
  <si>
    <t>GSK211229AOC971</t>
  </si>
  <si>
    <t>GSK211230UCL103</t>
  </si>
  <si>
    <t>GSK211230QFE562</t>
  </si>
  <si>
    <t>GSK211229VBF063</t>
  </si>
  <si>
    <t>GSK211230KJD762</t>
  </si>
  <si>
    <t>GSK211230LET798</t>
  </si>
  <si>
    <t>GSK211229UJT615</t>
  </si>
  <si>
    <t>GSK211230ZAS905</t>
  </si>
  <si>
    <t>GSK211229URJ496</t>
  </si>
  <si>
    <t>GSK211230DQN149</t>
  </si>
  <si>
    <t>GSK211229KEO165</t>
  </si>
  <si>
    <t>GSK211229QKX068</t>
  </si>
  <si>
    <t>GSK211230MVI621</t>
  </si>
  <si>
    <t>GSK211229BVI987</t>
  </si>
  <si>
    <t>GSK211230YIQ517</t>
  </si>
  <si>
    <t>GSK211230KIU209</t>
  </si>
  <si>
    <t>GSK211229VTA197</t>
  </si>
  <si>
    <t>GSK211229GSV432</t>
  </si>
  <si>
    <t>GSK211229XEB906</t>
  </si>
  <si>
    <t>GSK211230ABS473</t>
  </si>
  <si>
    <t>GSK211230VWS274</t>
  </si>
  <si>
    <t>GSK211229DIK278</t>
  </si>
  <si>
    <t>GSK211230FSW159</t>
  </si>
  <si>
    <t>GSK211230YGJ659</t>
  </si>
  <si>
    <t>GSK211229OKN871</t>
  </si>
  <si>
    <t>GSK211230WIO453</t>
  </si>
  <si>
    <t>GSK211230RQH132</t>
  </si>
  <si>
    <t>GSK211230VKW234</t>
  </si>
  <si>
    <t xml:space="preserve">DMD/2112/31/UDAZ3108  </t>
  </si>
  <si>
    <t>GSK211231IUE915</t>
  </si>
  <si>
    <t>GSK211231IVB345</t>
  </si>
  <si>
    <t>GSK211231LBT473</t>
  </si>
  <si>
    <t>GSK211231NHG398</t>
  </si>
  <si>
    <t>GSK211231AXO821</t>
  </si>
  <si>
    <t>GSK211231ANG864</t>
  </si>
  <si>
    <t>GSK211231NCT436</t>
  </si>
  <si>
    <t>GSK211231FZQ986</t>
  </si>
  <si>
    <t>GSK211231TIS562</t>
  </si>
  <si>
    <t>GSK211231BRS560</t>
  </si>
  <si>
    <t>GSK211231BCQ910</t>
  </si>
  <si>
    <t>GSK211231FSV764</t>
  </si>
  <si>
    <t>GSK211231FVG394</t>
  </si>
  <si>
    <t>GSK211231ZES836</t>
  </si>
  <si>
    <t>GSK211231CUB582</t>
  </si>
  <si>
    <t>GSK211231ZGV473</t>
  </si>
  <si>
    <t>GSK211231YTB067</t>
  </si>
  <si>
    <t>GSK211231GSB654</t>
  </si>
  <si>
    <t>GSK211231AWK305</t>
  </si>
  <si>
    <t>GSK211231MGQ586</t>
  </si>
  <si>
    <t>GSK211231JLH127</t>
  </si>
  <si>
    <t>GSK211231IWP527</t>
  </si>
  <si>
    <t>GSK211231JAE807</t>
  </si>
  <si>
    <t>GSK211231ZWM173</t>
  </si>
  <si>
    <t>GSK211231NIU308</t>
  </si>
  <si>
    <t>GSK211231UJX235</t>
  </si>
  <si>
    <t>GSK211231HJO540</t>
  </si>
  <si>
    <t>GSK211231JRV495</t>
  </si>
  <si>
    <t>GSK211231PKG138</t>
  </si>
  <si>
    <t>GSK211231DTB413</t>
  </si>
  <si>
    <t>GSK211231GIR109</t>
  </si>
  <si>
    <t>GSK211230FNT346</t>
  </si>
  <si>
    <t>GSK211231YHR407</t>
  </si>
  <si>
    <t>GSK211231WGX908</t>
  </si>
  <si>
    <t>GSK211231DYQ963</t>
  </si>
  <si>
    <t>GSK211231LVG956</t>
  </si>
  <si>
    <t>GSK211231VQN621</t>
  </si>
  <si>
    <t>GSK211231FMN043</t>
  </si>
  <si>
    <t>GSK211231YWJ149</t>
  </si>
  <si>
    <t>GSK211231ZLM075</t>
  </si>
  <si>
    <t>GSK211231MSX831</t>
  </si>
  <si>
    <t>GSK211231GXK026</t>
  </si>
  <si>
    <t>GSK211231BSL623</t>
  </si>
  <si>
    <t>GSK211231UDQ815</t>
  </si>
  <si>
    <t>GSK211231QME436</t>
  </si>
  <si>
    <t>GSK211231BKL041</t>
  </si>
  <si>
    <t>GSK211231ZMG690</t>
  </si>
  <si>
    <t>GSK211231YAW436</t>
  </si>
  <si>
    <t>GSK211231YWR368</t>
  </si>
  <si>
    <t>GSK211231RBQ703</t>
  </si>
  <si>
    <t>GSK211231SNQ396</t>
  </si>
  <si>
    <t>GSK211231MLV074</t>
  </si>
  <si>
    <t>GSK211231LJF140</t>
  </si>
  <si>
    <t>GSK211231JSC082</t>
  </si>
  <si>
    <t>GSK211231DUF814</t>
  </si>
  <si>
    <t>GSK211231WHM295</t>
  </si>
  <si>
    <t>GSK211231UCF421</t>
  </si>
  <si>
    <t>GSK211231IQC345</t>
  </si>
  <si>
    <t>GSK211231KSD083</t>
  </si>
  <si>
    <t>GSK211231KPB162</t>
  </si>
  <si>
    <t>GSK211231MJW816</t>
  </si>
  <si>
    <t>GSK211231RDX295</t>
  </si>
  <si>
    <t>GSK211231MYS482</t>
  </si>
  <si>
    <t>GSK211231WBA761</t>
  </si>
  <si>
    <t>GSK211231SHI463</t>
  </si>
  <si>
    <t>GSK211231OSQ937</t>
  </si>
  <si>
    <t>GSK211231SVU108</t>
  </si>
  <si>
    <t>GSK211231KSD572</t>
  </si>
  <si>
    <t xml:space="preserve">DMD/2112/31/WEMO3068 </t>
  </si>
  <si>
    <t>DMD/2112/31/NMBT4130</t>
  </si>
  <si>
    <t>GSK211231JLK658</t>
  </si>
  <si>
    <t>GSK211231QDW937</t>
  </si>
  <si>
    <t>GSK211231MWN602</t>
  </si>
  <si>
    <t>GSK211231MXR542</t>
  </si>
  <si>
    <t>GSK211231LDV395</t>
  </si>
  <si>
    <t xml:space="preserve">DMD/2112/31/MXCF3925  </t>
  </si>
  <si>
    <t>GSK211230UZI013</t>
  </si>
  <si>
    <t>GSK211231SDN682</t>
  </si>
  <si>
    <t>GSK211231XZJ529</t>
  </si>
  <si>
    <t>GSK211230ZFG186</t>
  </si>
  <si>
    <t>GSK211231CWZ180</t>
  </si>
  <si>
    <t>GSK211231AOF518</t>
  </si>
  <si>
    <t>GSK211231TOA397</t>
  </si>
  <si>
    <t>GSK211231IXE605</t>
  </si>
  <si>
    <t>GSK211231YNE461</t>
  </si>
  <si>
    <t>GSK211231UIK948</t>
  </si>
  <si>
    <t>GSK211231AKB780</t>
  </si>
  <si>
    <t>GSK211231ZUY836</t>
  </si>
  <si>
    <t>GSK211231PXV302</t>
  </si>
  <si>
    <t>GSK211231FHW382</t>
  </si>
  <si>
    <t>GSK211231QSJ630</t>
  </si>
  <si>
    <t>GSK211231VHF328</t>
  </si>
  <si>
    <t>GSK211231JCY295</t>
  </si>
  <si>
    <t>GSK211231JSR918</t>
  </si>
  <si>
    <t>GSK211231KIM478</t>
  </si>
  <si>
    <t>GSK211231CGM962</t>
  </si>
  <si>
    <t>01/05/2022 RESTU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</si>
  <si>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Delapan Puluh Delapan Juta Tiga Ratus Delapan Puluh Dua Ribu Dua Ratus Dua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</si>
</sst>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  <numFmt numFmtId="170" formatCode="d\-mmm\-yy"/>
  </numFmts>
  <fonts count="2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0" xfId="0" applyFont="1" applyBorder="1"/>
    <xf numFmtId="0" fontId="9" fillId="0" borderId="0" xfId="0" applyFont="1" applyBorder="1"/>
    <xf numFmtId="0" fontId="14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4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5" fillId="0" borderId="0" xfId="0" applyNumberFormat="1" applyFont="1"/>
    <xf numFmtId="0" fontId="15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6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0" fillId="0" borderId="0" xfId="0" applyFont="1"/>
    <xf numFmtId="167" fontId="20" fillId="0" borderId="0" xfId="3" applyNumberFormat="1" applyFont="1" applyAlignment="1">
      <alignment horizontal="center"/>
    </xf>
    <xf numFmtId="168" fontId="20" fillId="0" borderId="0" xfId="0" quotePrefix="1" applyNumberFormat="1" applyFont="1"/>
    <xf numFmtId="167" fontId="20" fillId="0" borderId="0" xfId="3" applyNumberFormat="1" applyFont="1"/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66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166" fontId="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/>
    </xf>
    <xf numFmtId="0" fontId="23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166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6" fontId="23" fillId="0" borderId="1" xfId="0" applyNumberFormat="1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2" fontId="23" fillId="0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67" fontId="9" fillId="0" borderId="1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67" fontId="20" fillId="0" borderId="0" xfId="3" applyNumberFormat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</cellXfs>
  <cellStyles count="5">
    <cellStyle name="Comma" xfId="1" builtinId="3"/>
    <cellStyle name="Comma [0]" xfId="2" builtinId="6"/>
    <cellStyle name="Comma 2" xfId="3"/>
    <cellStyle name="Hyperlink" xfId="4" builtinId="8"/>
    <cellStyle name="Normal" xfId="0" builtinId="0"/>
  </cellStyles>
  <dxfs count="160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0" formatCode="d\-mmm\-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0" formatCode="d\-mmm\-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333375</xdr:colOff>
      <xdr:row>133</xdr:row>
      <xdr:rowOff>182279</xdr:rowOff>
    </xdr:from>
    <xdr:to>
      <xdr:col>10</xdr:col>
      <xdr:colOff>314325</xdr:colOff>
      <xdr:row>140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324434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" totalsRowShown="0" headerRowDxfId="1598" dataDxfId="1596" headerRowBorderDxfId="1597">
  <tableColumns count="12">
    <tableColumn id="1" name="NOMOR" dataDxfId="1595" dataCellStyle="Normal"/>
    <tableColumn id="3" name="TUJUAN" dataDxfId="1594" dataCellStyle="Normal"/>
    <tableColumn id="16" name="Pick Up" dataDxfId="1593"/>
    <tableColumn id="14" name="KAPAL" dataDxfId="1592"/>
    <tableColumn id="15" name="ETD Kapal" dataDxfId="1591"/>
    <tableColumn id="10" name="KETERANGAN" dataDxfId="1590" dataCellStyle="Normal"/>
    <tableColumn id="5" name="P" dataDxfId="1589" dataCellStyle="Normal"/>
    <tableColumn id="6" name="L" dataDxfId="1588" dataCellStyle="Normal"/>
    <tableColumn id="7" name="T" dataDxfId="1587" dataCellStyle="Normal"/>
    <tableColumn id="4" name="ACT KG" dataDxfId="1586" dataCellStyle="Normal"/>
    <tableColumn id="8" name="KG VOLUME" dataDxfId="1585" dataCellStyle="Normal">
      <calculatedColumnFormula>Table224578910112[P]*Table224578910112[L]*Table224578910112[T]/4000</calculatedColumnFormula>
    </tableColumn>
    <tableColumn id="19" name="PEMBULATAN" dataDxfId="1584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117" totalsRowShown="0" headerRowDxfId="1442" dataDxfId="1440" headerRowBorderDxfId="1441">
  <tableColumns count="12">
    <tableColumn id="1" name="NOMOR" dataDxfId="1439" dataCellStyle="Normal"/>
    <tableColumn id="3" name="TUJUAN" dataDxfId="1438" dataCellStyle="Normal"/>
    <tableColumn id="16" name="Pick Up" dataDxfId="1437"/>
    <tableColumn id="14" name="KAPAL" dataDxfId="1436"/>
    <tableColumn id="15" name="ETD Kapal" dataDxfId="1435"/>
    <tableColumn id="10" name="KETERANGAN" dataDxfId="1434" dataCellStyle="Normal"/>
    <tableColumn id="5" name="P" dataDxfId="1433" dataCellStyle="Normal"/>
    <tableColumn id="6" name="L" dataDxfId="1432" dataCellStyle="Normal"/>
    <tableColumn id="7" name="T" dataDxfId="1431" dataCellStyle="Normal"/>
    <tableColumn id="4" name="ACT KG" dataDxfId="1430" dataCellStyle="Normal"/>
    <tableColumn id="8" name="KG VOLUME" dataDxfId="1429" dataCellStyle="Normal"/>
    <tableColumn id="19" name="PEMBULATAN" dataDxfId="1428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28" totalsRowShown="0" headerRowDxfId="1426" dataDxfId="1424" headerRowBorderDxfId="1425">
  <tableColumns count="12">
    <tableColumn id="1" name="NOMOR" dataDxfId="1423" dataCellStyle="Normal"/>
    <tableColumn id="3" name="TUJUAN" dataDxfId="1422" dataCellStyle="Normal"/>
    <tableColumn id="16" name="Pick Up" dataDxfId="1421"/>
    <tableColumn id="14" name="KAPAL" dataDxfId="1420"/>
    <tableColumn id="15" name="ETD Kapal" dataDxfId="1419"/>
    <tableColumn id="10" name="KETERANGAN" dataDxfId="1418" dataCellStyle="Normal"/>
    <tableColumn id="5" name="P" dataDxfId="1417" dataCellStyle="Normal"/>
    <tableColumn id="6" name="L" dataDxfId="1416" dataCellStyle="Normal"/>
    <tableColumn id="7" name="T" dataDxfId="1415" dataCellStyle="Normal"/>
    <tableColumn id="4" name="ACT KG" dataDxfId="1414" dataCellStyle="Normal"/>
    <tableColumn id="8" name="KG VOLUME" dataDxfId="1413" dataCellStyle="Normal"/>
    <tableColumn id="19" name="PEMBULATAN" dataDxfId="1412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26" totalsRowShown="0" headerRowDxfId="1408" dataDxfId="1406" headerRowBorderDxfId="1407">
  <tableColumns count="12">
    <tableColumn id="1" name="NOMOR" dataDxfId="1405" dataCellStyle="Normal"/>
    <tableColumn id="3" name="TUJUAN" dataDxfId="1404" dataCellStyle="Normal"/>
    <tableColumn id="16" name="Pick Up" dataDxfId="1403"/>
    <tableColumn id="14" name="KAPAL" dataDxfId="1402"/>
    <tableColumn id="15" name="ETD Kapal" dataDxfId="1401"/>
    <tableColumn id="10" name="KETERANGAN" dataDxfId="1400" dataCellStyle="Normal"/>
    <tableColumn id="5" name="P" dataDxfId="1399" dataCellStyle="Normal"/>
    <tableColumn id="6" name="L" dataDxfId="1398" dataCellStyle="Normal"/>
    <tableColumn id="7" name="T" dataDxfId="1397" dataCellStyle="Normal"/>
    <tableColumn id="4" name="ACT KG" dataDxfId="1396" dataCellStyle="Normal"/>
    <tableColumn id="8" name="KG VOLUME" dataDxfId="1395" dataCellStyle="Normal"/>
    <tableColumn id="19" name="PEMBULATAN" dataDxfId="1394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33" totalsRowShown="0" headerRowDxfId="1392" dataDxfId="1390" headerRowBorderDxfId="1391">
  <tableColumns count="12">
    <tableColumn id="1" name="NOMOR" dataDxfId="1389" dataCellStyle="Normal"/>
    <tableColumn id="3" name="TUJUAN" dataDxfId="1388" dataCellStyle="Normal"/>
    <tableColumn id="16" name="Pick Up" dataDxfId="1387"/>
    <tableColumn id="14" name="KAPAL" dataDxfId="1386"/>
    <tableColumn id="15" name="ETD Kapal" dataDxfId="1385"/>
    <tableColumn id="10" name="KETERANGAN" dataDxfId="1384" dataCellStyle="Normal"/>
    <tableColumn id="5" name="P" dataDxfId="1383" dataCellStyle="Normal"/>
    <tableColumn id="6" name="L" dataDxfId="1382" dataCellStyle="Normal"/>
    <tableColumn id="7" name="T" dataDxfId="1381" dataCellStyle="Normal"/>
    <tableColumn id="4" name="ACT KG" dataDxfId="1380" dataCellStyle="Normal"/>
    <tableColumn id="8" name="KG VOLUME" dataDxfId="1379" dataCellStyle="Normal"/>
    <tableColumn id="19" name="PEMBULATAN" dataDxfId="1378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143" totalsRowShown="0" headerRowDxfId="1376" dataDxfId="1374" headerRowBorderDxfId="1375">
  <tableColumns count="12">
    <tableColumn id="1" name="NOMOR" dataDxfId="1373" dataCellStyle="Normal"/>
    <tableColumn id="3" name="TUJUAN" dataDxfId="1372" dataCellStyle="Normal"/>
    <tableColumn id="16" name="Pick Up" dataDxfId="1371"/>
    <tableColumn id="14" name="KAPAL" dataDxfId="1370"/>
    <tableColumn id="15" name="ETD Kapal" dataDxfId="1369"/>
    <tableColumn id="10" name="KETERANGAN" dataDxfId="1368" dataCellStyle="Normal"/>
    <tableColumn id="5" name="P" dataDxfId="1367" dataCellStyle="Normal"/>
    <tableColumn id="6" name="L" dataDxfId="1366" dataCellStyle="Normal"/>
    <tableColumn id="7" name="T" dataDxfId="1365" dataCellStyle="Normal"/>
    <tableColumn id="4" name="ACT KG" dataDxfId="1364" dataCellStyle="Normal"/>
    <tableColumn id="8" name="KG VOLUME" dataDxfId="1363" dataCellStyle="Normal"/>
    <tableColumn id="19" name="PEMBULATAN" dataDxfId="1362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11" totalsRowShown="0" headerRowDxfId="1359" dataDxfId="1357" headerRowBorderDxfId="1358">
  <tableColumns count="12">
    <tableColumn id="1" name="NOMOR" dataDxfId="1356" dataCellStyle="Normal"/>
    <tableColumn id="3" name="TUJUAN" dataDxfId="1355" dataCellStyle="Normal"/>
    <tableColumn id="16" name="Pick Up" dataDxfId="1354"/>
    <tableColumn id="14" name="KAPAL" dataDxfId="1353"/>
    <tableColumn id="15" name="ETD Kapal" dataDxfId="1352"/>
    <tableColumn id="10" name="KETERANGAN" dataDxfId="1351" dataCellStyle="Normal"/>
    <tableColumn id="5" name="P" dataDxfId="1350" dataCellStyle="Normal"/>
    <tableColumn id="6" name="L" dataDxfId="1349" dataCellStyle="Normal"/>
    <tableColumn id="7" name="T" dataDxfId="1348" dataCellStyle="Normal"/>
    <tableColumn id="4" name="ACT KG" dataDxfId="1347" dataCellStyle="Normal"/>
    <tableColumn id="8" name="KG VOLUME" dataDxfId="1346" dataCellStyle="Normal"/>
    <tableColumn id="19" name="PEMBULATAN" dataDxfId="1345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46" totalsRowShown="0" headerRowDxfId="1343" dataDxfId="1341" headerRowBorderDxfId="1342">
  <tableColumns count="12">
    <tableColumn id="1" name="NOMOR" dataDxfId="1340" dataCellStyle="Normal"/>
    <tableColumn id="3" name="TUJUAN" dataDxfId="1339" dataCellStyle="Normal"/>
    <tableColumn id="16" name="Pick Up" dataDxfId="1338"/>
    <tableColumn id="14" name="KAPAL" dataDxfId="1337"/>
    <tableColumn id="15" name="ETD Kapal" dataDxfId="1336"/>
    <tableColumn id="10" name="KETERANGAN" dataDxfId="1335" dataCellStyle="Normal"/>
    <tableColumn id="5" name="P" dataDxfId="1334" dataCellStyle="Normal"/>
    <tableColumn id="6" name="L" dataDxfId="1333" dataCellStyle="Normal"/>
    <tableColumn id="7" name="T" dataDxfId="1332" dataCellStyle="Normal"/>
    <tableColumn id="4" name="ACT KG" dataDxfId="1331" dataCellStyle="Normal"/>
    <tableColumn id="8" name="KG VOLUME" dataDxfId="1330" dataCellStyle="Normal"/>
    <tableColumn id="19" name="PEMBULATAN" dataDxfId="1329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33" totalsRowShown="0" headerRowDxfId="1326" dataDxfId="1324" headerRowBorderDxfId="1325">
  <tableColumns count="12">
    <tableColumn id="1" name="NOMOR" dataDxfId="1323" dataCellStyle="Normal"/>
    <tableColumn id="3" name="TUJUAN" dataDxfId="1322" dataCellStyle="Normal"/>
    <tableColumn id="16" name="Pick Up" dataDxfId="1321"/>
    <tableColumn id="14" name="KAPAL" dataDxfId="1320"/>
    <tableColumn id="15" name="ETD Kapal" dataDxfId="1319"/>
    <tableColumn id="10" name="KETERANGAN" dataDxfId="1318" dataCellStyle="Normal"/>
    <tableColumn id="5" name="P" dataDxfId="1317" dataCellStyle="Normal"/>
    <tableColumn id="6" name="L" dataDxfId="1316" dataCellStyle="Normal"/>
    <tableColumn id="7" name="T" dataDxfId="1315" dataCellStyle="Normal"/>
    <tableColumn id="4" name="ACT KG" dataDxfId="1314" dataCellStyle="Normal"/>
    <tableColumn id="8" name="KG VOLUME" dataDxfId="1313" dataCellStyle="Normal"/>
    <tableColumn id="19" name="PEMBULATAN" dataDxfId="131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100" totalsRowShown="0" headerRowDxfId="1310" dataDxfId="1308" headerRowBorderDxfId="1309">
  <tableColumns count="12">
    <tableColumn id="1" name="NOMOR" dataDxfId="1307" dataCellStyle="Normal"/>
    <tableColumn id="3" name="TUJUAN" dataDxfId="1306" dataCellStyle="Normal"/>
    <tableColumn id="16" name="Pick Up" dataDxfId="1305"/>
    <tableColumn id="14" name="KAPAL" dataDxfId="1304"/>
    <tableColumn id="15" name="ETD Kapal" dataDxfId="1303"/>
    <tableColumn id="10" name="KETERANGAN" dataDxfId="1302" dataCellStyle="Normal"/>
    <tableColumn id="5" name="P" dataDxfId="1301" dataCellStyle="Normal"/>
    <tableColumn id="6" name="L" dataDxfId="1300" dataCellStyle="Normal"/>
    <tableColumn id="7" name="T" dataDxfId="1299" dataCellStyle="Normal"/>
    <tableColumn id="4" name="ACT KG" dataDxfId="1298" dataCellStyle="Normal"/>
    <tableColumn id="8" name="KG VOLUME" dataDxfId="1297" dataCellStyle="Normal"/>
    <tableColumn id="19" name="PEMBULATAN" dataDxfId="1296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7891011234567891011121314151617181920" displayName="Table22457891011234567891011121314151617181920" ref="C2:N69" totalsRowShown="0" headerRowDxfId="1294" dataDxfId="1292" headerRowBorderDxfId="1293">
  <tableColumns count="12">
    <tableColumn id="1" name="NOMOR" dataDxfId="1291" dataCellStyle="Normal"/>
    <tableColumn id="3" name="TUJUAN" dataDxfId="1290" dataCellStyle="Normal"/>
    <tableColumn id="16" name="Pick Up" dataDxfId="1289"/>
    <tableColumn id="14" name="KAPAL" dataDxfId="1288"/>
    <tableColumn id="15" name="ETD Kapal" dataDxfId="1287"/>
    <tableColumn id="10" name="KETERANGAN" dataDxfId="1286" dataCellStyle="Normal"/>
    <tableColumn id="5" name="P" dataDxfId="1285" dataCellStyle="Normal"/>
    <tableColumn id="6" name="L" dataDxfId="1284" dataCellStyle="Normal"/>
    <tableColumn id="7" name="T" dataDxfId="1283" dataCellStyle="Normal"/>
    <tableColumn id="4" name="ACT KG" dataDxfId="1282" dataCellStyle="Normal"/>
    <tableColumn id="8" name="KG VOLUME" dataDxfId="1281" dataCellStyle="Normal"/>
    <tableColumn id="19" name="PEMBULATAN" dataDxfId="128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50" totalsRowShown="0" headerRowDxfId="1580" dataDxfId="1578" headerRowBorderDxfId="1579">
  <tableColumns count="12">
    <tableColumn id="1" name="NOMOR" dataDxfId="1577" dataCellStyle="Normal"/>
    <tableColumn id="3" name="TUJUAN" dataDxfId="1576" dataCellStyle="Normal"/>
    <tableColumn id="16" name="Pick Up" dataDxfId="1575"/>
    <tableColumn id="14" name="KAPAL" dataDxfId="1574"/>
    <tableColumn id="15" name="ETD Kapal" dataDxfId="1573"/>
    <tableColumn id="10" name="KETERANGAN" dataDxfId="1572" dataCellStyle="Normal"/>
    <tableColumn id="5" name="P" dataDxfId="1571" dataCellStyle="Normal"/>
    <tableColumn id="6" name="L" dataDxfId="1570" dataCellStyle="Normal"/>
    <tableColumn id="7" name="T" dataDxfId="1569" dataCellStyle="Normal"/>
    <tableColumn id="4" name="ACT KG" dataDxfId="1568" dataCellStyle="Normal"/>
    <tableColumn id="8" name="KG VOLUME" dataDxfId="1567" dataCellStyle="Normal"/>
    <tableColumn id="19" name="PEMBULATAN" dataDxfId="1566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789101123456789101112131415161718192021" displayName="Table2245789101123456789101112131415161718192021" ref="C2:N31" totalsRowShown="0" headerRowDxfId="1278" dataDxfId="1276" headerRowBorderDxfId="1277">
  <tableColumns count="12">
    <tableColumn id="1" name="NOMOR" dataDxfId="1275" dataCellStyle="Normal"/>
    <tableColumn id="3" name="TUJUAN" dataDxfId="1274" dataCellStyle="Normal"/>
    <tableColumn id="16" name="Pick Up" dataDxfId="1273"/>
    <tableColumn id="14" name="KAPAL" dataDxfId="1272"/>
    <tableColumn id="15" name="ETD Kapal" dataDxfId="1271"/>
    <tableColumn id="10" name="KETERANGAN" dataDxfId="1270" dataCellStyle="Normal"/>
    <tableColumn id="5" name="P" dataDxfId="1269" dataCellStyle="Normal"/>
    <tableColumn id="6" name="L" dataDxfId="1268" dataCellStyle="Normal"/>
    <tableColumn id="7" name="T" dataDxfId="1267" dataCellStyle="Normal"/>
    <tableColumn id="4" name="ACT KG" dataDxfId="1266" dataCellStyle="Normal"/>
    <tableColumn id="8" name="KG VOLUME" dataDxfId="1265" dataCellStyle="Normal"/>
    <tableColumn id="19" name="PEMBULATAN" dataDxfId="1264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22" displayName="Table224578910112345678910111213141516171819202122" ref="C2:N3" totalsRowShown="0" headerRowDxfId="1262" dataDxfId="1260" headerRowBorderDxfId="1261">
  <tableColumns count="12">
    <tableColumn id="1" name="NOMOR" dataDxfId="1259" dataCellStyle="Normal"/>
    <tableColumn id="3" name="TUJUAN" dataDxfId="1258" dataCellStyle="Normal"/>
    <tableColumn id="16" name="Pick Up" dataDxfId="1257"/>
    <tableColumn id="14" name="KAPAL" dataDxfId="1256"/>
    <tableColumn id="15" name="ETD Kapal" dataDxfId="1255"/>
    <tableColumn id="10" name="KETERANGAN" dataDxfId="1254" dataCellStyle="Normal"/>
    <tableColumn id="5" name="P" dataDxfId="1253" dataCellStyle="Normal"/>
    <tableColumn id="6" name="L" dataDxfId="1252" dataCellStyle="Normal"/>
    <tableColumn id="7" name="T" dataDxfId="1251" dataCellStyle="Normal"/>
    <tableColumn id="4" name="ACT KG" dataDxfId="1250" dataCellStyle="Normal"/>
    <tableColumn id="8" name="KG VOLUME" dataDxfId="1249" dataCellStyle="Normal"/>
    <tableColumn id="19" name="PEMBULATAN" dataDxfId="1248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2223" displayName="Table22457891011234567891011121314151617181920212223" ref="C2:N124" totalsRowShown="0" headerRowDxfId="1246" dataDxfId="1244" headerRowBorderDxfId="1245">
  <tableColumns count="12">
    <tableColumn id="1" name="NOMOR" dataDxfId="1243" dataCellStyle="Normal"/>
    <tableColumn id="3" name="TUJUAN" dataDxfId="1242" dataCellStyle="Normal"/>
    <tableColumn id="16" name="Pick Up" dataDxfId="1241"/>
    <tableColumn id="14" name="KAPAL" dataDxfId="1240"/>
    <tableColumn id="15" name="ETD Kapal" dataDxfId="1239"/>
    <tableColumn id="10" name="KETERANGAN" dataDxfId="1238" dataCellStyle="Normal"/>
    <tableColumn id="5" name="P" dataDxfId="1237" dataCellStyle="Normal"/>
    <tableColumn id="6" name="L" dataDxfId="1236" dataCellStyle="Normal"/>
    <tableColumn id="7" name="T" dataDxfId="1235" dataCellStyle="Normal"/>
    <tableColumn id="4" name="ACT KG" dataDxfId="1234" dataCellStyle="Normal"/>
    <tableColumn id="8" name="KG VOLUME" dataDxfId="1233" dataCellStyle="Normal"/>
    <tableColumn id="19" name="PEMBULATAN" dataDxfId="1232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222324" displayName="Table2245789101123456789101112131415161718192021222324" ref="C2:N21" totalsRowShown="0" headerRowDxfId="1230" dataDxfId="1228" headerRowBorderDxfId="1229">
  <tableColumns count="12">
    <tableColumn id="1" name="NOMOR" dataDxfId="1227" dataCellStyle="Normal"/>
    <tableColumn id="3" name="TUJUAN" dataDxfId="1226" dataCellStyle="Normal"/>
    <tableColumn id="16" name="Pick Up" dataDxfId="1225"/>
    <tableColumn id="14" name="KAPAL" dataDxfId="1224"/>
    <tableColumn id="15" name="ETD Kapal" dataDxfId="1223"/>
    <tableColumn id="10" name="KETERANGAN" dataDxfId="1222" dataCellStyle="Normal"/>
    <tableColumn id="5" name="P" dataDxfId="1221" dataCellStyle="Normal"/>
    <tableColumn id="6" name="L" dataDxfId="1220" dataCellStyle="Normal"/>
    <tableColumn id="7" name="T" dataDxfId="1219" dataCellStyle="Normal"/>
    <tableColumn id="4" name="ACT KG" dataDxfId="1218" dataCellStyle="Normal"/>
    <tableColumn id="8" name="KG VOLUME" dataDxfId="1217" dataCellStyle="Normal"/>
    <tableColumn id="19" name="PEMBULATAN" dataDxfId="1216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22232425" displayName="Table224578910112345678910111213141516171819202122232425" ref="C2:N57" totalsRowShown="0" headerRowDxfId="1214" dataDxfId="1212" headerRowBorderDxfId="1213">
  <tableColumns count="12">
    <tableColumn id="1" name="NOMOR" dataDxfId="1211" dataCellStyle="Normal"/>
    <tableColumn id="3" name="TUJUAN" dataDxfId="1210" dataCellStyle="Normal"/>
    <tableColumn id="16" name="Pick Up" dataDxfId="1209"/>
    <tableColumn id="14" name="KAPAL" dataDxfId="1208"/>
    <tableColumn id="15" name="ETD Kapal" dataDxfId="1207"/>
    <tableColumn id="10" name="KETERANGAN" dataDxfId="1206" dataCellStyle="Normal"/>
    <tableColumn id="5" name="P" dataDxfId="1205" dataCellStyle="Normal"/>
    <tableColumn id="6" name="L" dataDxfId="1204" dataCellStyle="Normal"/>
    <tableColumn id="7" name="T" dataDxfId="1203" dataCellStyle="Normal"/>
    <tableColumn id="4" name="ACT KG" dataDxfId="1202" dataCellStyle="Normal"/>
    <tableColumn id="8" name="KG VOLUME" dataDxfId="1201" dataCellStyle="Normal"/>
    <tableColumn id="19" name="PEMBULATAN" dataDxfId="1200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7891011234567891011121314151617181920212223242526" displayName="Table22457891011234567891011121314151617181920212223242526" ref="C2:N91" totalsRowShown="0" headerRowDxfId="1198" dataDxfId="1196" headerRowBorderDxfId="1197">
  <tableColumns count="12">
    <tableColumn id="1" name="NOMOR" dataDxfId="1195" dataCellStyle="Normal"/>
    <tableColumn id="3" name="TUJUAN" dataDxfId="1194" dataCellStyle="Normal"/>
    <tableColumn id="16" name="Pick Up" dataDxfId="1193"/>
    <tableColumn id="14" name="KAPAL" dataDxfId="1192"/>
    <tableColumn id="15" name="ETD Kapal" dataDxfId="1191"/>
    <tableColumn id="10" name="KETERANGAN" dataDxfId="1190" dataCellStyle="Normal"/>
    <tableColumn id="5" name="P" dataDxfId="1189" dataCellStyle="Normal"/>
    <tableColumn id="6" name="L" dataDxfId="1188" dataCellStyle="Normal"/>
    <tableColumn id="7" name="T" dataDxfId="1187" dataCellStyle="Normal"/>
    <tableColumn id="4" name="ACT KG" dataDxfId="1186" dataCellStyle="Normal"/>
    <tableColumn id="8" name="KG VOLUME" dataDxfId="1185" dataCellStyle="Normal"/>
    <tableColumn id="19" name="PEMBULATAN" dataDxfId="1184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789101123456789101112131415161718192021222324252627" displayName="Table2245789101123456789101112131415161718192021222324252627" ref="C2:N26" totalsRowShown="0" headerRowDxfId="1182" dataDxfId="1180" headerRowBorderDxfId="1181">
  <tableColumns count="12">
    <tableColumn id="1" name="NOMOR" dataDxfId="1179" dataCellStyle="Normal"/>
    <tableColumn id="3" name="TUJUAN" dataDxfId="1178" dataCellStyle="Normal"/>
    <tableColumn id="16" name="Pick Up" dataDxfId="1177"/>
    <tableColumn id="14" name="KAPAL" dataDxfId="1176"/>
    <tableColumn id="15" name="ETD Kapal" dataDxfId="1175"/>
    <tableColumn id="10" name="KETERANGAN" dataDxfId="1174" dataCellStyle="Normal"/>
    <tableColumn id="5" name="P" dataDxfId="1173" dataCellStyle="Normal"/>
    <tableColumn id="6" name="L" dataDxfId="1172" dataCellStyle="Normal"/>
    <tableColumn id="7" name="T" dataDxfId="1171" dataCellStyle="Normal"/>
    <tableColumn id="4" name="ACT KG" dataDxfId="1170" dataCellStyle="Normal"/>
    <tableColumn id="8" name="KG VOLUME" dataDxfId="1169" dataCellStyle="Normal"/>
    <tableColumn id="19" name="PEMBULATAN" dataDxfId="1168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147" totalsRowShown="0" headerRowDxfId="1166" dataDxfId="1164" headerRowBorderDxfId="1165">
  <tableColumns count="12">
    <tableColumn id="1" name="NOMOR" dataDxfId="1163" dataCellStyle="Normal"/>
    <tableColumn id="3" name="TUJUAN" dataDxfId="1162" dataCellStyle="Normal"/>
    <tableColumn id="16" name="Pick Up" dataDxfId="1161"/>
    <tableColumn id="14" name="KAPAL" dataDxfId="1160"/>
    <tableColumn id="15" name="ETD Kapal" dataDxfId="1159"/>
    <tableColumn id="10" name="KETERANGAN" dataDxfId="1158" dataCellStyle="Normal"/>
    <tableColumn id="5" name="P" dataDxfId="1157" dataCellStyle="Normal"/>
    <tableColumn id="6" name="L" dataDxfId="1156" dataCellStyle="Normal"/>
    <tableColumn id="7" name="T" dataDxfId="1155" dataCellStyle="Normal"/>
    <tableColumn id="4" name="ACT KG" dataDxfId="1154" dataCellStyle="Normal"/>
    <tableColumn id="8" name="KG VOLUME" dataDxfId="1153" dataCellStyle="Normal"/>
    <tableColumn id="19" name="PEMBULATAN" dataDxfId="1152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27" totalsRowShown="0" headerRowDxfId="1150" dataDxfId="1148" headerRowBorderDxfId="1149">
  <tableColumns count="12">
    <tableColumn id="1" name="NOMOR" dataDxfId="1147" dataCellStyle="Normal"/>
    <tableColumn id="3" name="TUJUAN" dataDxfId="1146" dataCellStyle="Normal"/>
    <tableColumn id="16" name="Pick Up" dataDxfId="1145"/>
    <tableColumn id="14" name="KAPAL" dataDxfId="1144"/>
    <tableColumn id="15" name="ETD Kapal" dataDxfId="1143"/>
    <tableColumn id="10" name="KETERANGAN" dataDxfId="1142" dataCellStyle="Normal"/>
    <tableColumn id="5" name="P" dataDxfId="1141" dataCellStyle="Normal"/>
    <tableColumn id="6" name="L" dataDxfId="1140" dataCellStyle="Normal"/>
    <tableColumn id="7" name="T" dataDxfId="1139" dataCellStyle="Normal"/>
    <tableColumn id="4" name="ACT KG" dataDxfId="1138" dataCellStyle="Normal"/>
    <tableColumn id="8" name="KG VOLUME" dataDxfId="1137" dataCellStyle="Normal"/>
    <tableColumn id="19" name="PEMBULATAN" dataDxfId="1136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11" totalsRowShown="0" headerRowDxfId="1134" dataDxfId="1132" headerRowBorderDxfId="1133">
  <tableColumns count="12">
    <tableColumn id="1" name="NOMOR" dataDxfId="1131" dataCellStyle="Normal"/>
    <tableColumn id="3" name="TUJUAN" dataDxfId="1130" dataCellStyle="Normal"/>
    <tableColumn id="16" name="Pick Up" dataDxfId="1129"/>
    <tableColumn id="14" name="KAPAL" dataDxfId="1128"/>
    <tableColumn id="15" name="ETD Kapal" dataDxfId="1127"/>
    <tableColumn id="10" name="KETERANGAN" dataDxfId="1126" dataCellStyle="Normal"/>
    <tableColumn id="5" name="P" dataDxfId="1125" dataCellStyle="Normal"/>
    <tableColumn id="6" name="L" dataDxfId="1124" dataCellStyle="Normal"/>
    <tableColumn id="7" name="T" dataDxfId="1123" dataCellStyle="Normal"/>
    <tableColumn id="4" name="ACT KG" dataDxfId="1122" dataCellStyle="Normal"/>
    <tableColumn id="8" name="KG VOLUME" dataDxfId="1121" dataCellStyle="Normal"/>
    <tableColumn id="19" name="PEMBULATAN" dataDxfId="112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32" totalsRowShown="0" headerRowDxfId="1562" dataDxfId="1560" headerRowBorderDxfId="1561">
  <tableColumns count="12">
    <tableColumn id="1" name="NOMOR" dataDxfId="1559" dataCellStyle="Normal"/>
    <tableColumn id="3" name="TUJUAN" dataDxfId="1558" dataCellStyle="Normal"/>
    <tableColumn id="16" name="Pick Up" dataDxfId="1557"/>
    <tableColumn id="14" name="KAPAL" dataDxfId="1556"/>
    <tableColumn id="15" name="ETD Kapal" dataDxfId="1555"/>
    <tableColumn id="10" name="KETERANGAN" dataDxfId="1554" dataCellStyle="Normal"/>
    <tableColumn id="5" name="P" dataDxfId="1553" dataCellStyle="Normal"/>
    <tableColumn id="6" name="L" dataDxfId="1552" dataCellStyle="Normal"/>
    <tableColumn id="7" name="T" dataDxfId="1551" dataCellStyle="Normal"/>
    <tableColumn id="4" name="ACT KG" dataDxfId="1550" dataCellStyle="Normal"/>
    <tableColumn id="8" name="KG VOLUME" dataDxfId="1549" dataCellStyle="Normal"/>
    <tableColumn id="19" name="PEMBULATAN" dataDxfId="1548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149" totalsRowShown="0" headerRowDxfId="1118" dataDxfId="1116" headerRowBorderDxfId="1117">
  <tableColumns count="12">
    <tableColumn id="1" name="NOMOR" dataDxfId="1115" dataCellStyle="Normal"/>
    <tableColumn id="3" name="TUJUAN" dataDxfId="1114" dataCellStyle="Normal"/>
    <tableColumn id="16" name="Pick Up" dataDxfId="1113"/>
    <tableColumn id="14" name="KAPAL" dataDxfId="1112"/>
    <tableColumn id="15" name="ETD Kapal" dataDxfId="1111"/>
    <tableColumn id="10" name="KETERANGAN" dataDxfId="1110" dataCellStyle="Normal"/>
    <tableColumn id="5" name="P" dataDxfId="1109" dataCellStyle="Normal"/>
    <tableColumn id="6" name="L" dataDxfId="1108" dataCellStyle="Normal"/>
    <tableColumn id="7" name="T" dataDxfId="1107" dataCellStyle="Normal"/>
    <tableColumn id="4" name="ACT KG" dataDxfId="1106" dataCellStyle="Normal"/>
    <tableColumn id="8" name="KG VOLUME" dataDxfId="1105" dataCellStyle="Normal"/>
    <tableColumn id="19" name="PEMBULATAN" dataDxfId="1104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26" totalsRowShown="0" headerRowDxfId="1102" dataDxfId="1100" headerRowBorderDxfId="1101">
  <tableColumns count="12">
    <tableColumn id="1" name="NOMOR" dataDxfId="1099" dataCellStyle="Normal"/>
    <tableColumn id="3" name="TUJUAN" dataDxfId="1098" dataCellStyle="Normal"/>
    <tableColumn id="16" name="Pick Up" dataDxfId="1097"/>
    <tableColumn id="14" name="KAPAL" dataDxfId="1096"/>
    <tableColumn id="15" name="ETD Kapal" dataDxfId="1095"/>
    <tableColumn id="10" name="KETERANGAN" dataDxfId="1094" dataCellStyle="Normal"/>
    <tableColumn id="5" name="P" dataDxfId="1093" dataCellStyle="Normal"/>
    <tableColumn id="6" name="L" dataDxfId="1092" dataCellStyle="Normal"/>
    <tableColumn id="7" name="T" dataDxfId="1091" dataCellStyle="Normal"/>
    <tableColumn id="4" name="ACT KG" dataDxfId="1090" dataCellStyle="Normal"/>
    <tableColumn id="8" name="KG VOLUME" dataDxfId="1089" dataCellStyle="Normal"/>
    <tableColumn id="19" name="PEMBULATAN" dataDxfId="1088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31" totalsRowShown="0" headerRowDxfId="1086" dataDxfId="1084" headerRowBorderDxfId="1085">
  <tableColumns count="12">
    <tableColumn id="1" name="NOMOR" dataDxfId="1083" dataCellStyle="Normal"/>
    <tableColumn id="3" name="TUJUAN" dataDxfId="1082" dataCellStyle="Normal"/>
    <tableColumn id="16" name="Pick Up" dataDxfId="1081"/>
    <tableColumn id="14" name="KAPAL" dataDxfId="1080"/>
    <tableColumn id="15" name="ETD Kapal" dataDxfId="1079"/>
    <tableColumn id="10" name="KETERANGAN" dataDxfId="1078" dataCellStyle="Normal"/>
    <tableColumn id="5" name="P" dataDxfId="1077" dataCellStyle="Normal"/>
    <tableColumn id="6" name="L" dataDxfId="1076" dataCellStyle="Normal"/>
    <tableColumn id="7" name="T" dataDxfId="1075" dataCellStyle="Normal"/>
    <tableColumn id="4" name="ACT KG" dataDxfId="1074" dataCellStyle="Normal"/>
    <tableColumn id="8" name="KG VOLUME" dataDxfId="1073" dataCellStyle="Normal"/>
    <tableColumn id="19" name="PEMBULATAN" dataDxfId="1072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83" totalsRowShown="0" headerRowDxfId="1070" dataDxfId="1068" headerRowBorderDxfId="1069">
  <tableColumns count="12">
    <tableColumn id="1" name="NOMOR" dataDxfId="1067" dataCellStyle="Normal"/>
    <tableColumn id="3" name="TUJUAN" dataDxfId="1066" dataCellStyle="Normal"/>
    <tableColumn id="16" name="Pick Up" dataDxfId="1065"/>
    <tableColumn id="14" name="KAPAL" dataDxfId="1064"/>
    <tableColumn id="15" name="ETD Kapal" dataDxfId="1063"/>
    <tableColumn id="10" name="KETERANGAN" dataDxfId="1062" dataCellStyle="Normal"/>
    <tableColumn id="5" name="P" dataDxfId="1061" dataCellStyle="Normal"/>
    <tableColumn id="6" name="L" dataDxfId="1060" dataCellStyle="Normal"/>
    <tableColumn id="7" name="T" dataDxfId="1059" dataCellStyle="Normal"/>
    <tableColumn id="4" name="ACT KG" dataDxfId="1058" dataCellStyle="Normal"/>
    <tableColumn id="8" name="KG VOLUME" dataDxfId="1057" dataCellStyle="Normal"/>
    <tableColumn id="19" name="PEMBULATAN" dataDxfId="1056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4" name="Table22457891011234567891011121314151617181920212223242526272829303132333435" displayName="Table22457891011234567891011121314151617181920212223242526272829303132333435" ref="C2:N29" totalsRowShown="0" headerRowDxfId="1054" dataDxfId="1052" headerRowBorderDxfId="1053">
  <tableColumns count="12">
    <tableColumn id="1" name="NOMOR" dataDxfId="1051" dataCellStyle="Normal"/>
    <tableColumn id="3" name="TUJUAN" dataDxfId="1050" dataCellStyle="Normal"/>
    <tableColumn id="16" name="Pick Up" dataDxfId="1049"/>
    <tableColumn id="14" name="KAPAL" dataDxfId="1048"/>
    <tableColumn id="15" name="ETD Kapal" dataDxfId="1047"/>
    <tableColumn id="10" name="KETERANGAN" dataDxfId="1046" dataCellStyle="Normal"/>
    <tableColumn id="5" name="P" dataDxfId="1045" dataCellStyle="Normal"/>
    <tableColumn id="6" name="L" dataDxfId="1044" dataCellStyle="Normal"/>
    <tableColumn id="7" name="T" dataDxfId="1043" dataCellStyle="Normal"/>
    <tableColumn id="4" name="ACT KG" dataDxfId="1042" dataCellStyle="Normal"/>
    <tableColumn id="8" name="KG VOLUME" dataDxfId="1041" dataCellStyle="Normal"/>
    <tableColumn id="19" name="PEMBULATAN" dataDxfId="1040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5" name="Table22457891011234567891011121314151617181920212223242526272829303132333436" displayName="Table22457891011234567891011121314151617181920212223242526272829303132333436" ref="C2:N37" totalsRowShown="0" headerRowDxfId="1038" dataDxfId="1036" headerRowBorderDxfId="1037">
  <tableColumns count="12">
    <tableColumn id="1" name="NOMOR" dataDxfId="1035" dataCellStyle="Normal"/>
    <tableColumn id="3" name="TUJUAN" dataDxfId="1034" dataCellStyle="Normal"/>
    <tableColumn id="16" name="Pick Up" dataDxfId="1033"/>
    <tableColumn id="14" name="KAPAL" dataDxfId="1032"/>
    <tableColumn id="15" name="ETD Kapal" dataDxfId="1031"/>
    <tableColumn id="10" name="KETERANGAN" dataDxfId="1030" dataCellStyle="Normal"/>
    <tableColumn id="5" name="P" dataDxfId="1029" dataCellStyle="Normal"/>
    <tableColumn id="6" name="L" dataDxfId="1028" dataCellStyle="Normal"/>
    <tableColumn id="7" name="T" dataDxfId="1027" dataCellStyle="Normal"/>
    <tableColumn id="4" name="ACT KG" dataDxfId="1026" dataCellStyle="Normal"/>
    <tableColumn id="8" name="KG VOLUME" dataDxfId="1025" dataCellStyle="Normal"/>
    <tableColumn id="19" name="PEMBULATAN" dataDxfId="1024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789101123456789101112131415161718192021222324252627282930313233343537" displayName="Table2245789101123456789101112131415161718192021222324252627282930313233343537" ref="C2:N112" totalsRowShown="0" headerRowDxfId="1022" dataDxfId="1020" headerRowBorderDxfId="1021">
  <tableColumns count="12">
    <tableColumn id="1" name="NOMOR" dataDxfId="1019" dataCellStyle="Normal"/>
    <tableColumn id="3" name="TUJUAN" dataDxfId="1018" dataCellStyle="Normal"/>
    <tableColumn id="16" name="Pick Up" dataDxfId="1017"/>
    <tableColumn id="14" name="KAPAL" dataDxfId="1016"/>
    <tableColumn id="15" name="ETD Kapal" dataDxfId="1015"/>
    <tableColumn id="10" name="KETERANGAN" dataDxfId="1014" dataCellStyle="Normal"/>
    <tableColumn id="5" name="P" dataDxfId="1013" dataCellStyle="Normal"/>
    <tableColumn id="6" name="L" dataDxfId="1012" dataCellStyle="Normal"/>
    <tableColumn id="7" name="T" dataDxfId="1011" dataCellStyle="Normal"/>
    <tableColumn id="4" name="ACT KG" dataDxfId="1010" dataCellStyle="Normal"/>
    <tableColumn id="8" name="KG VOLUME" dataDxfId="1009" dataCellStyle="Normal"/>
    <tableColumn id="19" name="PEMBULATAN" dataDxfId="1008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7" name="Table224578910112345678910111213141516171819202122232425262728293031323334353738" displayName="Table224578910112345678910111213141516171819202122232425262728293031323334353738" ref="C2:N29" totalsRowShown="0" headerRowDxfId="1006" dataDxfId="1004" headerRowBorderDxfId="1005">
  <tableColumns count="12">
    <tableColumn id="1" name="NOMOR" dataDxfId="1003" dataCellStyle="Normal"/>
    <tableColumn id="3" name="TUJUAN" dataDxfId="1002" dataCellStyle="Normal"/>
    <tableColumn id="16" name="Pick Up" dataDxfId="1001"/>
    <tableColumn id="14" name="KAPAL" dataDxfId="1000"/>
    <tableColumn id="15" name="ETD Kapal" dataDxfId="999"/>
    <tableColumn id="10" name="KETERANGAN" dataDxfId="998" dataCellStyle="Normal"/>
    <tableColumn id="5" name="P" dataDxfId="997" dataCellStyle="Normal"/>
    <tableColumn id="6" name="L" dataDxfId="996" dataCellStyle="Normal"/>
    <tableColumn id="7" name="T" dataDxfId="995" dataCellStyle="Normal"/>
    <tableColumn id="4" name="ACT KG" dataDxfId="994" dataCellStyle="Normal"/>
    <tableColumn id="8" name="KG VOLUME" dataDxfId="993" dataCellStyle="Normal"/>
    <tableColumn id="19" name="PEMBULATAN" dataDxfId="992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8" name="Table22457891011234567891011121314151617181920212223242526272829303132333435373839" displayName="Table22457891011234567891011121314151617181920212223242526272829303132333435373839" ref="C2:N31" totalsRowShown="0" headerRowDxfId="990" dataDxfId="988" headerRowBorderDxfId="989">
  <tableColumns count="12">
    <tableColumn id="1" name="NOMOR" dataDxfId="987" dataCellStyle="Normal"/>
    <tableColumn id="3" name="TUJUAN" dataDxfId="986" dataCellStyle="Normal"/>
    <tableColumn id="16" name="Pick Up" dataDxfId="985"/>
    <tableColumn id="14" name="KAPAL" dataDxfId="984"/>
    <tableColumn id="15" name="ETD Kapal" dataDxfId="983"/>
    <tableColumn id="10" name="KETERANGAN" dataDxfId="982" dataCellStyle="Normal"/>
    <tableColumn id="5" name="P" dataDxfId="981" dataCellStyle="Normal"/>
    <tableColumn id="6" name="L" dataDxfId="980" dataCellStyle="Normal"/>
    <tableColumn id="7" name="T" dataDxfId="979" dataCellStyle="Normal"/>
    <tableColumn id="4" name="ACT KG" dataDxfId="978" dataCellStyle="Normal"/>
    <tableColumn id="8" name="KG VOLUME" dataDxfId="977" dataCellStyle="Normal"/>
    <tableColumn id="19" name="PEMBULATAN" dataDxfId="976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9" name="Table2245789101123456789101112131415161718192021222324252627282930313233343537383940" displayName="Table2245789101123456789101112131415161718192021222324252627282930313233343537383940" ref="C2:N60" totalsRowShown="0" headerRowDxfId="974" dataDxfId="972" headerRowBorderDxfId="973">
  <tableColumns count="12">
    <tableColumn id="1" name="NOMOR" dataDxfId="971" dataCellStyle="Normal"/>
    <tableColumn id="3" name="TUJUAN" dataDxfId="970" dataCellStyle="Normal"/>
    <tableColumn id="16" name="Pick Up" dataDxfId="969"/>
    <tableColumn id="14" name="KAPAL" dataDxfId="968"/>
    <tableColumn id="15" name="ETD Kapal" dataDxfId="967"/>
    <tableColumn id="10" name="KETERANGAN" dataDxfId="966" dataCellStyle="Normal"/>
    <tableColumn id="5" name="P" dataDxfId="965" dataCellStyle="Normal"/>
    <tableColumn id="6" name="L" dataDxfId="964" dataCellStyle="Normal"/>
    <tableColumn id="7" name="T" dataDxfId="963" dataCellStyle="Normal"/>
    <tableColumn id="4" name="ACT KG" dataDxfId="962" dataCellStyle="Normal"/>
    <tableColumn id="8" name="KG VOLUME" dataDxfId="961" dataCellStyle="Normal"/>
    <tableColumn id="19" name="PEMBULATAN" dataDxfId="96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79" totalsRowShown="0" headerRowDxfId="1545" dataDxfId="1543" headerRowBorderDxfId="1544">
  <tableColumns count="12">
    <tableColumn id="1" name="NOMOR" dataDxfId="1542" dataCellStyle="Normal"/>
    <tableColumn id="3" name="TUJUAN" dataDxfId="1541" dataCellStyle="Normal"/>
    <tableColumn id="16" name="Pick Up" dataDxfId="1540"/>
    <tableColumn id="14" name="KAPAL" dataDxfId="1539"/>
    <tableColumn id="15" name="ETD Kapal" dataDxfId="1538"/>
    <tableColumn id="10" name="KETERANGAN" dataDxfId="1537" dataCellStyle="Normal"/>
    <tableColumn id="5" name="P" dataDxfId="1536" dataCellStyle="Normal"/>
    <tableColumn id="6" name="L" dataDxfId="1535" dataCellStyle="Normal"/>
    <tableColumn id="7" name="T" dataDxfId="1534" dataCellStyle="Normal"/>
    <tableColumn id="4" name="ACT KG" dataDxfId="1533" dataCellStyle="Normal"/>
    <tableColumn id="8" name="KG VOLUME" dataDxfId="1532" dataCellStyle="Normal"/>
    <tableColumn id="19" name="PEMBULATAN" dataDxfId="1531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40" name="Table224578910112345678910111213141516171819202122232425262728293031323334353738394041" displayName="Table224578910112345678910111213141516171819202122232425262728293031323334353738394041" ref="C2:N198" totalsRowShown="0" headerRowDxfId="958" dataDxfId="956" headerRowBorderDxfId="957">
  <tableColumns count="12">
    <tableColumn id="1" name="NOMOR" dataDxfId="955" dataCellStyle="Normal"/>
    <tableColumn id="3" name="TUJUAN" dataDxfId="954" dataCellStyle="Normal"/>
    <tableColumn id="16" name="Pick Up" dataDxfId="953"/>
    <tableColumn id="14" name="KAPAL" dataDxfId="952"/>
    <tableColumn id="15" name="ETD Kapal" dataDxfId="951"/>
    <tableColumn id="10" name="KETERANGAN" dataDxfId="950" dataCellStyle="Normal"/>
    <tableColumn id="5" name="P" dataDxfId="949" dataCellStyle="Normal"/>
    <tableColumn id="6" name="L" dataDxfId="948" dataCellStyle="Normal"/>
    <tableColumn id="7" name="T" dataDxfId="947" dataCellStyle="Normal"/>
    <tableColumn id="4" name="ACT KG" dataDxfId="946" dataCellStyle="Normal"/>
    <tableColumn id="8" name="KG VOLUME" dataDxfId="945" dataCellStyle="Normal"/>
    <tableColumn id="19" name="PEMBULATAN" dataDxfId="944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41" name="Table22457891011234567891011121314151617181920212223242526272829303132333435373839404142" displayName="Table22457891011234567891011121314151617181920212223242526272829303132333435373839404142" ref="C2:N61" totalsRowShown="0" headerRowDxfId="942" dataDxfId="940" headerRowBorderDxfId="941">
  <tableColumns count="12">
    <tableColumn id="1" name="NOMOR" dataDxfId="939" dataCellStyle="Normal"/>
    <tableColumn id="3" name="TUJUAN" dataDxfId="938" dataCellStyle="Normal"/>
    <tableColumn id="16" name="Pick Up" dataDxfId="937"/>
    <tableColumn id="14" name="KAPAL" dataDxfId="936"/>
    <tableColumn id="15" name="ETD Kapal" dataDxfId="935"/>
    <tableColumn id="10" name="KETERANGAN" dataDxfId="934" dataCellStyle="Normal"/>
    <tableColumn id="5" name="P" dataDxfId="933" dataCellStyle="Normal"/>
    <tableColumn id="6" name="L" dataDxfId="932" dataCellStyle="Normal"/>
    <tableColumn id="7" name="T" dataDxfId="931" dataCellStyle="Normal"/>
    <tableColumn id="4" name="ACT KG" dataDxfId="930" dataCellStyle="Normal"/>
    <tableColumn id="8" name="KG VOLUME" dataDxfId="929" dataCellStyle="Normal"/>
    <tableColumn id="19" name="PEMBULATAN" dataDxfId="928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id="42" name="Table2245789101123456789101112131415161718192021222324252627282930313233343537383940414243" displayName="Table2245789101123456789101112131415161718192021222324252627282930313233343537383940414243" ref="C2:N45" totalsRowShown="0" headerRowDxfId="926" dataDxfId="924" headerRowBorderDxfId="925">
  <tableColumns count="12">
    <tableColumn id="1" name="NOMOR" dataDxfId="923" dataCellStyle="Normal"/>
    <tableColumn id="3" name="TUJUAN" dataDxfId="922" dataCellStyle="Normal"/>
    <tableColumn id="16" name="Pick Up" dataDxfId="921"/>
    <tableColumn id="14" name="KAPAL" dataDxfId="920"/>
    <tableColumn id="15" name="ETD Kapal" dataDxfId="919"/>
    <tableColumn id="10" name="KETERANGAN" dataDxfId="918" dataCellStyle="Normal"/>
    <tableColumn id="5" name="P" dataDxfId="917" dataCellStyle="Normal"/>
    <tableColumn id="6" name="L" dataDxfId="916" dataCellStyle="Normal"/>
    <tableColumn id="7" name="T" dataDxfId="915" dataCellStyle="Normal"/>
    <tableColumn id="4" name="ACT KG" dataDxfId="914" dataCellStyle="Normal"/>
    <tableColumn id="8" name="KG VOLUME" dataDxfId="913" dataCellStyle="Normal"/>
    <tableColumn id="19" name="PEMBULATAN" dataDxfId="912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id="43" name="Table224578910112345678910111213141516171819202122232425262728293031323334353738394041424344" displayName="Table224578910112345678910111213141516171819202122232425262728293031323334353738394041424344" ref="C2:N156" totalsRowShown="0" headerRowDxfId="910" dataDxfId="908" headerRowBorderDxfId="909">
  <tableColumns count="12">
    <tableColumn id="1" name="NOMOR" dataDxfId="907" dataCellStyle="Normal"/>
    <tableColumn id="3" name="TUJUAN" dataDxfId="906" dataCellStyle="Normal"/>
    <tableColumn id="16" name="Pick Up" dataDxfId="905"/>
    <tableColumn id="14" name="KAPAL" dataDxfId="904"/>
    <tableColumn id="15" name="ETD Kapal" dataDxfId="903"/>
    <tableColumn id="10" name="KETERANGAN" dataDxfId="902" dataCellStyle="Normal"/>
    <tableColumn id="5" name="P" dataDxfId="901" dataCellStyle="Normal"/>
    <tableColumn id="6" name="L" dataDxfId="900" dataCellStyle="Normal"/>
    <tableColumn id="7" name="T" dataDxfId="899" dataCellStyle="Normal"/>
    <tableColumn id="4" name="ACT KG" dataDxfId="898" dataCellStyle="Normal"/>
    <tableColumn id="8" name="KG VOLUME" dataDxfId="897" dataCellStyle="Normal"/>
    <tableColumn id="19" name="PEMBULATAN" dataDxfId="896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id="44" name="Table22457891011234567891011121314151617181920212223242526272829303132333435373839404142434445" displayName="Table22457891011234567891011121314151617181920212223242526272829303132333435373839404142434445" ref="C2:N72" totalsRowShown="0" headerRowDxfId="894" dataDxfId="892" headerRowBorderDxfId="893">
  <tableColumns count="12">
    <tableColumn id="1" name="NOMOR" dataDxfId="891" dataCellStyle="Normal"/>
    <tableColumn id="3" name="TUJUAN" dataDxfId="890" dataCellStyle="Normal"/>
    <tableColumn id="16" name="Pick Up" dataDxfId="889"/>
    <tableColumn id="14" name="KAPAL" dataDxfId="888"/>
    <tableColumn id="15" name="ETD Kapal" dataDxfId="887"/>
    <tableColumn id="10" name="KETERANGAN" dataDxfId="886" dataCellStyle="Normal"/>
    <tableColumn id="5" name="P" dataDxfId="885" dataCellStyle="Normal"/>
    <tableColumn id="6" name="L" dataDxfId="884" dataCellStyle="Normal"/>
    <tableColumn id="7" name="T" dataDxfId="883" dataCellStyle="Normal"/>
    <tableColumn id="4" name="ACT KG" dataDxfId="882" dataCellStyle="Normal"/>
    <tableColumn id="8" name="KG VOLUME" dataDxfId="881" dataCellStyle="Normal"/>
    <tableColumn id="19" name="PEMBULATAN" dataDxfId="880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id="45" name="Table2245789101123456789101112131415161718192021222324252627282930313233343537383940414243444546" displayName="Table2245789101123456789101112131415161718192021222324252627282930313233343537383940414243444546" ref="C2:N26" totalsRowShown="0" headerRowDxfId="878" dataDxfId="876" headerRowBorderDxfId="877">
  <tableColumns count="12">
    <tableColumn id="1" name="NOMOR" dataDxfId="875" dataCellStyle="Normal"/>
    <tableColumn id="3" name="TUJUAN" dataDxfId="874" dataCellStyle="Normal"/>
    <tableColumn id="16" name="Pick Up" dataDxfId="873"/>
    <tableColumn id="14" name="KAPAL" dataDxfId="872"/>
    <tableColumn id="15" name="ETD Kapal" dataDxfId="871"/>
    <tableColumn id="10" name="KETERANGAN" dataDxfId="870" dataCellStyle="Normal"/>
    <tableColumn id="5" name="P" dataDxfId="869" dataCellStyle="Normal"/>
    <tableColumn id="6" name="L" dataDxfId="868" dataCellStyle="Normal"/>
    <tableColumn id="7" name="T" dataDxfId="867" dataCellStyle="Normal"/>
    <tableColumn id="4" name="ACT KG" dataDxfId="866" dataCellStyle="Normal"/>
    <tableColumn id="8" name="KG VOLUME" dataDxfId="865" dataCellStyle="Normal"/>
    <tableColumn id="19" name="PEMBULATAN" dataDxfId="864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id="46" name="Table224578910112345678910111213141516171819202122232425262728293031323334353738394041424344454647" displayName="Table224578910112345678910111213141516171819202122232425262728293031323334353738394041424344454647" ref="C2:N233" totalsRowShown="0" headerRowDxfId="862" dataDxfId="860" headerRowBorderDxfId="861">
  <tableColumns count="12">
    <tableColumn id="1" name="NOMOR" dataDxfId="859" dataCellStyle="Normal"/>
    <tableColumn id="3" name="TUJUAN" dataDxfId="858" dataCellStyle="Normal"/>
    <tableColumn id="16" name="Pick Up" dataDxfId="857"/>
    <tableColumn id="14" name="KAPAL" dataDxfId="856"/>
    <tableColumn id="15" name="ETD Kapal" dataDxfId="855"/>
    <tableColumn id="10" name="KETERANGAN" dataDxfId="854" dataCellStyle="Normal"/>
    <tableColumn id="5" name="P" dataDxfId="853" dataCellStyle="Normal"/>
    <tableColumn id="6" name="L" dataDxfId="852" dataCellStyle="Normal"/>
    <tableColumn id="7" name="T" dataDxfId="851" dataCellStyle="Normal"/>
    <tableColumn id="4" name="ACT KG" dataDxfId="850" dataCellStyle="Normal"/>
    <tableColumn id="8" name="KG VOLUME" dataDxfId="849" dataCellStyle="Normal"/>
    <tableColumn id="19" name="PEMBULATAN" dataDxfId="848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id="47" name="Table22457891011234567891011121314151617181920212223242526272829303132333435373839404142434445464748" displayName="Table22457891011234567891011121314151617181920212223242526272829303132333435373839404142434445464748" ref="C2:N3" totalsRowShown="0" headerRowDxfId="846" dataDxfId="844" headerRowBorderDxfId="845">
  <tableColumns count="12">
    <tableColumn id="1" name="NOMOR" dataDxfId="843" dataCellStyle="Normal"/>
    <tableColumn id="3" name="TUJUAN" dataDxfId="842" dataCellStyle="Normal"/>
    <tableColumn id="16" name="Pick Up" dataDxfId="841"/>
    <tableColumn id="14" name="KAPAL" dataDxfId="840"/>
    <tableColumn id="15" name="ETD Kapal" dataDxfId="839"/>
    <tableColumn id="10" name="KETERANGAN" dataDxfId="838" dataCellStyle="Normal"/>
    <tableColumn id="5" name="P" dataDxfId="837" dataCellStyle="Normal"/>
    <tableColumn id="6" name="L" dataDxfId="836" dataCellStyle="Normal"/>
    <tableColumn id="7" name="T" dataDxfId="835" dataCellStyle="Normal"/>
    <tableColumn id="4" name="ACT KG" dataDxfId="834" dataCellStyle="Normal"/>
    <tableColumn id="8" name="KG VOLUME" dataDxfId="833" dataCellStyle="Normal"/>
    <tableColumn id="19" name="PEMBULATAN" dataDxfId="832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id="48" name="Table2245789101123456789101112131415161718192021222324252627282930313233343537383940414243444546474849" displayName="Table2245789101123456789101112131415161718192021222324252627282930313233343537383940414243444546474849" ref="C2:N57" totalsRowShown="0" headerRowDxfId="830" dataDxfId="828" headerRowBorderDxfId="829">
  <tableColumns count="12">
    <tableColumn id="1" name="NOMOR" dataDxfId="827" dataCellStyle="Normal"/>
    <tableColumn id="3" name="TUJUAN" dataDxfId="826" dataCellStyle="Normal"/>
    <tableColumn id="16" name="Pick Up" dataDxfId="825"/>
    <tableColumn id="14" name="KAPAL" dataDxfId="824"/>
    <tableColumn id="15" name="ETD Kapal" dataDxfId="823"/>
    <tableColumn id="10" name="KETERANGAN" dataDxfId="822" dataCellStyle="Normal"/>
    <tableColumn id="5" name="P" dataDxfId="821" dataCellStyle="Normal"/>
    <tableColumn id="6" name="L" dataDxfId="820" dataCellStyle="Normal"/>
    <tableColumn id="7" name="T" dataDxfId="819" dataCellStyle="Normal"/>
    <tableColumn id="4" name="ACT KG" dataDxfId="818" dataCellStyle="Normal"/>
    <tableColumn id="8" name="KG VOLUME" dataDxfId="817" dataCellStyle="Normal"/>
    <tableColumn id="19" name="PEMBULATAN" dataDxfId="816"/>
  </tableColumns>
  <tableStyleInfo name="Table Style 1" showFirstColumn="0" showLastColumn="0" showRowStripes="1" showColumnStripes="0"/>
</table>
</file>

<file path=xl/tables/table49.xml><?xml version="1.0" encoding="utf-8"?>
<table xmlns="http://schemas.openxmlformats.org/spreadsheetml/2006/main" id="49" name="Table224578910112345678910111213141516171819202122232425262728293031323334353738394041424344454647484950" displayName="Table224578910112345678910111213141516171819202122232425262728293031323334353738394041424344454647484950" ref="C2:N27" totalsRowShown="0" headerRowDxfId="814" dataDxfId="812" headerRowBorderDxfId="813">
  <tableColumns count="12">
    <tableColumn id="1" name="NOMOR" dataDxfId="811" dataCellStyle="Normal"/>
    <tableColumn id="3" name="TUJUAN" dataDxfId="810" dataCellStyle="Normal"/>
    <tableColumn id="16" name="Pick Up" dataDxfId="809"/>
    <tableColumn id="14" name="KAPAL" dataDxfId="808"/>
    <tableColumn id="15" name="ETD Kapal" dataDxfId="807"/>
    <tableColumn id="10" name="KETERANGAN" dataDxfId="806" dataCellStyle="Normal"/>
    <tableColumn id="5" name="P" dataDxfId="805" dataCellStyle="Normal"/>
    <tableColumn id="6" name="L" dataDxfId="804" dataCellStyle="Normal"/>
    <tableColumn id="7" name="T" dataDxfId="803" dataCellStyle="Normal"/>
    <tableColumn id="4" name="ACT KG" dataDxfId="802" dataCellStyle="Normal"/>
    <tableColumn id="8" name="KG VOLUME" dataDxfId="801" dataCellStyle="Normal"/>
    <tableColumn id="19" name="PEMBULATAN" dataDxfId="80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1529" dataDxfId="1527" headerRowBorderDxfId="1528">
  <tableColumns count="12">
    <tableColumn id="1" name="NOMOR" dataDxfId="1526" dataCellStyle="Normal"/>
    <tableColumn id="3" name="TUJUAN" dataDxfId="1525" dataCellStyle="Normal"/>
    <tableColumn id="16" name="Pick Up" dataDxfId="1524"/>
    <tableColumn id="14" name="KAPAL" dataDxfId="1523"/>
    <tableColumn id="15" name="ETD Kapal" dataDxfId="1522"/>
    <tableColumn id="10" name="KETERANGAN" dataDxfId="1521" dataCellStyle="Normal"/>
    <tableColumn id="5" name="P" dataDxfId="1520" dataCellStyle="Normal"/>
    <tableColumn id="6" name="L" dataDxfId="1519" dataCellStyle="Normal"/>
    <tableColumn id="7" name="T" dataDxfId="1518" dataCellStyle="Normal"/>
    <tableColumn id="4" name="ACT KG" dataDxfId="1517" dataCellStyle="Normal"/>
    <tableColumn id="8" name="KG VOLUME" dataDxfId="1516" dataCellStyle="Normal"/>
    <tableColumn id="19" name="PEMBULATAN" dataDxfId="1515"/>
  </tableColumns>
  <tableStyleInfo name="Table Style 1" showFirstColumn="0" showLastColumn="0" showRowStripes="1" showColumnStripes="0"/>
</table>
</file>

<file path=xl/tables/table50.xml><?xml version="1.0" encoding="utf-8"?>
<table xmlns="http://schemas.openxmlformats.org/spreadsheetml/2006/main" id="50" name="Table22457891011234567891011121314151617181920212223242526272829303132333435373839404142434445464748495051" displayName="Table22457891011234567891011121314151617181920212223242526272829303132333435373839404142434445464748495051" ref="C2:N19" totalsRowShown="0" headerRowDxfId="798" dataDxfId="796" headerRowBorderDxfId="797">
  <tableColumns count="12">
    <tableColumn id="1" name="NOMOR" dataDxfId="795" dataCellStyle="Normal"/>
    <tableColumn id="3" name="TUJUAN" dataDxfId="794" dataCellStyle="Normal"/>
    <tableColumn id="16" name="Pick Up" dataDxfId="793"/>
    <tableColumn id="14" name="KAPAL" dataDxfId="792"/>
    <tableColumn id="15" name="ETD Kapal" dataDxfId="791"/>
    <tableColumn id="10" name="KETERANGAN" dataDxfId="790" dataCellStyle="Normal"/>
    <tableColumn id="5" name="P" dataDxfId="789" dataCellStyle="Normal"/>
    <tableColumn id="6" name="L" dataDxfId="788" dataCellStyle="Normal"/>
    <tableColumn id="7" name="T" dataDxfId="787" dataCellStyle="Normal"/>
    <tableColumn id="4" name="ACT KG" dataDxfId="786" dataCellStyle="Normal"/>
    <tableColumn id="8" name="KG VOLUME" dataDxfId="785" dataCellStyle="Normal"/>
    <tableColumn id="19" name="PEMBULATAN" dataDxfId="784"/>
  </tableColumns>
  <tableStyleInfo name="Table Style 1" showFirstColumn="0" showLastColumn="0" showRowStripes="1" showColumnStripes="0"/>
</table>
</file>

<file path=xl/tables/table51.xml><?xml version="1.0" encoding="utf-8"?>
<table xmlns="http://schemas.openxmlformats.org/spreadsheetml/2006/main" id="51" name="Table2245789101123456789101112131415161718192021222324252627282930313233343537383940414243444546474849505152" displayName="Table2245789101123456789101112131415161718192021222324252627282930313233343537383940414243444546474849505152" ref="C2:N25" totalsRowShown="0" headerRowDxfId="782" dataDxfId="780" headerRowBorderDxfId="781">
  <tableColumns count="12">
    <tableColumn id="1" name="NOMOR" dataDxfId="779" dataCellStyle="Normal"/>
    <tableColumn id="3" name="TUJUAN" dataDxfId="778" dataCellStyle="Normal"/>
    <tableColumn id="16" name="Pick Up" dataDxfId="777"/>
    <tableColumn id="14" name="KAPAL" dataDxfId="776"/>
    <tableColumn id="15" name="ETD Kapal" dataDxfId="775"/>
    <tableColumn id="10" name="KETERANGAN" dataDxfId="774" dataCellStyle="Normal"/>
    <tableColumn id="5" name="P" dataDxfId="773" dataCellStyle="Normal"/>
    <tableColumn id="6" name="L" dataDxfId="772" dataCellStyle="Normal"/>
    <tableColumn id="7" name="T" dataDxfId="771" dataCellStyle="Normal"/>
    <tableColumn id="4" name="ACT KG" dataDxfId="770" dataCellStyle="Normal"/>
    <tableColumn id="8" name="KG VOLUME" dataDxfId="769" dataCellStyle="Normal"/>
    <tableColumn id="19" name="PEMBULATAN" dataDxfId="768"/>
  </tableColumns>
  <tableStyleInfo name="Table Style 1" showFirstColumn="0" showLastColumn="0" showRowStripes="1" showColumnStripes="0"/>
</table>
</file>

<file path=xl/tables/table52.xml><?xml version="1.0" encoding="utf-8"?>
<table xmlns="http://schemas.openxmlformats.org/spreadsheetml/2006/main" id="52" name="Table224578910112345678910111213141516171819202122232425262728293031323334353738394041424344454647484950515253" displayName="Table224578910112345678910111213141516171819202122232425262728293031323334353738394041424344454647484950515253" ref="C2:N34" totalsRowShown="0" headerRowDxfId="766" dataDxfId="764" headerRowBorderDxfId="765">
  <tableColumns count="12">
    <tableColumn id="1" name="NOMOR" dataDxfId="763" dataCellStyle="Normal"/>
    <tableColumn id="3" name="TUJUAN" dataDxfId="762" dataCellStyle="Normal"/>
    <tableColumn id="16" name="Pick Up" dataDxfId="761"/>
    <tableColumn id="14" name="KAPAL" dataDxfId="760"/>
    <tableColumn id="15" name="ETD Kapal" dataDxfId="759"/>
    <tableColumn id="10" name="KETERANGAN" dataDxfId="758" dataCellStyle="Normal"/>
    <tableColumn id="5" name="P" dataDxfId="757" dataCellStyle="Normal"/>
    <tableColumn id="6" name="L" dataDxfId="756" dataCellStyle="Normal"/>
    <tableColumn id="7" name="T" dataDxfId="755" dataCellStyle="Normal"/>
    <tableColumn id="4" name="ACT KG" dataDxfId="754" dataCellStyle="Normal"/>
    <tableColumn id="8" name="KG VOLUME" dataDxfId="753" dataCellStyle="Normal"/>
    <tableColumn id="19" name="PEMBULATAN" dataDxfId="752"/>
  </tableColumns>
  <tableStyleInfo name="Table Style 1" showFirstColumn="0" showLastColumn="0" showRowStripes="1" showColumnStripes="0"/>
</table>
</file>

<file path=xl/tables/table53.xml><?xml version="1.0" encoding="utf-8"?>
<table xmlns="http://schemas.openxmlformats.org/spreadsheetml/2006/main" id="53" name="Table22457891011234567891011121314151617181920212223242526272829303132333435373839404142434445464748495051525354" displayName="Table22457891011234567891011121314151617181920212223242526272829303132333435373839404142434445464748495051525354" ref="C2:N120" totalsRowShown="0" headerRowDxfId="750" dataDxfId="748" headerRowBorderDxfId="749">
  <tableColumns count="12">
    <tableColumn id="1" name="NOMOR" dataDxfId="747" dataCellStyle="Normal"/>
    <tableColumn id="3" name="TUJUAN" dataDxfId="746" dataCellStyle="Normal"/>
    <tableColumn id="16" name="Pick Up" dataDxfId="745"/>
    <tableColumn id="14" name="KAPAL" dataDxfId="744"/>
    <tableColumn id="15" name="ETD Kapal" dataDxfId="743"/>
    <tableColumn id="10" name="KETERANGAN" dataDxfId="742" dataCellStyle="Normal"/>
    <tableColumn id="5" name="P" dataDxfId="741" dataCellStyle="Normal"/>
    <tableColumn id="6" name="L" dataDxfId="740" dataCellStyle="Normal"/>
    <tableColumn id="7" name="T" dataDxfId="739" dataCellStyle="Normal"/>
    <tableColumn id="4" name="ACT KG" dataDxfId="738" dataCellStyle="Normal"/>
    <tableColumn id="8" name="KG VOLUME" dataDxfId="737" dataCellStyle="Normal"/>
    <tableColumn id="19" name="PEMBULATAN" dataDxfId="736"/>
  </tableColumns>
  <tableStyleInfo name="Table Style 1" showFirstColumn="0" showLastColumn="0" showRowStripes="1" showColumnStripes="0"/>
</table>
</file>

<file path=xl/tables/table54.xml><?xml version="1.0" encoding="utf-8"?>
<table xmlns="http://schemas.openxmlformats.org/spreadsheetml/2006/main" id="54" name="Table2245789101123456789101112131415161718192021222324252627282930313233343537383940414243444546474849505152535455" displayName="Table2245789101123456789101112131415161718192021222324252627282930313233343537383940414243444546474849505152535455" ref="C2:N37" totalsRowShown="0" headerRowDxfId="734" dataDxfId="732" headerRowBorderDxfId="733">
  <tableColumns count="12">
    <tableColumn id="1" name="NOMOR" dataDxfId="731" dataCellStyle="Normal"/>
    <tableColumn id="3" name="TUJUAN" dataDxfId="730" dataCellStyle="Normal"/>
    <tableColumn id="16" name="Pick Up" dataDxfId="729"/>
    <tableColumn id="14" name="KAPAL" dataDxfId="728"/>
    <tableColumn id="15" name="ETD Kapal" dataDxfId="727"/>
    <tableColumn id="10" name="KETERANGAN" dataDxfId="726" dataCellStyle="Normal"/>
    <tableColumn id="5" name="P" dataDxfId="725" dataCellStyle="Normal"/>
    <tableColumn id="6" name="L" dataDxfId="724" dataCellStyle="Normal"/>
    <tableColumn id="7" name="T" dataDxfId="723" dataCellStyle="Normal"/>
    <tableColumn id="4" name="ACT KG" dataDxfId="722" dataCellStyle="Normal"/>
    <tableColumn id="8" name="KG VOLUME" dataDxfId="721" dataCellStyle="Normal"/>
    <tableColumn id="19" name="PEMBULATAN" dataDxfId="720"/>
  </tableColumns>
  <tableStyleInfo name="Table Style 1" showFirstColumn="0" showLastColumn="0" showRowStripes="1" showColumnStripes="0"/>
</table>
</file>

<file path=xl/tables/table55.xml><?xml version="1.0" encoding="utf-8"?>
<table xmlns="http://schemas.openxmlformats.org/spreadsheetml/2006/main" id="55" name="Table224578910112345678910111213141516171819202122232425262728293031323334353738394041424344454647484950515253545556" displayName="Table224578910112345678910111213141516171819202122232425262728293031323334353738394041424344454647484950515253545556" ref="C2:N39" totalsRowShown="0" headerRowDxfId="718" dataDxfId="716" headerRowBorderDxfId="717">
  <tableColumns count="12">
    <tableColumn id="1" name="NOMOR" dataDxfId="715" dataCellStyle="Normal"/>
    <tableColumn id="3" name="TUJUAN" dataDxfId="714" dataCellStyle="Normal"/>
    <tableColumn id="16" name="Pick Up" dataDxfId="713"/>
    <tableColumn id="14" name="KAPAL" dataDxfId="712"/>
    <tableColumn id="15" name="ETD Kapal" dataDxfId="711"/>
    <tableColumn id="10" name="KETERANGAN" dataDxfId="710" dataCellStyle="Normal"/>
    <tableColumn id="5" name="P" dataDxfId="709" dataCellStyle="Normal"/>
    <tableColumn id="6" name="L" dataDxfId="708" dataCellStyle="Normal"/>
    <tableColumn id="7" name="T" dataDxfId="707" dataCellStyle="Normal"/>
    <tableColumn id="4" name="ACT KG" dataDxfId="706" dataCellStyle="Normal"/>
    <tableColumn id="8" name="KG VOLUME" dataDxfId="705" dataCellStyle="Normal"/>
    <tableColumn id="19" name="PEMBULATAN" dataDxfId="704"/>
  </tableColumns>
  <tableStyleInfo name="Table Style 1" showFirstColumn="0" showLastColumn="0" showRowStripes="1" showColumnStripes="0"/>
</table>
</file>

<file path=xl/tables/table56.xml><?xml version="1.0" encoding="utf-8"?>
<table xmlns="http://schemas.openxmlformats.org/spreadsheetml/2006/main" id="56" name="Table22457891011234567891011121314151617181920212223242526272829303132333435373839404142434445464748495051525354555657" displayName="Table22457891011234567891011121314151617181920212223242526272829303132333435373839404142434445464748495051525354555657" ref="C2:N147" totalsRowShown="0" headerRowDxfId="702" dataDxfId="700" headerRowBorderDxfId="701">
  <tableColumns count="12">
    <tableColumn id="1" name="NOMOR" dataDxfId="699" dataCellStyle="Normal"/>
    <tableColumn id="3" name="TUJUAN" dataDxfId="698" dataCellStyle="Normal"/>
    <tableColumn id="16" name="Pick Up" dataDxfId="697"/>
    <tableColumn id="14" name="KAPAL" dataDxfId="696"/>
    <tableColumn id="15" name="ETD Kapal" dataDxfId="695"/>
    <tableColumn id="10" name="KETERANGAN" dataDxfId="694" dataCellStyle="Normal"/>
    <tableColumn id="5" name="P" dataDxfId="693" dataCellStyle="Normal"/>
    <tableColumn id="6" name="L" dataDxfId="692" dataCellStyle="Normal"/>
    <tableColumn id="7" name="T" dataDxfId="691" dataCellStyle="Normal"/>
    <tableColumn id="4" name="ACT KG" dataDxfId="690" dataCellStyle="Normal"/>
    <tableColumn id="8" name="KG VOLUME" dataDxfId="689" dataCellStyle="Normal"/>
    <tableColumn id="19" name="PEMBULATAN" dataDxfId="688"/>
  </tableColumns>
  <tableStyleInfo name="Table Style 1" showFirstColumn="0" showLastColumn="0" showRowStripes="1" showColumnStripes="0"/>
</table>
</file>

<file path=xl/tables/table57.xml><?xml version="1.0" encoding="utf-8"?>
<table xmlns="http://schemas.openxmlformats.org/spreadsheetml/2006/main" id="57" name="Table2245789101123456789101112131415161718192021222324252627282930313233343537383940414243444546474849505152535455565758" displayName="Table2245789101123456789101112131415161718192021222324252627282930313233343537383940414243444546474849505152535455565758" ref="C2:N26" totalsRowShown="0" headerRowDxfId="686" dataDxfId="684" headerRowBorderDxfId="685">
  <tableColumns count="12">
    <tableColumn id="1" name="NOMOR" dataDxfId="683" dataCellStyle="Normal"/>
    <tableColumn id="3" name="TUJUAN" dataDxfId="682" dataCellStyle="Normal"/>
    <tableColumn id="16" name="Pick Up" dataDxfId="681"/>
    <tableColumn id="14" name="KAPAL" dataDxfId="680"/>
    <tableColumn id="15" name="ETD Kapal" dataDxfId="679"/>
    <tableColumn id="10" name="KETERANGAN" dataDxfId="678" dataCellStyle="Normal"/>
    <tableColumn id="5" name="P" dataDxfId="677" dataCellStyle="Normal"/>
    <tableColumn id="6" name="L" dataDxfId="676" dataCellStyle="Normal"/>
    <tableColumn id="7" name="T" dataDxfId="675" dataCellStyle="Normal"/>
    <tableColumn id="4" name="ACT KG" dataDxfId="674" dataCellStyle="Normal"/>
    <tableColumn id="8" name="KG VOLUME" dataDxfId="673" dataCellStyle="Normal"/>
    <tableColumn id="19" name="PEMBULATAN" dataDxfId="672"/>
  </tableColumns>
  <tableStyleInfo name="Table Style 1" showFirstColumn="0" showLastColumn="0" showRowStripes="1" showColumnStripes="0"/>
</table>
</file>

<file path=xl/tables/table58.xml><?xml version="1.0" encoding="utf-8"?>
<table xmlns="http://schemas.openxmlformats.org/spreadsheetml/2006/main" id="58" name="Table224578910112345678910111213141516171819202122232425262728293031323334353738394041424344454647484950515253545556575859" displayName="Table224578910112345678910111213141516171819202122232425262728293031323334353738394041424344454647484950515253545556575859" ref="C2:N38" totalsRowShown="0" headerRowDxfId="670" dataDxfId="668" headerRowBorderDxfId="669">
  <tableColumns count="12">
    <tableColumn id="1" name="NOMOR" dataDxfId="667" dataCellStyle="Normal"/>
    <tableColumn id="3" name="TUJUAN" dataDxfId="666" dataCellStyle="Normal"/>
    <tableColumn id="16" name="Pick Up" dataDxfId="665"/>
    <tableColumn id="14" name="KAPAL" dataDxfId="664"/>
    <tableColumn id="15" name="ETD Kapal" dataDxfId="663"/>
    <tableColumn id="10" name="KETERANGAN" dataDxfId="662" dataCellStyle="Normal"/>
    <tableColumn id="5" name="P" dataDxfId="661" dataCellStyle="Normal"/>
    <tableColumn id="6" name="L" dataDxfId="660" dataCellStyle="Normal"/>
    <tableColumn id="7" name="T" dataDxfId="659" dataCellStyle="Normal"/>
    <tableColumn id="4" name="ACT KG" dataDxfId="658" dataCellStyle="Normal"/>
    <tableColumn id="8" name="KG VOLUME" dataDxfId="657" dataCellStyle="Normal"/>
    <tableColumn id="19" name="PEMBULATAN" dataDxfId="656"/>
  </tableColumns>
  <tableStyleInfo name="Table Style 1" showFirstColumn="0" showLastColumn="0" showRowStripes="1" showColumnStripes="0"/>
</table>
</file>

<file path=xl/tables/table59.xml><?xml version="1.0" encoding="utf-8"?>
<table xmlns="http://schemas.openxmlformats.org/spreadsheetml/2006/main" id="59" name="Table22457891011234567891011121314151617181920212223242526272829303132333435373839404142434445464748495051525354555657585960" displayName="Table22457891011234567891011121314151617181920212223242526272829303132333435373839404142434445464748495051525354555657585960" ref="C2:N33" totalsRowShown="0" headerRowDxfId="654" dataDxfId="652" headerRowBorderDxfId="653">
  <tableColumns count="12">
    <tableColumn id="1" name="NOMOR" dataDxfId="651" dataCellStyle="Normal"/>
    <tableColumn id="3" name="TUJUAN" dataDxfId="650" dataCellStyle="Normal"/>
    <tableColumn id="16" name="Pick Up" dataDxfId="649"/>
    <tableColumn id="14" name="KAPAL" dataDxfId="648"/>
    <tableColumn id="15" name="ETD Kapal" dataDxfId="647"/>
    <tableColumn id="10" name="KETERANGAN" dataDxfId="646" dataCellStyle="Normal"/>
    <tableColumn id="5" name="P" dataDxfId="645" dataCellStyle="Normal"/>
    <tableColumn id="6" name="L" dataDxfId="644" dataCellStyle="Normal"/>
    <tableColumn id="7" name="T" dataDxfId="643" dataCellStyle="Normal"/>
    <tableColumn id="4" name="ACT KG" dataDxfId="642" dataCellStyle="Normal"/>
    <tableColumn id="8" name="KG VOLUME" dataDxfId="641" dataCellStyle="Normal"/>
    <tableColumn id="19" name="PEMBULATAN" dataDxfId="64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20" totalsRowShown="0" headerRowDxfId="1511" dataDxfId="1509" headerRowBorderDxfId="1510">
  <tableColumns count="12">
    <tableColumn id="1" name="NOMOR" dataDxfId="1508" dataCellStyle="Normal"/>
    <tableColumn id="3" name="TUJUAN" dataDxfId="1507" dataCellStyle="Normal"/>
    <tableColumn id="16" name="Pick Up" dataDxfId="1506"/>
    <tableColumn id="14" name="KAPAL" dataDxfId="1505"/>
    <tableColumn id="15" name="ETD Kapal" dataDxfId="1504"/>
    <tableColumn id="10" name="KETERANGAN" dataDxfId="1503" dataCellStyle="Normal"/>
    <tableColumn id="5" name="P" dataDxfId="1502" dataCellStyle="Normal"/>
    <tableColumn id="6" name="L" dataDxfId="1501" dataCellStyle="Normal"/>
    <tableColumn id="7" name="T" dataDxfId="1500" dataCellStyle="Normal"/>
    <tableColumn id="4" name="ACT KG" dataDxfId="1499" dataCellStyle="Normal"/>
    <tableColumn id="8" name="KG VOLUME" dataDxfId="1498" dataCellStyle="Normal"/>
    <tableColumn id="19" name="PEMBULATAN" dataDxfId="1497"/>
  </tableColumns>
  <tableStyleInfo name="Table Style 1" showFirstColumn="0" showLastColumn="0" showRowStripes="1" showColumnStripes="0"/>
</table>
</file>

<file path=xl/tables/table60.xml><?xml version="1.0" encoding="utf-8"?>
<table xmlns="http://schemas.openxmlformats.org/spreadsheetml/2006/main" id="60" name="Table2245789101123456789101112131415161718192021222324252627282930313233343537383940414243444546474849505152535455565758596061" displayName="Table2245789101123456789101112131415161718192021222324252627282930313233343537383940414243444546474849505152535455565758596061" ref="C2:N165" totalsRowShown="0" headerRowDxfId="638" dataDxfId="636" headerRowBorderDxfId="637">
  <tableColumns count="12">
    <tableColumn id="1" name="NOMOR" dataDxfId="635" dataCellStyle="Normal"/>
    <tableColumn id="3" name="TUJUAN" dataDxfId="634" dataCellStyle="Normal"/>
    <tableColumn id="16" name="Pick Up" dataDxfId="633"/>
    <tableColumn id="14" name="KAPAL" dataDxfId="632"/>
    <tableColumn id="15" name="ETD Kapal" dataDxfId="631"/>
    <tableColumn id="10" name="KETERANGAN" dataDxfId="630" dataCellStyle="Normal"/>
    <tableColumn id="5" name="P" dataDxfId="629" dataCellStyle="Normal"/>
    <tableColumn id="6" name="L" dataDxfId="628" dataCellStyle="Normal"/>
    <tableColumn id="7" name="T" dataDxfId="627" dataCellStyle="Normal"/>
    <tableColumn id="4" name="ACT KG" dataDxfId="626" dataCellStyle="Normal"/>
    <tableColumn id="8" name="KG VOLUME" dataDxfId="625" dataCellStyle="Normal"/>
    <tableColumn id="19" name="PEMBULATAN" dataDxfId="624"/>
  </tableColumns>
  <tableStyleInfo name="Table Style 1" showFirstColumn="0" showLastColumn="0" showRowStripes="1" showColumnStripes="0"/>
</table>
</file>

<file path=xl/tables/table61.xml><?xml version="1.0" encoding="utf-8"?>
<table xmlns="http://schemas.openxmlformats.org/spreadsheetml/2006/main" id="61" name="Table224578910112345678910111213141516171819202122232425262728293031323334353738394041424344454647484950515253545556575859606162" displayName="Table224578910112345678910111213141516171819202122232425262728293031323334353738394041424344454647484950515253545556575859606162" ref="C2:N17" totalsRowShown="0" headerRowDxfId="622" dataDxfId="620" headerRowBorderDxfId="621">
  <tableColumns count="12">
    <tableColumn id="1" name="NOMOR" dataDxfId="619" dataCellStyle="Normal"/>
    <tableColumn id="3" name="TUJUAN" dataDxfId="618" dataCellStyle="Normal"/>
    <tableColumn id="16" name="Pick Up" dataDxfId="617"/>
    <tableColumn id="14" name="KAPAL" dataDxfId="616"/>
    <tableColumn id="15" name="ETD Kapal" dataDxfId="615"/>
    <tableColumn id="10" name="KETERANGAN" dataDxfId="614" dataCellStyle="Normal"/>
    <tableColumn id="5" name="P" dataDxfId="613" dataCellStyle="Normal"/>
    <tableColumn id="6" name="L" dataDxfId="612" dataCellStyle="Normal"/>
    <tableColumn id="7" name="T" dataDxfId="611" dataCellStyle="Normal"/>
    <tableColumn id="4" name="ACT KG" dataDxfId="610" dataCellStyle="Normal"/>
    <tableColumn id="8" name="KG VOLUME" dataDxfId="609" dataCellStyle="Normal"/>
    <tableColumn id="19" name="PEMBULATAN" dataDxfId="608"/>
  </tableColumns>
  <tableStyleInfo name="Table Style 1" showFirstColumn="0" showLastColumn="0" showRowStripes="1" showColumnStripes="0"/>
</table>
</file>

<file path=xl/tables/table62.xml><?xml version="1.0" encoding="utf-8"?>
<table xmlns="http://schemas.openxmlformats.org/spreadsheetml/2006/main" id="62" name="Table22457891011234567891011121314151617181920212223242526272829303132333435373839404142434445464748495051525354555657585960616263" displayName="Table22457891011234567891011121314151617181920212223242526272829303132333435373839404142434445464748495051525354555657585960616263" ref="C2:N15" totalsRowShown="0" headerRowDxfId="606" dataDxfId="604" headerRowBorderDxfId="605">
  <tableColumns count="12">
    <tableColumn id="1" name="NOMOR" dataDxfId="603" dataCellStyle="Normal"/>
    <tableColumn id="3" name="TUJUAN" dataDxfId="602" dataCellStyle="Normal"/>
    <tableColumn id="16" name="Pick Up" dataDxfId="601"/>
    <tableColumn id="14" name="KAPAL" dataDxfId="600"/>
    <tableColumn id="15" name="ETD Kapal" dataDxfId="599"/>
    <tableColumn id="10" name="KETERANGAN" dataDxfId="598" dataCellStyle="Normal"/>
    <tableColumn id="5" name="P" dataDxfId="597" dataCellStyle="Normal"/>
    <tableColumn id="6" name="L" dataDxfId="596" dataCellStyle="Normal"/>
    <tableColumn id="7" name="T" dataDxfId="595" dataCellStyle="Normal"/>
    <tableColumn id="4" name="ACT KG" dataDxfId="594" dataCellStyle="Normal"/>
    <tableColumn id="8" name="KG VOLUME" dataDxfId="593" dataCellStyle="Normal"/>
    <tableColumn id="19" name="PEMBULATAN" dataDxfId="592"/>
  </tableColumns>
  <tableStyleInfo name="Table Style 1" showFirstColumn="0" showLastColumn="0" showRowStripes="1" showColumnStripes="0"/>
</table>
</file>

<file path=xl/tables/table63.xml><?xml version="1.0" encoding="utf-8"?>
<table xmlns="http://schemas.openxmlformats.org/spreadsheetml/2006/main" id="63" name="Table2245789101123456789101112131415161718192021222324252627282930313233343537383940414243444546474849505152535455565758596061626364" displayName="Table2245789101123456789101112131415161718192021222324252627282930313233343537383940414243444546474849505152535455565758596061626364" ref="C2:N74" totalsRowShown="0" headerRowDxfId="590" dataDxfId="588" headerRowBorderDxfId="589">
  <tableColumns count="12">
    <tableColumn id="1" name="NOMOR" dataDxfId="587" dataCellStyle="Normal"/>
    <tableColumn id="3" name="TUJUAN" dataDxfId="586" dataCellStyle="Normal"/>
    <tableColumn id="16" name="Pick Up" dataDxfId="585"/>
    <tableColumn id="14" name="KAPAL" dataDxfId="584"/>
    <tableColumn id="15" name="ETD Kapal" dataDxfId="583"/>
    <tableColumn id="10" name="KETERANGAN" dataDxfId="582" dataCellStyle="Normal"/>
    <tableColumn id="5" name="P" dataDxfId="581" dataCellStyle="Normal"/>
    <tableColumn id="6" name="L" dataDxfId="580" dataCellStyle="Normal"/>
    <tableColumn id="7" name="T" dataDxfId="579" dataCellStyle="Normal"/>
    <tableColumn id="4" name="ACT KG" dataDxfId="578" dataCellStyle="Normal"/>
    <tableColumn id="8" name="KG VOLUME" dataDxfId="577" dataCellStyle="Normal"/>
    <tableColumn id="19" name="PEMBULATAN" dataDxfId="576"/>
  </tableColumns>
  <tableStyleInfo name="Table Style 1" showFirstColumn="0" showLastColumn="0" showRowStripes="1" showColumnStripes="0"/>
</table>
</file>

<file path=xl/tables/table64.xml><?xml version="1.0" encoding="utf-8"?>
<table xmlns="http://schemas.openxmlformats.org/spreadsheetml/2006/main" id="64" name="Table224578910112345678910111213141516171819202122232425262728293031323334353738394041424344454647484950515253545556575859606162636465" displayName="Table224578910112345678910111213141516171819202122232425262728293031323334353738394041424344454647484950515253545556575859606162636465" ref="C2:N54" totalsRowShown="0" headerRowDxfId="574" dataDxfId="572" headerRowBorderDxfId="573">
  <tableColumns count="12">
    <tableColumn id="1" name="NOMOR" dataDxfId="571" dataCellStyle="Normal"/>
    <tableColumn id="3" name="TUJUAN" dataDxfId="570" dataCellStyle="Normal"/>
    <tableColumn id="16" name="Pick Up" dataDxfId="569"/>
    <tableColumn id="14" name="KAPAL" dataDxfId="568"/>
    <tableColumn id="15" name="ETD Kapal" dataDxfId="567"/>
    <tableColumn id="10" name="KETERANGAN" dataDxfId="566" dataCellStyle="Normal"/>
    <tableColumn id="5" name="P" dataDxfId="565" dataCellStyle="Normal"/>
    <tableColumn id="6" name="L" dataDxfId="564" dataCellStyle="Normal"/>
    <tableColumn id="7" name="T" dataDxfId="563" dataCellStyle="Normal"/>
    <tableColumn id="4" name="ACT KG" dataDxfId="562" dataCellStyle="Normal"/>
    <tableColumn id="8" name="KG VOLUME" dataDxfId="561" dataCellStyle="Normal"/>
    <tableColumn id="19" name="PEMBULATAN" dataDxfId="560"/>
  </tableColumns>
  <tableStyleInfo name="Table Style 1" showFirstColumn="0" showLastColumn="0" showRowStripes="1" showColumnStripes="0"/>
</table>
</file>

<file path=xl/tables/table65.xml><?xml version="1.0" encoding="utf-8"?>
<table xmlns="http://schemas.openxmlformats.org/spreadsheetml/2006/main" id="65" name="Table22457891011234567891011121314151617181920212223242526272829303132333435373839404142434445464748495051525354555657585960616263646566" displayName="Table22457891011234567891011121314151617181920212223242526272829303132333435373839404142434445464748495051525354555657585960616263646566" ref="C2:N35" totalsRowShown="0" headerRowDxfId="558" dataDxfId="556" headerRowBorderDxfId="557">
  <tableColumns count="12">
    <tableColumn id="1" name="NOMOR" dataDxfId="555" dataCellStyle="Normal"/>
    <tableColumn id="3" name="TUJUAN" dataDxfId="554" dataCellStyle="Normal"/>
    <tableColumn id="16" name="Pick Up" dataDxfId="553"/>
    <tableColumn id="14" name="KAPAL" dataDxfId="552"/>
    <tableColumn id="15" name="ETD Kapal" dataDxfId="551"/>
    <tableColumn id="10" name="KETERANGAN" dataDxfId="550" dataCellStyle="Normal"/>
    <tableColumn id="5" name="P" dataDxfId="549" dataCellStyle="Normal"/>
    <tableColumn id="6" name="L" dataDxfId="548" dataCellStyle="Normal"/>
    <tableColumn id="7" name="T" dataDxfId="547" dataCellStyle="Normal"/>
    <tableColumn id="4" name="ACT KG" dataDxfId="546" dataCellStyle="Normal"/>
    <tableColumn id="8" name="KG VOLUME" dataDxfId="545" dataCellStyle="Normal"/>
    <tableColumn id="19" name="PEMBULATAN" dataDxfId="544"/>
  </tableColumns>
  <tableStyleInfo name="Table Style 1" showFirstColumn="0" showLastColumn="0" showRowStripes="1" showColumnStripes="0"/>
</table>
</file>

<file path=xl/tables/table66.xml><?xml version="1.0" encoding="utf-8"?>
<table xmlns="http://schemas.openxmlformats.org/spreadsheetml/2006/main" id="66" name="Table2245789101123456789101112131415161718192021222324252627282930313233343537383940414243444546474849505152535455565758596061626364656667" displayName="Table2245789101123456789101112131415161718192021222324252627282930313233343537383940414243444546474849505152535455565758596061626364656667" ref="C2:N40" totalsRowShown="0" headerRowDxfId="542" dataDxfId="540" headerRowBorderDxfId="541">
  <tableColumns count="12">
    <tableColumn id="1" name="NOMOR" dataDxfId="539" dataCellStyle="Normal"/>
    <tableColumn id="3" name="TUJUAN" dataDxfId="538" dataCellStyle="Normal"/>
    <tableColumn id="16" name="Pick Up" dataDxfId="537"/>
    <tableColumn id="14" name="KAPAL" dataDxfId="536"/>
    <tableColumn id="15" name="ETD Kapal" dataDxfId="535"/>
    <tableColumn id="10" name="KETERANGAN" dataDxfId="534" dataCellStyle="Normal"/>
    <tableColumn id="5" name="P" dataDxfId="533" dataCellStyle="Normal"/>
    <tableColumn id="6" name="L" dataDxfId="532" dataCellStyle="Normal"/>
    <tableColumn id="7" name="T" dataDxfId="531" dataCellStyle="Normal"/>
    <tableColumn id="4" name="ACT KG" dataDxfId="530" dataCellStyle="Normal"/>
    <tableColumn id="8" name="KG VOLUME" dataDxfId="529" dataCellStyle="Normal"/>
    <tableColumn id="19" name="PEMBULATAN" dataDxfId="528"/>
  </tableColumns>
  <tableStyleInfo name="Table Style 1" showFirstColumn="0" showLastColumn="0" showRowStripes="1" showColumnStripes="0"/>
</table>
</file>

<file path=xl/tables/table67.xml><?xml version="1.0" encoding="utf-8"?>
<table xmlns="http://schemas.openxmlformats.org/spreadsheetml/2006/main" id="67" name="Table224578910112345678910111213141516171819202122232425262728293031323334353738394041424344454647484950515253545556575859606162636465666768" displayName="Table224578910112345678910111213141516171819202122232425262728293031323334353738394041424344454647484950515253545556575859606162636465666768" ref="C2:N118" totalsRowShown="0" headerRowDxfId="526" dataDxfId="524" headerRowBorderDxfId="525">
  <tableColumns count="12">
    <tableColumn id="1" name="NOMOR" dataDxfId="523" dataCellStyle="Normal"/>
    <tableColumn id="3" name="TUJUAN" dataDxfId="522" dataCellStyle="Normal"/>
    <tableColumn id="16" name="Pick Up" dataDxfId="521"/>
    <tableColumn id="14" name="KAPAL" dataDxfId="520"/>
    <tableColumn id="15" name="ETD Kapal" dataDxfId="519"/>
    <tableColumn id="10" name="KETERANGAN" dataDxfId="518" dataCellStyle="Normal"/>
    <tableColumn id="5" name="P" dataDxfId="517" dataCellStyle="Normal"/>
    <tableColumn id="6" name="L" dataDxfId="516" dataCellStyle="Normal"/>
    <tableColumn id="7" name="T" dataDxfId="515" dataCellStyle="Normal"/>
    <tableColumn id="4" name="ACT KG" dataDxfId="514" dataCellStyle="Normal"/>
    <tableColumn id="8" name="KG VOLUME" dataDxfId="513" dataCellStyle="Normal"/>
    <tableColumn id="19" name="PEMBULATAN" dataDxfId="512"/>
  </tableColumns>
  <tableStyleInfo name="Table Style 1" showFirstColumn="0" showLastColumn="0" showRowStripes="1" showColumnStripes="0"/>
</table>
</file>

<file path=xl/tables/table68.xml><?xml version="1.0" encoding="utf-8"?>
<table xmlns="http://schemas.openxmlformats.org/spreadsheetml/2006/main" id="68" name="Table22457891011234567891011121314151617181920212223242526272829303132333435373839404142434445464748495051525354555657585960616263646566676869" displayName="Table22457891011234567891011121314151617181920212223242526272829303132333435373839404142434445464748495051525354555657585960616263646566676869" ref="C2:N38" totalsRowShown="0" headerRowDxfId="510" dataDxfId="508" headerRowBorderDxfId="509">
  <tableColumns count="12">
    <tableColumn id="1" name="NOMOR" dataDxfId="507" dataCellStyle="Normal"/>
    <tableColumn id="3" name="TUJUAN" dataDxfId="506" dataCellStyle="Normal"/>
    <tableColumn id="16" name="Pick Up" dataDxfId="505"/>
    <tableColumn id="14" name="KAPAL" dataDxfId="504"/>
    <tableColumn id="15" name="ETD Kapal" dataDxfId="503"/>
    <tableColumn id="10" name="KETERANGAN" dataDxfId="502" dataCellStyle="Normal"/>
    <tableColumn id="5" name="P" dataDxfId="501" dataCellStyle="Normal"/>
    <tableColumn id="6" name="L" dataDxfId="500" dataCellStyle="Normal"/>
    <tableColumn id="7" name="T" dataDxfId="499" dataCellStyle="Normal"/>
    <tableColumn id="4" name="ACT KG" dataDxfId="498" dataCellStyle="Normal"/>
    <tableColumn id="8" name="KG VOLUME" dataDxfId="497" dataCellStyle="Normal"/>
    <tableColumn id="19" name="PEMBULATAN" dataDxfId="496"/>
  </tableColumns>
  <tableStyleInfo name="Table Style 1" showFirstColumn="0" showLastColumn="0" showRowStripes="1" showColumnStripes="0"/>
</table>
</file>

<file path=xl/tables/table69.xml><?xml version="1.0" encoding="utf-8"?>
<table xmlns="http://schemas.openxmlformats.org/spreadsheetml/2006/main" id="69" name="Table2245789101123456789101112131415161718192021222324252627282930313233343537383940414243444546474849505152535455565758596061626364656667686970" displayName="Table2245789101123456789101112131415161718192021222324252627282930313233343537383940414243444546474849505152535455565758596061626364656667686970" ref="C2:N42" totalsRowShown="0" headerRowDxfId="494" dataDxfId="492" headerRowBorderDxfId="493">
  <tableColumns count="12">
    <tableColumn id="1" name="NOMOR" dataDxfId="491" dataCellStyle="Normal"/>
    <tableColumn id="3" name="TUJUAN" dataDxfId="490" dataCellStyle="Normal"/>
    <tableColumn id="16" name="Pick Up" dataDxfId="489"/>
    <tableColumn id="14" name="KAPAL" dataDxfId="488"/>
    <tableColumn id="15" name="ETD Kapal" dataDxfId="487"/>
    <tableColumn id="10" name="KETERANGAN" dataDxfId="486" dataCellStyle="Normal"/>
    <tableColumn id="5" name="P" dataDxfId="485" dataCellStyle="Normal"/>
    <tableColumn id="6" name="L" dataDxfId="484" dataCellStyle="Normal"/>
    <tableColumn id="7" name="T" dataDxfId="483" dataCellStyle="Normal"/>
    <tableColumn id="4" name="ACT KG" dataDxfId="482" dataCellStyle="Normal"/>
    <tableColumn id="8" name="KG VOLUME" dataDxfId="481" dataCellStyle="Normal"/>
    <tableColumn id="19" name="PEMBULATAN" dataDxfId="48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123" totalsRowShown="0" headerRowDxfId="1494" dataDxfId="1492" headerRowBorderDxfId="1493">
  <tableColumns count="12">
    <tableColumn id="1" name="NOMOR" dataDxfId="1491" dataCellStyle="Normal"/>
    <tableColumn id="3" name="TUJUAN" dataDxfId="1490" dataCellStyle="Normal"/>
    <tableColumn id="16" name="Pick Up" dataDxfId="1489"/>
    <tableColumn id="14" name="KAPAL" dataDxfId="1488"/>
    <tableColumn id="15" name="ETD Kapal" dataDxfId="1487"/>
    <tableColumn id="10" name="KETERANGAN" dataDxfId="1486" dataCellStyle="Normal"/>
    <tableColumn id="5" name="P" dataDxfId="1485" dataCellStyle="Normal"/>
    <tableColumn id="6" name="L" dataDxfId="1484" dataCellStyle="Normal"/>
    <tableColumn id="7" name="T" dataDxfId="1483" dataCellStyle="Normal"/>
    <tableColumn id="4" name="ACT KG" dataDxfId="1482" dataCellStyle="Normal"/>
    <tableColumn id="8" name="KG VOLUME" dataDxfId="1481" dataCellStyle="Normal"/>
    <tableColumn id="19" name="PEMBULATAN" dataDxfId="1480"/>
  </tableColumns>
  <tableStyleInfo name="Table Style 1" showFirstColumn="0" showLastColumn="0" showRowStripes="1" showColumnStripes="0"/>
</table>
</file>

<file path=xl/tables/table70.xml><?xml version="1.0" encoding="utf-8"?>
<table xmlns="http://schemas.openxmlformats.org/spreadsheetml/2006/main" id="70" name="Table224578910112345678910111213141516171819202122232425262728293031323334353738394041424344454647484950515253545556575859606162636465666768697071" displayName="Table224578910112345678910111213141516171819202122232425262728293031323334353738394041424344454647484950515253545556575859606162636465666768697071" ref="C2:N196" totalsRowShown="0" headerRowDxfId="478" dataDxfId="476" headerRowBorderDxfId="477">
  <tableColumns count="12">
    <tableColumn id="1" name="NOMOR" dataDxfId="475" dataCellStyle="Normal"/>
    <tableColumn id="3" name="TUJUAN" dataDxfId="474" dataCellStyle="Normal"/>
    <tableColumn id="16" name="Pick Up" dataDxfId="473"/>
    <tableColumn id="14" name="KAPAL" dataDxfId="472"/>
    <tableColumn id="15" name="ETD Kapal" dataDxfId="471"/>
    <tableColumn id="10" name="KETERANGAN" dataDxfId="470" dataCellStyle="Normal"/>
    <tableColumn id="5" name="P" dataDxfId="469" dataCellStyle="Normal"/>
    <tableColumn id="6" name="L" dataDxfId="468" dataCellStyle="Normal"/>
    <tableColumn id="7" name="T" dataDxfId="467" dataCellStyle="Normal"/>
    <tableColumn id="4" name="ACT KG" dataDxfId="466" dataCellStyle="Normal"/>
    <tableColumn id="8" name="KG VOLUME" dataDxfId="465" dataCellStyle="Normal"/>
    <tableColumn id="19" name="PEMBULATAN" dataDxfId="464"/>
  </tableColumns>
  <tableStyleInfo name="Table Style 1" showFirstColumn="0" showLastColumn="0" showRowStripes="1" showColumnStripes="0"/>
</table>
</file>

<file path=xl/tables/table71.xml><?xml version="1.0" encoding="utf-8"?>
<table xmlns="http://schemas.openxmlformats.org/spreadsheetml/2006/main" id="71" name="Table22457891011234567891011121314151617181920212223242526272829303132333435373839404142434445464748495051525354555657585960616263646566676869707172" displayName="Table22457891011234567891011121314151617181920212223242526272829303132333435373839404142434445464748495051525354555657585960616263646566676869707172" ref="C2:N38" totalsRowShown="0" headerRowDxfId="462" dataDxfId="460" headerRowBorderDxfId="461">
  <tableColumns count="12">
    <tableColumn id="1" name="NOMOR" dataDxfId="459" dataCellStyle="Normal"/>
    <tableColumn id="3" name="TUJUAN" dataDxfId="458" dataCellStyle="Normal"/>
    <tableColumn id="16" name="Pick Up" dataDxfId="457"/>
    <tableColumn id="14" name="KAPAL" dataDxfId="456"/>
    <tableColumn id="15" name="ETD Kapal" dataDxfId="455"/>
    <tableColumn id="10" name="KETERANGAN" dataDxfId="454" dataCellStyle="Normal"/>
    <tableColumn id="5" name="P" dataDxfId="453" dataCellStyle="Normal"/>
    <tableColumn id="6" name="L" dataDxfId="452" dataCellStyle="Normal"/>
    <tableColumn id="7" name="T" dataDxfId="451" dataCellStyle="Normal"/>
    <tableColumn id="4" name="ACT KG" dataDxfId="450" dataCellStyle="Normal"/>
    <tableColumn id="8" name="KG VOLUME" dataDxfId="449" dataCellStyle="Normal"/>
    <tableColumn id="19" name="PEMBULATAN" dataDxfId="448"/>
  </tableColumns>
  <tableStyleInfo name="Table Style 1" showFirstColumn="0" showLastColumn="0" showRowStripes="1" showColumnStripes="0"/>
</table>
</file>

<file path=xl/tables/table72.xml><?xml version="1.0" encoding="utf-8"?>
<table xmlns="http://schemas.openxmlformats.org/spreadsheetml/2006/main" id="72" name="Table2245789101123456789101112131415161718192021222324252627282930313233343537383940414243444546474849505152535455565758596061626364656667686970717273" displayName="Table2245789101123456789101112131415161718192021222324252627282930313233343537383940414243444546474849505152535455565758596061626364656667686970717273" ref="C2:N35" totalsRowShown="0" headerRowDxfId="446" dataDxfId="444" headerRowBorderDxfId="445">
  <tableColumns count="12">
    <tableColumn id="1" name="NOMOR" dataDxfId="443" dataCellStyle="Normal"/>
    <tableColumn id="3" name="TUJUAN" dataDxfId="442" dataCellStyle="Normal"/>
    <tableColumn id="16" name="Pick Up" dataDxfId="441"/>
    <tableColumn id="14" name="KAPAL" dataDxfId="440"/>
    <tableColumn id="15" name="ETD Kapal" dataDxfId="439"/>
    <tableColumn id="10" name="KETERANGAN" dataDxfId="438" dataCellStyle="Normal"/>
    <tableColumn id="5" name="P" dataDxfId="437" dataCellStyle="Normal"/>
    <tableColumn id="6" name="L" dataDxfId="436" dataCellStyle="Normal"/>
    <tableColumn id="7" name="T" dataDxfId="435" dataCellStyle="Normal"/>
    <tableColumn id="4" name="ACT KG" dataDxfId="434" dataCellStyle="Normal"/>
    <tableColumn id="8" name="KG VOLUME" dataDxfId="433" dataCellStyle="Normal"/>
    <tableColumn id="19" name="PEMBULATAN" dataDxfId="432"/>
  </tableColumns>
  <tableStyleInfo name="Table Style 1" showFirstColumn="0" showLastColumn="0" showRowStripes="1" showColumnStripes="0"/>
</table>
</file>

<file path=xl/tables/table73.xml><?xml version="1.0" encoding="utf-8"?>
<table xmlns="http://schemas.openxmlformats.org/spreadsheetml/2006/main" id="73" name="Table224578910112345678910111213141516171819202122232425262728293031323334353738394041424344454647484950515253545556575859606162636465666768697071727374" displayName="Table224578910112345678910111213141516171819202122232425262728293031323334353738394041424344454647484950515253545556575859606162636465666768697071727374" ref="C2:N178" totalsRowShown="0" headerRowDxfId="430" dataDxfId="428" headerRowBorderDxfId="429">
  <tableColumns count="12">
    <tableColumn id="1" name="NOMOR" dataDxfId="427" dataCellStyle="Normal"/>
    <tableColumn id="3" name="TUJUAN" dataDxfId="426" dataCellStyle="Normal"/>
    <tableColumn id="16" name="Pick Up" dataDxfId="425"/>
    <tableColumn id="14" name="KAPAL" dataDxfId="424"/>
    <tableColumn id="15" name="ETD Kapal" dataDxfId="423"/>
    <tableColumn id="10" name="KETERANGAN" dataDxfId="422" dataCellStyle="Normal"/>
    <tableColumn id="5" name="P" dataDxfId="421" dataCellStyle="Normal"/>
    <tableColumn id="6" name="L" dataDxfId="420" dataCellStyle="Normal"/>
    <tableColumn id="7" name="T" dataDxfId="419" dataCellStyle="Normal"/>
    <tableColumn id="4" name="ACT KG" dataDxfId="418" dataCellStyle="Normal"/>
    <tableColumn id="8" name="KG VOLUME" dataDxfId="417" dataCellStyle="Normal"/>
    <tableColumn id="19" name="PEMBULATAN" dataDxfId="416"/>
  </tableColumns>
  <tableStyleInfo name="Table Style 1" showFirstColumn="0" showLastColumn="0" showRowStripes="1" showColumnStripes="0"/>
</table>
</file>

<file path=xl/tables/table74.xml><?xml version="1.0" encoding="utf-8"?>
<table xmlns="http://schemas.openxmlformats.org/spreadsheetml/2006/main" id="74" name="Table22457891011234567891011121314151617181920212223242526272829303132333435373839404142434445464748495051525354555657585960616263646566676869707172737475" displayName="Table22457891011234567891011121314151617181920212223242526272829303132333435373839404142434445464748495051525354555657585960616263646566676869707172737475" ref="C2:N30" totalsRowShown="0" headerRowDxfId="414" dataDxfId="412" headerRowBorderDxfId="413">
  <tableColumns count="12">
    <tableColumn id="1" name="NOMOR" dataDxfId="411" dataCellStyle="Normal"/>
    <tableColumn id="3" name="TUJUAN" dataDxfId="410" dataCellStyle="Normal"/>
    <tableColumn id="16" name="Pick Up" dataDxfId="409"/>
    <tableColumn id="14" name="KAPAL" dataDxfId="408"/>
    <tableColumn id="15" name="ETD Kapal" dataDxfId="407"/>
    <tableColumn id="10" name="KETERANGAN" dataDxfId="406" dataCellStyle="Normal"/>
    <tableColumn id="5" name="P" dataDxfId="405" dataCellStyle="Normal"/>
    <tableColumn id="6" name="L" dataDxfId="404" dataCellStyle="Normal"/>
    <tableColumn id="7" name="T" dataDxfId="403" dataCellStyle="Normal"/>
    <tableColumn id="4" name="ACT KG" dataDxfId="402" dataCellStyle="Normal"/>
    <tableColumn id="8" name="KG VOLUME" dataDxfId="401" dataCellStyle="Normal"/>
    <tableColumn id="19" name="PEMBULATAN" dataDxfId="400"/>
  </tableColumns>
  <tableStyleInfo name="Table Style 1" showFirstColumn="0" showLastColumn="0" showRowStripes="1" showColumnStripes="0"/>
</table>
</file>

<file path=xl/tables/table75.xml><?xml version="1.0" encoding="utf-8"?>
<table xmlns="http://schemas.openxmlformats.org/spreadsheetml/2006/main" id="75" name="Table2245789101123456789101112131415161718192021222324252627282930313233343537383940414243444546474849505152535455565758596061626364656667686970717273747576" displayName="Table2245789101123456789101112131415161718192021222324252627282930313233343537383940414243444546474849505152535455565758596061626364656667686970717273747576" ref="C2:N30" totalsRowShown="0" headerRowDxfId="398" dataDxfId="396" headerRowBorderDxfId="397">
  <tableColumns count="12">
    <tableColumn id="1" name="NOMOR" dataDxfId="395" dataCellStyle="Normal"/>
    <tableColumn id="3" name="TUJUAN" dataDxfId="394" dataCellStyle="Normal"/>
    <tableColumn id="16" name="Pick Up" dataDxfId="393"/>
    <tableColumn id="14" name="KAPAL" dataDxfId="392"/>
    <tableColumn id="15" name="ETD Kapal" dataDxfId="391"/>
    <tableColumn id="10" name="KETERANGAN" dataDxfId="390" dataCellStyle="Normal"/>
    <tableColumn id="5" name="P" dataDxfId="389" dataCellStyle="Normal"/>
    <tableColumn id="6" name="L" dataDxfId="388" dataCellStyle="Normal"/>
    <tableColumn id="7" name="T" dataDxfId="387" dataCellStyle="Normal"/>
    <tableColumn id="4" name="ACT KG" dataDxfId="386" dataCellStyle="Normal"/>
    <tableColumn id="8" name="KG VOLUME" dataDxfId="385" dataCellStyle="Normal"/>
    <tableColumn id="19" name="PEMBULATAN" dataDxfId="384"/>
  </tableColumns>
  <tableStyleInfo name="Table Style 1" showFirstColumn="0" showLastColumn="0" showRowStripes="1" showColumnStripes="0"/>
</table>
</file>

<file path=xl/tables/table76.xml><?xml version="1.0" encoding="utf-8"?>
<table xmlns="http://schemas.openxmlformats.org/spreadsheetml/2006/main" id="76" name="Table224578910112345678910111213141516171819202122232425262728293031323334353738394041424344454647484950515253545556575859606162636465666768697071727374757677" displayName="Table224578910112345678910111213141516171819202122232425262728293031323334353738394041424344454647484950515253545556575859606162636465666768697071727374757677" ref="C2:N174" totalsRowShown="0" headerRowDxfId="382" dataDxfId="380" headerRowBorderDxfId="381">
  <tableColumns count="12">
    <tableColumn id="1" name="NOMOR" dataDxfId="379" dataCellStyle="Normal"/>
    <tableColumn id="3" name="TUJUAN" dataDxfId="378" dataCellStyle="Normal"/>
    <tableColumn id="16" name="Pick Up" dataDxfId="377"/>
    <tableColumn id="14" name="KAPAL" dataDxfId="376"/>
    <tableColumn id="15" name="ETD Kapal" dataDxfId="375"/>
    <tableColumn id="10" name="KETERANGAN" dataDxfId="374" dataCellStyle="Normal"/>
    <tableColumn id="5" name="P" dataDxfId="373" dataCellStyle="Normal"/>
    <tableColumn id="6" name="L" dataDxfId="372" dataCellStyle="Normal"/>
    <tableColumn id="7" name="T" dataDxfId="371" dataCellStyle="Normal"/>
    <tableColumn id="4" name="ACT KG" dataDxfId="370" dataCellStyle="Normal"/>
    <tableColumn id="8" name="KG VOLUME" dataDxfId="369" dataCellStyle="Normal"/>
    <tableColumn id="19" name="PEMBULATAN" dataDxfId="368"/>
  </tableColumns>
  <tableStyleInfo name="Table Style 1" showFirstColumn="0" showLastColumn="0" showRowStripes="1" showColumnStripes="0"/>
</table>
</file>

<file path=xl/tables/table77.xml><?xml version="1.0" encoding="utf-8"?>
<table xmlns="http://schemas.openxmlformats.org/spreadsheetml/2006/main" id="77" name="Table22457891011234567891011121314151617181920212223242526272829303132333435373839404142434445464748495051525354555657585960616263646566676869707172737475767778" displayName="Table22457891011234567891011121314151617181920212223242526272829303132333435373839404142434445464748495051525354555657585960616263646566676869707172737475767778" ref="C2:N27" totalsRowShown="0" headerRowDxfId="366" dataDxfId="364" headerRowBorderDxfId="365">
  <tableColumns count="12">
    <tableColumn id="1" name="NOMOR" dataDxfId="363" dataCellStyle="Normal"/>
    <tableColumn id="3" name="TUJUAN" dataDxfId="362" dataCellStyle="Normal"/>
    <tableColumn id="16" name="Pick Up" dataDxfId="361"/>
    <tableColumn id="14" name="KAPAL" dataDxfId="360"/>
    <tableColumn id="15" name="ETD Kapal" dataDxfId="359"/>
    <tableColumn id="10" name="KETERANGAN" dataDxfId="358" dataCellStyle="Normal"/>
    <tableColumn id="5" name="P" dataDxfId="357" dataCellStyle="Normal"/>
    <tableColumn id="6" name="L" dataDxfId="356" dataCellStyle="Normal"/>
    <tableColumn id="7" name="T" dataDxfId="355" dataCellStyle="Normal"/>
    <tableColumn id="4" name="ACT KG" dataDxfId="354" dataCellStyle="Normal"/>
    <tableColumn id="8" name="KG VOLUME" dataDxfId="353" dataCellStyle="Normal"/>
    <tableColumn id="19" name="PEMBULATAN" dataDxfId="352"/>
  </tableColumns>
  <tableStyleInfo name="Table Style 1" showFirstColumn="0" showLastColumn="0" showRowStripes="1" showColumnStripes="0"/>
</table>
</file>

<file path=xl/tables/table78.xml><?xml version="1.0" encoding="utf-8"?>
<table xmlns="http://schemas.openxmlformats.org/spreadsheetml/2006/main" id="78" name="Table2245789101123456789101112131415161718192021222324252627282930313233343537383940414243444546474849505152535455565758596061626364656667686970717273747576777879" displayName="Table2245789101123456789101112131415161718192021222324252627282930313233343537383940414243444546474849505152535455565758596061626364656667686970717273747576777879" ref="C2:N33" totalsRowShown="0" headerRowDxfId="350" dataDxfId="348" headerRowBorderDxfId="349">
  <tableColumns count="12">
    <tableColumn id="1" name="NOMOR" dataDxfId="347" dataCellStyle="Normal"/>
    <tableColumn id="3" name="TUJUAN" dataDxfId="346" dataCellStyle="Normal"/>
    <tableColumn id="16" name="Pick Up" dataDxfId="345"/>
    <tableColumn id="14" name="KAPAL" dataDxfId="344"/>
    <tableColumn id="15" name="ETD Kapal" dataDxfId="343"/>
    <tableColumn id="10" name="KETERANGAN" dataDxfId="342" dataCellStyle="Normal"/>
    <tableColumn id="5" name="P" dataDxfId="341" dataCellStyle="Normal"/>
    <tableColumn id="6" name="L" dataDxfId="340" dataCellStyle="Normal"/>
    <tableColumn id="7" name="T" dataDxfId="339" dataCellStyle="Normal"/>
    <tableColumn id="4" name="ACT KG" dataDxfId="338" dataCellStyle="Normal"/>
    <tableColumn id="8" name="KG VOLUME" dataDxfId="337" dataCellStyle="Normal"/>
    <tableColumn id="19" name="PEMBULATAN" dataDxfId="336"/>
  </tableColumns>
  <tableStyleInfo name="Table Style 1" showFirstColumn="0" showLastColumn="0" showRowStripes="1" showColumnStripes="0"/>
</table>
</file>

<file path=xl/tables/table79.xml><?xml version="1.0" encoding="utf-8"?>
<table xmlns="http://schemas.openxmlformats.org/spreadsheetml/2006/main" id="79" name="Table224578910112345678910111213141516171819202122232425262728293031323334353738394041424344454647484950515253545556575859606162636465666768697071727374757677787980" displayName="Table224578910112345678910111213141516171819202122232425262728293031323334353738394041424344454647484950515253545556575859606162636465666768697071727374757677787980" ref="C2:N138" totalsRowShown="0" headerRowDxfId="334" dataDxfId="332" headerRowBorderDxfId="333"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/>
    <tableColumn id="19" name="PEMBULATAN" dataDxfId="320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16" totalsRowShown="0" headerRowDxfId="1476" dataDxfId="1474" headerRowBorderDxfId="1475">
  <tableColumns count="12">
    <tableColumn id="1" name="NOMOR" dataDxfId="1473" dataCellStyle="Normal"/>
    <tableColumn id="3" name="TUJUAN" dataDxfId="1472" dataCellStyle="Normal"/>
    <tableColumn id="16" name="Pick Up" dataDxfId="1471"/>
    <tableColumn id="14" name="KAPAL" dataDxfId="1470"/>
    <tableColumn id="15" name="ETD Kapal" dataDxfId="1469"/>
    <tableColumn id="10" name="KETERANGAN" dataDxfId="1468" dataCellStyle="Normal"/>
    <tableColumn id="5" name="P" dataDxfId="1467" dataCellStyle="Normal"/>
    <tableColumn id="6" name="L" dataDxfId="1466" dataCellStyle="Normal"/>
    <tableColumn id="7" name="T" dataDxfId="1465" dataCellStyle="Normal"/>
    <tableColumn id="4" name="ACT KG" dataDxfId="1464" dataCellStyle="Normal"/>
    <tableColumn id="8" name="KG VOLUME" dataDxfId="1463" dataCellStyle="Normal"/>
    <tableColumn id="19" name="PEMBULATAN" dataDxfId="1462"/>
  </tableColumns>
  <tableStyleInfo name="Table Style 1" showFirstColumn="0" showLastColumn="0" showRowStripes="1" showColumnStripes="0"/>
</table>
</file>

<file path=xl/tables/table80.xml><?xml version="1.0" encoding="utf-8"?>
<table xmlns="http://schemas.openxmlformats.org/spreadsheetml/2006/main" id="80" name="Table22457891011234567891011121314151617181920212223242526272829303132333435373839404142434445464748495051525354555657585960616263646566676869707172737475767778798081" displayName="Table22457891011234567891011121314151617181920212223242526272829303132333435373839404142434445464748495051525354555657585960616263646566676869707172737475767778798081" ref="C2:N19" totalsRowShown="0" headerRowDxfId="318" dataDxfId="316" headerRowBorderDxfId="317">
  <tableColumns count="12">
    <tableColumn id="1" name="NOMOR" dataDxfId="315" dataCellStyle="Normal"/>
    <tableColumn id="3" name="TUJUAN" dataDxfId="314" dataCellStyle="Normal"/>
    <tableColumn id="16" name="Pick Up" dataDxfId="313"/>
    <tableColumn id="14" name="KAPAL" dataDxfId="312"/>
    <tableColumn id="15" name="ETD Kapal" dataDxfId="311"/>
    <tableColumn id="10" name="KETERANGAN" dataDxfId="310" dataCellStyle="Normal"/>
    <tableColumn id="5" name="P" dataDxfId="309" dataCellStyle="Normal"/>
    <tableColumn id="6" name="L" dataDxfId="308" dataCellStyle="Normal"/>
    <tableColumn id="7" name="T" dataDxfId="307" dataCellStyle="Normal"/>
    <tableColumn id="4" name="ACT KG" dataDxfId="306" dataCellStyle="Normal"/>
    <tableColumn id="8" name="KG VOLUME" dataDxfId="305" dataCellStyle="Normal"/>
    <tableColumn id="19" name="PEMBULATAN" dataDxfId="304"/>
  </tableColumns>
  <tableStyleInfo name="Table Style 1" showFirstColumn="0" showLastColumn="0" showRowStripes="1" showColumnStripes="0"/>
</table>
</file>

<file path=xl/tables/table81.xml><?xml version="1.0" encoding="utf-8"?>
<table xmlns="http://schemas.openxmlformats.org/spreadsheetml/2006/main" id="81" name="Table2245789101123456789101112131415161718192021222324252627282930313233343537383940414243444546474849505152535455565758596061626364656667686970717273747576777879808182" displayName="Table2245789101123456789101112131415161718192021222324252627282930313233343537383940414243444546474849505152535455565758596061626364656667686970717273747576777879808182" ref="C2:N27" totalsRowShown="0" headerRowDxfId="302" dataDxfId="300" headerRowBorderDxfId="301">
  <tableColumns count="12">
    <tableColumn id="1" name="NOMOR" dataDxfId="299" dataCellStyle="Normal"/>
    <tableColumn id="3" name="TUJUAN" dataDxfId="298" dataCellStyle="Normal"/>
    <tableColumn id="16" name="Pick Up" dataDxfId="297"/>
    <tableColumn id="14" name="KAPAL" dataDxfId="296"/>
    <tableColumn id="15" name="ETD Kapal" dataDxfId="295"/>
    <tableColumn id="10" name="KETERANGAN" dataDxfId="294" dataCellStyle="Normal"/>
    <tableColumn id="5" name="P" dataDxfId="293" dataCellStyle="Normal"/>
    <tableColumn id="6" name="L" dataDxfId="292" dataCellStyle="Normal"/>
    <tableColumn id="7" name="T" dataDxfId="291" dataCellStyle="Normal"/>
    <tableColumn id="4" name="ACT KG" dataDxfId="290" dataCellStyle="Normal"/>
    <tableColumn id="8" name="KG VOLUME" dataDxfId="289" dataCellStyle="Normal"/>
    <tableColumn id="19" name="PEMBULATAN" dataDxfId="288"/>
  </tableColumns>
  <tableStyleInfo name="Table Style 1" showFirstColumn="0" showLastColumn="0" showRowStripes="1" showColumnStripes="0"/>
</table>
</file>

<file path=xl/tables/table82.xml><?xml version="1.0" encoding="utf-8"?>
<table xmlns="http://schemas.openxmlformats.org/spreadsheetml/2006/main" id="82" name="Table224578910112345678910111213141516171819202122232425262728293031323334353738394041424344454647484950515253545556575859606162636465666768697071727374757677787980818283" displayName="Table224578910112345678910111213141516171819202122232425262728293031323334353738394041424344454647484950515253545556575859606162636465666768697071727374757677787980818283" ref="C2:N90" totalsRowShown="0" headerRowDxfId="286" dataDxfId="284" headerRowBorderDxfId="285">
  <tableColumns count="12">
    <tableColumn id="1" name="NOMOR" dataDxfId="283" dataCellStyle="Normal"/>
    <tableColumn id="3" name="TUJUAN" dataDxfId="282" dataCellStyle="Normal"/>
    <tableColumn id="16" name="Pick Up" dataDxfId="281"/>
    <tableColumn id="14" name="KAPAL" dataDxfId="280"/>
    <tableColumn id="15" name="ETD Kapal" dataDxfId="279"/>
    <tableColumn id="10" name="KETERANGAN" dataDxfId="278" dataCellStyle="Normal"/>
    <tableColumn id="5" name="P" dataDxfId="277" dataCellStyle="Normal"/>
    <tableColumn id="6" name="L" dataDxfId="276" dataCellStyle="Normal"/>
    <tableColumn id="7" name="T" dataDxfId="275" dataCellStyle="Normal"/>
    <tableColumn id="4" name="ACT KG" dataDxfId="274" dataCellStyle="Normal"/>
    <tableColumn id="8" name="KG VOLUME" dataDxfId="273" dataCellStyle="Normal"/>
    <tableColumn id="19" name="PEMBULATAN" dataDxfId="272"/>
  </tableColumns>
  <tableStyleInfo name="Table Style 1" showFirstColumn="0" showLastColumn="0" showRowStripes="1" showColumnStripes="0"/>
</table>
</file>

<file path=xl/tables/table83.xml><?xml version="1.0" encoding="utf-8"?>
<table xmlns="http://schemas.openxmlformats.org/spreadsheetml/2006/main" id="83" name="Table22457891011234567891011121314151617181920212223242526272829303132333435373839404142434445464748495051525354555657585960616263646566676869707172737475767778798081828384" displayName="Table22457891011234567891011121314151617181920212223242526272829303132333435373839404142434445464748495051525354555657585960616263646566676869707172737475767778798081828384" ref="C2:N16" totalsRowShown="0" headerRowDxfId="270" dataDxfId="268" headerRowBorderDxfId="269">
  <tableColumns count="12">
    <tableColumn id="1" name="NOMOR" dataDxfId="267" dataCellStyle="Normal"/>
    <tableColumn id="3" name="TUJUAN" dataDxfId="266" dataCellStyle="Normal"/>
    <tableColumn id="16" name="Pick Up" dataDxfId="265"/>
    <tableColumn id="14" name="KAPAL" dataDxfId="264"/>
    <tableColumn id="15" name="ETD Kapal" dataDxfId="263"/>
    <tableColumn id="10" name="KETERANGAN" dataDxfId="262" dataCellStyle="Normal"/>
    <tableColumn id="5" name="P" dataDxfId="261" dataCellStyle="Normal"/>
    <tableColumn id="6" name="L" dataDxfId="260" dataCellStyle="Normal"/>
    <tableColumn id="7" name="T" dataDxfId="259" dataCellStyle="Normal"/>
    <tableColumn id="4" name="ACT KG" dataDxfId="258" dataCellStyle="Normal"/>
    <tableColumn id="8" name="KG VOLUME" dataDxfId="257" dataCellStyle="Normal"/>
    <tableColumn id="19" name="PEMBULATAN" dataDxfId="256"/>
  </tableColumns>
  <tableStyleInfo name="Table Style 1" showFirstColumn="0" showLastColumn="0" showRowStripes="1" showColumnStripes="0"/>
</table>
</file>

<file path=xl/tables/table84.xml><?xml version="1.0" encoding="utf-8"?>
<table xmlns="http://schemas.openxmlformats.org/spreadsheetml/2006/main" id="84" name="Table2245789101123456789101112131415161718192021222324252627282930313233343537383940414243444546474849505152535455565758596061626364656667686970717273747576777879808182838485" displayName="Table2245789101123456789101112131415161718192021222324252627282930313233343537383940414243444546474849505152535455565758596061626364656667686970717273747576777879808182838485" ref="C2:N15" totalsRowShown="0" headerRowDxfId="254" dataDxfId="252" headerRowBorderDxfId="253">
  <tableColumns count="12">
    <tableColumn id="1" name="NOMOR" dataDxfId="251" dataCellStyle="Normal"/>
    <tableColumn id="3" name="TUJUAN" dataDxfId="250" dataCellStyle="Normal"/>
    <tableColumn id="16" name="Pick Up" dataDxfId="249"/>
    <tableColumn id="14" name="KAPAL" dataDxfId="248"/>
    <tableColumn id="15" name="ETD Kapal" dataDxfId="247"/>
    <tableColumn id="10" name="KETERANGAN" dataDxfId="246" dataCellStyle="Normal"/>
    <tableColumn id="5" name="P" dataDxfId="245" dataCellStyle="Normal"/>
    <tableColumn id="6" name="L" dataDxfId="244" dataCellStyle="Normal"/>
    <tableColumn id="7" name="T" dataDxfId="243" dataCellStyle="Normal"/>
    <tableColumn id="4" name="ACT KG" dataDxfId="242" dataCellStyle="Normal"/>
    <tableColumn id="8" name="KG VOLUME" dataDxfId="241" dataCellStyle="Normal"/>
    <tableColumn id="19" name="PEMBULATAN" dataDxfId="240"/>
  </tableColumns>
  <tableStyleInfo name="Table Style 1" showFirstColumn="0" showLastColumn="0" showRowStripes="1" showColumnStripes="0"/>
</table>
</file>

<file path=xl/tables/table85.xml><?xml version="1.0" encoding="utf-8"?>
<table xmlns="http://schemas.openxmlformats.org/spreadsheetml/2006/main" id="85" name="Table224578910112345678910111213141516171819202122232425262728293031323334353738394041424344454647484950515253545556575859606162636465666768697071727374757677787980818283848586" displayName="Table224578910112345678910111213141516171819202122232425262728293031323334353738394041424344454647484950515253545556575859606162636465666768697071727374757677787980818283848586" ref="C2:N38" totalsRowShown="0" headerRowDxfId="238" dataDxfId="236" headerRowBorderDxfId="237">
  <tableColumns count="12">
    <tableColumn id="1" name="NOMOR" dataDxfId="235" dataCellStyle="Normal"/>
    <tableColumn id="3" name="TUJUAN" dataDxfId="234" dataCellStyle="Normal"/>
    <tableColumn id="16" name="Pick Up" dataDxfId="233"/>
    <tableColumn id="14" name="KAPAL" dataDxfId="232"/>
    <tableColumn id="15" name="ETD Kapal" dataDxfId="231"/>
    <tableColumn id="10" name="KETERANGAN" dataDxfId="230" dataCellStyle="Normal"/>
    <tableColumn id="5" name="P" dataDxfId="229" dataCellStyle="Normal"/>
    <tableColumn id="6" name="L" dataDxfId="228" dataCellStyle="Normal"/>
    <tableColumn id="7" name="T" dataDxfId="227" dataCellStyle="Normal"/>
    <tableColumn id="4" name="ACT KG" dataDxfId="226" dataCellStyle="Normal"/>
    <tableColumn id="8" name="KG VOLUME" dataDxfId="225" dataCellStyle="Normal"/>
    <tableColumn id="19" name="PEMBULATAN" dataDxfId="224"/>
  </tableColumns>
  <tableStyleInfo name="Table Style 1" showFirstColumn="0" showLastColumn="0" showRowStripes="1" showColumnStripes="0"/>
</table>
</file>

<file path=xl/tables/table86.xml><?xml version="1.0" encoding="utf-8"?>
<table xmlns="http://schemas.openxmlformats.org/spreadsheetml/2006/main" id="86" name="Table22457891011234567891011121314151617181920212223242526272829303132333435373839404142434445464748495051525354555657585960616263646566676869707172737475767778798081828384858687" displayName="Table22457891011234567891011121314151617181920212223242526272829303132333435373839404142434445464748495051525354555657585960616263646566676869707172737475767778798081828384858687" ref="C2:N37" totalsRowShown="0" headerRowDxfId="222" dataDxfId="220" headerRowBorderDxfId="221">
  <tableColumns count="12">
    <tableColumn id="1" name="NOMOR" dataDxfId="219" dataCellStyle="Normal"/>
    <tableColumn id="3" name="TUJUAN" dataDxfId="218" dataCellStyle="Normal"/>
    <tableColumn id="16" name="Pick Up" dataDxfId="217"/>
    <tableColumn id="14" name="KAPAL" dataDxfId="216"/>
    <tableColumn id="15" name="ETD Kapal" dataDxfId="215"/>
    <tableColumn id="10" name="KETERANGAN" dataDxfId="214" dataCellStyle="Normal"/>
    <tableColumn id="5" name="P" dataDxfId="213" dataCellStyle="Normal"/>
    <tableColumn id="6" name="L" dataDxfId="212" dataCellStyle="Normal"/>
    <tableColumn id="7" name="T" dataDxfId="211" dataCellStyle="Normal"/>
    <tableColumn id="4" name="ACT KG" dataDxfId="210" dataCellStyle="Normal"/>
    <tableColumn id="8" name="KG VOLUME" dataDxfId="209" dataCellStyle="Normal"/>
    <tableColumn id="19" name="PEMBULATAN" dataDxfId="208"/>
  </tableColumns>
  <tableStyleInfo name="Table Style 1" showFirstColumn="0" showLastColumn="0" showRowStripes="1" showColumnStripes="0"/>
</table>
</file>

<file path=xl/tables/table87.xml><?xml version="1.0" encoding="utf-8"?>
<table xmlns="http://schemas.openxmlformats.org/spreadsheetml/2006/main" id="87" name="Table2245789101123456789101112131415161718192021222324252627282930313233343537383940414243444546474849505152535455565758596061626364656667686970717273747576777879808182838485868788" displayName="Table2245789101123456789101112131415161718192021222324252627282930313233343537383940414243444546474849505152535455565758596061626364656667686970717273747576777879808182838485868788" ref="C2:N38" totalsRowShown="0" headerRowDxfId="206" dataDxfId="204" headerRowBorderDxfId="205">
  <tableColumns count="12">
    <tableColumn id="1" name="NOMOR" dataDxfId="203" dataCellStyle="Normal"/>
    <tableColumn id="3" name="TUJUAN" dataDxfId="202" dataCellStyle="Normal"/>
    <tableColumn id="16" name="Pick Up" dataDxfId="201"/>
    <tableColumn id="14" name="KAPAL" dataDxfId="200"/>
    <tableColumn id="15" name="ETD Kapal" dataDxfId="199"/>
    <tableColumn id="10" name="KETERANGAN" dataDxfId="198" dataCellStyle="Normal"/>
    <tableColumn id="5" name="P" dataDxfId="197" dataCellStyle="Normal"/>
    <tableColumn id="6" name="L" dataDxfId="196" dataCellStyle="Normal"/>
    <tableColumn id="7" name="T" dataDxfId="195" dataCellStyle="Normal"/>
    <tableColumn id="4" name="ACT KG" dataDxfId="194" dataCellStyle="Normal"/>
    <tableColumn id="8" name="KG VOLUME" dataDxfId="193" dataCellStyle="Normal"/>
    <tableColumn id="19" name="PEMBULATAN" dataDxfId="192"/>
  </tableColumns>
  <tableStyleInfo name="Table Style 1" showFirstColumn="0" showLastColumn="0" showRowStripes="1" showColumnStripes="0"/>
</table>
</file>

<file path=xl/tables/table88.xml><?xml version="1.0" encoding="utf-8"?>
<table xmlns="http://schemas.openxmlformats.org/spreadsheetml/2006/main" id="88" name="Table224578910112345678910111213141516171819202122232425262728293031323334353738394041424344454647484950515253545556575859606162636465666768697071727374757677787980818283848586878889" displayName="Table224578910112345678910111213141516171819202122232425262728293031323334353738394041424344454647484950515253545556575859606162636465666768697071727374757677787980818283848586878889" ref="C2:N157" totalsRowShown="0" headerRowDxfId="190" dataDxfId="188" headerRowBorderDxfId="189">
  <tableColumns count="12">
    <tableColumn id="1" name="NOMOR" dataDxfId="187" dataCellStyle="Normal"/>
    <tableColumn id="3" name="TUJUAN" dataDxfId="186" dataCellStyle="Normal"/>
    <tableColumn id="16" name="Pick Up" dataDxfId="185"/>
    <tableColumn id="14" name="KAPAL" dataDxfId="184"/>
    <tableColumn id="15" name="ETD Kapal" dataDxfId="183"/>
    <tableColumn id="10" name="KETERANGAN" dataDxfId="182" dataCellStyle="Normal"/>
    <tableColumn id="5" name="P" dataDxfId="181" dataCellStyle="Normal"/>
    <tableColumn id="6" name="L" dataDxfId="180" dataCellStyle="Normal"/>
    <tableColumn id="7" name="T" dataDxfId="179" dataCellStyle="Normal"/>
    <tableColumn id="4" name="ACT KG" dataDxfId="178" dataCellStyle="Normal"/>
    <tableColumn id="8" name="KG VOLUME" dataDxfId="177" dataCellStyle="Normal"/>
    <tableColumn id="19" name="PEMBULATAN" dataDxfId="176"/>
  </tableColumns>
  <tableStyleInfo name="Table Style 1" showFirstColumn="0" showLastColumn="0" showRowStripes="1" showColumnStripes="0"/>
</table>
</file>

<file path=xl/tables/table89.xml><?xml version="1.0" encoding="utf-8"?>
<table xmlns="http://schemas.openxmlformats.org/spreadsheetml/2006/main" id="89" name="Table22457891011234567891011121314151617181920212223242526272829303132333435373839404142434445464748495051525354555657585960616263646566676869707172737475767778798081828384858687888990" displayName="Table22457891011234567891011121314151617181920212223242526272829303132333435373839404142434445464748495051525354555657585960616263646566676869707172737475767778798081828384858687888990" ref="C2:N5" totalsRowShown="0" headerRowDxfId="174" dataDxfId="172" headerRowBorderDxfId="173">
  <tableColumns count="12">
    <tableColumn id="1" name="NOMOR" dataDxfId="171" dataCellStyle="Normal"/>
    <tableColumn id="3" name="TUJUAN" dataDxfId="170" dataCellStyle="Normal"/>
    <tableColumn id="16" name="Pick Up" dataDxfId="169"/>
    <tableColumn id="14" name="KAPAL" dataDxfId="168"/>
    <tableColumn id="15" name="ETD Kapal" dataDxfId="167"/>
    <tableColumn id="10" name="KETERANGAN" dataDxfId="166" dataCellStyle="Normal"/>
    <tableColumn id="5" name="P" dataDxfId="165" dataCellStyle="Normal"/>
    <tableColumn id="6" name="L" dataDxfId="164" dataCellStyle="Normal"/>
    <tableColumn id="7" name="T" dataDxfId="163" dataCellStyle="Normal"/>
    <tableColumn id="4" name="ACT KG" dataDxfId="162" dataCellStyle="Normal"/>
    <tableColumn id="8" name="KG VOLUME" dataDxfId="161" dataCellStyle="Normal"/>
    <tableColumn id="19" name="PEMBULATAN" dataDxfId="160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25" totalsRowShown="0" headerRowDxfId="1458" dataDxfId="1456" headerRowBorderDxfId="1457">
  <tableColumns count="12">
    <tableColumn id="1" name="NOMOR" dataDxfId="1455" dataCellStyle="Normal"/>
    <tableColumn id="3" name="TUJUAN" dataDxfId="1454" dataCellStyle="Normal"/>
    <tableColumn id="16" name="Pick Up" dataDxfId="1453"/>
    <tableColumn id="14" name="KAPAL" dataDxfId="1452"/>
    <tableColumn id="15" name="ETD Kapal" dataDxfId="1451"/>
    <tableColumn id="10" name="KETERANGAN" dataDxfId="1450" dataCellStyle="Normal"/>
    <tableColumn id="5" name="P" dataDxfId="1449" dataCellStyle="Normal"/>
    <tableColumn id="6" name="L" dataDxfId="1448" dataCellStyle="Normal"/>
    <tableColumn id="7" name="T" dataDxfId="1447" dataCellStyle="Normal"/>
    <tableColumn id="4" name="ACT KG" dataDxfId="1446" dataCellStyle="Normal"/>
    <tableColumn id="8" name="KG VOLUME" dataDxfId="1445" dataCellStyle="Normal"/>
    <tableColumn id="19" name="PEMBULATAN" dataDxfId="1444"/>
  </tableColumns>
  <tableStyleInfo name="Table Style 1" showFirstColumn="0" showLastColumn="0" showRowStripes="1" showColumnStripes="0"/>
</table>
</file>

<file path=xl/tables/table90.xml><?xml version="1.0" encoding="utf-8"?>
<table xmlns="http://schemas.openxmlformats.org/spreadsheetml/2006/main" id="90" name="Table2245789101123456789101112131415161718192021222324252627282930313233343537383940414243444546474849505152535455565758596061626364656667686970717273747576777879808182838485868788899091" displayName="Table2245789101123456789101112131415161718192021222324252627282930313233343537383940414243444546474849505152535455565758596061626364656667686970717273747576777879808182838485868788899091" ref="C2:N31" totalsRowShown="0" headerRowDxfId="158" dataDxfId="156" headerRowBorderDxfId="157">
  <tableColumns count="12">
    <tableColumn id="1" name="NOMOR" dataDxfId="155" dataCellStyle="Normal"/>
    <tableColumn id="3" name="TUJUAN" dataDxfId="154" dataCellStyle="Normal"/>
    <tableColumn id="16" name="Pick Up" dataDxfId="153"/>
    <tableColumn id="14" name="KAPAL" dataDxfId="152"/>
    <tableColumn id="15" name="ETD Kapal" dataDxfId="151"/>
    <tableColumn id="10" name="KETERANGAN" dataDxfId="150" dataCellStyle="Normal"/>
    <tableColumn id="5" name="P" dataDxfId="149" dataCellStyle="Normal"/>
    <tableColumn id="6" name="L" dataDxfId="148" dataCellStyle="Normal"/>
    <tableColumn id="7" name="T" dataDxfId="147" dataCellStyle="Normal"/>
    <tableColumn id="4" name="ACT KG" dataDxfId="146" dataCellStyle="Normal"/>
    <tableColumn id="8" name="KG VOLUME" dataDxfId="145" dataCellStyle="Normal"/>
    <tableColumn id="19" name="PEMBULATAN" dataDxfId="144"/>
  </tableColumns>
  <tableStyleInfo name="Table Style 1" showFirstColumn="0" showLastColumn="0" showRowStripes="1" showColumnStripes="0"/>
</table>
</file>

<file path=xl/tables/table91.xml><?xml version="1.0" encoding="utf-8"?>
<table xmlns="http://schemas.openxmlformats.org/spreadsheetml/2006/main" id="91" name="Table224578910112345678910111213141516171819202122232425262728293031323334353738394041424344454647484950515253545556575859606162636465666768697071727374757677787980818283848586878889909192" displayName="Table224578910112345678910111213141516171819202122232425262728293031323334353738394041424344454647484950515253545556575859606162636465666768697071727374757677787980818283848586878889909192" ref="C2:N14" totalsRowShown="0" headerRowDxfId="142" dataDxfId="140" headerRowBorderDxfId="141">
  <tableColumns count="12">
    <tableColumn id="1" name="NOMOR" dataDxfId="139" dataCellStyle="Normal"/>
    <tableColumn id="3" name="TUJUAN" dataDxfId="138" dataCellStyle="Normal"/>
    <tableColumn id="16" name="Pick Up" dataDxfId="137"/>
    <tableColumn id="14" name="KAPAL" dataDxfId="136"/>
    <tableColumn id="15" name="ETD Kapal" dataDxfId="135"/>
    <tableColumn id="10" name="KETERANGAN" dataDxfId="134" dataCellStyle="Normal"/>
    <tableColumn id="5" name="P" dataDxfId="133" dataCellStyle="Normal"/>
    <tableColumn id="6" name="L" dataDxfId="132" dataCellStyle="Normal"/>
    <tableColumn id="7" name="T" dataDxfId="131" dataCellStyle="Normal"/>
    <tableColumn id="4" name="ACT KG" dataDxfId="130" dataCellStyle="Normal"/>
    <tableColumn id="8" name="KG VOLUME" dataDxfId="129" dataCellStyle="Normal"/>
    <tableColumn id="19" name="PEMBULATAN" dataDxfId="128"/>
  </tableColumns>
  <tableStyleInfo name="Table Style 1" showFirstColumn="0" showLastColumn="0" showRowStripes="1" showColumnStripes="0"/>
</table>
</file>

<file path=xl/tables/table92.xml><?xml version="1.0" encoding="utf-8"?>
<table xmlns="http://schemas.openxmlformats.org/spreadsheetml/2006/main" id="92" name="Table22457891011234567891011121314151617181920212223242526272829303132333435373839404142434445464748495051525354555657585960616263646566676869707172737475767778798081828384858687888990919293" displayName="Table22457891011234567891011121314151617181920212223242526272829303132333435373839404142434445464748495051525354555657585960616263646566676869707172737475767778798081828384858687888990919293" ref="C2:N27" totalsRowShown="0" headerRowDxfId="126" dataDxfId="124" headerRowBorderDxfId="125">
  <tableColumns count="12">
    <tableColumn id="1" name="NOMOR" dataDxfId="123" dataCellStyle="Normal"/>
    <tableColumn id="3" name="TUJUAN" dataDxfId="122" dataCellStyle="Normal"/>
    <tableColumn id="16" name="Pick Up" dataDxfId="121"/>
    <tableColumn id="14" name="KAPAL" dataDxfId="120"/>
    <tableColumn id="15" name="ETD Kapal" dataDxfId="119"/>
    <tableColumn id="10" name="KETERANGAN" dataDxfId="118" dataCellStyle="Normal"/>
    <tableColumn id="5" name="P" dataDxfId="117" dataCellStyle="Normal"/>
    <tableColumn id="6" name="L" dataDxfId="116" dataCellStyle="Normal"/>
    <tableColumn id="7" name="T" dataDxfId="115" dataCellStyle="Normal"/>
    <tableColumn id="4" name="ACT KG" dataDxfId="114" dataCellStyle="Normal"/>
    <tableColumn id="8" name="KG VOLUME" dataDxfId="113" dataCellStyle="Normal"/>
    <tableColumn id="19" name="PEMBULATAN" dataDxfId="112"/>
  </tableColumns>
  <tableStyleInfo name="Table Style 1" showFirstColumn="0" showLastColumn="0" showRowStripes="1" showColumnStripes="0"/>
</table>
</file>

<file path=xl/tables/table93.xml><?xml version="1.0" encoding="utf-8"?>
<table xmlns="http://schemas.openxmlformats.org/spreadsheetml/2006/main" id="93" name="Table2245789101123456789101112131415161718192021222324252627282930313233343537383940414243444546474849505152535455565758596061626364656667686970717273747576777879808182838485868788899091929394" displayName="Table2245789101123456789101112131415161718192021222324252627282930313233343537383940414243444546474849505152535455565758596061626364656667686970717273747576777879808182838485868788899091929394" ref="C2:N129" totalsRowShown="0" headerRowDxfId="110" dataDxfId="108" headerRowBorderDxfId="109">
  <tableColumns count="12">
    <tableColumn id="1" name="NOMOR" dataDxfId="107" dataCellStyle="Normal"/>
    <tableColumn id="3" name="TUJUAN" dataDxfId="106" dataCellStyle="Normal"/>
    <tableColumn id="16" name="Pick Up" dataDxfId="105"/>
    <tableColumn id="14" name="KAPAL" dataDxfId="104"/>
    <tableColumn id="15" name="ETD Kapal" dataDxfId="103"/>
    <tableColumn id="10" name="KETERANGAN" dataDxfId="102" dataCellStyle="Normal"/>
    <tableColumn id="5" name="P" dataDxfId="101" dataCellStyle="Normal"/>
    <tableColumn id="6" name="L" dataDxfId="100" dataCellStyle="Normal"/>
    <tableColumn id="7" name="T" dataDxfId="99" dataCellStyle="Normal"/>
    <tableColumn id="4" name="ACT KG" dataDxfId="98" dataCellStyle="Normal"/>
    <tableColumn id="8" name="KG VOLUME" dataDxfId="97" dataCellStyle="Normal"/>
    <tableColumn id="19" name="PEMBULATAN" dataDxfId="96"/>
  </tableColumns>
  <tableStyleInfo name="Table Style 1" showFirstColumn="0" showLastColumn="0" showRowStripes="1" showColumnStripes="0"/>
</table>
</file>

<file path=xl/tables/table94.xml><?xml version="1.0" encoding="utf-8"?>
<table xmlns="http://schemas.openxmlformats.org/spreadsheetml/2006/main" id="94" name="Table224578910112345678910111213141516171819202122232425262728293031323334353738394041424344454647484950515253545556575859606162636465666768697071727374757677787980818283848586878889909192939495" displayName="Table224578910112345678910111213141516171819202122232425262728293031323334353738394041424344454647484950515253545556575859606162636465666768697071727374757677787980818283848586878889909192939495" ref="C2:N28" totalsRowShown="0" headerRowDxfId="94" dataDxfId="92" headerRowBorderDxfId="93">
  <tableColumns count="12">
    <tableColumn id="1" name="NOMOR" dataDxfId="91" dataCellStyle="Normal"/>
    <tableColumn id="3" name="TUJUAN" dataDxfId="90" dataCellStyle="Normal"/>
    <tableColumn id="16" name="Pick Up" dataDxfId="89"/>
    <tableColumn id="14" name="KAPAL" dataDxfId="88"/>
    <tableColumn id="15" name="ETD Kapal" dataDxfId="87"/>
    <tableColumn id="10" name="KETERANGAN" dataDxfId="86" dataCellStyle="Normal"/>
    <tableColumn id="5" name="P" dataDxfId="85" dataCellStyle="Normal"/>
    <tableColumn id="6" name="L" dataDxfId="84" dataCellStyle="Normal"/>
    <tableColumn id="7" name="T" dataDxfId="83" dataCellStyle="Normal"/>
    <tableColumn id="4" name="ACT KG" dataDxfId="82" dataCellStyle="Normal"/>
    <tableColumn id="8" name="KG VOLUME" dataDxfId="81" dataCellStyle="Normal"/>
    <tableColumn id="19" name="PEMBULATAN" dataDxfId="80"/>
  </tableColumns>
  <tableStyleInfo name="Table Style 1" showFirstColumn="0" showLastColumn="0" showRowStripes="1" showColumnStripes="0"/>
</table>
</file>

<file path=xl/tables/table95.xml><?xml version="1.0" encoding="utf-8"?>
<table xmlns="http://schemas.openxmlformats.org/spreadsheetml/2006/main" id="95" name="Table22457891011234567891011121314151617181920212223242526272829303132333435373839404142434445464748495051525354555657585960616263646566676869707172737475767778798081828384858687888990919293949596" displayName="Table22457891011234567891011121314151617181920212223242526272829303132333435373839404142434445464748495051525354555657585960616263646566676869707172737475767778798081828384858687888990919293949596" ref="C2:N25" totalsRowShown="0" headerRowDxfId="78" dataDxfId="76" headerRowBorderDxfId="77">
  <tableColumns count="12">
    <tableColumn id="1" name="NOMOR" dataDxfId="75" dataCellStyle="Normal"/>
    <tableColumn id="3" name="TUJUAN" dataDxfId="74" dataCellStyle="Normal"/>
    <tableColumn id="16" name="Pick Up" dataDxfId="73"/>
    <tableColumn id="14" name="KAPAL" dataDxfId="72"/>
    <tableColumn id="15" name="ETD Kapal" dataDxfId="71"/>
    <tableColumn id="10" name="KETERANGAN" dataDxfId="70" dataCellStyle="Normal"/>
    <tableColumn id="5" name="P" dataDxfId="69" dataCellStyle="Normal"/>
    <tableColumn id="6" name="L" dataDxfId="68" dataCellStyle="Normal"/>
    <tableColumn id="7" name="T" dataDxfId="67" dataCellStyle="Normal"/>
    <tableColumn id="4" name="ACT KG" dataDxfId="66" dataCellStyle="Normal"/>
    <tableColumn id="8" name="KG VOLUME" dataDxfId="65" dataCellStyle="Normal"/>
    <tableColumn id="19" name="PEMBULATAN" dataDxfId="64"/>
  </tableColumns>
  <tableStyleInfo name="Table Style 1" showFirstColumn="0" showLastColumn="0" showRowStripes="1" showColumnStripes="0"/>
</table>
</file>

<file path=xl/tables/table96.xml><?xml version="1.0" encoding="utf-8"?>
<table xmlns="http://schemas.openxmlformats.org/spreadsheetml/2006/main" id="96" name="Table2245789101123456789101112131415161718192021222324252627282930313233343537383940414243444546474849505152535455565758596061626364656667686970717273747576777879808182838485868788899091929394959697" displayName="Table2245789101123456789101112131415161718192021222324252627282930313233343537383940414243444546474849505152535455565758596061626364656667686970717273747576777879808182838485868788899091929394959697" ref="C2:N139" totalsRowShown="0" headerRowDxfId="62" dataDxfId="60" headerRowBorderDxfId="61">
  <tableColumns count="12">
    <tableColumn id="1" name="NOMOR" dataDxfId="59" dataCellStyle="Normal"/>
    <tableColumn id="3" name="TUJUAN" dataDxfId="58" dataCellStyle="Normal"/>
    <tableColumn id="16" name="Pick Up" dataDxfId="57"/>
    <tableColumn id="14" name="KAPAL" dataDxfId="56"/>
    <tableColumn id="15" name="ETD Kapal" dataDxfId="55"/>
    <tableColumn id="10" name="KETERANGAN" dataDxfId="54" dataCellStyle="Normal"/>
    <tableColumn id="5" name="P" dataDxfId="53" dataCellStyle="Normal"/>
    <tableColumn id="6" name="L" dataDxfId="52" dataCellStyle="Normal"/>
    <tableColumn id="7" name="T" dataDxfId="51" dataCellStyle="Normal"/>
    <tableColumn id="4" name="ACT KG" dataDxfId="50" dataCellStyle="Normal"/>
    <tableColumn id="8" name="KG VOLUME" dataDxfId="49" dataCellStyle="Normal"/>
    <tableColumn id="19" name="PEMBULATAN" dataDxfId="48"/>
  </tableColumns>
  <tableStyleInfo name="Table Style 1" showFirstColumn="0" showLastColumn="0" showRowStripes="1" showColumnStripes="0"/>
</table>
</file>

<file path=xl/tables/table97.xml><?xml version="1.0" encoding="utf-8"?>
<table xmlns="http://schemas.openxmlformats.org/spreadsheetml/2006/main" id="97" name="Table224578910112345678910111213141516171819202122232425262728293031323334353738394041424344454647484950515253545556575859606162636465666768697071727374757677787980818283848586878889909192939495969798" displayName="Table224578910112345678910111213141516171819202122232425262728293031323334353738394041424344454647484950515253545556575859606162636465666768697071727374757677787980818283848586878889909192939495969798" ref="C2:N44" totalsRowShown="0" headerRowDxfId="46" dataDxfId="44" headerRowBorderDxfId="45">
  <tableColumns count="12">
    <tableColumn id="1" name="NOMOR" dataDxfId="43" dataCellStyle="Normal"/>
    <tableColumn id="3" name="TUJUAN" dataDxfId="42" dataCellStyle="Normal"/>
    <tableColumn id="16" name="Pick Up" dataDxfId="41"/>
    <tableColumn id="14" name="KAPAL" dataDxfId="40"/>
    <tableColumn id="15" name="ETD Kapal" dataDxfId="39"/>
    <tableColumn id="10" name="KETERANGAN" dataDxfId="38" dataCellStyle="Normal"/>
    <tableColumn id="5" name="P" dataDxfId="37" dataCellStyle="Normal"/>
    <tableColumn id="6" name="L" dataDxfId="36" dataCellStyle="Normal"/>
    <tableColumn id="7" name="T" dataDxfId="35" dataCellStyle="Normal"/>
    <tableColumn id="4" name="ACT KG" dataDxfId="34" dataCellStyle="Normal"/>
    <tableColumn id="8" name="KG VOLUME" dataDxfId="33" dataCellStyle="Normal"/>
    <tableColumn id="19" name="PEMBULATAN" dataDxfId="32"/>
  </tableColumns>
  <tableStyleInfo name="Table Style 1" showFirstColumn="0" showLastColumn="0" showRowStripes="1" showColumnStripes="0"/>
</table>
</file>

<file path=xl/tables/table98.xml><?xml version="1.0" encoding="utf-8"?>
<table xmlns="http://schemas.openxmlformats.org/spreadsheetml/2006/main" id="98" name="Table22457891011234567891011121314151617181920212223242526272829303132333435373839404142434445464748495051525354555657585960616263646566676869707172737475767778798081828384858687888990919293949596979899" displayName="Table22457891011234567891011121314151617181920212223242526272829303132333435373839404142434445464748495051525354555657585960616263646566676869707172737475767778798081828384858687888990919293949596979899" ref="C2:N26" totalsRowShown="0" headerRowDxfId="30" dataDxfId="28" headerRowBorderDxfId="29">
  <tableColumns count="12">
    <tableColumn id="1" name="NOMOR" dataDxfId="27" dataCellStyle="Normal"/>
    <tableColumn id="3" name="TUJUAN" dataDxfId="26" dataCellStyle="Normal"/>
    <tableColumn id="16" name="Pick Up" dataDxfId="25"/>
    <tableColumn id="14" name="KAPAL" dataDxfId="24"/>
    <tableColumn id="15" name="ETD Kapal" dataDxfId="23"/>
    <tableColumn id="10" name="KETERANGAN" dataDxfId="22" dataCellStyle="Normal"/>
    <tableColumn id="5" name="P" dataDxfId="21" dataCellStyle="Normal"/>
    <tableColumn id="6" name="L" dataDxfId="20" dataCellStyle="Normal"/>
    <tableColumn id="7" name="T" dataDxfId="19" dataCellStyle="Normal"/>
    <tableColumn id="4" name="ACT KG" dataDxfId="18" dataCellStyle="Normal"/>
    <tableColumn id="8" name="KG VOLUME" dataDxfId="17" dataCellStyle="Normal"/>
    <tableColumn id="19" name="PEMBULATAN" dataDxfId="16"/>
  </tableColumns>
  <tableStyleInfo name="Table Style 1" showFirstColumn="0" showLastColumn="0" showRowStripes="1" showColumnStripes="0"/>
</table>
</file>

<file path=xl/tables/table99.xml><?xml version="1.0" encoding="utf-8"?>
<table xmlns="http://schemas.openxmlformats.org/spreadsheetml/2006/main" id="99" name="Table22457891011234567891011121314151617181920212223242526272829303132333435373839404142434445464748495051525354555657585960616263646566676869707172737475767778798081828384858687888990919293949596979899100" displayName="Table22457891011234567891011121314151617181920212223242526272829303132333435373839404142434445464748495051525354555657585960616263646566676869707172737475767778798081828384858687888990919293949596979899100" ref="C2:N138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10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9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1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3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7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8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1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2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3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4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5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6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7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8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141"/>
  <sheetViews>
    <sheetView tabSelected="1" topLeftCell="A120" workbookViewId="0">
      <selection activeCell="F130" sqref="F130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44" t="s">
        <v>14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2" spans="1:10" x14ac:dyDescent="0.25">
      <c r="A12" s="111" t="s">
        <v>15</v>
      </c>
      <c r="B12" s="111" t="s">
        <v>16</v>
      </c>
      <c r="C12" s="111"/>
      <c r="D12" s="111"/>
      <c r="E12" s="111"/>
      <c r="F12" s="111"/>
      <c r="G12" s="154" t="s">
        <v>49</v>
      </c>
      <c r="H12" s="154"/>
      <c r="I12" s="112" t="s">
        <v>17</v>
      </c>
      <c r="J12" s="111" t="s">
        <v>61</v>
      </c>
    </row>
    <row r="13" spans="1:10" x14ac:dyDescent="0.25">
      <c r="A13" s="111"/>
      <c r="B13" s="111"/>
      <c r="C13" s="111"/>
      <c r="D13" s="111"/>
      <c r="E13" s="111"/>
      <c r="F13" s="111"/>
      <c r="G13" s="154" t="s">
        <v>18</v>
      </c>
      <c r="H13" s="154"/>
      <c r="I13" s="112" t="s">
        <v>17</v>
      </c>
      <c r="J13" s="113" t="s">
        <v>62</v>
      </c>
    </row>
    <row r="14" spans="1:10" x14ac:dyDescent="0.25">
      <c r="A14" s="111"/>
      <c r="B14" s="111"/>
      <c r="C14" s="111"/>
      <c r="D14" s="111"/>
      <c r="E14" s="111"/>
      <c r="F14" s="111"/>
      <c r="G14" s="154" t="s">
        <v>51</v>
      </c>
      <c r="H14" s="154"/>
      <c r="I14" s="112" t="s">
        <v>17</v>
      </c>
      <c r="J14" s="111" t="s">
        <v>50</v>
      </c>
    </row>
    <row r="15" spans="1:10" x14ac:dyDescent="0.25">
      <c r="A15" s="111" t="s">
        <v>19</v>
      </c>
      <c r="B15" s="111" t="s">
        <v>20</v>
      </c>
      <c r="C15" s="111"/>
      <c r="D15" s="111"/>
      <c r="E15" s="111"/>
      <c r="F15" s="111"/>
      <c r="G15" s="111"/>
      <c r="H15" s="114"/>
      <c r="I15" s="112"/>
      <c r="J15" s="111" t="s">
        <v>63</v>
      </c>
    </row>
    <row r="16" spans="1:10" ht="16.5" thickBot="1" x14ac:dyDescent="0.3"/>
    <row r="17" spans="1:12" ht="26.25" customHeight="1" x14ac:dyDescent="0.25">
      <c r="A17" s="118" t="s">
        <v>21</v>
      </c>
      <c r="B17" s="119" t="s">
        <v>22</v>
      </c>
      <c r="C17" s="119" t="s">
        <v>23</v>
      </c>
      <c r="D17" s="119" t="s">
        <v>24</v>
      </c>
      <c r="E17" s="119" t="s">
        <v>25</v>
      </c>
      <c r="F17" s="120" t="s">
        <v>26</v>
      </c>
      <c r="G17" s="120" t="s">
        <v>27</v>
      </c>
      <c r="H17" s="147" t="s">
        <v>28</v>
      </c>
      <c r="I17" s="148"/>
      <c r="J17" s="121" t="s">
        <v>29</v>
      </c>
    </row>
    <row r="18" spans="1:12" ht="48" customHeight="1" x14ac:dyDescent="0.25">
      <c r="A18" s="22">
        <v>1</v>
      </c>
      <c r="B18" s="23">
        <f>'403955'!E3</f>
        <v>44531</v>
      </c>
      <c r="C18" s="76">
        <f>'403955'!A3</f>
        <v>403955</v>
      </c>
      <c r="D18" s="24" t="s">
        <v>60</v>
      </c>
      <c r="E18" s="24" t="s">
        <v>57</v>
      </c>
      <c r="F18" s="25">
        <v>5</v>
      </c>
      <c r="G18" s="115">
        <f>'403955'!N8</f>
        <v>93.15</v>
      </c>
      <c r="H18" s="149">
        <v>7000</v>
      </c>
      <c r="I18" s="150"/>
      <c r="J18" s="27">
        <f>G18*H18</f>
        <v>652050</v>
      </c>
      <c r="L18"/>
    </row>
    <row r="19" spans="1:12" ht="48" customHeight="1" x14ac:dyDescent="0.25">
      <c r="A19" s="22">
        <f>A18+1</f>
        <v>2</v>
      </c>
      <c r="B19" s="23">
        <f>'403743'!E3</f>
        <v>44531</v>
      </c>
      <c r="C19" s="76">
        <f>'403743'!A3</f>
        <v>403743</v>
      </c>
      <c r="D19" s="24" t="s">
        <v>60</v>
      </c>
      <c r="E19" s="24" t="s">
        <v>57</v>
      </c>
      <c r="F19" s="25">
        <v>48</v>
      </c>
      <c r="G19" s="116">
        <f>'403743'!N51</f>
        <v>665.11450000000025</v>
      </c>
      <c r="H19" s="149">
        <v>7000</v>
      </c>
      <c r="I19" s="150"/>
      <c r="J19" s="27">
        <f t="shared" ref="J19:J76" si="0">G19*H19</f>
        <v>4655801.5000000019</v>
      </c>
      <c r="L19"/>
    </row>
    <row r="20" spans="1:12" ht="48" customHeight="1" x14ac:dyDescent="0.25">
      <c r="A20" s="22">
        <f t="shared" ref="A20:A49" si="1">A19+1</f>
        <v>3</v>
      </c>
      <c r="B20" s="23">
        <f>'403958'!E3</f>
        <v>44532</v>
      </c>
      <c r="C20" s="76">
        <f>'403958'!A3</f>
        <v>403958</v>
      </c>
      <c r="D20" s="24" t="s">
        <v>60</v>
      </c>
      <c r="E20" s="24" t="s">
        <v>57</v>
      </c>
      <c r="F20" s="25">
        <v>30</v>
      </c>
      <c r="G20" s="116">
        <f>'403958'!N33</f>
        <v>506.56300000000005</v>
      </c>
      <c r="H20" s="149">
        <v>7000</v>
      </c>
      <c r="I20" s="150"/>
      <c r="J20" s="27">
        <f t="shared" si="0"/>
        <v>3545941.0000000005</v>
      </c>
      <c r="L20"/>
    </row>
    <row r="21" spans="1:12" ht="48" customHeight="1" x14ac:dyDescent="0.25">
      <c r="A21" s="22">
        <f t="shared" si="1"/>
        <v>4</v>
      </c>
      <c r="B21" s="23">
        <f>'403747'!E3</f>
        <v>44532</v>
      </c>
      <c r="C21" s="76">
        <f>'403747'!A3</f>
        <v>403747</v>
      </c>
      <c r="D21" s="24" t="s">
        <v>60</v>
      </c>
      <c r="E21" s="24" t="s">
        <v>57</v>
      </c>
      <c r="F21" s="25">
        <v>77</v>
      </c>
      <c r="G21" s="116">
        <f>'403747'!N80</f>
        <v>1241.1427499999998</v>
      </c>
      <c r="H21" s="149">
        <v>7000</v>
      </c>
      <c r="I21" s="150"/>
      <c r="J21" s="27">
        <f t="shared" si="0"/>
        <v>8687999.2499999981</v>
      </c>
      <c r="L21"/>
    </row>
    <row r="22" spans="1:12" ht="48" customHeight="1" x14ac:dyDescent="0.25">
      <c r="A22" s="22">
        <f t="shared" si="1"/>
        <v>5</v>
      </c>
      <c r="B22" s="23">
        <f>'403750'!E3</f>
        <v>44532</v>
      </c>
      <c r="C22" s="76">
        <f>'403750'!A3</f>
        <v>403750</v>
      </c>
      <c r="D22" s="24" t="s">
        <v>60</v>
      </c>
      <c r="E22" s="24" t="s">
        <v>57</v>
      </c>
      <c r="F22" s="25">
        <v>40</v>
      </c>
      <c r="G22" s="116">
        <f>'403750'!N43</f>
        <v>967.36850000000004</v>
      </c>
      <c r="H22" s="149">
        <v>7000</v>
      </c>
      <c r="I22" s="150"/>
      <c r="J22" s="27">
        <f t="shared" si="0"/>
        <v>6771579.5</v>
      </c>
      <c r="L22"/>
    </row>
    <row r="23" spans="1:12" ht="48" customHeight="1" x14ac:dyDescent="0.25">
      <c r="A23" s="22">
        <f t="shared" si="1"/>
        <v>6</v>
      </c>
      <c r="B23" s="23">
        <f>'404357'!E3</f>
        <v>44533</v>
      </c>
      <c r="C23" s="76">
        <f>'404357'!A3</f>
        <v>404357</v>
      </c>
      <c r="D23" s="24" t="s">
        <v>60</v>
      </c>
      <c r="E23" s="24" t="s">
        <v>57</v>
      </c>
      <c r="F23" s="25">
        <v>18</v>
      </c>
      <c r="G23" s="116">
        <f>'404357'!N21</f>
        <v>388.72450000000003</v>
      </c>
      <c r="H23" s="149">
        <v>7000</v>
      </c>
      <c r="I23" s="150"/>
      <c r="J23" s="27">
        <f t="shared" si="0"/>
        <v>2721071.5000000005</v>
      </c>
      <c r="L23"/>
    </row>
    <row r="24" spans="1:12" ht="48" customHeight="1" x14ac:dyDescent="0.25">
      <c r="A24" s="22">
        <f t="shared" si="1"/>
        <v>7</v>
      </c>
      <c r="B24" s="23">
        <f>'405801'!E3</f>
        <v>44533</v>
      </c>
      <c r="C24" s="76">
        <f>'405801'!A3</f>
        <v>405801</v>
      </c>
      <c r="D24" s="24" t="s">
        <v>60</v>
      </c>
      <c r="E24" s="24" t="s">
        <v>57</v>
      </c>
      <c r="F24" s="25">
        <v>121</v>
      </c>
      <c r="G24" s="116">
        <f>'405801'!N124</f>
        <v>2323.2737500000003</v>
      </c>
      <c r="H24" s="149">
        <v>7000</v>
      </c>
      <c r="I24" s="150"/>
      <c r="J24" s="27">
        <f t="shared" si="0"/>
        <v>16262916.250000002</v>
      </c>
      <c r="L24"/>
    </row>
    <row r="25" spans="1:12" ht="48" customHeight="1" x14ac:dyDescent="0.25">
      <c r="A25" s="22">
        <f t="shared" si="1"/>
        <v>8</v>
      </c>
      <c r="B25" s="23">
        <f>'405803'!E3</f>
        <v>44533</v>
      </c>
      <c r="C25" s="76">
        <f>'405803'!A3</f>
        <v>405803</v>
      </c>
      <c r="D25" s="24" t="s">
        <v>60</v>
      </c>
      <c r="E25" s="24" t="s">
        <v>57</v>
      </c>
      <c r="F25" s="25">
        <v>14</v>
      </c>
      <c r="G25" s="116">
        <f>'405803'!N17</f>
        <v>498.58100000000002</v>
      </c>
      <c r="H25" s="149">
        <v>7000</v>
      </c>
      <c r="I25" s="150"/>
      <c r="J25" s="27">
        <f t="shared" si="0"/>
        <v>3490067</v>
      </c>
      <c r="L25"/>
    </row>
    <row r="26" spans="1:12" ht="48" customHeight="1" x14ac:dyDescent="0.25">
      <c r="A26" s="22">
        <f t="shared" si="1"/>
        <v>9</v>
      </c>
      <c r="B26" s="23">
        <f>'406110'!E3</f>
        <v>44534</v>
      </c>
      <c r="C26" s="117">
        <f>'406110'!A3</f>
        <v>406110</v>
      </c>
      <c r="D26" s="24" t="s">
        <v>60</v>
      </c>
      <c r="E26" s="24" t="s">
        <v>57</v>
      </c>
      <c r="F26" s="25">
        <v>23</v>
      </c>
      <c r="G26" s="116">
        <f>'406110'!N26</f>
        <v>396.68149999999997</v>
      </c>
      <c r="H26" s="149">
        <v>7000</v>
      </c>
      <c r="I26" s="150"/>
      <c r="J26" s="27">
        <f t="shared" si="0"/>
        <v>2776770.5</v>
      </c>
      <c r="L26"/>
    </row>
    <row r="27" spans="1:12" ht="48" customHeight="1" x14ac:dyDescent="0.25">
      <c r="A27" s="22">
        <f t="shared" si="1"/>
        <v>10</v>
      </c>
      <c r="B27" s="23">
        <f>'405810'!E3</f>
        <v>44534</v>
      </c>
      <c r="C27" s="76">
        <f>'405810'!A3</f>
        <v>405810</v>
      </c>
      <c r="D27" s="24" t="s">
        <v>60</v>
      </c>
      <c r="E27" s="24" t="s">
        <v>57</v>
      </c>
      <c r="F27" s="25">
        <v>115</v>
      </c>
      <c r="G27" s="116">
        <f>'405810'!N118</f>
        <v>2424.3525000000004</v>
      </c>
      <c r="H27" s="149">
        <v>7000</v>
      </c>
      <c r="I27" s="150"/>
      <c r="J27" s="27">
        <f t="shared" si="0"/>
        <v>16970467.500000004</v>
      </c>
      <c r="L27"/>
    </row>
    <row r="28" spans="1:12" ht="48" customHeight="1" x14ac:dyDescent="0.25">
      <c r="A28" s="22">
        <f t="shared" si="1"/>
        <v>11</v>
      </c>
      <c r="B28" s="23">
        <f>'405812'!E3</f>
        <v>44534</v>
      </c>
      <c r="C28" s="76">
        <f>'405812'!A3</f>
        <v>405812</v>
      </c>
      <c r="D28" s="24" t="s">
        <v>60</v>
      </c>
      <c r="E28" s="24" t="s">
        <v>57</v>
      </c>
      <c r="F28" s="25">
        <v>26</v>
      </c>
      <c r="G28" s="116">
        <f>'405812'!N29</f>
        <v>300.37250000000006</v>
      </c>
      <c r="H28" s="149">
        <v>7000</v>
      </c>
      <c r="I28" s="150"/>
      <c r="J28" s="27">
        <f t="shared" si="0"/>
        <v>2102607.5000000005</v>
      </c>
      <c r="L28"/>
    </row>
    <row r="29" spans="1:12" ht="48" customHeight="1" x14ac:dyDescent="0.25">
      <c r="A29" s="22">
        <f t="shared" si="1"/>
        <v>12</v>
      </c>
      <c r="B29" s="23">
        <f>'406113'!E3</f>
        <v>44535</v>
      </c>
      <c r="C29" s="76">
        <f>'406113'!A3</f>
        <v>406113</v>
      </c>
      <c r="D29" s="24" t="s">
        <v>60</v>
      </c>
      <c r="E29" s="24" t="s">
        <v>57</v>
      </c>
      <c r="F29" s="25">
        <v>24</v>
      </c>
      <c r="G29" s="116">
        <f>'406113'!N27</f>
        <v>443.36475000000002</v>
      </c>
      <c r="H29" s="149">
        <v>7000</v>
      </c>
      <c r="I29" s="150"/>
      <c r="J29" s="27">
        <f t="shared" si="0"/>
        <v>3103553.25</v>
      </c>
      <c r="L29"/>
    </row>
    <row r="30" spans="1:12" ht="48" customHeight="1" x14ac:dyDescent="0.25">
      <c r="A30" s="22">
        <f t="shared" si="1"/>
        <v>13</v>
      </c>
      <c r="B30" s="23">
        <f>'405817'!E3</f>
        <v>44535</v>
      </c>
      <c r="C30" s="76">
        <f>'405817'!A3</f>
        <v>405817</v>
      </c>
      <c r="D30" s="24" t="s">
        <v>60</v>
      </c>
      <c r="E30" s="24" t="s">
        <v>57</v>
      </c>
      <c r="F30" s="25">
        <v>31</v>
      </c>
      <c r="G30" s="116">
        <f>'405817'!N34</f>
        <v>955.35500000000036</v>
      </c>
      <c r="H30" s="149">
        <v>7000</v>
      </c>
      <c r="I30" s="150"/>
      <c r="J30" s="27">
        <f t="shared" si="0"/>
        <v>6687485.0000000028</v>
      </c>
      <c r="L30"/>
    </row>
    <row r="31" spans="1:12" ht="48" customHeight="1" x14ac:dyDescent="0.25">
      <c r="A31" s="22">
        <f t="shared" si="1"/>
        <v>14</v>
      </c>
      <c r="B31" s="23">
        <f>'405819'!E3</f>
        <v>44535</v>
      </c>
      <c r="C31" s="76">
        <f>'405819'!A3</f>
        <v>405819</v>
      </c>
      <c r="D31" s="24" t="s">
        <v>60</v>
      </c>
      <c r="E31" s="24" t="s">
        <v>57</v>
      </c>
      <c r="F31" s="25">
        <v>141</v>
      </c>
      <c r="G31" s="116">
        <f>'405819'!N144</f>
        <v>2940.7517500000004</v>
      </c>
      <c r="H31" s="149">
        <v>7000</v>
      </c>
      <c r="I31" s="150"/>
      <c r="J31" s="27">
        <f t="shared" si="0"/>
        <v>20585262.250000004</v>
      </c>
      <c r="L31"/>
    </row>
    <row r="32" spans="1:12" ht="48" customHeight="1" x14ac:dyDescent="0.25">
      <c r="A32" s="22">
        <f t="shared" si="1"/>
        <v>15</v>
      </c>
      <c r="B32" s="23">
        <f>'403960'!E3</f>
        <v>44536</v>
      </c>
      <c r="C32" s="76">
        <f>'403960'!A3</f>
        <v>403960</v>
      </c>
      <c r="D32" s="24" t="s">
        <v>60</v>
      </c>
      <c r="E32" s="24" t="s">
        <v>57</v>
      </c>
      <c r="F32" s="25">
        <v>9</v>
      </c>
      <c r="G32" s="116">
        <f>'403960'!N12</f>
        <v>101.4465</v>
      </c>
      <c r="H32" s="149">
        <v>7000</v>
      </c>
      <c r="I32" s="150"/>
      <c r="J32" s="27">
        <f t="shared" si="0"/>
        <v>710125.5</v>
      </c>
      <c r="L32"/>
    </row>
    <row r="33" spans="1:12" ht="48" customHeight="1" x14ac:dyDescent="0.25">
      <c r="A33" s="22">
        <f t="shared" si="1"/>
        <v>16</v>
      </c>
      <c r="B33" s="23">
        <f>'405825'!E3</f>
        <v>44536</v>
      </c>
      <c r="C33" s="76">
        <f>'405825'!A3</f>
        <v>405825</v>
      </c>
      <c r="D33" s="24" t="s">
        <v>60</v>
      </c>
      <c r="E33" s="24" t="s">
        <v>57</v>
      </c>
      <c r="F33" s="25">
        <v>44</v>
      </c>
      <c r="G33" s="116">
        <f>'405825'!N47</f>
        <v>888.76425000000006</v>
      </c>
      <c r="H33" s="149">
        <v>7000</v>
      </c>
      <c r="I33" s="150"/>
      <c r="J33" s="27">
        <f t="shared" si="0"/>
        <v>6221349.75</v>
      </c>
      <c r="L33"/>
    </row>
    <row r="34" spans="1:12" ht="48" customHeight="1" x14ac:dyDescent="0.25">
      <c r="A34" s="22">
        <f t="shared" si="1"/>
        <v>17</v>
      </c>
      <c r="B34" s="23">
        <f>'404048'!E3</f>
        <v>44537</v>
      </c>
      <c r="C34" s="76">
        <f>'404048'!A3</f>
        <v>404048</v>
      </c>
      <c r="D34" s="24" t="s">
        <v>60</v>
      </c>
      <c r="E34" s="24" t="s">
        <v>57</v>
      </c>
      <c r="F34" s="25">
        <v>31</v>
      </c>
      <c r="G34" s="116">
        <f>'404048'!N34</f>
        <v>562.07200000000012</v>
      </c>
      <c r="H34" s="149">
        <v>7000</v>
      </c>
      <c r="I34" s="150"/>
      <c r="J34" s="27">
        <f t="shared" si="0"/>
        <v>3934504.0000000009</v>
      </c>
      <c r="L34"/>
    </row>
    <row r="35" spans="1:12" ht="48" customHeight="1" x14ac:dyDescent="0.25">
      <c r="A35" s="22">
        <f t="shared" si="1"/>
        <v>18</v>
      </c>
      <c r="B35" s="23">
        <f>'405830'!E3</f>
        <v>44537</v>
      </c>
      <c r="C35" s="76">
        <f>'405830'!A3</f>
        <v>405830</v>
      </c>
      <c r="D35" s="24" t="s">
        <v>60</v>
      </c>
      <c r="E35" s="24" t="s">
        <v>57</v>
      </c>
      <c r="F35" s="25">
        <v>98</v>
      </c>
      <c r="G35" s="116">
        <f>'405830'!N101</f>
        <v>2071.3372499999996</v>
      </c>
      <c r="H35" s="149">
        <v>7000</v>
      </c>
      <c r="I35" s="150"/>
      <c r="J35" s="27">
        <f t="shared" si="0"/>
        <v>14499360.749999996</v>
      </c>
      <c r="L35"/>
    </row>
    <row r="36" spans="1:12" ht="48" customHeight="1" x14ac:dyDescent="0.25">
      <c r="A36" s="22">
        <f t="shared" si="1"/>
        <v>19</v>
      </c>
      <c r="B36" s="23">
        <f>'405832'!E3</f>
        <v>44537</v>
      </c>
      <c r="C36" s="76">
        <f>'405832'!A3</f>
        <v>405832</v>
      </c>
      <c r="D36" s="24" t="s">
        <v>60</v>
      </c>
      <c r="E36" s="24" t="s">
        <v>57</v>
      </c>
      <c r="F36" s="25">
        <v>67</v>
      </c>
      <c r="G36" s="116">
        <f>'405832'!N70</f>
        <v>1167.0232500000004</v>
      </c>
      <c r="H36" s="149">
        <v>7000</v>
      </c>
      <c r="I36" s="150"/>
      <c r="J36" s="27">
        <f t="shared" si="0"/>
        <v>8169162.7500000028</v>
      </c>
      <c r="L36"/>
    </row>
    <row r="37" spans="1:12" ht="48" customHeight="1" x14ac:dyDescent="0.25">
      <c r="A37" s="22">
        <f t="shared" si="1"/>
        <v>20</v>
      </c>
      <c r="B37" s="23">
        <f>'406115'!E3</f>
        <v>44538</v>
      </c>
      <c r="C37" s="76">
        <f>'406115'!A3</f>
        <v>406115</v>
      </c>
      <c r="D37" s="24" t="s">
        <v>60</v>
      </c>
      <c r="E37" s="24" t="s">
        <v>57</v>
      </c>
      <c r="F37" s="25">
        <v>29</v>
      </c>
      <c r="G37" s="116">
        <f>'406115'!N32</f>
        <v>495.06825000000003</v>
      </c>
      <c r="H37" s="149">
        <v>7000</v>
      </c>
      <c r="I37" s="150"/>
      <c r="J37" s="27">
        <f t="shared" si="0"/>
        <v>3465477.7500000005</v>
      </c>
      <c r="L37"/>
    </row>
    <row r="38" spans="1:12" ht="48" customHeight="1" x14ac:dyDescent="0.25">
      <c r="A38" s="22">
        <f t="shared" si="1"/>
        <v>21</v>
      </c>
      <c r="B38" s="23">
        <f>'405839'!E3</f>
        <v>44538</v>
      </c>
      <c r="C38" s="76">
        <f>'405839'!A3</f>
        <v>405839</v>
      </c>
      <c r="D38" s="24" t="s">
        <v>60</v>
      </c>
      <c r="E38" s="24" t="s">
        <v>57</v>
      </c>
      <c r="F38" s="25">
        <v>19</v>
      </c>
      <c r="G38" s="116">
        <f>'405839'!N22</f>
        <v>382.12774999999988</v>
      </c>
      <c r="H38" s="149">
        <v>7000</v>
      </c>
      <c r="I38" s="150"/>
      <c r="J38" s="27">
        <f t="shared" si="0"/>
        <v>2674894.2499999991</v>
      </c>
      <c r="L38"/>
    </row>
    <row r="39" spans="1:12" ht="48" customHeight="1" x14ac:dyDescent="0.25">
      <c r="A39" s="22">
        <f t="shared" si="1"/>
        <v>22</v>
      </c>
      <c r="B39" s="23">
        <f>'405841'!E3</f>
        <v>44538</v>
      </c>
      <c r="C39" s="76">
        <f>'405841'!A3</f>
        <v>405841</v>
      </c>
      <c r="D39" s="24" t="s">
        <v>60</v>
      </c>
      <c r="E39" s="24" t="s">
        <v>57</v>
      </c>
      <c r="F39" s="25">
        <v>122</v>
      </c>
      <c r="G39" s="116">
        <f>'405841'!N125</f>
        <v>2599.00225</v>
      </c>
      <c r="H39" s="149">
        <v>7000</v>
      </c>
      <c r="I39" s="150"/>
      <c r="J39" s="27">
        <f t="shared" si="0"/>
        <v>18193015.75</v>
      </c>
      <c r="L39"/>
    </row>
    <row r="40" spans="1:12" ht="48" customHeight="1" x14ac:dyDescent="0.25">
      <c r="A40" s="22">
        <f t="shared" si="1"/>
        <v>23</v>
      </c>
      <c r="B40" s="23">
        <f>'404380'!E3</f>
        <v>44539</v>
      </c>
      <c r="C40" s="76">
        <f>'404380'!A3</f>
        <v>404380</v>
      </c>
      <c r="D40" s="24" t="s">
        <v>60</v>
      </c>
      <c r="E40" s="24" t="s">
        <v>57</v>
      </c>
      <c r="F40" s="25">
        <v>19</v>
      </c>
      <c r="G40" s="116">
        <f>'404380'!N22</f>
        <v>386.62924999999996</v>
      </c>
      <c r="H40" s="149">
        <v>7000</v>
      </c>
      <c r="I40" s="150"/>
      <c r="J40" s="27">
        <f t="shared" si="0"/>
        <v>2706404.7499999995</v>
      </c>
      <c r="L40"/>
    </row>
    <row r="41" spans="1:12" ht="48" customHeight="1" x14ac:dyDescent="0.25">
      <c r="A41" s="22">
        <f t="shared" si="1"/>
        <v>24</v>
      </c>
      <c r="B41" s="23">
        <f>'405846'!E3</f>
        <v>44539</v>
      </c>
      <c r="C41" s="76">
        <f>'405846'!A3</f>
        <v>405846</v>
      </c>
      <c r="D41" s="24" t="s">
        <v>60</v>
      </c>
      <c r="E41" s="24" t="s">
        <v>57</v>
      </c>
      <c r="F41" s="25">
        <v>55</v>
      </c>
      <c r="G41" s="116">
        <f>'405846'!N58</f>
        <v>1332.6124999999997</v>
      </c>
      <c r="H41" s="149">
        <v>7000</v>
      </c>
      <c r="I41" s="150"/>
      <c r="J41" s="27">
        <f t="shared" si="0"/>
        <v>9328287.4999999981</v>
      </c>
      <c r="L41"/>
    </row>
    <row r="42" spans="1:12" ht="48" customHeight="1" x14ac:dyDescent="0.25">
      <c r="A42" s="22">
        <f t="shared" si="1"/>
        <v>25</v>
      </c>
      <c r="B42" s="23">
        <f>'405848'!E3</f>
        <v>44539</v>
      </c>
      <c r="C42" s="76">
        <f>'405848'!A3</f>
        <v>405848</v>
      </c>
      <c r="D42" s="24" t="s">
        <v>60</v>
      </c>
      <c r="E42" s="24" t="s">
        <v>57</v>
      </c>
      <c r="F42" s="25">
        <v>89</v>
      </c>
      <c r="G42" s="116">
        <f>'405848'!N92</f>
        <v>1785.8685000000009</v>
      </c>
      <c r="H42" s="149">
        <v>7000</v>
      </c>
      <c r="I42" s="150"/>
      <c r="J42" s="27">
        <f t="shared" si="0"/>
        <v>12501079.500000007</v>
      </c>
      <c r="L42"/>
    </row>
    <row r="43" spans="1:12" ht="48" customHeight="1" x14ac:dyDescent="0.25">
      <c r="A43" s="22">
        <f t="shared" si="1"/>
        <v>26</v>
      </c>
      <c r="B43" s="23">
        <f>'406117'!E3</f>
        <v>44540</v>
      </c>
      <c r="C43" s="76">
        <f>'406117'!A3</f>
        <v>406117</v>
      </c>
      <c r="D43" s="24" t="s">
        <v>60</v>
      </c>
      <c r="E43" s="24" t="s">
        <v>57</v>
      </c>
      <c r="F43" s="25">
        <v>24</v>
      </c>
      <c r="G43" s="116">
        <f>'406117'!N27</f>
        <v>476.63100000000003</v>
      </c>
      <c r="H43" s="149">
        <v>7000</v>
      </c>
      <c r="I43" s="150"/>
      <c r="J43" s="27">
        <f t="shared" si="0"/>
        <v>3336417</v>
      </c>
      <c r="L43"/>
    </row>
    <row r="44" spans="1:12" ht="48" customHeight="1" x14ac:dyDescent="0.25">
      <c r="A44" s="22">
        <f t="shared" si="1"/>
        <v>27</v>
      </c>
      <c r="B44" s="23">
        <f>'406452'!E3</f>
        <v>44540</v>
      </c>
      <c r="C44" s="76">
        <f>'406452'!A3</f>
        <v>406452</v>
      </c>
      <c r="D44" s="24" t="s">
        <v>60</v>
      </c>
      <c r="E44" s="24" t="s">
        <v>57</v>
      </c>
      <c r="F44" s="25">
        <v>145</v>
      </c>
      <c r="G44" s="116">
        <f>'406452'!N148</f>
        <v>3035.8927500000004</v>
      </c>
      <c r="H44" s="149">
        <v>7000</v>
      </c>
      <c r="I44" s="150"/>
      <c r="J44" s="27">
        <f t="shared" si="0"/>
        <v>21251249.250000004</v>
      </c>
      <c r="L44"/>
    </row>
    <row r="45" spans="1:12" ht="48" customHeight="1" x14ac:dyDescent="0.25">
      <c r="A45" s="22">
        <f t="shared" si="1"/>
        <v>28</v>
      </c>
      <c r="B45" s="23">
        <f>'403963'!E3</f>
        <v>44541</v>
      </c>
      <c r="C45" s="76">
        <f>'403963'!A3</f>
        <v>403963</v>
      </c>
      <c r="D45" s="24" t="s">
        <v>60</v>
      </c>
      <c r="E45" s="24" t="s">
        <v>57</v>
      </c>
      <c r="F45" s="25">
        <v>25</v>
      </c>
      <c r="G45" s="116">
        <f>'403963'!N28</f>
        <v>468.56074999999998</v>
      </c>
      <c r="H45" s="149">
        <v>7000</v>
      </c>
      <c r="I45" s="150"/>
      <c r="J45" s="27">
        <f t="shared" si="0"/>
        <v>3279925.25</v>
      </c>
      <c r="L45"/>
    </row>
    <row r="46" spans="1:12" ht="48" customHeight="1" x14ac:dyDescent="0.25">
      <c r="A46" s="22">
        <f t="shared" si="1"/>
        <v>29</v>
      </c>
      <c r="B46" s="23">
        <f>'406248'!E3</f>
        <v>44541</v>
      </c>
      <c r="C46" s="76">
        <f>'406248'!A3</f>
        <v>406248</v>
      </c>
      <c r="D46" s="24" t="s">
        <v>60</v>
      </c>
      <c r="E46" s="24" t="s">
        <v>57</v>
      </c>
      <c r="F46" s="25">
        <v>9</v>
      </c>
      <c r="G46" s="116">
        <f>'406248'!N12</f>
        <v>219.14225000000002</v>
      </c>
      <c r="H46" s="149">
        <v>7000</v>
      </c>
      <c r="I46" s="150"/>
      <c r="J46" s="27">
        <f t="shared" si="0"/>
        <v>1533995.7500000002</v>
      </c>
      <c r="L46"/>
    </row>
    <row r="47" spans="1:12" ht="48" customHeight="1" x14ac:dyDescent="0.25">
      <c r="A47" s="22">
        <f t="shared" si="1"/>
        <v>30</v>
      </c>
      <c r="B47" s="23">
        <f>'406459'!E3</f>
        <v>44541</v>
      </c>
      <c r="C47" s="76">
        <f>'406459'!A3</f>
        <v>406459</v>
      </c>
      <c r="D47" s="24" t="s">
        <v>60</v>
      </c>
      <c r="E47" s="24" t="s">
        <v>57</v>
      </c>
      <c r="F47" s="25">
        <v>147</v>
      </c>
      <c r="G47" s="116">
        <f>'406459'!N150</f>
        <v>2485.8742499999989</v>
      </c>
      <c r="H47" s="149">
        <v>7000</v>
      </c>
      <c r="I47" s="150"/>
      <c r="J47" s="27">
        <f t="shared" si="0"/>
        <v>17401119.749999993</v>
      </c>
      <c r="L47"/>
    </row>
    <row r="48" spans="1:12" ht="48" customHeight="1" x14ac:dyDescent="0.25">
      <c r="A48" s="22">
        <f t="shared" si="1"/>
        <v>31</v>
      </c>
      <c r="B48" s="23">
        <f>'403965'!E3</f>
        <v>44542</v>
      </c>
      <c r="C48" s="76">
        <f>'403965'!A3</f>
        <v>403965</v>
      </c>
      <c r="D48" s="24" t="s">
        <v>60</v>
      </c>
      <c r="E48" s="24" t="s">
        <v>57</v>
      </c>
      <c r="F48" s="25">
        <v>24</v>
      </c>
      <c r="G48" s="116">
        <f>'403965'!N27</f>
        <v>500.71549999999996</v>
      </c>
      <c r="H48" s="149">
        <v>7000</v>
      </c>
      <c r="I48" s="150"/>
      <c r="J48" s="27">
        <f t="shared" si="0"/>
        <v>3505008.4999999995</v>
      </c>
      <c r="L48"/>
    </row>
    <row r="49" spans="1:12" ht="48" customHeight="1" x14ac:dyDescent="0.25">
      <c r="A49" s="22">
        <f t="shared" si="1"/>
        <v>32</v>
      </c>
      <c r="B49" s="23">
        <f>'406245'!E3</f>
        <v>44542</v>
      </c>
      <c r="C49" s="76">
        <f>'406245'!A3</f>
        <v>406245</v>
      </c>
      <c r="D49" s="24" t="s">
        <v>60</v>
      </c>
      <c r="E49" s="24" t="s">
        <v>57</v>
      </c>
      <c r="F49" s="25">
        <v>29</v>
      </c>
      <c r="G49" s="116">
        <f>'406245'!N32</f>
        <v>435.8295</v>
      </c>
      <c r="H49" s="149">
        <v>7000</v>
      </c>
      <c r="I49" s="150"/>
      <c r="J49" s="27">
        <f t="shared" si="0"/>
        <v>3050806.5</v>
      </c>
      <c r="L49"/>
    </row>
    <row r="50" spans="1:12" ht="48" customHeight="1" x14ac:dyDescent="0.25">
      <c r="A50" s="22">
        <f>A49+1</f>
        <v>33</v>
      </c>
      <c r="B50" s="23">
        <f>'406467'!E3</f>
        <v>44542</v>
      </c>
      <c r="C50" s="76">
        <f>'406467'!A3</f>
        <v>406467</v>
      </c>
      <c r="D50" s="24" t="s">
        <v>60</v>
      </c>
      <c r="E50" s="24" t="s">
        <v>57</v>
      </c>
      <c r="F50" s="25">
        <v>81</v>
      </c>
      <c r="G50" s="116">
        <f>'406467'!N84</f>
        <v>1562.6762499999998</v>
      </c>
      <c r="H50" s="149">
        <v>7000</v>
      </c>
      <c r="I50" s="150"/>
      <c r="J50" s="27">
        <f t="shared" si="0"/>
        <v>10938733.749999998</v>
      </c>
      <c r="L50"/>
    </row>
    <row r="51" spans="1:12" ht="48" customHeight="1" x14ac:dyDescent="0.25">
      <c r="A51" s="22">
        <f t="shared" ref="A51:A114" si="2">A50+1</f>
        <v>34</v>
      </c>
      <c r="B51" s="23">
        <f>'403967'!E3</f>
        <v>44543</v>
      </c>
      <c r="C51" s="76">
        <f>'403967'!A3</f>
        <v>403967</v>
      </c>
      <c r="D51" s="24" t="s">
        <v>60</v>
      </c>
      <c r="E51" s="24" t="s">
        <v>57</v>
      </c>
      <c r="F51" s="26">
        <v>27</v>
      </c>
      <c r="G51" s="115">
        <f>'403967'!N30</f>
        <v>525.6345</v>
      </c>
      <c r="H51" s="143">
        <v>7000</v>
      </c>
      <c r="I51" s="143"/>
      <c r="J51" s="27">
        <f t="shared" si="0"/>
        <v>3679441.5</v>
      </c>
      <c r="L51"/>
    </row>
    <row r="52" spans="1:12" ht="48" customHeight="1" x14ac:dyDescent="0.25">
      <c r="A52" s="22">
        <f t="shared" si="2"/>
        <v>35</v>
      </c>
      <c r="B52" s="23">
        <f>'402434'!E3</f>
        <v>44543</v>
      </c>
      <c r="C52" s="76">
        <f>'402434'!A3</f>
        <v>402434</v>
      </c>
      <c r="D52" s="24" t="s">
        <v>60</v>
      </c>
      <c r="E52" s="24" t="s">
        <v>57</v>
      </c>
      <c r="F52" s="26">
        <v>35</v>
      </c>
      <c r="G52" s="115">
        <f>'402434'!N38</f>
        <v>509.39075000000008</v>
      </c>
      <c r="H52" s="143">
        <v>7000</v>
      </c>
      <c r="I52" s="143"/>
      <c r="J52" s="27">
        <f t="shared" si="0"/>
        <v>3565735.2500000005</v>
      </c>
      <c r="L52"/>
    </row>
    <row r="53" spans="1:12" ht="48" customHeight="1" x14ac:dyDescent="0.25">
      <c r="A53" s="22">
        <f t="shared" si="2"/>
        <v>36</v>
      </c>
      <c r="B53" s="23">
        <f>'402653'!E3</f>
        <v>44543</v>
      </c>
      <c r="C53" s="76">
        <f>'402653'!A3</f>
        <v>402653</v>
      </c>
      <c r="D53" s="24" t="s">
        <v>60</v>
      </c>
      <c r="E53" s="24" t="s">
        <v>57</v>
      </c>
      <c r="F53" s="26">
        <v>110</v>
      </c>
      <c r="G53" s="115">
        <f>'402653'!N113</f>
        <v>2152.0552499999994</v>
      </c>
      <c r="H53" s="143">
        <v>7000</v>
      </c>
      <c r="I53" s="143"/>
      <c r="J53" s="27">
        <f t="shared" si="0"/>
        <v>15064386.749999996</v>
      </c>
      <c r="L53"/>
    </row>
    <row r="54" spans="1:12" ht="48" customHeight="1" x14ac:dyDescent="0.25">
      <c r="A54" s="22">
        <f t="shared" si="2"/>
        <v>37</v>
      </c>
      <c r="B54" s="23">
        <f>'403972'!E3</f>
        <v>44544</v>
      </c>
      <c r="C54" s="76">
        <f>'403972'!A3</f>
        <v>403972</v>
      </c>
      <c r="D54" s="24" t="s">
        <v>60</v>
      </c>
      <c r="E54" s="24" t="s">
        <v>57</v>
      </c>
      <c r="F54" s="26">
        <v>27</v>
      </c>
      <c r="G54" s="115">
        <f>'403972'!N30</f>
        <v>466.39300000000009</v>
      </c>
      <c r="H54" s="143">
        <v>7000</v>
      </c>
      <c r="I54" s="143"/>
      <c r="J54" s="27">
        <f t="shared" si="0"/>
        <v>3264751.0000000005</v>
      </c>
      <c r="L54"/>
    </row>
    <row r="55" spans="1:12" ht="48" customHeight="1" x14ac:dyDescent="0.25">
      <c r="A55" s="22">
        <f t="shared" si="2"/>
        <v>38</v>
      </c>
      <c r="B55" s="23">
        <f>'403974'!E3</f>
        <v>44544</v>
      </c>
      <c r="C55" s="76">
        <f>'403974'!A3</f>
        <v>403974</v>
      </c>
      <c r="D55" s="24" t="s">
        <v>60</v>
      </c>
      <c r="E55" s="24" t="s">
        <v>57</v>
      </c>
      <c r="F55" s="26">
        <v>29</v>
      </c>
      <c r="G55" s="115">
        <f>'403974'!N32</f>
        <v>569.95500000000004</v>
      </c>
      <c r="H55" s="143">
        <v>7000</v>
      </c>
      <c r="I55" s="143"/>
      <c r="J55" s="27">
        <f t="shared" si="0"/>
        <v>3989685.0000000005</v>
      </c>
      <c r="L55"/>
    </row>
    <row r="56" spans="1:12" ht="48" customHeight="1" x14ac:dyDescent="0.25">
      <c r="A56" s="22">
        <f t="shared" si="2"/>
        <v>39</v>
      </c>
      <c r="B56" s="23">
        <f>'406093'!E3</f>
        <v>44544</v>
      </c>
      <c r="C56" s="76">
        <f>'406093'!A3</f>
        <v>406093</v>
      </c>
      <c r="D56" s="24" t="s">
        <v>60</v>
      </c>
      <c r="E56" s="24" t="s">
        <v>57</v>
      </c>
      <c r="F56" s="26">
        <v>58</v>
      </c>
      <c r="G56" s="115">
        <f>'406093'!N61</f>
        <v>1077.4225000000001</v>
      </c>
      <c r="H56" s="143">
        <v>7000</v>
      </c>
      <c r="I56" s="143"/>
      <c r="J56" s="27">
        <f t="shared" si="0"/>
        <v>7541957.5000000009</v>
      </c>
      <c r="L56"/>
    </row>
    <row r="57" spans="1:12" ht="48" customHeight="1" x14ac:dyDescent="0.25">
      <c r="A57" s="22">
        <f t="shared" si="2"/>
        <v>40</v>
      </c>
      <c r="B57" s="23">
        <f>'402658'!E3</f>
        <v>44544</v>
      </c>
      <c r="C57" s="76">
        <f>'402658'!A3</f>
        <v>402658</v>
      </c>
      <c r="D57" s="24" t="s">
        <v>60</v>
      </c>
      <c r="E57" s="24" t="s">
        <v>57</v>
      </c>
      <c r="F57" s="26">
        <v>196</v>
      </c>
      <c r="G57" s="115">
        <f>'402658'!N199</f>
        <v>3499.9465000000014</v>
      </c>
      <c r="H57" s="143">
        <v>7000</v>
      </c>
      <c r="I57" s="143"/>
      <c r="J57" s="27">
        <f t="shared" si="0"/>
        <v>24499625.500000011</v>
      </c>
      <c r="L57"/>
    </row>
    <row r="58" spans="1:12" ht="48" customHeight="1" x14ac:dyDescent="0.25">
      <c r="A58" s="22">
        <f t="shared" si="2"/>
        <v>41</v>
      </c>
      <c r="B58" s="23">
        <f>'403976'!E3</f>
        <v>44545</v>
      </c>
      <c r="C58" s="76">
        <f>'403976'!A3</f>
        <v>403976</v>
      </c>
      <c r="D58" s="24" t="s">
        <v>60</v>
      </c>
      <c r="E58" s="24" t="s">
        <v>57</v>
      </c>
      <c r="F58" s="26">
        <v>59</v>
      </c>
      <c r="G58" s="115">
        <f>'403976'!N62</f>
        <v>1369.0762500000001</v>
      </c>
      <c r="H58" s="143">
        <v>7000</v>
      </c>
      <c r="I58" s="143"/>
      <c r="J58" s="27">
        <f t="shared" si="0"/>
        <v>9583533.75</v>
      </c>
      <c r="L58"/>
    </row>
    <row r="59" spans="1:12" ht="48" customHeight="1" x14ac:dyDescent="0.25">
      <c r="A59" s="22">
        <f t="shared" si="2"/>
        <v>42</v>
      </c>
      <c r="B59" s="23">
        <f>'403909'!E3</f>
        <v>44545</v>
      </c>
      <c r="C59" s="76">
        <f>'403909'!A3</f>
        <v>403909</v>
      </c>
      <c r="D59" s="24" t="s">
        <v>60</v>
      </c>
      <c r="E59" s="24" t="s">
        <v>57</v>
      </c>
      <c r="F59" s="26">
        <v>43</v>
      </c>
      <c r="G59" s="115">
        <f>'403909'!N46</f>
        <v>783.32774999999981</v>
      </c>
      <c r="H59" s="143">
        <v>7000</v>
      </c>
      <c r="I59" s="143"/>
      <c r="J59" s="27">
        <f t="shared" si="0"/>
        <v>5483294.2499999991</v>
      </c>
      <c r="L59"/>
    </row>
    <row r="60" spans="1:12" ht="48" customHeight="1" x14ac:dyDescent="0.25">
      <c r="A60" s="22">
        <f t="shared" si="2"/>
        <v>43</v>
      </c>
      <c r="B60" s="23">
        <f>'402659'!E3</f>
        <v>44545</v>
      </c>
      <c r="C60" s="76">
        <f>'402659'!A3</f>
        <v>402659</v>
      </c>
      <c r="D60" s="24" t="s">
        <v>60</v>
      </c>
      <c r="E60" s="24" t="s">
        <v>57</v>
      </c>
      <c r="F60" s="26">
        <v>154</v>
      </c>
      <c r="G60" s="115">
        <f>'402659'!N157</f>
        <v>2689.1909999999993</v>
      </c>
      <c r="H60" s="143">
        <v>7000</v>
      </c>
      <c r="I60" s="143"/>
      <c r="J60" s="27">
        <f t="shared" si="0"/>
        <v>18824336.999999996</v>
      </c>
      <c r="L60"/>
    </row>
    <row r="61" spans="1:12" ht="48" customHeight="1" x14ac:dyDescent="0.25">
      <c r="A61" s="22">
        <f t="shared" si="2"/>
        <v>44</v>
      </c>
      <c r="B61" s="23">
        <f>'402661'!E3</f>
        <v>44545</v>
      </c>
      <c r="C61" s="76">
        <f>'402661'!A3</f>
        <v>402661</v>
      </c>
      <c r="D61" s="24" t="s">
        <v>60</v>
      </c>
      <c r="E61" s="24" t="s">
        <v>57</v>
      </c>
      <c r="F61" s="26">
        <v>70</v>
      </c>
      <c r="G61" s="115">
        <f>'402661'!N73</f>
        <v>1661.8142499999999</v>
      </c>
      <c r="H61" s="143">
        <v>7000</v>
      </c>
      <c r="I61" s="143"/>
      <c r="J61" s="27">
        <f t="shared" si="0"/>
        <v>11632699.75</v>
      </c>
      <c r="L61"/>
    </row>
    <row r="62" spans="1:12" ht="48" customHeight="1" x14ac:dyDescent="0.25">
      <c r="A62" s="22">
        <f t="shared" si="2"/>
        <v>45</v>
      </c>
      <c r="B62" s="23">
        <f>'406119'!E3</f>
        <v>44546</v>
      </c>
      <c r="C62" s="76">
        <f>'406119'!A3</f>
        <v>406119</v>
      </c>
      <c r="D62" s="24" t="s">
        <v>60</v>
      </c>
      <c r="E62" s="24" t="s">
        <v>57</v>
      </c>
      <c r="F62" s="26">
        <v>24</v>
      </c>
      <c r="G62" s="115">
        <f>'406119'!N27</f>
        <v>397.47474999999997</v>
      </c>
      <c r="H62" s="143">
        <v>7000</v>
      </c>
      <c r="I62" s="143"/>
      <c r="J62" s="27">
        <f t="shared" si="0"/>
        <v>2782323.25</v>
      </c>
      <c r="L62"/>
    </row>
    <row r="63" spans="1:12" ht="48" customHeight="1" x14ac:dyDescent="0.25">
      <c r="A63" s="22">
        <f t="shared" si="2"/>
        <v>46</v>
      </c>
      <c r="B63" s="23">
        <f>'402663'!E3</f>
        <v>44546</v>
      </c>
      <c r="C63" s="76">
        <f>'402663'!A3</f>
        <v>402663</v>
      </c>
      <c r="D63" s="24" t="s">
        <v>60</v>
      </c>
      <c r="E63" s="24" t="s">
        <v>57</v>
      </c>
      <c r="F63" s="26">
        <v>231</v>
      </c>
      <c r="G63" s="115">
        <f>'402663'!N234</f>
        <v>4243.2277499999982</v>
      </c>
      <c r="H63" s="143">
        <v>7000</v>
      </c>
      <c r="I63" s="143"/>
      <c r="J63" s="27">
        <f t="shared" si="0"/>
        <v>29702594.249999989</v>
      </c>
      <c r="L63"/>
    </row>
    <row r="64" spans="1:12" ht="48" customHeight="1" x14ac:dyDescent="0.25">
      <c r="A64" s="22">
        <f t="shared" si="2"/>
        <v>47</v>
      </c>
      <c r="B64" s="23">
        <f>Table22457891011234567891011121314151617181920212223242526272829303132333435373839404142434445464748[Pick Up]</f>
        <v>44546</v>
      </c>
      <c r="C64" s="76">
        <f>'402442'!A3</f>
        <v>402442</v>
      </c>
      <c r="D64" s="24" t="s">
        <v>60</v>
      </c>
      <c r="E64" s="24" t="s">
        <v>57</v>
      </c>
      <c r="F64" s="26">
        <v>1</v>
      </c>
      <c r="G64" s="115">
        <f>'402442'!N4</f>
        <v>14.25</v>
      </c>
      <c r="H64" s="143">
        <v>7000</v>
      </c>
      <c r="I64" s="143"/>
      <c r="J64" s="27">
        <f t="shared" si="0"/>
        <v>99750</v>
      </c>
      <c r="L64"/>
    </row>
    <row r="65" spans="1:12" ht="48" customHeight="1" x14ac:dyDescent="0.25">
      <c r="A65" s="22">
        <f t="shared" si="2"/>
        <v>48</v>
      </c>
      <c r="B65" s="23">
        <f>'402441'!E3</f>
        <v>44546</v>
      </c>
      <c r="C65" s="76">
        <f>'402441'!A3</f>
        <v>402441</v>
      </c>
      <c r="D65" s="24" t="s">
        <v>60</v>
      </c>
      <c r="E65" s="24" t="s">
        <v>57</v>
      </c>
      <c r="F65" s="26">
        <v>55</v>
      </c>
      <c r="G65" s="115">
        <f>'402441'!N58</f>
        <v>750.39274999999986</v>
      </c>
      <c r="H65" s="143">
        <v>7000</v>
      </c>
      <c r="I65" s="143"/>
      <c r="J65" s="27">
        <f t="shared" si="0"/>
        <v>5252749.2499999991</v>
      </c>
      <c r="L65"/>
    </row>
    <row r="66" spans="1:12" ht="48" customHeight="1" x14ac:dyDescent="0.25">
      <c r="A66" s="22">
        <f t="shared" si="2"/>
        <v>49</v>
      </c>
      <c r="B66" s="23">
        <f>'402665'!E3</f>
        <v>44546</v>
      </c>
      <c r="C66" s="76">
        <f>'402665'!A3</f>
        <v>402665</v>
      </c>
      <c r="D66" s="24" t="s">
        <v>60</v>
      </c>
      <c r="E66" s="24" t="s">
        <v>57</v>
      </c>
      <c r="F66" s="26">
        <v>25</v>
      </c>
      <c r="G66" s="115">
        <f>'402665'!N28</f>
        <v>529.38350000000003</v>
      </c>
      <c r="H66" s="143">
        <v>7000</v>
      </c>
      <c r="I66" s="143"/>
      <c r="J66" s="27">
        <f t="shared" si="0"/>
        <v>3705684.5</v>
      </c>
      <c r="L66"/>
    </row>
    <row r="67" spans="1:12" ht="48" customHeight="1" x14ac:dyDescent="0.25">
      <c r="A67" s="22">
        <f t="shared" si="2"/>
        <v>50</v>
      </c>
      <c r="B67" s="23">
        <f>'403912'!E3</f>
        <v>44545</v>
      </c>
      <c r="C67" s="76">
        <f>'403912'!A3</f>
        <v>403912</v>
      </c>
      <c r="D67" s="24" t="s">
        <v>60</v>
      </c>
      <c r="E67" s="24" t="s">
        <v>57</v>
      </c>
      <c r="F67" s="26">
        <v>17</v>
      </c>
      <c r="G67" s="115">
        <f>'403912'!N20</f>
        <v>218.08950000000002</v>
      </c>
      <c r="H67" s="143">
        <v>7000</v>
      </c>
      <c r="I67" s="143"/>
      <c r="J67" s="27">
        <f t="shared" si="0"/>
        <v>1526626.5</v>
      </c>
      <c r="L67"/>
    </row>
    <row r="68" spans="1:12" ht="48" customHeight="1" x14ac:dyDescent="0.25">
      <c r="A68" s="22">
        <f t="shared" si="2"/>
        <v>51</v>
      </c>
      <c r="B68" s="23">
        <f>'406120'!E3</f>
        <v>44547</v>
      </c>
      <c r="C68" s="76">
        <f>'406120'!A3</f>
        <v>406120</v>
      </c>
      <c r="D68" s="24" t="s">
        <v>60</v>
      </c>
      <c r="E68" s="24" t="s">
        <v>57</v>
      </c>
      <c r="F68" s="26">
        <v>23</v>
      </c>
      <c r="G68" s="115">
        <f>'406120'!N26</f>
        <v>387.09224999999998</v>
      </c>
      <c r="H68" s="143">
        <v>7000</v>
      </c>
      <c r="I68" s="143"/>
      <c r="J68" s="27">
        <f t="shared" si="0"/>
        <v>2709645.75</v>
      </c>
      <c r="L68"/>
    </row>
    <row r="69" spans="1:12" ht="48" customHeight="1" x14ac:dyDescent="0.25">
      <c r="A69" s="22">
        <f t="shared" si="2"/>
        <v>52</v>
      </c>
      <c r="B69" s="23">
        <f>'406098'!E3</f>
        <v>44547</v>
      </c>
      <c r="C69" s="76">
        <f>'406098'!A3</f>
        <v>406098</v>
      </c>
      <c r="D69" s="24" t="s">
        <v>60</v>
      </c>
      <c r="E69" s="24" t="s">
        <v>57</v>
      </c>
      <c r="F69" s="26">
        <v>32</v>
      </c>
      <c r="G69" s="115">
        <f>'406098'!N35</f>
        <v>302.04649999999992</v>
      </c>
      <c r="H69" s="143">
        <v>7000</v>
      </c>
      <c r="I69" s="143"/>
      <c r="J69" s="27">
        <f t="shared" si="0"/>
        <v>2114325.4999999995</v>
      </c>
      <c r="L69"/>
    </row>
    <row r="70" spans="1:12" ht="48" customHeight="1" x14ac:dyDescent="0.25">
      <c r="A70" s="22">
        <f t="shared" si="2"/>
        <v>53</v>
      </c>
      <c r="B70" s="23">
        <f>'402674'!E3</f>
        <v>44547</v>
      </c>
      <c r="C70" s="76">
        <f>'402674'!A3</f>
        <v>402674</v>
      </c>
      <c r="D70" s="24" t="s">
        <v>60</v>
      </c>
      <c r="E70" s="24" t="s">
        <v>57</v>
      </c>
      <c r="F70" s="26">
        <v>118</v>
      </c>
      <c r="G70" s="115">
        <f>'402674'!N121</f>
        <v>2470.9032499999994</v>
      </c>
      <c r="H70" s="143">
        <v>7000</v>
      </c>
      <c r="I70" s="143"/>
      <c r="J70" s="27">
        <f t="shared" si="0"/>
        <v>17296322.749999996</v>
      </c>
      <c r="L70"/>
    </row>
    <row r="71" spans="1:12" ht="48" customHeight="1" x14ac:dyDescent="0.25">
      <c r="A71" s="22">
        <f t="shared" si="2"/>
        <v>54</v>
      </c>
      <c r="B71" s="23">
        <f>'406123'!E3</f>
        <v>44548</v>
      </c>
      <c r="C71" s="76">
        <f>'406123'!A3</f>
        <v>406123</v>
      </c>
      <c r="D71" s="24" t="s">
        <v>60</v>
      </c>
      <c r="E71" s="24" t="s">
        <v>57</v>
      </c>
      <c r="F71" s="26">
        <v>35</v>
      </c>
      <c r="G71" s="115">
        <f>'406123'!N38</f>
        <v>598.89525000000003</v>
      </c>
      <c r="H71" s="143">
        <v>7000</v>
      </c>
      <c r="I71" s="143"/>
      <c r="J71" s="27">
        <f t="shared" si="0"/>
        <v>4192266.75</v>
      </c>
      <c r="L71"/>
    </row>
    <row r="72" spans="1:12" ht="48" customHeight="1" x14ac:dyDescent="0.25">
      <c r="A72" s="22">
        <f t="shared" si="2"/>
        <v>55</v>
      </c>
      <c r="B72" s="23">
        <f>'403914'!E3</f>
        <v>44548</v>
      </c>
      <c r="C72" s="76">
        <f>'403914'!A3</f>
        <v>403914</v>
      </c>
      <c r="D72" s="24" t="s">
        <v>60</v>
      </c>
      <c r="E72" s="24" t="s">
        <v>57</v>
      </c>
      <c r="F72" s="26">
        <v>37</v>
      </c>
      <c r="G72" s="115">
        <f>'403914'!N40</f>
        <v>518.25800000000004</v>
      </c>
      <c r="H72" s="143">
        <v>7000</v>
      </c>
      <c r="I72" s="143"/>
      <c r="J72" s="27">
        <f t="shared" si="0"/>
        <v>3627806.0000000005</v>
      </c>
      <c r="L72"/>
    </row>
    <row r="73" spans="1:12" ht="48" customHeight="1" x14ac:dyDescent="0.25">
      <c r="A73" s="22">
        <f t="shared" si="2"/>
        <v>56</v>
      </c>
      <c r="B73" s="23">
        <f>'402687'!E3</f>
        <v>44548</v>
      </c>
      <c r="C73" s="76">
        <f>'402687'!A3</f>
        <v>402687</v>
      </c>
      <c r="D73" s="24" t="s">
        <v>60</v>
      </c>
      <c r="E73" s="24" t="s">
        <v>57</v>
      </c>
      <c r="F73" s="26">
        <v>145</v>
      </c>
      <c r="G73" s="115">
        <f>'402687'!N148</f>
        <v>2653.8989999999999</v>
      </c>
      <c r="H73" s="143">
        <v>7000</v>
      </c>
      <c r="I73" s="143"/>
      <c r="J73" s="27">
        <f t="shared" si="0"/>
        <v>18577293</v>
      </c>
      <c r="L73"/>
    </row>
    <row r="74" spans="1:12" ht="48" customHeight="1" x14ac:dyDescent="0.25">
      <c r="A74" s="22">
        <f t="shared" si="2"/>
        <v>57</v>
      </c>
      <c r="B74" s="23">
        <f>'402688'!E3</f>
        <v>44548</v>
      </c>
      <c r="C74" s="76">
        <f>'402688'!A3</f>
        <v>402688</v>
      </c>
      <c r="D74" s="24" t="s">
        <v>60</v>
      </c>
      <c r="E74" s="24" t="s">
        <v>57</v>
      </c>
      <c r="F74" s="26">
        <v>24</v>
      </c>
      <c r="G74" s="115">
        <f>'402688'!N27</f>
        <v>461.57249999999999</v>
      </c>
      <c r="H74" s="143">
        <v>7000</v>
      </c>
      <c r="I74" s="143"/>
      <c r="J74" s="27">
        <f t="shared" si="0"/>
        <v>3231007.5</v>
      </c>
      <c r="L74"/>
    </row>
    <row r="75" spans="1:12" ht="48" customHeight="1" x14ac:dyDescent="0.25">
      <c r="A75" s="22">
        <f t="shared" si="2"/>
        <v>58</v>
      </c>
      <c r="B75" s="23">
        <f>'406126'!E3</f>
        <v>44549</v>
      </c>
      <c r="C75" s="76">
        <f>'406126'!A3</f>
        <v>406126</v>
      </c>
      <c r="D75" s="24" t="s">
        <v>60</v>
      </c>
      <c r="E75" s="24" t="s">
        <v>57</v>
      </c>
      <c r="F75" s="26">
        <v>36</v>
      </c>
      <c r="G75" s="115">
        <f>'406126'!N39</f>
        <v>737.49300000000017</v>
      </c>
      <c r="H75" s="143">
        <v>7000</v>
      </c>
      <c r="I75" s="143"/>
      <c r="J75" s="27">
        <f t="shared" si="0"/>
        <v>5162451.0000000009</v>
      </c>
      <c r="L75"/>
    </row>
    <row r="76" spans="1:12" ht="48" customHeight="1" x14ac:dyDescent="0.25">
      <c r="A76" s="22">
        <f t="shared" si="2"/>
        <v>59</v>
      </c>
      <c r="B76" s="23">
        <f>'403916'!E3</f>
        <v>44549</v>
      </c>
      <c r="C76" s="76">
        <f>'403916'!A3</f>
        <v>403916</v>
      </c>
      <c r="D76" s="24" t="s">
        <v>60</v>
      </c>
      <c r="E76" s="24" t="s">
        <v>57</v>
      </c>
      <c r="F76" s="26">
        <v>31</v>
      </c>
      <c r="G76" s="115">
        <f>'403916'!N34</f>
        <v>487.07249999999999</v>
      </c>
      <c r="H76" s="143">
        <v>7000</v>
      </c>
      <c r="I76" s="143"/>
      <c r="J76" s="27">
        <f t="shared" si="0"/>
        <v>3409507.5</v>
      </c>
      <c r="L76"/>
    </row>
    <row r="77" spans="1:12" ht="48" customHeight="1" x14ac:dyDescent="0.25">
      <c r="A77" s="22">
        <f t="shared" si="2"/>
        <v>60</v>
      </c>
      <c r="B77" s="23">
        <f>'402696'!E3</f>
        <v>44549</v>
      </c>
      <c r="C77" s="76">
        <f>'402696'!A3</f>
        <v>402696</v>
      </c>
      <c r="D77" s="24" t="s">
        <v>60</v>
      </c>
      <c r="E77" s="24" t="s">
        <v>57</v>
      </c>
      <c r="F77" s="26">
        <v>163</v>
      </c>
      <c r="G77" s="115">
        <f>'402696'!N166</f>
        <v>3295.7759999999989</v>
      </c>
      <c r="H77" s="143">
        <v>7000</v>
      </c>
      <c r="I77" s="143"/>
      <c r="J77" s="27">
        <f t="shared" ref="J77:J87" si="3">G77*H77</f>
        <v>23070431.999999993</v>
      </c>
      <c r="L77"/>
    </row>
    <row r="78" spans="1:12" ht="48" customHeight="1" x14ac:dyDescent="0.25">
      <c r="A78" s="22">
        <f t="shared" si="2"/>
        <v>61</v>
      </c>
      <c r="B78" s="23">
        <f>'403978'!E3</f>
        <v>44550</v>
      </c>
      <c r="C78" s="76">
        <f>'403978'!A3</f>
        <v>403978</v>
      </c>
      <c r="D78" s="24" t="s">
        <v>60</v>
      </c>
      <c r="E78" s="24" t="s">
        <v>57</v>
      </c>
      <c r="F78" s="26">
        <v>15</v>
      </c>
      <c r="G78" s="115">
        <f>'403978'!N18</f>
        <v>205.30349999999999</v>
      </c>
      <c r="H78" s="143">
        <v>7000</v>
      </c>
      <c r="I78" s="143"/>
      <c r="J78" s="27">
        <f t="shared" si="3"/>
        <v>1437124.5</v>
      </c>
      <c r="L78"/>
    </row>
    <row r="79" spans="1:12" ht="48" customHeight="1" x14ac:dyDescent="0.25">
      <c r="A79" s="22">
        <f t="shared" si="2"/>
        <v>62</v>
      </c>
      <c r="B79" s="23">
        <f>'403919'!E3</f>
        <v>44550</v>
      </c>
      <c r="C79" s="76">
        <f>'403919'!A3</f>
        <v>403919</v>
      </c>
      <c r="D79" s="24" t="s">
        <v>60</v>
      </c>
      <c r="E79" s="24" t="s">
        <v>57</v>
      </c>
      <c r="F79" s="26">
        <v>13</v>
      </c>
      <c r="G79" s="115">
        <f>'403919'!N16</f>
        <v>192.84625</v>
      </c>
      <c r="H79" s="143">
        <v>7000</v>
      </c>
      <c r="I79" s="143"/>
      <c r="J79" s="27">
        <f t="shared" si="3"/>
        <v>1349923.75</v>
      </c>
      <c r="L79"/>
    </row>
    <row r="80" spans="1:12" ht="48" customHeight="1" x14ac:dyDescent="0.25">
      <c r="A80" s="22">
        <f t="shared" si="2"/>
        <v>63</v>
      </c>
      <c r="B80" s="23">
        <f>'402699'!E3</f>
        <v>44550</v>
      </c>
      <c r="C80" s="76">
        <f>'402699'!A3</f>
        <v>402699</v>
      </c>
      <c r="D80" s="24" t="s">
        <v>60</v>
      </c>
      <c r="E80" s="24" t="s">
        <v>57</v>
      </c>
      <c r="F80" s="26">
        <v>72</v>
      </c>
      <c r="G80" s="115">
        <f>'402699'!N75</f>
        <v>1468.0169999999998</v>
      </c>
      <c r="H80" s="143">
        <v>7000</v>
      </c>
      <c r="I80" s="143"/>
      <c r="J80" s="27">
        <f t="shared" si="3"/>
        <v>10276118.999999998</v>
      </c>
      <c r="L80"/>
    </row>
    <row r="81" spans="1:12" ht="48" customHeight="1" x14ac:dyDescent="0.25">
      <c r="A81" s="22">
        <f t="shared" si="2"/>
        <v>64</v>
      </c>
      <c r="B81" s="23">
        <f>'403981'!E3</f>
        <v>44551</v>
      </c>
      <c r="C81" s="76">
        <f>'403981'!A3</f>
        <v>403981</v>
      </c>
      <c r="D81" s="24" t="s">
        <v>60</v>
      </c>
      <c r="E81" s="24" t="s">
        <v>57</v>
      </c>
      <c r="F81" s="26">
        <v>52</v>
      </c>
      <c r="G81" s="115">
        <f>'403981'!N55</f>
        <v>903.00200000000007</v>
      </c>
      <c r="H81" s="143">
        <v>7000</v>
      </c>
      <c r="I81" s="143"/>
      <c r="J81" s="27">
        <f t="shared" si="3"/>
        <v>6321014</v>
      </c>
      <c r="L81"/>
    </row>
    <row r="82" spans="1:12" ht="48" customHeight="1" x14ac:dyDescent="0.25">
      <c r="A82" s="22">
        <f t="shared" si="2"/>
        <v>65</v>
      </c>
      <c r="B82" s="23">
        <f>'403921'!E3</f>
        <v>44551</v>
      </c>
      <c r="C82" s="76">
        <f>'403921'!A3</f>
        <v>403921</v>
      </c>
      <c r="D82" s="24" t="s">
        <v>60</v>
      </c>
      <c r="E82" s="24" t="s">
        <v>57</v>
      </c>
      <c r="F82" s="26">
        <v>33</v>
      </c>
      <c r="G82" s="115">
        <f>'403921'!N36</f>
        <v>572.31725000000006</v>
      </c>
      <c r="H82" s="143">
        <v>7000</v>
      </c>
      <c r="I82" s="143"/>
      <c r="J82" s="27">
        <f t="shared" si="3"/>
        <v>4006220.7500000005</v>
      </c>
      <c r="L82"/>
    </row>
    <row r="83" spans="1:12" ht="48" customHeight="1" x14ac:dyDescent="0.25">
      <c r="A83" s="22">
        <f t="shared" si="2"/>
        <v>66</v>
      </c>
      <c r="B83" s="23">
        <f>'402704'!E3</f>
        <v>44551</v>
      </c>
      <c r="C83" s="76">
        <f>'402704'!A3</f>
        <v>402704</v>
      </c>
      <c r="D83" s="24" t="s">
        <v>60</v>
      </c>
      <c r="E83" s="24" t="s">
        <v>57</v>
      </c>
      <c r="F83" s="26">
        <v>38</v>
      </c>
      <c r="G83" s="115">
        <f>'402704'!N41</f>
        <v>931.77025000000015</v>
      </c>
      <c r="H83" s="143">
        <v>7000</v>
      </c>
      <c r="I83" s="143"/>
      <c r="J83" s="27">
        <f t="shared" si="3"/>
        <v>6522391.7500000009</v>
      </c>
      <c r="L83"/>
    </row>
    <row r="84" spans="1:12" ht="48" customHeight="1" x14ac:dyDescent="0.25">
      <c r="A84" s="22">
        <f t="shared" si="2"/>
        <v>67</v>
      </c>
      <c r="B84" s="23">
        <f>'402705'!E3</f>
        <v>44551</v>
      </c>
      <c r="C84" s="76">
        <f>'402705'!A3</f>
        <v>402705</v>
      </c>
      <c r="D84" s="24" t="s">
        <v>60</v>
      </c>
      <c r="E84" s="24" t="s">
        <v>57</v>
      </c>
      <c r="F84" s="26">
        <v>116</v>
      </c>
      <c r="G84" s="115">
        <f>'402705'!N119</f>
        <v>2564.0974999999994</v>
      </c>
      <c r="H84" s="143">
        <v>7000</v>
      </c>
      <c r="I84" s="143"/>
      <c r="J84" s="27">
        <f t="shared" si="3"/>
        <v>17948682.499999996</v>
      </c>
      <c r="L84"/>
    </row>
    <row r="85" spans="1:12" ht="48" customHeight="1" x14ac:dyDescent="0.25">
      <c r="A85" s="22">
        <f t="shared" si="2"/>
        <v>68</v>
      </c>
      <c r="B85" s="23">
        <f>'403924'!E3</f>
        <v>44552</v>
      </c>
      <c r="C85" s="76">
        <f>'403924'!A3</f>
        <v>403924</v>
      </c>
      <c r="D85" s="24" t="s">
        <v>60</v>
      </c>
      <c r="E85" s="24" t="s">
        <v>57</v>
      </c>
      <c r="F85" s="26">
        <v>36</v>
      </c>
      <c r="G85" s="115">
        <f>'403924'!N39</f>
        <v>680.25149999999996</v>
      </c>
      <c r="H85" s="143">
        <v>7000</v>
      </c>
      <c r="I85" s="143"/>
      <c r="J85" s="27">
        <f t="shared" si="3"/>
        <v>4761760.5</v>
      </c>
      <c r="L85"/>
    </row>
    <row r="86" spans="1:12" ht="48" customHeight="1" x14ac:dyDescent="0.25">
      <c r="A86" s="22">
        <f t="shared" si="2"/>
        <v>69</v>
      </c>
      <c r="B86" s="23">
        <f>'403983'!E3</f>
        <v>44552</v>
      </c>
      <c r="C86" s="76">
        <f>'403983'!A3</f>
        <v>403983</v>
      </c>
      <c r="D86" s="24" t="s">
        <v>60</v>
      </c>
      <c r="E86" s="24" t="s">
        <v>57</v>
      </c>
      <c r="F86" s="26">
        <v>40</v>
      </c>
      <c r="G86" s="115">
        <f>'403983'!N43</f>
        <v>702.4135</v>
      </c>
      <c r="H86" s="143">
        <v>7000</v>
      </c>
      <c r="I86" s="143"/>
      <c r="J86" s="27">
        <f t="shared" si="3"/>
        <v>4916894.5</v>
      </c>
      <c r="L86"/>
    </row>
    <row r="87" spans="1:12" ht="48" customHeight="1" x14ac:dyDescent="0.25">
      <c r="A87" s="22">
        <f t="shared" si="2"/>
        <v>70</v>
      </c>
      <c r="B87" s="23">
        <f>'402713'!E3</f>
        <v>44552</v>
      </c>
      <c r="C87" s="76">
        <f>'402713'!A3</f>
        <v>402713</v>
      </c>
      <c r="D87" s="24" t="s">
        <v>60</v>
      </c>
      <c r="E87" s="24" t="s">
        <v>57</v>
      </c>
      <c r="F87" s="26">
        <v>194</v>
      </c>
      <c r="G87" s="115">
        <f>'402713'!N197</f>
        <v>4016.750500000001</v>
      </c>
      <c r="H87" s="143">
        <v>7000</v>
      </c>
      <c r="I87" s="143"/>
      <c r="J87" s="27">
        <f t="shared" si="3"/>
        <v>28117253.500000007</v>
      </c>
      <c r="L87"/>
    </row>
    <row r="88" spans="1:12" ht="48" customHeight="1" x14ac:dyDescent="0.25">
      <c r="A88" s="22">
        <f t="shared" si="2"/>
        <v>71</v>
      </c>
      <c r="B88" s="23">
        <f>'403983'!E3</f>
        <v>44552</v>
      </c>
      <c r="C88" s="76">
        <f>'403985'!A3</f>
        <v>403985</v>
      </c>
      <c r="D88" s="24" t="s">
        <v>60</v>
      </c>
      <c r="E88" s="24" t="s">
        <v>57</v>
      </c>
      <c r="F88" s="26">
        <v>36</v>
      </c>
      <c r="G88" s="115">
        <f>'403985'!N39</f>
        <v>802.97350000000006</v>
      </c>
      <c r="H88" s="143">
        <v>7000</v>
      </c>
      <c r="I88" s="143"/>
      <c r="J88" s="27">
        <f t="shared" ref="J88:J104" si="4">G88*H88</f>
        <v>5620814.5</v>
      </c>
      <c r="L88"/>
    </row>
    <row r="89" spans="1:12" ht="48" customHeight="1" x14ac:dyDescent="0.25">
      <c r="A89" s="22">
        <f t="shared" si="2"/>
        <v>72</v>
      </c>
      <c r="B89" s="23">
        <f>'403927'!E3</f>
        <v>44553</v>
      </c>
      <c r="C89" s="76">
        <f>'403927'!A3</f>
        <v>403927</v>
      </c>
      <c r="D89" s="24" t="s">
        <v>60</v>
      </c>
      <c r="E89" s="24" t="s">
        <v>57</v>
      </c>
      <c r="F89" s="26">
        <v>33</v>
      </c>
      <c r="G89" s="115">
        <f>'403927'!N36</f>
        <v>446.90624999999994</v>
      </c>
      <c r="H89" s="143">
        <v>7000</v>
      </c>
      <c r="I89" s="143"/>
      <c r="J89" s="27">
        <f t="shared" si="4"/>
        <v>3128343.7499999995</v>
      </c>
      <c r="L89"/>
    </row>
    <row r="90" spans="1:12" ht="48" customHeight="1" x14ac:dyDescent="0.25">
      <c r="A90" s="22">
        <f t="shared" si="2"/>
        <v>73</v>
      </c>
      <c r="B90" s="23">
        <f>'402715'!E3</f>
        <v>44553</v>
      </c>
      <c r="C90" s="76">
        <f>'402715'!A3</f>
        <v>402715</v>
      </c>
      <c r="D90" s="24" t="s">
        <v>60</v>
      </c>
      <c r="E90" s="24" t="s">
        <v>57</v>
      </c>
      <c r="F90" s="26">
        <v>176</v>
      </c>
      <c r="G90" s="115">
        <f>'402715'!N179</f>
        <v>3540.9649999999992</v>
      </c>
      <c r="H90" s="143">
        <v>7000</v>
      </c>
      <c r="I90" s="143"/>
      <c r="J90" s="27">
        <f t="shared" si="4"/>
        <v>24786754.999999996</v>
      </c>
      <c r="L90"/>
    </row>
    <row r="91" spans="1:12" ht="48" customHeight="1" x14ac:dyDescent="0.25">
      <c r="A91" s="22">
        <f t="shared" si="2"/>
        <v>74</v>
      </c>
      <c r="B91" s="23">
        <f>'403987'!E3</f>
        <v>44554</v>
      </c>
      <c r="C91" s="76">
        <f>'403987'!A3</f>
        <v>403987</v>
      </c>
      <c r="D91" s="24" t="s">
        <v>60</v>
      </c>
      <c r="E91" s="24" t="s">
        <v>57</v>
      </c>
      <c r="F91" s="26">
        <v>28</v>
      </c>
      <c r="G91" s="115">
        <f>'403987'!N31</f>
        <v>555.60749999999996</v>
      </c>
      <c r="H91" s="143">
        <v>7000</v>
      </c>
      <c r="I91" s="143"/>
      <c r="J91" s="27">
        <f t="shared" si="4"/>
        <v>3889252.4999999995</v>
      </c>
      <c r="L91"/>
    </row>
    <row r="92" spans="1:12" ht="48" customHeight="1" x14ac:dyDescent="0.25">
      <c r="A92" s="22">
        <f t="shared" si="2"/>
        <v>75</v>
      </c>
      <c r="B92" s="23">
        <f>'403930'!E3</f>
        <v>44554</v>
      </c>
      <c r="C92" s="76">
        <f>'403930'!A3</f>
        <v>403930</v>
      </c>
      <c r="D92" s="24" t="s">
        <v>60</v>
      </c>
      <c r="E92" s="24" t="s">
        <v>57</v>
      </c>
      <c r="F92" s="26">
        <v>28</v>
      </c>
      <c r="G92" s="115">
        <f>'403930'!N31</f>
        <v>476.83499999999992</v>
      </c>
      <c r="H92" s="143">
        <v>7000</v>
      </c>
      <c r="I92" s="143"/>
      <c r="J92" s="27">
        <f t="shared" si="4"/>
        <v>3337844.9999999995</v>
      </c>
      <c r="L92"/>
    </row>
    <row r="93" spans="1:12" ht="48" customHeight="1" x14ac:dyDescent="0.25">
      <c r="A93" s="22">
        <f t="shared" si="2"/>
        <v>76</v>
      </c>
      <c r="B93" s="23">
        <f>'402722'!E3</f>
        <v>44554</v>
      </c>
      <c r="C93" s="76">
        <f>'402722'!A3</f>
        <v>402722</v>
      </c>
      <c r="D93" s="24" t="s">
        <v>60</v>
      </c>
      <c r="E93" s="24" t="s">
        <v>57</v>
      </c>
      <c r="F93" s="26">
        <v>172</v>
      </c>
      <c r="G93" s="115">
        <f>'402722'!N175</f>
        <v>3554.9147500000004</v>
      </c>
      <c r="H93" s="143">
        <v>7000</v>
      </c>
      <c r="I93" s="143"/>
      <c r="J93" s="27">
        <f t="shared" si="4"/>
        <v>24884403.250000004</v>
      </c>
      <c r="L93"/>
    </row>
    <row r="94" spans="1:12" ht="48" customHeight="1" x14ac:dyDescent="0.25">
      <c r="A94" s="22">
        <f t="shared" si="2"/>
        <v>77</v>
      </c>
      <c r="B94" s="23">
        <f>'403989'!E3</f>
        <v>44555</v>
      </c>
      <c r="C94" s="76">
        <f>'403989'!A3</f>
        <v>403989</v>
      </c>
      <c r="D94" s="24" t="s">
        <v>60</v>
      </c>
      <c r="E94" s="24" t="s">
        <v>57</v>
      </c>
      <c r="F94" s="26">
        <v>25</v>
      </c>
      <c r="G94" s="115">
        <f>'403989'!N28</f>
        <v>544.31100000000004</v>
      </c>
      <c r="H94" s="143">
        <v>7000</v>
      </c>
      <c r="I94" s="143"/>
      <c r="J94" s="27">
        <f t="shared" si="4"/>
        <v>3810177.0000000005</v>
      </c>
      <c r="L94"/>
    </row>
    <row r="95" spans="1:12" ht="48" customHeight="1" x14ac:dyDescent="0.25">
      <c r="A95" s="22">
        <f t="shared" si="2"/>
        <v>78</v>
      </c>
      <c r="B95" s="23">
        <f>'403931'!E3</f>
        <v>44555</v>
      </c>
      <c r="C95" s="76">
        <f>'403931'!A3</f>
        <v>403931</v>
      </c>
      <c r="D95" s="24" t="s">
        <v>60</v>
      </c>
      <c r="E95" s="24" t="s">
        <v>57</v>
      </c>
      <c r="F95" s="26">
        <v>31</v>
      </c>
      <c r="G95" s="115">
        <f>'403931'!N34</f>
        <v>449.036</v>
      </c>
      <c r="H95" s="143">
        <v>7000</v>
      </c>
      <c r="I95" s="143"/>
      <c r="J95" s="27">
        <f t="shared" si="4"/>
        <v>3143252</v>
      </c>
      <c r="L95"/>
    </row>
    <row r="96" spans="1:12" ht="48" customHeight="1" x14ac:dyDescent="0.25">
      <c r="A96" s="22">
        <f t="shared" si="2"/>
        <v>79</v>
      </c>
      <c r="B96" s="23">
        <f>'402731'!E3</f>
        <v>44555</v>
      </c>
      <c r="C96" s="76">
        <f>'402731'!A3</f>
        <v>402731</v>
      </c>
      <c r="D96" s="24" t="s">
        <v>60</v>
      </c>
      <c r="E96" s="24" t="s">
        <v>57</v>
      </c>
      <c r="F96" s="26">
        <v>136</v>
      </c>
      <c r="G96" s="115">
        <f>'402731'!N139</f>
        <v>2920.12925</v>
      </c>
      <c r="H96" s="143">
        <v>7000</v>
      </c>
      <c r="I96" s="143"/>
      <c r="J96" s="27">
        <f t="shared" si="4"/>
        <v>20440904.75</v>
      </c>
      <c r="L96"/>
    </row>
    <row r="97" spans="1:12" ht="48" customHeight="1" x14ac:dyDescent="0.25">
      <c r="A97" s="22">
        <f t="shared" si="2"/>
        <v>80</v>
      </c>
      <c r="B97" s="23">
        <f>'402106'!E3</f>
        <v>44556</v>
      </c>
      <c r="C97" s="76">
        <f>'402106'!A3</f>
        <v>402106</v>
      </c>
      <c r="D97" s="24" t="s">
        <v>60</v>
      </c>
      <c r="E97" s="24" t="s">
        <v>57</v>
      </c>
      <c r="F97" s="26">
        <v>17</v>
      </c>
      <c r="G97" s="115">
        <f>'402106'!N20</f>
        <v>241.63000000000002</v>
      </c>
      <c r="H97" s="143">
        <v>7000</v>
      </c>
      <c r="I97" s="143"/>
      <c r="J97" s="27">
        <f t="shared" si="4"/>
        <v>1691410.0000000002</v>
      </c>
      <c r="L97"/>
    </row>
    <row r="98" spans="1:12" ht="48" customHeight="1" x14ac:dyDescent="0.25">
      <c r="A98" s="22">
        <f t="shared" si="2"/>
        <v>81</v>
      </c>
      <c r="B98" s="23">
        <f>'403991'!E3</f>
        <v>44556</v>
      </c>
      <c r="C98" s="76">
        <f>'403991'!A3</f>
        <v>403991</v>
      </c>
      <c r="D98" s="24" t="s">
        <v>60</v>
      </c>
      <c r="E98" s="24" t="s">
        <v>57</v>
      </c>
      <c r="F98" s="26">
        <v>25</v>
      </c>
      <c r="G98" s="115">
        <f>'403991'!N28</f>
        <v>604.41650000000004</v>
      </c>
      <c r="H98" s="143">
        <v>7000</v>
      </c>
      <c r="I98" s="143"/>
      <c r="J98" s="27">
        <f t="shared" si="4"/>
        <v>4230915.5</v>
      </c>
      <c r="L98"/>
    </row>
    <row r="99" spans="1:12" ht="48" customHeight="1" x14ac:dyDescent="0.25">
      <c r="A99" s="22">
        <f t="shared" si="2"/>
        <v>82</v>
      </c>
      <c r="B99" s="23">
        <f>'402736'!E3</f>
        <v>44556</v>
      </c>
      <c r="C99" s="76">
        <f>'402736'!A3</f>
        <v>402736</v>
      </c>
      <c r="D99" s="24" t="s">
        <v>60</v>
      </c>
      <c r="E99" s="24" t="s">
        <v>57</v>
      </c>
      <c r="F99" s="26">
        <v>88</v>
      </c>
      <c r="G99" s="115">
        <f>'402736'!N91</f>
        <v>2383.67425</v>
      </c>
      <c r="H99" s="143">
        <v>7000</v>
      </c>
      <c r="I99" s="143"/>
      <c r="J99" s="27">
        <f t="shared" si="4"/>
        <v>16685719.75</v>
      </c>
      <c r="L99"/>
    </row>
    <row r="100" spans="1:12" ht="48" customHeight="1" x14ac:dyDescent="0.25">
      <c r="A100" s="22">
        <f t="shared" si="2"/>
        <v>83</v>
      </c>
      <c r="B100" s="23">
        <f>'406130'!E3</f>
        <v>44557</v>
      </c>
      <c r="C100" s="76">
        <f>'406130'!A3</f>
        <v>406130</v>
      </c>
      <c r="D100" s="24" t="s">
        <v>60</v>
      </c>
      <c r="E100" s="24" t="s">
        <v>57</v>
      </c>
      <c r="F100" s="26">
        <v>14</v>
      </c>
      <c r="G100" s="115">
        <f>'406130'!N17</f>
        <v>273.44400000000002</v>
      </c>
      <c r="H100" s="143">
        <v>7000</v>
      </c>
      <c r="I100" s="143"/>
      <c r="J100" s="27">
        <f t="shared" si="4"/>
        <v>1914108.0000000002</v>
      </c>
      <c r="L100"/>
    </row>
    <row r="101" spans="1:12" ht="48" customHeight="1" x14ac:dyDescent="0.25">
      <c r="A101" s="22">
        <f t="shared" si="2"/>
        <v>84</v>
      </c>
      <c r="B101" s="23">
        <f>'403933'!E3</f>
        <v>44557</v>
      </c>
      <c r="C101" s="76">
        <f>'403933'!A3</f>
        <v>403933</v>
      </c>
      <c r="D101" s="24" t="s">
        <v>60</v>
      </c>
      <c r="E101" s="24" t="s">
        <v>57</v>
      </c>
      <c r="F101" s="26">
        <v>13</v>
      </c>
      <c r="G101" s="115">
        <f>'403933'!N16</f>
        <v>145.74625000000003</v>
      </c>
      <c r="H101" s="143">
        <v>7000</v>
      </c>
      <c r="I101" s="143"/>
      <c r="J101" s="27">
        <f t="shared" si="4"/>
        <v>1020223.7500000002</v>
      </c>
      <c r="L101"/>
    </row>
    <row r="102" spans="1:12" ht="48" customHeight="1" x14ac:dyDescent="0.25">
      <c r="A102" s="22">
        <f t="shared" si="2"/>
        <v>85</v>
      </c>
      <c r="B102" s="23">
        <f>'402745'!E3</f>
        <v>44557</v>
      </c>
      <c r="C102" s="76">
        <f>'402745'!A3</f>
        <v>402745</v>
      </c>
      <c r="D102" s="24" t="s">
        <v>60</v>
      </c>
      <c r="E102" s="24" t="s">
        <v>57</v>
      </c>
      <c r="F102" s="26">
        <v>36</v>
      </c>
      <c r="G102" s="115">
        <f>'402745'!N39</f>
        <v>884.19749999999988</v>
      </c>
      <c r="H102" s="143">
        <v>7000</v>
      </c>
      <c r="I102" s="143"/>
      <c r="J102" s="27">
        <f t="shared" si="4"/>
        <v>6189382.4999999991</v>
      </c>
      <c r="L102"/>
    </row>
    <row r="103" spans="1:12" ht="48" customHeight="1" x14ac:dyDescent="0.25">
      <c r="A103" s="22">
        <f t="shared" si="2"/>
        <v>86</v>
      </c>
      <c r="B103" s="23">
        <f>'406132'!E3</f>
        <v>44558</v>
      </c>
      <c r="C103" s="76">
        <f>'406132'!A3</f>
        <v>406132</v>
      </c>
      <c r="D103" s="24" t="s">
        <v>60</v>
      </c>
      <c r="E103" s="24" t="s">
        <v>57</v>
      </c>
      <c r="F103" s="26">
        <v>35</v>
      </c>
      <c r="G103" s="115">
        <f>'406132'!N38</f>
        <v>613.08075000000019</v>
      </c>
      <c r="H103" s="143">
        <v>7000</v>
      </c>
      <c r="I103" s="143"/>
      <c r="J103" s="27">
        <f t="shared" si="4"/>
        <v>4291565.2500000009</v>
      </c>
      <c r="L103"/>
    </row>
    <row r="104" spans="1:12" ht="48" customHeight="1" x14ac:dyDescent="0.25">
      <c r="A104" s="22">
        <f t="shared" si="2"/>
        <v>87</v>
      </c>
      <c r="B104" s="23">
        <f>'402111'!E3</f>
        <v>44558</v>
      </c>
      <c r="C104" s="76">
        <f>'402111'!A3</f>
        <v>402111</v>
      </c>
      <c r="D104" s="24" t="s">
        <v>60</v>
      </c>
      <c r="E104" s="24" t="s">
        <v>57</v>
      </c>
      <c r="F104" s="26">
        <v>36</v>
      </c>
      <c r="G104" s="115">
        <f>'402111'!N39</f>
        <v>714.70450000000005</v>
      </c>
      <c r="H104" s="143">
        <v>7000</v>
      </c>
      <c r="I104" s="143"/>
      <c r="J104" s="27">
        <f t="shared" si="4"/>
        <v>5002931.5</v>
      </c>
      <c r="L104"/>
    </row>
    <row r="105" spans="1:12" ht="48" customHeight="1" x14ac:dyDescent="0.25">
      <c r="A105" s="22">
        <f t="shared" si="2"/>
        <v>88</v>
      </c>
      <c r="B105" s="23">
        <f>'402746'!E3</f>
        <v>44558</v>
      </c>
      <c r="C105" s="76">
        <f>'402746'!A3</f>
        <v>402746</v>
      </c>
      <c r="D105" s="24" t="s">
        <v>60</v>
      </c>
      <c r="E105" s="24" t="s">
        <v>57</v>
      </c>
      <c r="F105" s="26">
        <v>155</v>
      </c>
      <c r="G105" s="115">
        <f>'402746'!N158</f>
        <v>3056.8919999999998</v>
      </c>
      <c r="H105" s="143">
        <v>7000</v>
      </c>
      <c r="I105" s="143"/>
      <c r="J105" s="27">
        <f t="shared" ref="J105:J113" si="5">G105*H105</f>
        <v>21398244</v>
      </c>
      <c r="L105"/>
    </row>
    <row r="106" spans="1:12" ht="48" customHeight="1" x14ac:dyDescent="0.25">
      <c r="A106" s="22">
        <f t="shared" si="2"/>
        <v>89</v>
      </c>
      <c r="B106" s="23">
        <f>'402748'!E3</f>
        <v>44558</v>
      </c>
      <c r="C106" s="76">
        <f>'402748'!A3</f>
        <v>402748</v>
      </c>
      <c r="D106" s="24" t="s">
        <v>60</v>
      </c>
      <c r="E106" s="24" t="s">
        <v>57</v>
      </c>
      <c r="F106" s="26">
        <v>3</v>
      </c>
      <c r="G106" s="115">
        <f>'402748'!N6</f>
        <v>60.149000000000001</v>
      </c>
      <c r="H106" s="143">
        <v>7000</v>
      </c>
      <c r="I106" s="143"/>
      <c r="J106" s="27">
        <f t="shared" si="5"/>
        <v>421043</v>
      </c>
      <c r="L106"/>
    </row>
    <row r="107" spans="1:12" ht="48" customHeight="1" x14ac:dyDescent="0.25">
      <c r="A107" s="22">
        <f t="shared" si="2"/>
        <v>90</v>
      </c>
      <c r="B107" s="23">
        <f>'406134'!E3</f>
        <v>44559</v>
      </c>
      <c r="C107" s="76">
        <f>'406134'!A3</f>
        <v>406134</v>
      </c>
      <c r="D107" s="24" t="s">
        <v>60</v>
      </c>
      <c r="E107" s="24" t="s">
        <v>57</v>
      </c>
      <c r="F107" s="26">
        <v>29</v>
      </c>
      <c r="G107" s="115">
        <f>'406134'!N32</f>
        <v>469.05124999999992</v>
      </c>
      <c r="H107" s="143">
        <v>7000</v>
      </c>
      <c r="I107" s="143"/>
      <c r="J107" s="27">
        <f t="shared" si="5"/>
        <v>3283358.7499999995</v>
      </c>
      <c r="L107"/>
    </row>
    <row r="108" spans="1:12" ht="48" customHeight="1" x14ac:dyDescent="0.25">
      <c r="A108" s="22">
        <f t="shared" si="2"/>
        <v>91</v>
      </c>
      <c r="B108" s="23">
        <f>'406136'!E3</f>
        <v>44559</v>
      </c>
      <c r="C108" s="76">
        <f>'406136'!A3</f>
        <v>406136</v>
      </c>
      <c r="D108" s="24" t="s">
        <v>60</v>
      </c>
      <c r="E108" s="24" t="s">
        <v>57</v>
      </c>
      <c r="F108" s="26">
        <v>12</v>
      </c>
      <c r="G108" s="115">
        <f>'406136'!N15</f>
        <v>204.392</v>
      </c>
      <c r="H108" s="143">
        <v>7000</v>
      </c>
      <c r="I108" s="143"/>
      <c r="J108" s="27">
        <f t="shared" si="5"/>
        <v>1430744</v>
      </c>
      <c r="L108"/>
    </row>
    <row r="109" spans="1:12" ht="48" customHeight="1" x14ac:dyDescent="0.25">
      <c r="A109" s="22">
        <f t="shared" si="2"/>
        <v>92</v>
      </c>
      <c r="B109" s="23">
        <f>'403937'!E3</f>
        <v>44559</v>
      </c>
      <c r="C109" s="76">
        <f>'403937'!A3</f>
        <v>403937</v>
      </c>
      <c r="D109" s="24" t="s">
        <v>60</v>
      </c>
      <c r="E109" s="24" t="s">
        <v>57</v>
      </c>
      <c r="F109" s="26">
        <v>25</v>
      </c>
      <c r="G109" s="115">
        <f>'403937'!N28</f>
        <v>379.50075000000004</v>
      </c>
      <c r="H109" s="143">
        <v>7000</v>
      </c>
      <c r="I109" s="143"/>
      <c r="J109" s="27">
        <f t="shared" si="5"/>
        <v>2656505.2500000005</v>
      </c>
      <c r="L109"/>
    </row>
    <row r="110" spans="1:12" ht="48" customHeight="1" x14ac:dyDescent="0.25">
      <c r="A110" s="22">
        <f t="shared" si="2"/>
        <v>93</v>
      </c>
      <c r="B110" s="23">
        <f>'406473'!E3</f>
        <v>44559</v>
      </c>
      <c r="C110" s="76">
        <f>'406473'!A3</f>
        <v>406473</v>
      </c>
      <c r="D110" s="24" t="s">
        <v>60</v>
      </c>
      <c r="E110" s="24" t="s">
        <v>57</v>
      </c>
      <c r="F110" s="26">
        <v>127</v>
      </c>
      <c r="G110" s="115">
        <f>'406473'!N130</f>
        <v>2554.6952499999998</v>
      </c>
      <c r="H110" s="143">
        <v>7000</v>
      </c>
      <c r="I110" s="143"/>
      <c r="J110" s="27">
        <f t="shared" si="5"/>
        <v>17882866.75</v>
      </c>
      <c r="L110"/>
    </row>
    <row r="111" spans="1:12" ht="48" customHeight="1" x14ac:dyDescent="0.25">
      <c r="A111" s="22">
        <f t="shared" si="2"/>
        <v>94</v>
      </c>
      <c r="B111" s="23">
        <f>'403993'!E3</f>
        <v>44560</v>
      </c>
      <c r="C111" s="76">
        <f>'403993'!A3</f>
        <v>403993</v>
      </c>
      <c r="D111" s="24" t="s">
        <v>60</v>
      </c>
      <c r="E111" s="24" t="s">
        <v>57</v>
      </c>
      <c r="F111" s="26">
        <v>26</v>
      </c>
      <c r="G111" s="115">
        <f>'403993'!N29</f>
        <v>576.69274999999993</v>
      </c>
      <c r="H111" s="143">
        <v>7000</v>
      </c>
      <c r="I111" s="143"/>
      <c r="J111" s="27">
        <f t="shared" si="5"/>
        <v>4036849.2499999995</v>
      </c>
      <c r="L111"/>
    </row>
    <row r="112" spans="1:12" ht="48" customHeight="1" x14ac:dyDescent="0.25">
      <c r="A112" s="22">
        <f t="shared" si="2"/>
        <v>95</v>
      </c>
      <c r="B112" s="23">
        <f>'402110'!E3</f>
        <v>44560</v>
      </c>
      <c r="C112" s="76">
        <f>'402110'!A3</f>
        <v>402110</v>
      </c>
      <c r="D112" s="24" t="s">
        <v>60</v>
      </c>
      <c r="E112" s="24" t="s">
        <v>57</v>
      </c>
      <c r="F112" s="26">
        <v>23</v>
      </c>
      <c r="G112" s="115">
        <f>'402110'!N26</f>
        <v>323.26724999999999</v>
      </c>
      <c r="H112" s="143">
        <v>7000</v>
      </c>
      <c r="I112" s="143"/>
      <c r="J112" s="27">
        <f t="shared" si="5"/>
        <v>2262870.75</v>
      </c>
      <c r="L112"/>
    </row>
    <row r="113" spans="1:12" ht="48" customHeight="1" x14ac:dyDescent="0.25">
      <c r="A113" s="22">
        <f t="shared" si="2"/>
        <v>96</v>
      </c>
      <c r="B113" s="23">
        <f>'402752'!E3</f>
        <v>44560</v>
      </c>
      <c r="C113" s="76">
        <f>'402752'!A3</f>
        <v>402752</v>
      </c>
      <c r="D113" s="24" t="s">
        <v>60</v>
      </c>
      <c r="E113" s="24" t="s">
        <v>57</v>
      </c>
      <c r="F113" s="26">
        <v>137</v>
      </c>
      <c r="G113" s="115">
        <f>'402752'!N140</f>
        <v>2769.9934999999991</v>
      </c>
      <c r="H113" s="143">
        <v>7000</v>
      </c>
      <c r="I113" s="143"/>
      <c r="J113" s="27">
        <f t="shared" si="5"/>
        <v>19389954.499999993</v>
      </c>
      <c r="L113"/>
    </row>
    <row r="114" spans="1:12" ht="48" customHeight="1" x14ac:dyDescent="0.25">
      <c r="A114" s="22">
        <f t="shared" si="2"/>
        <v>97</v>
      </c>
      <c r="B114" s="23">
        <f>'406139'!E3</f>
        <v>44561</v>
      </c>
      <c r="C114" s="76">
        <f>'406139'!A3</f>
        <v>406139</v>
      </c>
      <c r="D114" s="24" t="s">
        <v>60</v>
      </c>
      <c r="E114" s="24" t="s">
        <v>57</v>
      </c>
      <c r="F114" s="26">
        <v>42</v>
      </c>
      <c r="G114" s="115">
        <f>'406139'!N45</f>
        <v>811.84325000000013</v>
      </c>
      <c r="H114" s="143">
        <v>7000</v>
      </c>
      <c r="I114" s="143"/>
      <c r="J114" s="27">
        <f t="shared" ref="J114:J115" si="6">G114*H114</f>
        <v>5682902.7500000009</v>
      </c>
      <c r="L114"/>
    </row>
    <row r="115" spans="1:12" ht="48" customHeight="1" x14ac:dyDescent="0.25">
      <c r="A115" s="22">
        <f t="shared" ref="A115:A116" si="7">A114+1</f>
        <v>98</v>
      </c>
      <c r="B115" s="23">
        <f>'403940'!E3</f>
        <v>44561</v>
      </c>
      <c r="C115" s="76">
        <f>'403940'!A3</f>
        <v>403940</v>
      </c>
      <c r="D115" s="24" t="s">
        <v>60</v>
      </c>
      <c r="E115" s="24" t="s">
        <v>57</v>
      </c>
      <c r="F115" s="26">
        <v>24</v>
      </c>
      <c r="G115" s="115">
        <f>'403940'!N27</f>
        <v>343.69500000000005</v>
      </c>
      <c r="H115" s="143">
        <v>7000</v>
      </c>
      <c r="I115" s="143"/>
      <c r="J115" s="27">
        <f t="shared" si="6"/>
        <v>2405865.0000000005</v>
      </c>
      <c r="L115"/>
    </row>
    <row r="116" spans="1:12" ht="48" customHeight="1" x14ac:dyDescent="0.25">
      <c r="A116" s="22">
        <f t="shared" si="7"/>
        <v>99</v>
      </c>
      <c r="B116" s="23">
        <f>'402758'!E3</f>
        <v>44561</v>
      </c>
      <c r="C116" s="76">
        <f>'402758'!A3</f>
        <v>402758</v>
      </c>
      <c r="D116" s="24" t="s">
        <v>60</v>
      </c>
      <c r="E116" s="24" t="s">
        <v>57</v>
      </c>
      <c r="F116" s="26">
        <v>136</v>
      </c>
      <c r="G116" s="115">
        <f>'402758'!N139</f>
        <v>2352.0525000000002</v>
      </c>
      <c r="H116" s="143">
        <v>7000</v>
      </c>
      <c r="I116" s="143"/>
      <c r="J116" s="27">
        <f t="shared" ref="J116" si="8">G116*H116</f>
        <v>16464367.500000002</v>
      </c>
      <c r="L116"/>
    </row>
    <row r="117" spans="1:12" ht="32.25" customHeight="1" thickBot="1" x14ac:dyDescent="0.3">
      <c r="A117" s="151" t="s">
        <v>30</v>
      </c>
      <c r="B117" s="152"/>
      <c r="C117" s="152"/>
      <c r="D117" s="152"/>
      <c r="E117" s="152"/>
      <c r="F117" s="152"/>
      <c r="G117" s="152"/>
      <c r="H117" s="152"/>
      <c r="I117" s="153"/>
      <c r="J117" s="28">
        <f>SUM(J18:J116)</f>
        <v>796345683</v>
      </c>
      <c r="L117" s="74"/>
    </row>
    <row r="118" spans="1:12" x14ac:dyDescent="0.25">
      <c r="A118" s="155"/>
      <c r="B118" s="155"/>
      <c r="C118" s="29"/>
      <c r="D118" s="29"/>
      <c r="E118" s="29"/>
      <c r="F118" s="29"/>
      <c r="G118" s="29"/>
      <c r="H118" s="30"/>
      <c r="I118" s="30"/>
      <c r="J118" s="31"/>
    </row>
    <row r="119" spans="1:12" x14ac:dyDescent="0.25">
      <c r="A119" s="77"/>
      <c r="B119" s="77"/>
      <c r="C119" s="77"/>
      <c r="D119" s="77"/>
      <c r="E119" s="77"/>
      <c r="F119" s="77"/>
      <c r="G119" s="32" t="s">
        <v>52</v>
      </c>
      <c r="H119" s="32"/>
      <c r="I119" s="30"/>
      <c r="J119" s="31">
        <v>0</v>
      </c>
      <c r="L119" s="33"/>
    </row>
    <row r="120" spans="1:12" x14ac:dyDescent="0.25">
      <c r="A120" s="77"/>
      <c r="B120" s="77"/>
      <c r="C120" s="77"/>
      <c r="D120" s="77"/>
      <c r="E120" s="77"/>
      <c r="F120" s="77"/>
      <c r="G120" s="84" t="s">
        <v>53</v>
      </c>
      <c r="H120" s="84"/>
      <c r="I120" s="85"/>
      <c r="J120" s="87">
        <f>J117-J119</f>
        <v>796345683</v>
      </c>
      <c r="L120" s="33"/>
    </row>
    <row r="121" spans="1:12" x14ac:dyDescent="0.25">
      <c r="A121" s="77"/>
      <c r="B121" s="77"/>
      <c r="C121" s="77"/>
      <c r="D121" s="77"/>
      <c r="E121" s="77"/>
      <c r="F121" s="77"/>
      <c r="G121" s="32" t="s">
        <v>31</v>
      </c>
      <c r="H121" s="32"/>
      <c r="I121" s="33" t="e">
        <f>#REF!*1%</f>
        <v>#REF!</v>
      </c>
      <c r="J121" s="31">
        <f>J120*1%</f>
        <v>7963456.8300000001</v>
      </c>
    </row>
    <row r="122" spans="1:12" ht="16.5" thickBot="1" x14ac:dyDescent="0.3">
      <c r="A122" s="77"/>
      <c r="B122" s="77"/>
      <c r="C122" s="77"/>
      <c r="D122" s="77"/>
      <c r="E122" s="77"/>
      <c r="F122" s="77"/>
      <c r="G122" s="86" t="s">
        <v>55</v>
      </c>
      <c r="H122" s="86"/>
      <c r="I122" s="34">
        <f>I118*10%</f>
        <v>0</v>
      </c>
      <c r="J122" s="34">
        <f>J120*2%</f>
        <v>15926913.66</v>
      </c>
    </row>
    <row r="123" spans="1:12" x14ac:dyDescent="0.25">
      <c r="E123" s="16"/>
      <c r="F123" s="16"/>
      <c r="G123" s="35" t="s">
        <v>56</v>
      </c>
      <c r="H123" s="35"/>
      <c r="I123" s="36" t="e">
        <f>I117+I121</f>
        <v>#REF!</v>
      </c>
      <c r="J123" s="36">
        <f>J120+J121-J122</f>
        <v>788382226.17000008</v>
      </c>
    </row>
    <row r="124" spans="1:12" x14ac:dyDescent="0.25">
      <c r="E124" s="16"/>
      <c r="F124" s="16"/>
      <c r="G124" s="35"/>
      <c r="H124" s="35"/>
      <c r="I124" s="36"/>
      <c r="J124" s="36"/>
    </row>
    <row r="125" spans="1:12" x14ac:dyDescent="0.25">
      <c r="A125" s="16" t="s">
        <v>6173</v>
      </c>
      <c r="D125" s="16"/>
      <c r="E125" s="16"/>
      <c r="F125" s="16"/>
      <c r="G125" s="16"/>
      <c r="H125" s="35"/>
      <c r="I125" s="35"/>
      <c r="J125" s="36"/>
    </row>
    <row r="126" spans="1:12" x14ac:dyDescent="0.25">
      <c r="A126" s="37"/>
      <c r="D126" s="16"/>
      <c r="E126" s="16"/>
      <c r="F126" s="16"/>
      <c r="G126" s="16"/>
      <c r="H126" s="35"/>
      <c r="I126" s="35"/>
      <c r="J126" s="36"/>
    </row>
    <row r="127" spans="1:12" x14ac:dyDescent="0.25">
      <c r="D127" s="16"/>
      <c r="E127" s="16"/>
      <c r="F127" s="16"/>
      <c r="G127" s="16"/>
      <c r="H127" s="35"/>
      <c r="I127" s="35"/>
      <c r="J127" s="36"/>
    </row>
    <row r="128" spans="1:12" x14ac:dyDescent="0.25">
      <c r="A128" s="38" t="s">
        <v>33</v>
      </c>
    </row>
    <row r="129" spans="1:10" x14ac:dyDescent="0.25">
      <c r="A129" s="39" t="s">
        <v>34</v>
      </c>
      <c r="B129" s="40"/>
      <c r="C129" s="40"/>
      <c r="D129" s="41"/>
      <c r="E129" s="41"/>
      <c r="F129" s="41"/>
      <c r="G129" s="41"/>
    </row>
    <row r="130" spans="1:10" x14ac:dyDescent="0.25">
      <c r="A130" s="39" t="s">
        <v>35</v>
      </c>
      <c r="B130" s="40"/>
      <c r="C130" s="40"/>
      <c r="D130" s="41"/>
      <c r="E130" s="41"/>
      <c r="F130" s="41"/>
      <c r="G130" s="41"/>
    </row>
    <row r="131" spans="1:10" x14ac:dyDescent="0.25">
      <c r="A131" s="42" t="s">
        <v>36</v>
      </c>
      <c r="B131" s="43"/>
      <c r="C131" s="43"/>
      <c r="D131" s="41"/>
      <c r="E131" s="41"/>
      <c r="F131" s="41"/>
      <c r="G131" s="41"/>
    </row>
    <row r="132" spans="1:10" x14ac:dyDescent="0.25">
      <c r="A132" s="44" t="s">
        <v>8</v>
      </c>
      <c r="B132" s="45"/>
      <c r="C132" s="45"/>
      <c r="D132" s="41"/>
      <c r="E132" s="41"/>
      <c r="F132" s="41"/>
      <c r="G132" s="41"/>
    </row>
    <row r="133" spans="1:10" x14ac:dyDescent="0.25">
      <c r="A133" s="46"/>
      <c r="B133" s="46"/>
      <c r="C133" s="46"/>
    </row>
    <row r="134" spans="1:10" x14ac:dyDescent="0.25">
      <c r="H134" s="47" t="s">
        <v>37</v>
      </c>
      <c r="I134" s="157" t="str">
        <f>+J13</f>
        <v xml:space="preserve"> 04 Januari 2022</v>
      </c>
      <c r="J134" s="158"/>
    </row>
    <row r="138" spans="1:10" ht="18" customHeight="1" x14ac:dyDescent="0.25"/>
    <row r="139" spans="1:10" ht="17.25" customHeight="1" x14ac:dyDescent="0.25"/>
    <row r="141" spans="1:10" x14ac:dyDescent="0.25">
      <c r="H141" s="156" t="s">
        <v>38</v>
      </c>
      <c r="I141" s="156"/>
      <c r="J141" s="156"/>
    </row>
  </sheetData>
  <mergeCells count="108">
    <mergeCell ref="H141:J141"/>
    <mergeCell ref="G14:H14"/>
    <mergeCell ref="G13:H13"/>
    <mergeCell ref="H31:I31"/>
    <mergeCell ref="H32:I32"/>
    <mergeCell ref="H33:I33"/>
    <mergeCell ref="H34:I34"/>
    <mergeCell ref="H35:I35"/>
    <mergeCell ref="H36:I36"/>
    <mergeCell ref="H37:I37"/>
    <mergeCell ref="H39:I39"/>
    <mergeCell ref="H41:I41"/>
    <mergeCell ref="H42:I42"/>
    <mergeCell ref="I134:J134"/>
    <mergeCell ref="H43:I43"/>
    <mergeCell ref="H44:I44"/>
    <mergeCell ref="H45:I45"/>
    <mergeCell ref="H47:I47"/>
    <mergeCell ref="H48:I48"/>
    <mergeCell ref="H54:I54"/>
    <mergeCell ref="H55:I55"/>
    <mergeCell ref="H56:I56"/>
    <mergeCell ref="H49:I49"/>
    <mergeCell ref="H50:I50"/>
    <mergeCell ref="A118:B118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  <mergeCell ref="H26:I26"/>
    <mergeCell ref="H27:I27"/>
    <mergeCell ref="H29:I29"/>
    <mergeCell ref="H30:I30"/>
    <mergeCell ref="H57:I57"/>
    <mergeCell ref="H58:I58"/>
    <mergeCell ref="H51:I51"/>
    <mergeCell ref="H52:I52"/>
    <mergeCell ref="H53:I53"/>
    <mergeCell ref="H59:I59"/>
    <mergeCell ref="H60:I60"/>
    <mergeCell ref="H61:I61"/>
    <mergeCell ref="H62:I62"/>
    <mergeCell ref="H63:I63"/>
    <mergeCell ref="A10:J10"/>
    <mergeCell ref="H17:I17"/>
    <mergeCell ref="H18:I18"/>
    <mergeCell ref="A117:I117"/>
    <mergeCell ref="G12:H12"/>
    <mergeCell ref="H69:I69"/>
    <mergeCell ref="H70:I70"/>
    <mergeCell ref="H71:I71"/>
    <mergeCell ref="H72:I72"/>
    <mergeCell ref="H73:I73"/>
    <mergeCell ref="H64:I64"/>
    <mergeCell ref="H65:I65"/>
    <mergeCell ref="H66:I66"/>
    <mergeCell ref="H67:I67"/>
    <mergeCell ref="H68:I68"/>
    <mergeCell ref="H79:I79"/>
    <mergeCell ref="H80:I80"/>
    <mergeCell ref="H81:I81"/>
    <mergeCell ref="H82:I82"/>
    <mergeCell ref="H83:I83"/>
    <mergeCell ref="H74:I74"/>
    <mergeCell ref="H75:I75"/>
    <mergeCell ref="H76:I76"/>
    <mergeCell ref="H77:I77"/>
    <mergeCell ref="H78:I78"/>
    <mergeCell ref="H89:I89"/>
    <mergeCell ref="H90:I90"/>
    <mergeCell ref="H91:I91"/>
    <mergeCell ref="H92:I92"/>
    <mergeCell ref="H93:I93"/>
    <mergeCell ref="H84:I84"/>
    <mergeCell ref="H85:I85"/>
    <mergeCell ref="H86:I86"/>
    <mergeCell ref="H87:I87"/>
    <mergeCell ref="H88:I88"/>
    <mergeCell ref="H99:I99"/>
    <mergeCell ref="H100:I100"/>
    <mergeCell ref="H101:I101"/>
    <mergeCell ref="H102:I102"/>
    <mergeCell ref="H103:I103"/>
    <mergeCell ref="H94:I94"/>
    <mergeCell ref="H95:I95"/>
    <mergeCell ref="H96:I96"/>
    <mergeCell ref="H97:I97"/>
    <mergeCell ref="H98:I98"/>
    <mergeCell ref="H114:I114"/>
    <mergeCell ref="H115:I115"/>
    <mergeCell ref="H116:I116"/>
    <mergeCell ref="H109:I109"/>
    <mergeCell ref="H110:I110"/>
    <mergeCell ref="H111:I111"/>
    <mergeCell ref="H112:I112"/>
    <mergeCell ref="H113:I113"/>
    <mergeCell ref="H104:I104"/>
    <mergeCell ref="H105:I105"/>
    <mergeCell ref="H106:I106"/>
    <mergeCell ref="H107:I107"/>
    <mergeCell ref="H108:I10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zoomScale="110" zoomScaleNormal="110" workbookViewId="0">
      <pane xSplit="3" ySplit="2" topLeftCell="D27" activePane="bottomRight" state="frozen"/>
      <selection activeCell="H12" sqref="H12"/>
      <selection pane="topRight" activeCell="H12" sqref="H12"/>
      <selection pane="bottomLeft" activeCell="H12" sqref="H12"/>
      <selection pane="bottomRight" activeCell="N37" sqref="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3.25" customHeight="1" x14ac:dyDescent="0.2">
      <c r="A3" s="108">
        <v>406110</v>
      </c>
      <c r="B3" s="66" t="s">
        <v>439</v>
      </c>
      <c r="C3" s="8" t="s">
        <v>440</v>
      </c>
      <c r="D3" s="68" t="s">
        <v>57</v>
      </c>
      <c r="E3" s="12">
        <v>44534</v>
      </c>
      <c r="F3" s="68" t="s">
        <v>71</v>
      </c>
      <c r="G3" s="12">
        <v>44538</v>
      </c>
      <c r="H3" s="9" t="s">
        <v>299</v>
      </c>
      <c r="I3" s="1">
        <v>51</v>
      </c>
      <c r="J3" s="1">
        <v>30</v>
      </c>
      <c r="K3" s="1">
        <v>32</v>
      </c>
      <c r="L3" s="1">
        <v>6</v>
      </c>
      <c r="M3" s="72">
        <v>12.24</v>
      </c>
      <c r="N3" s="88">
        <v>12.24</v>
      </c>
      <c r="O3" s="57">
        <v>7000</v>
      </c>
      <c r="P3" s="58">
        <f t="shared" ref="P3:P25" si="0">N3*O3</f>
        <v>85680</v>
      </c>
    </row>
    <row r="4" spans="1:16" ht="23.25" customHeight="1" x14ac:dyDescent="0.2">
      <c r="A4" s="13"/>
      <c r="B4" s="67"/>
      <c r="C4" s="8" t="s">
        <v>441</v>
      </c>
      <c r="D4" s="68" t="s">
        <v>57</v>
      </c>
      <c r="E4" s="12">
        <v>44534</v>
      </c>
      <c r="F4" s="68" t="s">
        <v>71</v>
      </c>
      <c r="G4" s="12">
        <v>44538</v>
      </c>
      <c r="H4" s="9" t="s">
        <v>299</v>
      </c>
      <c r="I4" s="1">
        <v>51</v>
      </c>
      <c r="J4" s="1">
        <v>46</v>
      </c>
      <c r="K4" s="1">
        <v>37</v>
      </c>
      <c r="L4" s="1">
        <v>4</v>
      </c>
      <c r="M4" s="72">
        <v>21.700500000000002</v>
      </c>
      <c r="N4" s="88">
        <v>21.700500000000002</v>
      </c>
      <c r="O4" s="57">
        <v>7000</v>
      </c>
      <c r="P4" s="58">
        <f t="shared" si="0"/>
        <v>151903.5</v>
      </c>
    </row>
    <row r="5" spans="1:16" ht="23.25" customHeight="1" x14ac:dyDescent="0.2">
      <c r="A5" s="13"/>
      <c r="B5" s="67"/>
      <c r="C5" s="65" t="s">
        <v>442</v>
      </c>
      <c r="D5" s="70" t="s">
        <v>57</v>
      </c>
      <c r="E5" s="12">
        <v>44534</v>
      </c>
      <c r="F5" s="68" t="s">
        <v>71</v>
      </c>
      <c r="G5" s="12">
        <v>44538</v>
      </c>
      <c r="H5" s="69" t="s">
        <v>299</v>
      </c>
      <c r="I5" s="15">
        <v>60</v>
      </c>
      <c r="J5" s="15">
        <v>36</v>
      </c>
      <c r="K5" s="15">
        <v>20</v>
      </c>
      <c r="L5" s="15">
        <v>3</v>
      </c>
      <c r="M5" s="73">
        <v>10.8</v>
      </c>
      <c r="N5" s="88">
        <v>10.8</v>
      </c>
      <c r="O5" s="57">
        <v>7000</v>
      </c>
      <c r="P5" s="58">
        <f t="shared" si="0"/>
        <v>75600</v>
      </c>
    </row>
    <row r="6" spans="1:16" ht="23.25" customHeight="1" x14ac:dyDescent="0.2">
      <c r="A6" s="13"/>
      <c r="B6" s="67"/>
      <c r="C6" s="65" t="s">
        <v>443</v>
      </c>
      <c r="D6" s="70" t="s">
        <v>57</v>
      </c>
      <c r="E6" s="12">
        <v>44534</v>
      </c>
      <c r="F6" s="68" t="s">
        <v>71</v>
      </c>
      <c r="G6" s="12">
        <v>44538</v>
      </c>
      <c r="H6" s="69" t="s">
        <v>299</v>
      </c>
      <c r="I6" s="15">
        <v>81</v>
      </c>
      <c r="J6" s="15">
        <v>41</v>
      </c>
      <c r="K6" s="15">
        <v>29</v>
      </c>
      <c r="L6" s="15">
        <v>10</v>
      </c>
      <c r="M6" s="73">
        <v>24.077249999999999</v>
      </c>
      <c r="N6" s="88">
        <v>24.077249999999999</v>
      </c>
      <c r="O6" s="57">
        <v>7000</v>
      </c>
      <c r="P6" s="58">
        <f t="shared" si="0"/>
        <v>168540.75</v>
      </c>
    </row>
    <row r="7" spans="1:16" ht="23.25" customHeight="1" x14ac:dyDescent="0.2">
      <c r="A7" s="13"/>
      <c r="B7" s="67"/>
      <c r="C7" s="65" t="s">
        <v>444</v>
      </c>
      <c r="D7" s="70" t="s">
        <v>57</v>
      </c>
      <c r="E7" s="12">
        <v>44534</v>
      </c>
      <c r="F7" s="68" t="s">
        <v>71</v>
      </c>
      <c r="G7" s="12">
        <v>44538</v>
      </c>
      <c r="H7" s="69" t="s">
        <v>299</v>
      </c>
      <c r="I7" s="15">
        <v>46</v>
      </c>
      <c r="J7" s="15">
        <v>30</v>
      </c>
      <c r="K7" s="15">
        <v>21</v>
      </c>
      <c r="L7" s="15">
        <v>3</v>
      </c>
      <c r="M7" s="73">
        <v>7.2450000000000001</v>
      </c>
      <c r="N7" s="88">
        <v>7.2450000000000001</v>
      </c>
      <c r="O7" s="57">
        <v>7000</v>
      </c>
      <c r="P7" s="58">
        <f t="shared" si="0"/>
        <v>50715</v>
      </c>
    </row>
    <row r="8" spans="1:16" ht="23.25" customHeight="1" x14ac:dyDescent="0.2">
      <c r="A8" s="13"/>
      <c r="B8" s="67"/>
      <c r="C8" s="65" t="s">
        <v>445</v>
      </c>
      <c r="D8" s="70" t="s">
        <v>57</v>
      </c>
      <c r="E8" s="12">
        <v>44534</v>
      </c>
      <c r="F8" s="68" t="s">
        <v>71</v>
      </c>
      <c r="G8" s="12">
        <v>44538</v>
      </c>
      <c r="H8" s="69" t="s">
        <v>299</v>
      </c>
      <c r="I8" s="15">
        <v>42</v>
      </c>
      <c r="J8" s="15">
        <v>31</v>
      </c>
      <c r="K8" s="15">
        <v>12</v>
      </c>
      <c r="L8" s="15">
        <v>1</v>
      </c>
      <c r="M8" s="73">
        <v>3.9060000000000001</v>
      </c>
      <c r="N8" s="88">
        <v>3.9060000000000001</v>
      </c>
      <c r="O8" s="57">
        <v>7000</v>
      </c>
      <c r="P8" s="58">
        <f t="shared" si="0"/>
        <v>27342</v>
      </c>
    </row>
    <row r="9" spans="1:16" ht="23.25" customHeight="1" x14ac:dyDescent="0.2">
      <c r="A9" s="13"/>
      <c r="B9" s="67"/>
      <c r="C9" s="65" t="s">
        <v>446</v>
      </c>
      <c r="D9" s="70" t="s">
        <v>57</v>
      </c>
      <c r="E9" s="12">
        <v>44534</v>
      </c>
      <c r="F9" s="68" t="s">
        <v>71</v>
      </c>
      <c r="G9" s="12">
        <v>44538</v>
      </c>
      <c r="H9" s="69" t="s">
        <v>299</v>
      </c>
      <c r="I9" s="15">
        <v>41</v>
      </c>
      <c r="J9" s="15">
        <v>25</v>
      </c>
      <c r="K9" s="15">
        <v>8</v>
      </c>
      <c r="L9" s="15">
        <v>1</v>
      </c>
      <c r="M9" s="73">
        <v>2.0499999999999998</v>
      </c>
      <c r="N9" s="88">
        <v>2.0499999999999998</v>
      </c>
      <c r="O9" s="57">
        <v>7000</v>
      </c>
      <c r="P9" s="58">
        <f t="shared" si="0"/>
        <v>14349.999999999998</v>
      </c>
    </row>
    <row r="10" spans="1:16" ht="23.25" customHeight="1" x14ac:dyDescent="0.2">
      <c r="A10" s="13"/>
      <c r="B10" s="67"/>
      <c r="C10" s="65" t="s">
        <v>447</v>
      </c>
      <c r="D10" s="70" t="s">
        <v>57</v>
      </c>
      <c r="E10" s="12">
        <v>44534</v>
      </c>
      <c r="F10" s="68" t="s">
        <v>71</v>
      </c>
      <c r="G10" s="12">
        <v>44538</v>
      </c>
      <c r="H10" s="69" t="s">
        <v>299</v>
      </c>
      <c r="I10" s="15">
        <v>20</v>
      </c>
      <c r="J10" s="15">
        <v>14</v>
      </c>
      <c r="K10" s="15">
        <v>12</v>
      </c>
      <c r="L10" s="15">
        <v>1</v>
      </c>
      <c r="M10" s="73">
        <v>0.84</v>
      </c>
      <c r="N10" s="88">
        <v>1</v>
      </c>
      <c r="O10" s="57">
        <v>7000</v>
      </c>
      <c r="P10" s="58">
        <f t="shared" si="0"/>
        <v>7000</v>
      </c>
    </row>
    <row r="11" spans="1:16" ht="23.25" customHeight="1" x14ac:dyDescent="0.2">
      <c r="A11" s="13"/>
      <c r="B11" s="67"/>
      <c r="C11" s="65" t="s">
        <v>448</v>
      </c>
      <c r="D11" s="70" t="s">
        <v>57</v>
      </c>
      <c r="E11" s="12">
        <v>44534</v>
      </c>
      <c r="F11" s="68" t="s">
        <v>71</v>
      </c>
      <c r="G11" s="12">
        <v>44538</v>
      </c>
      <c r="H11" s="69" t="s">
        <v>299</v>
      </c>
      <c r="I11" s="15">
        <v>40</v>
      </c>
      <c r="J11" s="15">
        <v>31</v>
      </c>
      <c r="K11" s="15">
        <v>13</v>
      </c>
      <c r="L11" s="15">
        <v>1</v>
      </c>
      <c r="M11" s="73">
        <v>4.03</v>
      </c>
      <c r="N11" s="88">
        <v>4.03</v>
      </c>
      <c r="O11" s="57">
        <v>7000</v>
      </c>
      <c r="P11" s="58">
        <f t="shared" si="0"/>
        <v>28210</v>
      </c>
    </row>
    <row r="12" spans="1:16" ht="23.25" customHeight="1" x14ac:dyDescent="0.2">
      <c r="A12" s="13"/>
      <c r="B12" s="67"/>
      <c r="C12" s="65" t="s">
        <v>449</v>
      </c>
      <c r="D12" s="70" t="s">
        <v>57</v>
      </c>
      <c r="E12" s="12">
        <v>44534</v>
      </c>
      <c r="F12" s="68" t="s">
        <v>71</v>
      </c>
      <c r="G12" s="12">
        <v>44538</v>
      </c>
      <c r="H12" s="69" t="s">
        <v>299</v>
      </c>
      <c r="I12" s="15">
        <v>80</v>
      </c>
      <c r="J12" s="15">
        <v>51</v>
      </c>
      <c r="K12" s="15">
        <v>35</v>
      </c>
      <c r="L12" s="15">
        <v>6</v>
      </c>
      <c r="M12" s="73">
        <v>35.700000000000003</v>
      </c>
      <c r="N12" s="88">
        <v>35.700000000000003</v>
      </c>
      <c r="O12" s="57">
        <v>7000</v>
      </c>
      <c r="P12" s="58">
        <f t="shared" si="0"/>
        <v>249900.00000000003</v>
      </c>
    </row>
    <row r="13" spans="1:16" ht="23.25" customHeight="1" x14ac:dyDescent="0.2">
      <c r="A13" s="13"/>
      <c r="B13" s="67"/>
      <c r="C13" s="65" t="s">
        <v>450</v>
      </c>
      <c r="D13" s="70" t="s">
        <v>57</v>
      </c>
      <c r="E13" s="12">
        <v>44534</v>
      </c>
      <c r="F13" s="68" t="s">
        <v>71</v>
      </c>
      <c r="G13" s="12">
        <v>44538</v>
      </c>
      <c r="H13" s="69" t="s">
        <v>299</v>
      </c>
      <c r="I13" s="15">
        <v>52</v>
      </c>
      <c r="J13" s="15">
        <v>42</v>
      </c>
      <c r="K13" s="15">
        <v>15</v>
      </c>
      <c r="L13" s="15">
        <v>1</v>
      </c>
      <c r="M13" s="73">
        <v>8.19</v>
      </c>
      <c r="N13" s="88">
        <v>8.19</v>
      </c>
      <c r="O13" s="57">
        <v>7000</v>
      </c>
      <c r="P13" s="58">
        <f t="shared" si="0"/>
        <v>57330</v>
      </c>
    </row>
    <row r="14" spans="1:16" ht="23.25" customHeight="1" x14ac:dyDescent="0.2">
      <c r="A14" s="13"/>
      <c r="B14" s="67"/>
      <c r="C14" s="65" t="s">
        <v>451</v>
      </c>
      <c r="D14" s="70" t="s">
        <v>57</v>
      </c>
      <c r="E14" s="12">
        <v>44534</v>
      </c>
      <c r="F14" s="68" t="s">
        <v>71</v>
      </c>
      <c r="G14" s="12">
        <v>44538</v>
      </c>
      <c r="H14" s="69" t="s">
        <v>299</v>
      </c>
      <c r="I14" s="15">
        <v>40</v>
      </c>
      <c r="J14" s="15">
        <v>39</v>
      </c>
      <c r="K14" s="15">
        <v>12</v>
      </c>
      <c r="L14" s="15">
        <v>1</v>
      </c>
      <c r="M14" s="73">
        <v>4.68</v>
      </c>
      <c r="N14" s="88">
        <v>4.68</v>
      </c>
      <c r="O14" s="57">
        <v>7000</v>
      </c>
      <c r="P14" s="58">
        <f t="shared" si="0"/>
        <v>32759.999999999996</v>
      </c>
    </row>
    <row r="15" spans="1:16" ht="23.25" customHeight="1" x14ac:dyDescent="0.2">
      <c r="A15" s="13"/>
      <c r="B15" s="67"/>
      <c r="C15" s="65" t="s">
        <v>452</v>
      </c>
      <c r="D15" s="70" t="s">
        <v>57</v>
      </c>
      <c r="E15" s="12">
        <v>44534</v>
      </c>
      <c r="F15" s="68" t="s">
        <v>71</v>
      </c>
      <c r="G15" s="12">
        <v>44538</v>
      </c>
      <c r="H15" s="69" t="s">
        <v>299</v>
      </c>
      <c r="I15" s="15">
        <v>50</v>
      </c>
      <c r="J15" s="15">
        <v>35</v>
      </c>
      <c r="K15" s="15">
        <v>12</v>
      </c>
      <c r="L15" s="15">
        <v>1</v>
      </c>
      <c r="M15" s="73">
        <v>5.25</v>
      </c>
      <c r="N15" s="88">
        <v>5.25</v>
      </c>
      <c r="O15" s="57">
        <v>7000</v>
      </c>
      <c r="P15" s="58">
        <f t="shared" si="0"/>
        <v>36750</v>
      </c>
    </row>
    <row r="16" spans="1:16" ht="23.25" customHeight="1" x14ac:dyDescent="0.2">
      <c r="A16" s="13"/>
      <c r="B16" s="67"/>
      <c r="C16" s="65" t="s">
        <v>453</v>
      </c>
      <c r="D16" s="70" t="s">
        <v>57</v>
      </c>
      <c r="E16" s="12">
        <v>44534</v>
      </c>
      <c r="F16" s="68" t="s">
        <v>71</v>
      </c>
      <c r="G16" s="12">
        <v>44538</v>
      </c>
      <c r="H16" s="69" t="s">
        <v>299</v>
      </c>
      <c r="I16" s="15">
        <v>62</v>
      </c>
      <c r="J16" s="15">
        <v>60</v>
      </c>
      <c r="K16" s="15">
        <v>21</v>
      </c>
      <c r="L16" s="15">
        <v>6</v>
      </c>
      <c r="M16" s="73">
        <v>19.53</v>
      </c>
      <c r="N16" s="88">
        <v>19.53</v>
      </c>
      <c r="O16" s="57">
        <v>7000</v>
      </c>
      <c r="P16" s="58">
        <f t="shared" si="0"/>
        <v>136710</v>
      </c>
    </row>
    <row r="17" spans="1:16" ht="23.25" customHeight="1" x14ac:dyDescent="0.2">
      <c r="A17" s="13"/>
      <c r="B17" s="67"/>
      <c r="C17" s="65" t="s">
        <v>454</v>
      </c>
      <c r="D17" s="70" t="s">
        <v>57</v>
      </c>
      <c r="E17" s="12">
        <v>44534</v>
      </c>
      <c r="F17" s="68" t="s">
        <v>71</v>
      </c>
      <c r="G17" s="12">
        <v>44538</v>
      </c>
      <c r="H17" s="69" t="s">
        <v>299</v>
      </c>
      <c r="I17" s="15">
        <v>81</v>
      </c>
      <c r="J17" s="15">
        <v>50</v>
      </c>
      <c r="K17" s="15">
        <v>30</v>
      </c>
      <c r="L17" s="15">
        <v>5</v>
      </c>
      <c r="M17" s="73">
        <v>30.375</v>
      </c>
      <c r="N17" s="88">
        <v>31</v>
      </c>
      <c r="O17" s="57">
        <v>7000</v>
      </c>
      <c r="P17" s="58">
        <f t="shared" si="0"/>
        <v>217000</v>
      </c>
    </row>
    <row r="18" spans="1:16" ht="23.25" customHeight="1" x14ac:dyDescent="0.2">
      <c r="A18" s="13"/>
      <c r="B18" s="67"/>
      <c r="C18" s="65" t="s">
        <v>455</v>
      </c>
      <c r="D18" s="70" t="s">
        <v>57</v>
      </c>
      <c r="E18" s="12">
        <v>44534</v>
      </c>
      <c r="F18" s="68" t="s">
        <v>71</v>
      </c>
      <c r="G18" s="12">
        <v>44538</v>
      </c>
      <c r="H18" s="69" t="s">
        <v>299</v>
      </c>
      <c r="I18" s="15">
        <v>40</v>
      </c>
      <c r="J18" s="15">
        <v>20</v>
      </c>
      <c r="K18" s="15">
        <v>15</v>
      </c>
      <c r="L18" s="15">
        <v>1</v>
      </c>
      <c r="M18" s="73">
        <v>3</v>
      </c>
      <c r="N18" s="88">
        <v>3</v>
      </c>
      <c r="O18" s="57">
        <v>7000</v>
      </c>
      <c r="P18" s="58">
        <f t="shared" si="0"/>
        <v>21000</v>
      </c>
    </row>
    <row r="19" spans="1:16" ht="23.25" customHeight="1" x14ac:dyDescent="0.2">
      <c r="A19" s="13"/>
      <c r="B19" s="67"/>
      <c r="C19" s="65" t="s">
        <v>456</v>
      </c>
      <c r="D19" s="70" t="s">
        <v>57</v>
      </c>
      <c r="E19" s="12">
        <v>44534</v>
      </c>
      <c r="F19" s="68" t="s">
        <v>71</v>
      </c>
      <c r="G19" s="12">
        <v>44538</v>
      </c>
      <c r="H19" s="69" t="s">
        <v>299</v>
      </c>
      <c r="I19" s="15">
        <v>53</v>
      </c>
      <c r="J19" s="15">
        <v>42</v>
      </c>
      <c r="K19" s="15">
        <v>20</v>
      </c>
      <c r="L19" s="15">
        <v>2</v>
      </c>
      <c r="M19" s="73">
        <v>11.13</v>
      </c>
      <c r="N19" s="88">
        <v>11.13</v>
      </c>
      <c r="O19" s="57">
        <v>7000</v>
      </c>
      <c r="P19" s="58">
        <f t="shared" si="0"/>
        <v>77910</v>
      </c>
    </row>
    <row r="20" spans="1:16" ht="23.25" customHeight="1" x14ac:dyDescent="0.2">
      <c r="A20" s="13"/>
      <c r="B20" s="67"/>
      <c r="C20" s="65" t="s">
        <v>457</v>
      </c>
      <c r="D20" s="70" t="s">
        <v>57</v>
      </c>
      <c r="E20" s="12">
        <v>44534</v>
      </c>
      <c r="F20" s="68" t="s">
        <v>71</v>
      </c>
      <c r="G20" s="12">
        <v>44538</v>
      </c>
      <c r="H20" s="69" t="s">
        <v>299</v>
      </c>
      <c r="I20" s="15">
        <v>40</v>
      </c>
      <c r="J20" s="15">
        <v>65</v>
      </c>
      <c r="K20" s="15">
        <v>22</v>
      </c>
      <c r="L20" s="15">
        <v>6</v>
      </c>
      <c r="M20" s="73">
        <v>14.3</v>
      </c>
      <c r="N20" s="88">
        <v>15</v>
      </c>
      <c r="O20" s="57">
        <v>7000</v>
      </c>
      <c r="P20" s="58">
        <f t="shared" si="0"/>
        <v>105000</v>
      </c>
    </row>
    <row r="21" spans="1:16" ht="23.25" customHeight="1" x14ac:dyDescent="0.2">
      <c r="A21" s="13"/>
      <c r="B21" s="67"/>
      <c r="C21" s="65" t="s">
        <v>458</v>
      </c>
      <c r="D21" s="70" t="s">
        <v>57</v>
      </c>
      <c r="E21" s="12">
        <v>44534</v>
      </c>
      <c r="F21" s="68" t="s">
        <v>71</v>
      </c>
      <c r="G21" s="12">
        <v>44538</v>
      </c>
      <c r="H21" s="69" t="s">
        <v>299</v>
      </c>
      <c r="I21" s="15">
        <v>91</v>
      </c>
      <c r="J21" s="15">
        <v>52</v>
      </c>
      <c r="K21" s="15">
        <v>33</v>
      </c>
      <c r="L21" s="15">
        <v>25</v>
      </c>
      <c r="M21" s="73">
        <v>39.039000000000001</v>
      </c>
      <c r="N21" s="88">
        <v>39.039000000000001</v>
      </c>
      <c r="O21" s="57">
        <v>7000</v>
      </c>
      <c r="P21" s="58">
        <f t="shared" si="0"/>
        <v>273273</v>
      </c>
    </row>
    <row r="22" spans="1:16" ht="23.25" customHeight="1" x14ac:dyDescent="0.2">
      <c r="A22" s="13"/>
      <c r="B22" s="67"/>
      <c r="C22" s="65" t="s">
        <v>459</v>
      </c>
      <c r="D22" s="70" t="s">
        <v>57</v>
      </c>
      <c r="E22" s="12">
        <v>44534</v>
      </c>
      <c r="F22" s="68" t="s">
        <v>71</v>
      </c>
      <c r="G22" s="12">
        <v>44538</v>
      </c>
      <c r="H22" s="69" t="s">
        <v>299</v>
      </c>
      <c r="I22" s="15">
        <v>101</v>
      </c>
      <c r="J22" s="15">
        <v>97</v>
      </c>
      <c r="K22" s="15">
        <v>35</v>
      </c>
      <c r="L22" s="15">
        <v>21</v>
      </c>
      <c r="M22" s="73">
        <v>85.723749999999995</v>
      </c>
      <c r="N22" s="88">
        <v>85.723749999999995</v>
      </c>
      <c r="O22" s="57">
        <v>7000</v>
      </c>
      <c r="P22" s="58">
        <f t="shared" si="0"/>
        <v>600066.25</v>
      </c>
    </row>
    <row r="23" spans="1:16" ht="23.25" customHeight="1" x14ac:dyDescent="0.2">
      <c r="A23" s="13"/>
      <c r="B23" s="67"/>
      <c r="C23" s="65" t="s">
        <v>460</v>
      </c>
      <c r="D23" s="70" t="s">
        <v>57</v>
      </c>
      <c r="E23" s="12">
        <v>44534</v>
      </c>
      <c r="F23" s="68" t="s">
        <v>71</v>
      </c>
      <c r="G23" s="12">
        <v>44538</v>
      </c>
      <c r="H23" s="69" t="s">
        <v>299</v>
      </c>
      <c r="I23" s="15">
        <v>97</v>
      </c>
      <c r="J23" s="15">
        <v>60</v>
      </c>
      <c r="K23" s="15">
        <v>30</v>
      </c>
      <c r="L23" s="15">
        <v>28</v>
      </c>
      <c r="M23" s="73">
        <v>43.65</v>
      </c>
      <c r="N23" s="88">
        <v>43.65</v>
      </c>
      <c r="O23" s="57">
        <v>7000</v>
      </c>
      <c r="P23" s="58">
        <f t="shared" si="0"/>
        <v>305550</v>
      </c>
    </row>
    <row r="24" spans="1:16" ht="23.25" customHeight="1" x14ac:dyDescent="0.2">
      <c r="A24" s="13"/>
      <c r="B24" s="123"/>
      <c r="C24" s="65" t="s">
        <v>461</v>
      </c>
      <c r="D24" s="70" t="s">
        <v>57</v>
      </c>
      <c r="E24" s="12">
        <v>44534</v>
      </c>
      <c r="F24" s="68" t="s">
        <v>71</v>
      </c>
      <c r="G24" s="12">
        <v>44538</v>
      </c>
      <c r="H24" s="69" t="s">
        <v>299</v>
      </c>
      <c r="I24" s="15">
        <v>30</v>
      </c>
      <c r="J24" s="15">
        <v>30</v>
      </c>
      <c r="K24" s="15">
        <v>26</v>
      </c>
      <c r="L24" s="15">
        <v>4</v>
      </c>
      <c r="M24" s="73">
        <v>5.85</v>
      </c>
      <c r="N24" s="88">
        <v>5.85</v>
      </c>
      <c r="O24" s="57">
        <v>7000</v>
      </c>
      <c r="P24" s="58">
        <f t="shared" si="0"/>
        <v>40950</v>
      </c>
    </row>
    <row r="25" spans="1:16" ht="23.25" customHeight="1" x14ac:dyDescent="0.2">
      <c r="A25" s="13"/>
      <c r="B25" s="103" t="s">
        <v>462</v>
      </c>
      <c r="C25" s="8" t="s">
        <v>463</v>
      </c>
      <c r="D25" s="68" t="s">
        <v>57</v>
      </c>
      <c r="E25" s="12">
        <v>44534</v>
      </c>
      <c r="F25" s="68" t="s">
        <v>71</v>
      </c>
      <c r="G25" s="12">
        <v>44538</v>
      </c>
      <c r="H25" s="9" t="s">
        <v>299</v>
      </c>
      <c r="I25" s="1">
        <v>30</v>
      </c>
      <c r="J25" s="1">
        <v>21</v>
      </c>
      <c r="K25" s="1">
        <v>12</v>
      </c>
      <c r="L25" s="1">
        <v>1</v>
      </c>
      <c r="M25" s="72">
        <v>1.89</v>
      </c>
      <c r="N25" s="88">
        <v>1.89</v>
      </c>
      <c r="O25" s="57">
        <v>7000</v>
      </c>
      <c r="P25" s="58">
        <f t="shared" si="0"/>
        <v>13230</v>
      </c>
    </row>
    <row r="26" spans="1:16" ht="22.5" customHeight="1" x14ac:dyDescent="0.2">
      <c r="A26" s="159" t="s">
        <v>30</v>
      </c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M26" s="71">
        <f>SUBTOTAL(109,Table224578910112345678910[KG VOLUME])</f>
        <v>395.19650000000001</v>
      </c>
      <c r="N26" s="61">
        <f>SUM(N3:N25)</f>
        <v>396.68149999999997</v>
      </c>
      <c r="O26" s="162">
        <f>SUM(P3:P25)</f>
        <v>2776770.5</v>
      </c>
      <c r="P26" s="163"/>
    </row>
    <row r="27" spans="1:16" ht="18" customHeight="1" x14ac:dyDescent="0.2">
      <c r="A27" s="78"/>
      <c r="B27" s="49" t="s">
        <v>42</v>
      </c>
      <c r="C27" s="48"/>
      <c r="D27" s="50" t="s">
        <v>43</v>
      </c>
      <c r="E27" s="78"/>
      <c r="F27" s="78"/>
      <c r="G27" s="78"/>
      <c r="H27" s="78"/>
      <c r="I27" s="78"/>
      <c r="J27" s="78"/>
      <c r="K27" s="78"/>
      <c r="L27" s="78"/>
      <c r="M27" s="79"/>
      <c r="N27" s="80" t="s">
        <v>52</v>
      </c>
      <c r="O27" s="81"/>
      <c r="P27" s="81">
        <v>0</v>
      </c>
    </row>
    <row r="28" spans="1:16" ht="18" customHeight="1" thickBot="1" x14ac:dyDescent="0.25">
      <c r="A28" s="78"/>
      <c r="B28" s="49"/>
      <c r="C28" s="48"/>
      <c r="D28" s="50"/>
      <c r="E28" s="78"/>
      <c r="F28" s="78"/>
      <c r="G28" s="78"/>
      <c r="H28" s="78"/>
      <c r="I28" s="78"/>
      <c r="J28" s="78"/>
      <c r="K28" s="78"/>
      <c r="L28" s="78"/>
      <c r="M28" s="79"/>
      <c r="N28" s="82" t="s">
        <v>53</v>
      </c>
      <c r="O28" s="83"/>
      <c r="P28" s="83">
        <f>O26-P27</f>
        <v>2776770.5</v>
      </c>
    </row>
    <row r="29" spans="1:16" ht="18" customHeight="1" x14ac:dyDescent="0.2">
      <c r="A29" s="10"/>
      <c r="H29" s="56"/>
      <c r="N29" s="55" t="s">
        <v>31</v>
      </c>
      <c r="P29" s="62">
        <f>P28*1%</f>
        <v>27767.705000000002</v>
      </c>
    </row>
    <row r="30" spans="1:16" ht="18" customHeight="1" thickBot="1" x14ac:dyDescent="0.25">
      <c r="A30" s="10"/>
      <c r="H30" s="56"/>
      <c r="N30" s="55" t="s">
        <v>54</v>
      </c>
      <c r="P30" s="64">
        <f>P28*2%</f>
        <v>55535.41</v>
      </c>
    </row>
    <row r="31" spans="1:16" ht="18" customHeight="1" x14ac:dyDescent="0.2">
      <c r="A31" s="10"/>
      <c r="H31" s="56"/>
      <c r="N31" s="59" t="s">
        <v>32</v>
      </c>
      <c r="O31" s="60"/>
      <c r="P31" s="63">
        <f>P28+P29-P30</f>
        <v>2749002.7949999999</v>
      </c>
    </row>
    <row r="33" spans="1:16" x14ac:dyDescent="0.2">
      <c r="A33" s="10"/>
      <c r="H33" s="56"/>
      <c r="P33" s="64"/>
    </row>
    <row r="34" spans="1:16" x14ac:dyDescent="0.2">
      <c r="A34" s="10"/>
      <c r="H34" s="56"/>
      <c r="O34" s="51"/>
      <c r="P34" s="6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</sheetData>
  <mergeCells count="2">
    <mergeCell ref="A26:L26"/>
    <mergeCell ref="O26:P26"/>
  </mergeCells>
  <conditionalFormatting sqref="B3">
    <cfRule type="duplicateValues" dxfId="1461" priority="2"/>
  </conditionalFormatting>
  <conditionalFormatting sqref="B4:B24">
    <cfRule type="duplicateValues" dxfId="1460" priority="1"/>
  </conditionalFormatting>
  <conditionalFormatting sqref="B25">
    <cfRule type="duplicateValues" dxfId="1459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9"/>
  <sheetViews>
    <sheetView topLeftCell="A133" workbookViewId="0">
      <selection activeCell="J143" sqref="J143"/>
    </sheetView>
  </sheetViews>
  <sheetFormatPr defaultRowHeight="15" x14ac:dyDescent="0.2"/>
  <cols>
    <col min="1" max="1" width="8" style="4" customWidth="1"/>
    <col min="2" max="2" width="21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402758</v>
      </c>
      <c r="B3" s="100" t="s">
        <v>6032</v>
      </c>
      <c r="C3" s="90" t="s">
        <v>6033</v>
      </c>
      <c r="D3" s="102" t="s">
        <v>57</v>
      </c>
      <c r="E3" s="91">
        <v>44561</v>
      </c>
      <c r="F3" s="102" t="s">
        <v>58</v>
      </c>
      <c r="G3" s="91">
        <v>44567</v>
      </c>
      <c r="H3" s="90" t="s">
        <v>6172</v>
      </c>
      <c r="I3" s="90">
        <v>100</v>
      </c>
      <c r="J3" s="90">
        <v>60</v>
      </c>
      <c r="K3" s="90">
        <v>26</v>
      </c>
      <c r="L3" s="90">
        <v>22</v>
      </c>
      <c r="M3" s="90">
        <v>39</v>
      </c>
      <c r="N3" s="104">
        <v>39</v>
      </c>
      <c r="O3" s="57">
        <v>7000</v>
      </c>
      <c r="P3" s="58">
        <f t="shared" ref="P3:P66" si="0">N3*O3</f>
        <v>273000</v>
      </c>
    </row>
    <row r="4" spans="1:16" ht="26.25" customHeight="1" x14ac:dyDescent="0.2">
      <c r="A4" s="100"/>
      <c r="B4" s="100"/>
      <c r="C4" s="65" t="s">
        <v>6034</v>
      </c>
      <c r="D4" s="70" t="s">
        <v>57</v>
      </c>
      <c r="E4" s="12">
        <v>44561</v>
      </c>
      <c r="F4" s="68" t="s">
        <v>58</v>
      </c>
      <c r="G4" s="12">
        <v>44567</v>
      </c>
      <c r="H4" s="69" t="s">
        <v>6172</v>
      </c>
      <c r="I4" s="15">
        <v>110</v>
      </c>
      <c r="J4" s="15">
        <v>55</v>
      </c>
      <c r="K4" s="15">
        <v>32</v>
      </c>
      <c r="L4" s="15">
        <v>17</v>
      </c>
      <c r="M4" s="73">
        <v>48.4</v>
      </c>
      <c r="N4" s="104">
        <v>49</v>
      </c>
      <c r="O4" s="57">
        <v>7000</v>
      </c>
      <c r="P4" s="58">
        <f t="shared" si="0"/>
        <v>343000</v>
      </c>
    </row>
    <row r="5" spans="1:16" ht="26.25" customHeight="1" x14ac:dyDescent="0.2">
      <c r="A5" s="100"/>
      <c r="B5" s="100"/>
      <c r="C5" s="65" t="s">
        <v>6035</v>
      </c>
      <c r="D5" s="70" t="s">
        <v>57</v>
      </c>
      <c r="E5" s="12">
        <v>44561</v>
      </c>
      <c r="F5" s="68" t="s">
        <v>58</v>
      </c>
      <c r="G5" s="12">
        <v>44567</v>
      </c>
      <c r="H5" s="69" t="s">
        <v>6172</v>
      </c>
      <c r="I5" s="15">
        <v>107</v>
      </c>
      <c r="J5" s="15">
        <v>65</v>
      </c>
      <c r="K5" s="15">
        <v>32</v>
      </c>
      <c r="L5" s="15">
        <v>22</v>
      </c>
      <c r="M5" s="73">
        <v>55.64</v>
      </c>
      <c r="N5" s="104">
        <v>55.64</v>
      </c>
      <c r="O5" s="57">
        <v>7000</v>
      </c>
      <c r="P5" s="58">
        <f t="shared" si="0"/>
        <v>389480</v>
      </c>
    </row>
    <row r="6" spans="1:16" ht="26.25" customHeight="1" x14ac:dyDescent="0.2">
      <c r="A6" s="100"/>
      <c r="B6" s="100"/>
      <c r="C6" s="65" t="s">
        <v>6036</v>
      </c>
      <c r="D6" s="70" t="s">
        <v>57</v>
      </c>
      <c r="E6" s="12">
        <v>44561</v>
      </c>
      <c r="F6" s="68" t="s">
        <v>58</v>
      </c>
      <c r="G6" s="12">
        <v>44567</v>
      </c>
      <c r="H6" s="69" t="s">
        <v>6172</v>
      </c>
      <c r="I6" s="15">
        <v>100</v>
      </c>
      <c r="J6" s="15">
        <v>67</v>
      </c>
      <c r="K6" s="15">
        <v>35</v>
      </c>
      <c r="L6" s="15">
        <v>34</v>
      </c>
      <c r="M6" s="73">
        <v>58.625</v>
      </c>
      <c r="N6" s="104">
        <v>58.625</v>
      </c>
      <c r="O6" s="57">
        <v>7000</v>
      </c>
      <c r="P6" s="58">
        <f t="shared" si="0"/>
        <v>410375</v>
      </c>
    </row>
    <row r="7" spans="1:16" ht="26.25" customHeight="1" x14ac:dyDescent="0.2">
      <c r="A7" s="100"/>
      <c r="B7" s="100"/>
      <c r="C7" s="65" t="s">
        <v>6037</v>
      </c>
      <c r="D7" s="70" t="s">
        <v>57</v>
      </c>
      <c r="E7" s="12">
        <v>44561</v>
      </c>
      <c r="F7" s="68" t="s">
        <v>58</v>
      </c>
      <c r="G7" s="12">
        <v>44567</v>
      </c>
      <c r="H7" s="69" t="s">
        <v>6172</v>
      </c>
      <c r="I7" s="15">
        <v>80</v>
      </c>
      <c r="J7" s="15">
        <v>35</v>
      </c>
      <c r="K7" s="15">
        <v>15</v>
      </c>
      <c r="L7" s="15">
        <v>1</v>
      </c>
      <c r="M7" s="73">
        <v>10.5</v>
      </c>
      <c r="N7" s="104">
        <v>12</v>
      </c>
      <c r="O7" s="57">
        <v>7000</v>
      </c>
      <c r="P7" s="58">
        <f t="shared" si="0"/>
        <v>84000</v>
      </c>
    </row>
    <row r="8" spans="1:16" ht="26.25" customHeight="1" x14ac:dyDescent="0.2">
      <c r="A8" s="100"/>
      <c r="B8" s="100"/>
      <c r="C8" s="65" t="s">
        <v>6038</v>
      </c>
      <c r="D8" s="70" t="s">
        <v>57</v>
      </c>
      <c r="E8" s="12">
        <v>44561</v>
      </c>
      <c r="F8" s="68" t="s">
        <v>58</v>
      </c>
      <c r="G8" s="12">
        <v>44567</v>
      </c>
      <c r="H8" s="69" t="s">
        <v>6172</v>
      </c>
      <c r="I8" s="15">
        <v>98</v>
      </c>
      <c r="J8" s="15">
        <v>65</v>
      </c>
      <c r="K8" s="15">
        <v>28</v>
      </c>
      <c r="L8" s="15">
        <v>17</v>
      </c>
      <c r="M8" s="73">
        <v>44.59</v>
      </c>
      <c r="N8" s="104">
        <v>44.59</v>
      </c>
      <c r="O8" s="57">
        <v>7000</v>
      </c>
      <c r="P8" s="58">
        <f t="shared" si="0"/>
        <v>312130</v>
      </c>
    </row>
    <row r="9" spans="1:16" ht="26.25" customHeight="1" x14ac:dyDescent="0.2">
      <c r="A9" s="100"/>
      <c r="B9" s="100"/>
      <c r="C9" s="65" t="s">
        <v>6039</v>
      </c>
      <c r="D9" s="70" t="s">
        <v>57</v>
      </c>
      <c r="E9" s="12">
        <v>44561</v>
      </c>
      <c r="F9" s="68" t="s">
        <v>58</v>
      </c>
      <c r="G9" s="12">
        <v>44567</v>
      </c>
      <c r="H9" s="69" t="s">
        <v>6172</v>
      </c>
      <c r="I9" s="15">
        <v>87</v>
      </c>
      <c r="J9" s="15">
        <v>51</v>
      </c>
      <c r="K9" s="15">
        <v>26</v>
      </c>
      <c r="L9" s="15">
        <v>15</v>
      </c>
      <c r="M9" s="73">
        <v>28.840499999999999</v>
      </c>
      <c r="N9" s="104">
        <v>28.840499999999999</v>
      </c>
      <c r="O9" s="57">
        <v>7000</v>
      </c>
      <c r="P9" s="58">
        <f t="shared" si="0"/>
        <v>201883.5</v>
      </c>
    </row>
    <row r="10" spans="1:16" ht="26.25" customHeight="1" x14ac:dyDescent="0.2">
      <c r="A10" s="100"/>
      <c r="B10" s="100"/>
      <c r="C10" s="65" t="s">
        <v>6040</v>
      </c>
      <c r="D10" s="70" t="s">
        <v>57</v>
      </c>
      <c r="E10" s="12">
        <v>44561</v>
      </c>
      <c r="F10" s="68" t="s">
        <v>58</v>
      </c>
      <c r="G10" s="12">
        <v>44567</v>
      </c>
      <c r="H10" s="69" t="s">
        <v>6172</v>
      </c>
      <c r="I10" s="15">
        <v>55</v>
      </c>
      <c r="J10" s="15">
        <v>45</v>
      </c>
      <c r="K10" s="15">
        <v>16</v>
      </c>
      <c r="L10" s="15">
        <v>6</v>
      </c>
      <c r="M10" s="73">
        <v>9.9</v>
      </c>
      <c r="N10" s="104">
        <v>9.9</v>
      </c>
      <c r="O10" s="57">
        <v>7000</v>
      </c>
      <c r="P10" s="58">
        <f t="shared" si="0"/>
        <v>69300</v>
      </c>
    </row>
    <row r="11" spans="1:16" ht="26.25" customHeight="1" x14ac:dyDescent="0.2">
      <c r="A11" s="100"/>
      <c r="B11" s="100"/>
      <c r="C11" s="65" t="s">
        <v>6041</v>
      </c>
      <c r="D11" s="70" t="s">
        <v>57</v>
      </c>
      <c r="E11" s="12">
        <v>44561</v>
      </c>
      <c r="F11" s="68" t="s">
        <v>58</v>
      </c>
      <c r="G11" s="12">
        <v>44567</v>
      </c>
      <c r="H11" s="69" t="s">
        <v>6172</v>
      </c>
      <c r="I11" s="15">
        <v>75</v>
      </c>
      <c r="J11" s="15">
        <v>50</v>
      </c>
      <c r="K11" s="15">
        <v>18</v>
      </c>
      <c r="L11" s="15">
        <v>17</v>
      </c>
      <c r="M11" s="73">
        <v>16.875</v>
      </c>
      <c r="N11" s="104">
        <v>17</v>
      </c>
      <c r="O11" s="57">
        <v>7000</v>
      </c>
      <c r="P11" s="58">
        <f t="shared" si="0"/>
        <v>119000</v>
      </c>
    </row>
    <row r="12" spans="1:16" ht="26.25" customHeight="1" x14ac:dyDescent="0.2">
      <c r="A12" s="100"/>
      <c r="B12" s="100"/>
      <c r="C12" s="65" t="s">
        <v>6042</v>
      </c>
      <c r="D12" s="70" t="s">
        <v>57</v>
      </c>
      <c r="E12" s="12">
        <v>44561</v>
      </c>
      <c r="F12" s="68" t="s">
        <v>58</v>
      </c>
      <c r="G12" s="12">
        <v>44567</v>
      </c>
      <c r="H12" s="69" t="s">
        <v>6172</v>
      </c>
      <c r="I12" s="15">
        <v>95</v>
      </c>
      <c r="J12" s="15">
        <v>53</v>
      </c>
      <c r="K12" s="15">
        <v>23</v>
      </c>
      <c r="L12" s="15">
        <v>4</v>
      </c>
      <c r="M12" s="73">
        <v>28.951250000000002</v>
      </c>
      <c r="N12" s="104">
        <v>28.951250000000002</v>
      </c>
      <c r="O12" s="57">
        <v>7000</v>
      </c>
      <c r="P12" s="58">
        <f t="shared" si="0"/>
        <v>202658.75</v>
      </c>
    </row>
    <row r="13" spans="1:16" ht="26.25" customHeight="1" x14ac:dyDescent="0.2">
      <c r="A13" s="100"/>
      <c r="B13" s="100"/>
      <c r="C13" s="65" t="s">
        <v>6043</v>
      </c>
      <c r="D13" s="70" t="s">
        <v>57</v>
      </c>
      <c r="E13" s="12">
        <v>44561</v>
      </c>
      <c r="F13" s="68" t="s">
        <v>58</v>
      </c>
      <c r="G13" s="12">
        <v>44567</v>
      </c>
      <c r="H13" s="69" t="s">
        <v>6172</v>
      </c>
      <c r="I13" s="15">
        <v>62</v>
      </c>
      <c r="J13" s="15">
        <v>45</v>
      </c>
      <c r="K13" s="15">
        <v>17</v>
      </c>
      <c r="L13" s="15">
        <v>8</v>
      </c>
      <c r="M13" s="73">
        <v>11.8575</v>
      </c>
      <c r="N13" s="104">
        <v>11.8575</v>
      </c>
      <c r="O13" s="57">
        <v>7000</v>
      </c>
      <c r="P13" s="58">
        <f t="shared" si="0"/>
        <v>83002.5</v>
      </c>
    </row>
    <row r="14" spans="1:16" ht="26.25" customHeight="1" x14ac:dyDescent="0.2">
      <c r="A14" s="100"/>
      <c r="B14" s="100"/>
      <c r="C14" s="65" t="s">
        <v>6044</v>
      </c>
      <c r="D14" s="70" t="s">
        <v>57</v>
      </c>
      <c r="E14" s="12">
        <v>44561</v>
      </c>
      <c r="F14" s="68" t="s">
        <v>58</v>
      </c>
      <c r="G14" s="12">
        <v>44567</v>
      </c>
      <c r="H14" s="69" t="s">
        <v>6172</v>
      </c>
      <c r="I14" s="15">
        <v>108</v>
      </c>
      <c r="J14" s="15">
        <v>60</v>
      </c>
      <c r="K14" s="15">
        <v>25</v>
      </c>
      <c r="L14" s="15">
        <v>37</v>
      </c>
      <c r="M14" s="73">
        <v>40.5</v>
      </c>
      <c r="N14" s="104">
        <v>42</v>
      </c>
      <c r="O14" s="57">
        <v>7000</v>
      </c>
      <c r="P14" s="58">
        <f t="shared" si="0"/>
        <v>294000</v>
      </c>
    </row>
    <row r="15" spans="1:16" ht="26.25" customHeight="1" x14ac:dyDescent="0.2">
      <c r="A15" s="100"/>
      <c r="B15" s="100"/>
      <c r="C15" s="65" t="s">
        <v>6045</v>
      </c>
      <c r="D15" s="70" t="s">
        <v>57</v>
      </c>
      <c r="E15" s="12">
        <v>44561</v>
      </c>
      <c r="F15" s="68" t="s">
        <v>58</v>
      </c>
      <c r="G15" s="12">
        <v>44567</v>
      </c>
      <c r="H15" s="69" t="s">
        <v>6172</v>
      </c>
      <c r="I15" s="15">
        <v>60</v>
      </c>
      <c r="J15" s="15">
        <v>43</v>
      </c>
      <c r="K15" s="15">
        <v>30</v>
      </c>
      <c r="L15" s="15">
        <v>28</v>
      </c>
      <c r="M15" s="73">
        <v>19.350000000000001</v>
      </c>
      <c r="N15" s="104">
        <v>29</v>
      </c>
      <c r="O15" s="57">
        <v>7000</v>
      </c>
      <c r="P15" s="58">
        <f t="shared" si="0"/>
        <v>203000</v>
      </c>
    </row>
    <row r="16" spans="1:16" ht="26.25" customHeight="1" x14ac:dyDescent="0.2">
      <c r="A16" s="100"/>
      <c r="B16" s="100"/>
      <c r="C16" s="65" t="s">
        <v>6046</v>
      </c>
      <c r="D16" s="70" t="s">
        <v>57</v>
      </c>
      <c r="E16" s="12">
        <v>44561</v>
      </c>
      <c r="F16" s="68" t="s">
        <v>58</v>
      </c>
      <c r="G16" s="12">
        <v>44567</v>
      </c>
      <c r="H16" s="69" t="s">
        <v>6172</v>
      </c>
      <c r="I16" s="15">
        <v>80</v>
      </c>
      <c r="J16" s="15">
        <v>44</v>
      </c>
      <c r="K16" s="15">
        <v>11</v>
      </c>
      <c r="L16" s="15">
        <v>1</v>
      </c>
      <c r="M16" s="73">
        <v>9.68</v>
      </c>
      <c r="N16" s="104">
        <v>9.68</v>
      </c>
      <c r="O16" s="57">
        <v>7000</v>
      </c>
      <c r="P16" s="58">
        <f t="shared" si="0"/>
        <v>67760</v>
      </c>
    </row>
    <row r="17" spans="1:16" ht="26.25" customHeight="1" x14ac:dyDescent="0.2">
      <c r="A17" s="100"/>
      <c r="B17" s="100"/>
      <c r="C17" s="65" t="s">
        <v>6047</v>
      </c>
      <c r="D17" s="70" t="s">
        <v>57</v>
      </c>
      <c r="E17" s="12">
        <v>44561</v>
      </c>
      <c r="F17" s="68" t="s">
        <v>58</v>
      </c>
      <c r="G17" s="12">
        <v>44567</v>
      </c>
      <c r="H17" s="69" t="s">
        <v>6172</v>
      </c>
      <c r="I17" s="15">
        <v>50</v>
      </c>
      <c r="J17" s="15">
        <v>38</v>
      </c>
      <c r="K17" s="15">
        <v>17</v>
      </c>
      <c r="L17" s="15">
        <v>2</v>
      </c>
      <c r="M17" s="73">
        <v>8.0749999999999993</v>
      </c>
      <c r="N17" s="104">
        <v>8.0749999999999993</v>
      </c>
      <c r="O17" s="57">
        <v>7000</v>
      </c>
      <c r="P17" s="58">
        <f t="shared" si="0"/>
        <v>56524.999999999993</v>
      </c>
    </row>
    <row r="18" spans="1:16" ht="26.25" customHeight="1" x14ac:dyDescent="0.2">
      <c r="A18" s="100"/>
      <c r="B18" s="100"/>
      <c r="C18" s="65" t="s">
        <v>6048</v>
      </c>
      <c r="D18" s="70" t="s">
        <v>57</v>
      </c>
      <c r="E18" s="12">
        <v>44561</v>
      </c>
      <c r="F18" s="68" t="s">
        <v>58</v>
      </c>
      <c r="G18" s="12">
        <v>44567</v>
      </c>
      <c r="H18" s="69" t="s">
        <v>6172</v>
      </c>
      <c r="I18" s="15">
        <v>92</v>
      </c>
      <c r="J18" s="15">
        <v>30</v>
      </c>
      <c r="K18" s="15">
        <v>16</v>
      </c>
      <c r="L18" s="15">
        <v>3</v>
      </c>
      <c r="M18" s="73">
        <v>11.04</v>
      </c>
      <c r="N18" s="104">
        <v>11.04</v>
      </c>
      <c r="O18" s="57">
        <v>7000</v>
      </c>
      <c r="P18" s="58">
        <f t="shared" si="0"/>
        <v>77280</v>
      </c>
    </row>
    <row r="19" spans="1:16" ht="26.25" customHeight="1" x14ac:dyDescent="0.2">
      <c r="A19" s="100"/>
      <c r="B19" s="100"/>
      <c r="C19" s="65" t="s">
        <v>6049</v>
      </c>
      <c r="D19" s="70" t="s">
        <v>57</v>
      </c>
      <c r="E19" s="12">
        <v>44561</v>
      </c>
      <c r="F19" s="68" t="s">
        <v>58</v>
      </c>
      <c r="G19" s="12">
        <v>44567</v>
      </c>
      <c r="H19" s="69" t="s">
        <v>6172</v>
      </c>
      <c r="I19" s="15">
        <v>46</v>
      </c>
      <c r="J19" s="15">
        <v>35</v>
      </c>
      <c r="K19" s="15">
        <v>25</v>
      </c>
      <c r="L19" s="15">
        <v>11</v>
      </c>
      <c r="M19" s="73">
        <v>10.0625</v>
      </c>
      <c r="N19" s="104">
        <v>11</v>
      </c>
      <c r="O19" s="57">
        <v>7000</v>
      </c>
      <c r="P19" s="58">
        <f t="shared" si="0"/>
        <v>77000</v>
      </c>
    </row>
    <row r="20" spans="1:16" ht="26.25" customHeight="1" x14ac:dyDescent="0.2">
      <c r="A20" s="100"/>
      <c r="B20" s="100"/>
      <c r="C20" s="65" t="s">
        <v>6050</v>
      </c>
      <c r="D20" s="70" t="s">
        <v>57</v>
      </c>
      <c r="E20" s="12">
        <v>44561</v>
      </c>
      <c r="F20" s="68" t="s">
        <v>58</v>
      </c>
      <c r="G20" s="12">
        <v>44567</v>
      </c>
      <c r="H20" s="69" t="s">
        <v>6172</v>
      </c>
      <c r="I20" s="15">
        <v>48</v>
      </c>
      <c r="J20" s="15">
        <v>35</v>
      </c>
      <c r="K20" s="15">
        <v>16</v>
      </c>
      <c r="L20" s="15">
        <v>6</v>
      </c>
      <c r="M20" s="73">
        <v>6.72</v>
      </c>
      <c r="N20" s="104">
        <v>6.72</v>
      </c>
      <c r="O20" s="57">
        <v>7000</v>
      </c>
      <c r="P20" s="58">
        <f t="shared" si="0"/>
        <v>47040</v>
      </c>
    </row>
    <row r="21" spans="1:16" ht="26.25" customHeight="1" x14ac:dyDescent="0.2">
      <c r="A21" s="100"/>
      <c r="B21" s="100"/>
      <c r="C21" s="65" t="s">
        <v>6051</v>
      </c>
      <c r="D21" s="70" t="s">
        <v>57</v>
      </c>
      <c r="E21" s="12">
        <v>44561</v>
      </c>
      <c r="F21" s="68" t="s">
        <v>58</v>
      </c>
      <c r="G21" s="12">
        <v>44567</v>
      </c>
      <c r="H21" s="69" t="s">
        <v>6172</v>
      </c>
      <c r="I21" s="15">
        <v>53</v>
      </c>
      <c r="J21" s="15">
        <v>38</v>
      </c>
      <c r="K21" s="15">
        <v>28</v>
      </c>
      <c r="L21" s="15">
        <v>10</v>
      </c>
      <c r="M21" s="73">
        <v>14.098000000000001</v>
      </c>
      <c r="N21" s="104">
        <v>14.098000000000001</v>
      </c>
      <c r="O21" s="57">
        <v>7000</v>
      </c>
      <c r="P21" s="58">
        <f t="shared" si="0"/>
        <v>98686</v>
      </c>
    </row>
    <row r="22" spans="1:16" ht="26.25" customHeight="1" x14ac:dyDescent="0.2">
      <c r="A22" s="100"/>
      <c r="B22" s="100"/>
      <c r="C22" s="65" t="s">
        <v>6052</v>
      </c>
      <c r="D22" s="70" t="s">
        <v>57</v>
      </c>
      <c r="E22" s="12">
        <v>44561</v>
      </c>
      <c r="F22" s="68" t="s">
        <v>58</v>
      </c>
      <c r="G22" s="12">
        <v>44567</v>
      </c>
      <c r="H22" s="69" t="s">
        <v>6172</v>
      </c>
      <c r="I22" s="15">
        <v>68</v>
      </c>
      <c r="J22" s="15">
        <v>21</v>
      </c>
      <c r="K22" s="15">
        <v>12</v>
      </c>
      <c r="L22" s="15">
        <v>1</v>
      </c>
      <c r="M22" s="73">
        <v>4.2839999999999998</v>
      </c>
      <c r="N22" s="104">
        <v>4.2839999999999998</v>
      </c>
      <c r="O22" s="57">
        <v>7000</v>
      </c>
      <c r="P22" s="58">
        <f t="shared" si="0"/>
        <v>29988</v>
      </c>
    </row>
    <row r="23" spans="1:16" ht="26.25" customHeight="1" x14ac:dyDescent="0.2">
      <c r="A23" s="100"/>
      <c r="B23" s="100"/>
      <c r="C23" s="65" t="s">
        <v>6053</v>
      </c>
      <c r="D23" s="70" t="s">
        <v>57</v>
      </c>
      <c r="E23" s="12">
        <v>44561</v>
      </c>
      <c r="F23" s="68" t="s">
        <v>58</v>
      </c>
      <c r="G23" s="12">
        <v>44567</v>
      </c>
      <c r="H23" s="69" t="s">
        <v>6172</v>
      </c>
      <c r="I23" s="15">
        <v>42</v>
      </c>
      <c r="J23" s="15">
        <v>27</v>
      </c>
      <c r="K23" s="15">
        <v>12</v>
      </c>
      <c r="L23" s="15">
        <v>10</v>
      </c>
      <c r="M23" s="73">
        <v>3.4020000000000001</v>
      </c>
      <c r="N23" s="104">
        <v>11</v>
      </c>
      <c r="O23" s="57">
        <v>7000</v>
      </c>
      <c r="P23" s="58">
        <f t="shared" si="0"/>
        <v>77000</v>
      </c>
    </row>
    <row r="24" spans="1:16" ht="26.25" customHeight="1" x14ac:dyDescent="0.2">
      <c r="A24" s="100"/>
      <c r="B24" s="100"/>
      <c r="C24" s="65" t="s">
        <v>6054</v>
      </c>
      <c r="D24" s="70" t="s">
        <v>57</v>
      </c>
      <c r="E24" s="12">
        <v>44561</v>
      </c>
      <c r="F24" s="68" t="s">
        <v>58</v>
      </c>
      <c r="G24" s="12">
        <v>44567</v>
      </c>
      <c r="H24" s="69" t="s">
        <v>6172</v>
      </c>
      <c r="I24" s="15">
        <v>90</v>
      </c>
      <c r="J24" s="15">
        <v>45</v>
      </c>
      <c r="K24" s="15">
        <v>10</v>
      </c>
      <c r="L24" s="15">
        <v>1</v>
      </c>
      <c r="M24" s="73">
        <v>10.125</v>
      </c>
      <c r="N24" s="104">
        <v>10.125</v>
      </c>
      <c r="O24" s="57">
        <v>7000</v>
      </c>
      <c r="P24" s="58">
        <f t="shared" si="0"/>
        <v>70875</v>
      </c>
    </row>
    <row r="25" spans="1:16" ht="26.25" customHeight="1" x14ac:dyDescent="0.2">
      <c r="A25" s="100"/>
      <c r="B25" s="100"/>
      <c r="C25" s="65" t="s">
        <v>6055</v>
      </c>
      <c r="D25" s="70" t="s">
        <v>57</v>
      </c>
      <c r="E25" s="12">
        <v>44561</v>
      </c>
      <c r="F25" s="68" t="s">
        <v>58</v>
      </c>
      <c r="G25" s="12">
        <v>44567</v>
      </c>
      <c r="H25" s="69" t="s">
        <v>6172</v>
      </c>
      <c r="I25" s="15">
        <v>77</v>
      </c>
      <c r="J25" s="15">
        <v>27</v>
      </c>
      <c r="K25" s="15">
        <v>17</v>
      </c>
      <c r="L25" s="15">
        <v>1</v>
      </c>
      <c r="M25" s="73">
        <v>8.8357500000000009</v>
      </c>
      <c r="N25" s="104">
        <v>8.8357500000000009</v>
      </c>
      <c r="O25" s="57">
        <v>7000</v>
      </c>
      <c r="P25" s="58">
        <f t="shared" si="0"/>
        <v>61850.250000000007</v>
      </c>
    </row>
    <row r="26" spans="1:16" ht="26.25" customHeight="1" x14ac:dyDescent="0.2">
      <c r="A26" s="100"/>
      <c r="B26" s="100"/>
      <c r="C26" s="65" t="s">
        <v>6056</v>
      </c>
      <c r="D26" s="70" t="s">
        <v>57</v>
      </c>
      <c r="E26" s="12">
        <v>44561</v>
      </c>
      <c r="F26" s="68" t="s">
        <v>58</v>
      </c>
      <c r="G26" s="12">
        <v>44567</v>
      </c>
      <c r="H26" s="69" t="s">
        <v>6172</v>
      </c>
      <c r="I26" s="15">
        <v>130</v>
      </c>
      <c r="J26" s="15">
        <v>10</v>
      </c>
      <c r="K26" s="15">
        <v>10</v>
      </c>
      <c r="L26" s="15">
        <v>1</v>
      </c>
      <c r="M26" s="73">
        <v>3.25</v>
      </c>
      <c r="N26" s="104">
        <v>3.25</v>
      </c>
      <c r="O26" s="57">
        <v>7000</v>
      </c>
      <c r="P26" s="58">
        <f t="shared" si="0"/>
        <v>22750</v>
      </c>
    </row>
    <row r="27" spans="1:16" ht="26.25" customHeight="1" x14ac:dyDescent="0.2">
      <c r="A27" s="100"/>
      <c r="B27" s="100"/>
      <c r="C27" s="65" t="s">
        <v>6057</v>
      </c>
      <c r="D27" s="70" t="s">
        <v>57</v>
      </c>
      <c r="E27" s="12">
        <v>44561</v>
      </c>
      <c r="F27" s="68" t="s">
        <v>58</v>
      </c>
      <c r="G27" s="12">
        <v>44567</v>
      </c>
      <c r="H27" s="69" t="s">
        <v>6172</v>
      </c>
      <c r="I27" s="15">
        <v>77</v>
      </c>
      <c r="J27" s="15">
        <v>41</v>
      </c>
      <c r="K27" s="15">
        <v>8</v>
      </c>
      <c r="L27" s="15">
        <v>1</v>
      </c>
      <c r="M27" s="73">
        <v>6.3140000000000001</v>
      </c>
      <c r="N27" s="104">
        <v>7</v>
      </c>
      <c r="O27" s="57">
        <v>7000</v>
      </c>
      <c r="P27" s="58">
        <f t="shared" si="0"/>
        <v>49000</v>
      </c>
    </row>
    <row r="28" spans="1:16" ht="26.25" customHeight="1" x14ac:dyDescent="0.2">
      <c r="A28" s="100"/>
      <c r="B28" s="100"/>
      <c r="C28" s="65" t="s">
        <v>6058</v>
      </c>
      <c r="D28" s="70" t="s">
        <v>57</v>
      </c>
      <c r="E28" s="12">
        <v>44561</v>
      </c>
      <c r="F28" s="68" t="s">
        <v>58</v>
      </c>
      <c r="G28" s="12">
        <v>44567</v>
      </c>
      <c r="H28" s="69" t="s">
        <v>6172</v>
      </c>
      <c r="I28" s="15">
        <v>80</v>
      </c>
      <c r="J28" s="15">
        <v>67</v>
      </c>
      <c r="K28" s="15">
        <v>32</v>
      </c>
      <c r="L28" s="15">
        <v>24</v>
      </c>
      <c r="M28" s="73">
        <v>42.88</v>
      </c>
      <c r="N28" s="104">
        <v>42.88</v>
      </c>
      <c r="O28" s="57">
        <v>7000</v>
      </c>
      <c r="P28" s="58">
        <f t="shared" si="0"/>
        <v>300160</v>
      </c>
    </row>
    <row r="29" spans="1:16" ht="26.25" customHeight="1" x14ac:dyDescent="0.2">
      <c r="A29" s="100"/>
      <c r="B29" s="100"/>
      <c r="C29" s="65" t="s">
        <v>6059</v>
      </c>
      <c r="D29" s="70" t="s">
        <v>57</v>
      </c>
      <c r="E29" s="12">
        <v>44561</v>
      </c>
      <c r="F29" s="68" t="s">
        <v>58</v>
      </c>
      <c r="G29" s="12">
        <v>44567</v>
      </c>
      <c r="H29" s="69" t="s">
        <v>6172</v>
      </c>
      <c r="I29" s="15">
        <v>94</v>
      </c>
      <c r="J29" s="15">
        <v>20</v>
      </c>
      <c r="K29" s="15">
        <v>8</v>
      </c>
      <c r="L29" s="15">
        <v>1</v>
      </c>
      <c r="M29" s="73">
        <v>3.76</v>
      </c>
      <c r="N29" s="104">
        <v>3.76</v>
      </c>
      <c r="O29" s="57">
        <v>7000</v>
      </c>
      <c r="P29" s="58">
        <f t="shared" si="0"/>
        <v>26320</v>
      </c>
    </row>
    <row r="30" spans="1:16" ht="26.25" customHeight="1" x14ac:dyDescent="0.2">
      <c r="A30" s="100"/>
      <c r="B30" s="100"/>
      <c r="C30" s="65" t="s">
        <v>6060</v>
      </c>
      <c r="D30" s="70" t="s">
        <v>57</v>
      </c>
      <c r="E30" s="12">
        <v>44561</v>
      </c>
      <c r="F30" s="68" t="s">
        <v>58</v>
      </c>
      <c r="G30" s="12">
        <v>44567</v>
      </c>
      <c r="H30" s="69" t="s">
        <v>6172</v>
      </c>
      <c r="I30" s="15">
        <v>85</v>
      </c>
      <c r="J30" s="15">
        <v>52</v>
      </c>
      <c r="K30" s="15">
        <v>12</v>
      </c>
      <c r="L30" s="15">
        <v>2</v>
      </c>
      <c r="M30" s="73">
        <v>13.26</v>
      </c>
      <c r="N30" s="104">
        <v>13.26</v>
      </c>
      <c r="O30" s="57">
        <v>7000</v>
      </c>
      <c r="P30" s="58">
        <f t="shared" si="0"/>
        <v>92820</v>
      </c>
    </row>
    <row r="31" spans="1:16" ht="26.25" customHeight="1" x14ac:dyDescent="0.2">
      <c r="A31" s="100"/>
      <c r="B31" s="100"/>
      <c r="C31" s="65" t="s">
        <v>6061</v>
      </c>
      <c r="D31" s="70" t="s">
        <v>57</v>
      </c>
      <c r="E31" s="12">
        <v>44561</v>
      </c>
      <c r="F31" s="68" t="s">
        <v>58</v>
      </c>
      <c r="G31" s="12">
        <v>44567</v>
      </c>
      <c r="H31" s="69" t="s">
        <v>6172</v>
      </c>
      <c r="I31" s="15">
        <v>74</v>
      </c>
      <c r="J31" s="15">
        <v>54</v>
      </c>
      <c r="K31" s="15">
        <v>30</v>
      </c>
      <c r="L31" s="15">
        <v>10</v>
      </c>
      <c r="M31" s="73">
        <v>29.97</v>
      </c>
      <c r="N31" s="104">
        <v>29.97</v>
      </c>
      <c r="O31" s="57">
        <v>7000</v>
      </c>
      <c r="P31" s="58">
        <f t="shared" si="0"/>
        <v>209790</v>
      </c>
    </row>
    <row r="32" spans="1:16" ht="26.25" customHeight="1" x14ac:dyDescent="0.2">
      <c r="A32" s="100"/>
      <c r="B32" s="100"/>
      <c r="C32" s="65" t="s">
        <v>6062</v>
      </c>
      <c r="D32" s="70" t="s">
        <v>57</v>
      </c>
      <c r="E32" s="12">
        <v>44561</v>
      </c>
      <c r="F32" s="68" t="s">
        <v>58</v>
      </c>
      <c r="G32" s="12">
        <v>44567</v>
      </c>
      <c r="H32" s="69" t="s">
        <v>6172</v>
      </c>
      <c r="I32" s="15">
        <v>34</v>
      </c>
      <c r="J32" s="15">
        <v>36</v>
      </c>
      <c r="K32" s="15">
        <v>32</v>
      </c>
      <c r="L32" s="15">
        <v>6</v>
      </c>
      <c r="M32" s="73">
        <v>9.7919999999999998</v>
      </c>
      <c r="N32" s="104">
        <v>9.7919999999999998</v>
      </c>
      <c r="O32" s="57">
        <v>7000</v>
      </c>
      <c r="P32" s="58">
        <f t="shared" si="0"/>
        <v>68544</v>
      </c>
    </row>
    <row r="33" spans="1:16" ht="26.25" customHeight="1" x14ac:dyDescent="0.2">
      <c r="A33" s="100"/>
      <c r="B33" s="100"/>
      <c r="C33" s="65" t="s">
        <v>6063</v>
      </c>
      <c r="D33" s="70" t="s">
        <v>57</v>
      </c>
      <c r="E33" s="12">
        <v>44561</v>
      </c>
      <c r="F33" s="68" t="s">
        <v>58</v>
      </c>
      <c r="G33" s="12">
        <v>44567</v>
      </c>
      <c r="H33" s="69" t="s">
        <v>6172</v>
      </c>
      <c r="I33" s="15">
        <v>55</v>
      </c>
      <c r="J33" s="15">
        <v>28</v>
      </c>
      <c r="K33" s="15">
        <v>50</v>
      </c>
      <c r="L33" s="15">
        <v>15</v>
      </c>
      <c r="M33" s="73">
        <v>19.25</v>
      </c>
      <c r="N33" s="104">
        <v>19.25</v>
      </c>
      <c r="O33" s="57">
        <v>7000</v>
      </c>
      <c r="P33" s="58">
        <f t="shared" si="0"/>
        <v>134750</v>
      </c>
    </row>
    <row r="34" spans="1:16" ht="26.25" customHeight="1" x14ac:dyDescent="0.2">
      <c r="A34" s="100"/>
      <c r="B34" s="100"/>
      <c r="C34" s="65" t="s">
        <v>6064</v>
      </c>
      <c r="D34" s="70" t="s">
        <v>57</v>
      </c>
      <c r="E34" s="12">
        <v>44561</v>
      </c>
      <c r="F34" s="68" t="s">
        <v>58</v>
      </c>
      <c r="G34" s="12">
        <v>44567</v>
      </c>
      <c r="H34" s="69" t="s">
        <v>6172</v>
      </c>
      <c r="I34" s="15">
        <v>90</v>
      </c>
      <c r="J34" s="15">
        <v>44</v>
      </c>
      <c r="K34" s="15">
        <v>12</v>
      </c>
      <c r="L34" s="15">
        <v>1</v>
      </c>
      <c r="M34" s="73">
        <v>11.88</v>
      </c>
      <c r="N34" s="104">
        <v>11.88</v>
      </c>
      <c r="O34" s="57">
        <v>7000</v>
      </c>
      <c r="P34" s="58">
        <f t="shared" si="0"/>
        <v>83160</v>
      </c>
    </row>
    <row r="35" spans="1:16" ht="26.25" customHeight="1" x14ac:dyDescent="0.2">
      <c r="A35" s="100"/>
      <c r="B35" s="100"/>
      <c r="C35" s="65" t="s">
        <v>6065</v>
      </c>
      <c r="D35" s="70" t="s">
        <v>57</v>
      </c>
      <c r="E35" s="12">
        <v>44561</v>
      </c>
      <c r="F35" s="68" t="s">
        <v>58</v>
      </c>
      <c r="G35" s="12">
        <v>44567</v>
      </c>
      <c r="H35" s="69" t="s">
        <v>6172</v>
      </c>
      <c r="I35" s="15">
        <v>90</v>
      </c>
      <c r="J35" s="15">
        <v>35</v>
      </c>
      <c r="K35" s="15">
        <v>11</v>
      </c>
      <c r="L35" s="15">
        <v>1</v>
      </c>
      <c r="M35" s="73">
        <v>8.6624999999999996</v>
      </c>
      <c r="N35" s="104">
        <v>8.6624999999999996</v>
      </c>
      <c r="O35" s="57">
        <v>7000</v>
      </c>
      <c r="P35" s="58">
        <f t="shared" si="0"/>
        <v>60637.5</v>
      </c>
    </row>
    <row r="36" spans="1:16" ht="26.25" customHeight="1" x14ac:dyDescent="0.2">
      <c r="A36" s="100"/>
      <c r="B36" s="100"/>
      <c r="C36" s="65" t="s">
        <v>6066</v>
      </c>
      <c r="D36" s="70" t="s">
        <v>57</v>
      </c>
      <c r="E36" s="12">
        <v>44561</v>
      </c>
      <c r="F36" s="68" t="s">
        <v>58</v>
      </c>
      <c r="G36" s="12">
        <v>44567</v>
      </c>
      <c r="H36" s="69" t="s">
        <v>6172</v>
      </c>
      <c r="I36" s="15">
        <v>105</v>
      </c>
      <c r="J36" s="15">
        <v>15</v>
      </c>
      <c r="K36" s="15">
        <v>17</v>
      </c>
      <c r="L36" s="15">
        <v>1</v>
      </c>
      <c r="M36" s="73">
        <v>6.6937499999999996</v>
      </c>
      <c r="N36" s="104">
        <v>6.6937499999999996</v>
      </c>
      <c r="O36" s="57">
        <v>7000</v>
      </c>
      <c r="P36" s="58">
        <f t="shared" si="0"/>
        <v>46856.25</v>
      </c>
    </row>
    <row r="37" spans="1:16" ht="26.25" customHeight="1" x14ac:dyDescent="0.2">
      <c r="A37" s="100"/>
      <c r="B37" s="100"/>
      <c r="C37" s="65" t="s">
        <v>6067</v>
      </c>
      <c r="D37" s="70" t="s">
        <v>57</v>
      </c>
      <c r="E37" s="12">
        <v>44561</v>
      </c>
      <c r="F37" s="68" t="s">
        <v>58</v>
      </c>
      <c r="G37" s="12">
        <v>44567</v>
      </c>
      <c r="H37" s="69" t="s">
        <v>6172</v>
      </c>
      <c r="I37" s="15">
        <v>67</v>
      </c>
      <c r="J37" s="15">
        <v>60</v>
      </c>
      <c r="K37" s="15">
        <v>17</v>
      </c>
      <c r="L37" s="15">
        <v>3</v>
      </c>
      <c r="M37" s="73">
        <v>17.085000000000001</v>
      </c>
      <c r="N37" s="104">
        <v>17.085000000000001</v>
      </c>
      <c r="O37" s="57">
        <v>7000</v>
      </c>
      <c r="P37" s="58">
        <f t="shared" si="0"/>
        <v>119595</v>
      </c>
    </row>
    <row r="38" spans="1:16" ht="26.25" customHeight="1" x14ac:dyDescent="0.2">
      <c r="A38" s="100"/>
      <c r="B38" s="100"/>
      <c r="C38" s="65" t="s">
        <v>6068</v>
      </c>
      <c r="D38" s="70" t="s">
        <v>57</v>
      </c>
      <c r="E38" s="12">
        <v>44561</v>
      </c>
      <c r="F38" s="68" t="s">
        <v>58</v>
      </c>
      <c r="G38" s="12">
        <v>44567</v>
      </c>
      <c r="H38" s="69" t="s">
        <v>6172</v>
      </c>
      <c r="I38" s="15">
        <v>42</v>
      </c>
      <c r="J38" s="15">
        <v>28</v>
      </c>
      <c r="K38" s="15">
        <v>22</v>
      </c>
      <c r="L38" s="15">
        <v>2</v>
      </c>
      <c r="M38" s="73">
        <v>6.468</v>
      </c>
      <c r="N38" s="104">
        <v>7</v>
      </c>
      <c r="O38" s="57">
        <v>7000</v>
      </c>
      <c r="P38" s="58">
        <f t="shared" si="0"/>
        <v>49000</v>
      </c>
    </row>
    <row r="39" spans="1:16" ht="26.25" customHeight="1" x14ac:dyDescent="0.2">
      <c r="A39" s="100"/>
      <c r="B39" s="100"/>
      <c r="C39" s="65" t="s">
        <v>6069</v>
      </c>
      <c r="D39" s="70" t="s">
        <v>57</v>
      </c>
      <c r="E39" s="12">
        <v>44561</v>
      </c>
      <c r="F39" s="68" t="s">
        <v>58</v>
      </c>
      <c r="G39" s="12">
        <v>44567</v>
      </c>
      <c r="H39" s="69" t="s">
        <v>6172</v>
      </c>
      <c r="I39" s="15">
        <v>100</v>
      </c>
      <c r="J39" s="15">
        <v>12</v>
      </c>
      <c r="K39" s="15">
        <v>12</v>
      </c>
      <c r="L39" s="15">
        <v>4</v>
      </c>
      <c r="M39" s="73">
        <v>3.6</v>
      </c>
      <c r="N39" s="104">
        <v>4</v>
      </c>
      <c r="O39" s="57">
        <v>7000</v>
      </c>
      <c r="P39" s="58">
        <f t="shared" si="0"/>
        <v>28000</v>
      </c>
    </row>
    <row r="40" spans="1:16" ht="26.25" customHeight="1" x14ac:dyDescent="0.2">
      <c r="A40" s="100"/>
      <c r="B40" s="100"/>
      <c r="C40" s="65" t="s">
        <v>6070</v>
      </c>
      <c r="D40" s="70" t="s">
        <v>57</v>
      </c>
      <c r="E40" s="12">
        <v>44561</v>
      </c>
      <c r="F40" s="68" t="s">
        <v>58</v>
      </c>
      <c r="G40" s="12">
        <v>44567</v>
      </c>
      <c r="H40" s="69" t="s">
        <v>6172</v>
      </c>
      <c r="I40" s="15">
        <v>36</v>
      </c>
      <c r="J40" s="15">
        <v>31</v>
      </c>
      <c r="K40" s="15">
        <v>30</v>
      </c>
      <c r="L40" s="15">
        <v>2</v>
      </c>
      <c r="M40" s="73">
        <v>8.3699999999999992</v>
      </c>
      <c r="N40" s="104">
        <v>9</v>
      </c>
      <c r="O40" s="57">
        <v>7000</v>
      </c>
      <c r="P40" s="58">
        <f t="shared" si="0"/>
        <v>63000</v>
      </c>
    </row>
    <row r="41" spans="1:16" ht="26.25" customHeight="1" x14ac:dyDescent="0.2">
      <c r="A41" s="100"/>
      <c r="B41" s="100"/>
      <c r="C41" s="65" t="s">
        <v>6071</v>
      </c>
      <c r="D41" s="70" t="s">
        <v>57</v>
      </c>
      <c r="E41" s="12">
        <v>44561</v>
      </c>
      <c r="F41" s="68" t="s">
        <v>58</v>
      </c>
      <c r="G41" s="12">
        <v>44567</v>
      </c>
      <c r="H41" s="69" t="s">
        <v>6172</v>
      </c>
      <c r="I41" s="15">
        <v>92</v>
      </c>
      <c r="J41" s="15">
        <v>71</v>
      </c>
      <c r="K41" s="15">
        <v>7</v>
      </c>
      <c r="L41" s="15">
        <v>4</v>
      </c>
      <c r="M41" s="73">
        <v>11.430999999999999</v>
      </c>
      <c r="N41" s="104">
        <v>12</v>
      </c>
      <c r="O41" s="57">
        <v>7000</v>
      </c>
      <c r="P41" s="58">
        <f t="shared" si="0"/>
        <v>84000</v>
      </c>
    </row>
    <row r="42" spans="1:16" ht="26.25" customHeight="1" x14ac:dyDescent="0.2">
      <c r="A42" s="100"/>
      <c r="B42" s="100"/>
      <c r="C42" s="65" t="s">
        <v>6072</v>
      </c>
      <c r="D42" s="70" t="s">
        <v>57</v>
      </c>
      <c r="E42" s="12">
        <v>44561</v>
      </c>
      <c r="F42" s="68" t="s">
        <v>58</v>
      </c>
      <c r="G42" s="12">
        <v>44567</v>
      </c>
      <c r="H42" s="69" t="s">
        <v>6172</v>
      </c>
      <c r="I42" s="15">
        <v>57</v>
      </c>
      <c r="J42" s="15">
        <v>37</v>
      </c>
      <c r="K42" s="15">
        <v>37</v>
      </c>
      <c r="L42" s="15">
        <v>21</v>
      </c>
      <c r="M42" s="73">
        <v>19.50825</v>
      </c>
      <c r="N42" s="104">
        <v>21</v>
      </c>
      <c r="O42" s="57">
        <v>7000</v>
      </c>
      <c r="P42" s="58">
        <f t="shared" si="0"/>
        <v>147000</v>
      </c>
    </row>
    <row r="43" spans="1:16" ht="26.25" customHeight="1" x14ac:dyDescent="0.2">
      <c r="A43" s="100"/>
      <c r="B43" s="100"/>
      <c r="C43" s="65" t="s">
        <v>6073</v>
      </c>
      <c r="D43" s="70" t="s">
        <v>57</v>
      </c>
      <c r="E43" s="12">
        <v>44561</v>
      </c>
      <c r="F43" s="68" t="s">
        <v>58</v>
      </c>
      <c r="G43" s="12">
        <v>44567</v>
      </c>
      <c r="H43" s="69" t="s">
        <v>6172</v>
      </c>
      <c r="I43" s="15">
        <v>47</v>
      </c>
      <c r="J43" s="15">
        <v>22</v>
      </c>
      <c r="K43" s="15">
        <v>24</v>
      </c>
      <c r="L43" s="15">
        <v>1</v>
      </c>
      <c r="M43" s="73">
        <v>6.2039999999999997</v>
      </c>
      <c r="N43" s="104">
        <v>6.2039999999999997</v>
      </c>
      <c r="O43" s="57">
        <v>7000</v>
      </c>
      <c r="P43" s="58">
        <f t="shared" si="0"/>
        <v>43428</v>
      </c>
    </row>
    <row r="44" spans="1:16" ht="26.25" customHeight="1" x14ac:dyDescent="0.2">
      <c r="A44" s="100"/>
      <c r="B44" s="101"/>
      <c r="C44" s="65" t="s">
        <v>6074</v>
      </c>
      <c r="D44" s="70" t="s">
        <v>57</v>
      </c>
      <c r="E44" s="12">
        <v>44561</v>
      </c>
      <c r="F44" s="68" t="s">
        <v>58</v>
      </c>
      <c r="G44" s="12">
        <v>44567</v>
      </c>
      <c r="H44" s="69" t="s">
        <v>6172</v>
      </c>
      <c r="I44" s="15">
        <v>48</v>
      </c>
      <c r="J44" s="15">
        <v>48</v>
      </c>
      <c r="K44" s="15">
        <v>28</v>
      </c>
      <c r="L44" s="15">
        <v>11</v>
      </c>
      <c r="M44" s="73">
        <v>16.128</v>
      </c>
      <c r="N44" s="104">
        <v>16.128</v>
      </c>
      <c r="O44" s="57">
        <v>7000</v>
      </c>
      <c r="P44" s="58">
        <f t="shared" si="0"/>
        <v>112896</v>
      </c>
    </row>
    <row r="45" spans="1:16" ht="26.25" customHeight="1" x14ac:dyDescent="0.2">
      <c r="A45" s="100"/>
      <c r="B45" s="100" t="s">
        <v>6075</v>
      </c>
      <c r="C45" s="65" t="s">
        <v>6076</v>
      </c>
      <c r="D45" s="70" t="s">
        <v>57</v>
      </c>
      <c r="E45" s="12">
        <v>44561</v>
      </c>
      <c r="F45" s="68" t="s">
        <v>58</v>
      </c>
      <c r="G45" s="12">
        <v>44567</v>
      </c>
      <c r="H45" s="69" t="s">
        <v>6172</v>
      </c>
      <c r="I45" s="15">
        <v>78</v>
      </c>
      <c r="J45" s="15">
        <v>52</v>
      </c>
      <c r="K45" s="15">
        <v>7</v>
      </c>
      <c r="L45" s="15">
        <v>30</v>
      </c>
      <c r="M45" s="73">
        <v>7.0979999999999999</v>
      </c>
      <c r="N45" s="104">
        <v>30</v>
      </c>
      <c r="O45" s="57">
        <v>7000</v>
      </c>
      <c r="P45" s="58">
        <f t="shared" si="0"/>
        <v>210000</v>
      </c>
    </row>
    <row r="46" spans="1:16" ht="26.25" customHeight="1" x14ac:dyDescent="0.2">
      <c r="A46" s="100"/>
      <c r="B46" s="100"/>
      <c r="C46" s="65" t="s">
        <v>6077</v>
      </c>
      <c r="D46" s="70" t="s">
        <v>57</v>
      </c>
      <c r="E46" s="12">
        <v>44561</v>
      </c>
      <c r="F46" s="68" t="s">
        <v>58</v>
      </c>
      <c r="G46" s="12">
        <v>44567</v>
      </c>
      <c r="H46" s="69" t="s">
        <v>6172</v>
      </c>
      <c r="I46" s="15">
        <v>94</v>
      </c>
      <c r="J46" s="15">
        <v>42</v>
      </c>
      <c r="K46" s="15">
        <v>37</v>
      </c>
      <c r="L46" s="15">
        <v>9</v>
      </c>
      <c r="M46" s="73">
        <v>36.518999999999998</v>
      </c>
      <c r="N46" s="104">
        <v>36.518999999999998</v>
      </c>
      <c r="O46" s="57">
        <v>7000</v>
      </c>
      <c r="P46" s="58">
        <f t="shared" si="0"/>
        <v>255633</v>
      </c>
    </row>
    <row r="47" spans="1:16" ht="26.25" customHeight="1" x14ac:dyDescent="0.2">
      <c r="A47" s="100"/>
      <c r="B47" s="100"/>
      <c r="C47" s="65" t="s">
        <v>6078</v>
      </c>
      <c r="D47" s="70" t="s">
        <v>57</v>
      </c>
      <c r="E47" s="12">
        <v>44561</v>
      </c>
      <c r="F47" s="68" t="s">
        <v>58</v>
      </c>
      <c r="G47" s="12">
        <v>44567</v>
      </c>
      <c r="H47" s="69" t="s">
        <v>6172</v>
      </c>
      <c r="I47" s="15">
        <v>100</v>
      </c>
      <c r="J47" s="15">
        <v>67</v>
      </c>
      <c r="K47" s="15">
        <v>36</v>
      </c>
      <c r="L47" s="15">
        <v>39</v>
      </c>
      <c r="M47" s="73">
        <v>60.3</v>
      </c>
      <c r="N47" s="104">
        <v>61</v>
      </c>
      <c r="O47" s="57">
        <v>7000</v>
      </c>
      <c r="P47" s="58">
        <f t="shared" si="0"/>
        <v>427000</v>
      </c>
    </row>
    <row r="48" spans="1:16" ht="26.25" customHeight="1" x14ac:dyDescent="0.2">
      <c r="A48" s="100"/>
      <c r="B48" s="100"/>
      <c r="C48" s="65" t="s">
        <v>6079</v>
      </c>
      <c r="D48" s="70" t="s">
        <v>57</v>
      </c>
      <c r="E48" s="12">
        <v>44561</v>
      </c>
      <c r="F48" s="68" t="s">
        <v>58</v>
      </c>
      <c r="G48" s="12">
        <v>44567</v>
      </c>
      <c r="H48" s="69" t="s">
        <v>6172</v>
      </c>
      <c r="I48" s="15">
        <v>90</v>
      </c>
      <c r="J48" s="15">
        <v>60</v>
      </c>
      <c r="K48" s="15">
        <v>25</v>
      </c>
      <c r="L48" s="15">
        <v>24</v>
      </c>
      <c r="M48" s="73">
        <v>33.75</v>
      </c>
      <c r="N48" s="104">
        <v>33.75</v>
      </c>
      <c r="O48" s="57">
        <v>7000</v>
      </c>
      <c r="P48" s="58">
        <f t="shared" si="0"/>
        <v>236250</v>
      </c>
    </row>
    <row r="49" spans="1:16" ht="26.25" customHeight="1" x14ac:dyDescent="0.2">
      <c r="A49" s="100"/>
      <c r="B49" s="100"/>
      <c r="C49" s="65" t="s">
        <v>6080</v>
      </c>
      <c r="D49" s="70" t="s">
        <v>57</v>
      </c>
      <c r="E49" s="12">
        <v>44561</v>
      </c>
      <c r="F49" s="68" t="s">
        <v>58</v>
      </c>
      <c r="G49" s="12">
        <v>44567</v>
      </c>
      <c r="H49" s="69" t="s">
        <v>6172</v>
      </c>
      <c r="I49" s="15">
        <v>102</v>
      </c>
      <c r="J49" s="15">
        <v>62</v>
      </c>
      <c r="K49" s="15">
        <v>35</v>
      </c>
      <c r="L49" s="15">
        <v>23</v>
      </c>
      <c r="M49" s="73">
        <v>55.335000000000001</v>
      </c>
      <c r="N49" s="104">
        <v>56</v>
      </c>
      <c r="O49" s="57">
        <v>7000</v>
      </c>
      <c r="P49" s="58">
        <f t="shared" si="0"/>
        <v>392000</v>
      </c>
    </row>
    <row r="50" spans="1:16" ht="26.25" customHeight="1" x14ac:dyDescent="0.2">
      <c r="A50" s="100"/>
      <c r="B50" s="100"/>
      <c r="C50" s="65" t="s">
        <v>6081</v>
      </c>
      <c r="D50" s="70" t="s">
        <v>57</v>
      </c>
      <c r="E50" s="12">
        <v>44561</v>
      </c>
      <c r="F50" s="68" t="s">
        <v>58</v>
      </c>
      <c r="G50" s="12">
        <v>44567</v>
      </c>
      <c r="H50" s="69" t="s">
        <v>6172</v>
      </c>
      <c r="I50" s="15">
        <v>61</v>
      </c>
      <c r="J50" s="15">
        <v>41</v>
      </c>
      <c r="K50" s="15">
        <v>28</v>
      </c>
      <c r="L50" s="15">
        <v>14</v>
      </c>
      <c r="M50" s="73">
        <v>17.507000000000001</v>
      </c>
      <c r="N50" s="104">
        <v>17.507000000000001</v>
      </c>
      <c r="O50" s="57">
        <v>7000</v>
      </c>
      <c r="P50" s="58">
        <f t="shared" si="0"/>
        <v>122549.00000000001</v>
      </c>
    </row>
    <row r="51" spans="1:16" ht="26.25" customHeight="1" x14ac:dyDescent="0.2">
      <c r="A51" s="100"/>
      <c r="B51" s="100"/>
      <c r="C51" s="65" t="s">
        <v>6082</v>
      </c>
      <c r="D51" s="70" t="s">
        <v>57</v>
      </c>
      <c r="E51" s="12">
        <v>44561</v>
      </c>
      <c r="F51" s="68" t="s">
        <v>58</v>
      </c>
      <c r="G51" s="12">
        <v>44567</v>
      </c>
      <c r="H51" s="69" t="s">
        <v>6172</v>
      </c>
      <c r="I51" s="15">
        <v>70</v>
      </c>
      <c r="J51" s="15">
        <v>52</v>
      </c>
      <c r="K51" s="15">
        <v>16</v>
      </c>
      <c r="L51" s="15">
        <v>3</v>
      </c>
      <c r="M51" s="73">
        <v>14.56</v>
      </c>
      <c r="N51" s="104">
        <v>14.56</v>
      </c>
      <c r="O51" s="57">
        <v>7000</v>
      </c>
      <c r="P51" s="58">
        <f t="shared" si="0"/>
        <v>101920</v>
      </c>
    </row>
    <row r="52" spans="1:16" ht="26.25" customHeight="1" x14ac:dyDescent="0.2">
      <c r="A52" s="100"/>
      <c r="B52" s="100"/>
      <c r="C52" s="65" t="s">
        <v>6083</v>
      </c>
      <c r="D52" s="70" t="s">
        <v>57</v>
      </c>
      <c r="E52" s="12">
        <v>44561</v>
      </c>
      <c r="F52" s="68" t="s">
        <v>58</v>
      </c>
      <c r="G52" s="12">
        <v>44567</v>
      </c>
      <c r="H52" s="69" t="s">
        <v>6172</v>
      </c>
      <c r="I52" s="15">
        <v>27</v>
      </c>
      <c r="J52" s="15">
        <v>23</v>
      </c>
      <c r="K52" s="15">
        <v>23</v>
      </c>
      <c r="L52" s="15">
        <v>10</v>
      </c>
      <c r="M52" s="73">
        <v>3.5707499999999999</v>
      </c>
      <c r="N52" s="104">
        <v>10</v>
      </c>
      <c r="O52" s="57">
        <v>7000</v>
      </c>
      <c r="P52" s="58">
        <f t="shared" si="0"/>
        <v>70000</v>
      </c>
    </row>
    <row r="53" spans="1:16" ht="26.25" customHeight="1" x14ac:dyDescent="0.2">
      <c r="A53" s="100"/>
      <c r="B53" s="100"/>
      <c r="C53" s="65" t="s">
        <v>6084</v>
      </c>
      <c r="D53" s="70" t="s">
        <v>57</v>
      </c>
      <c r="E53" s="12">
        <v>44561</v>
      </c>
      <c r="F53" s="68" t="s">
        <v>58</v>
      </c>
      <c r="G53" s="12">
        <v>44567</v>
      </c>
      <c r="H53" s="69" t="s">
        <v>6172</v>
      </c>
      <c r="I53" s="15">
        <v>85</v>
      </c>
      <c r="J53" s="15">
        <v>55</v>
      </c>
      <c r="K53" s="15">
        <v>25</v>
      </c>
      <c r="L53" s="15">
        <v>14</v>
      </c>
      <c r="M53" s="73">
        <v>29.21875</v>
      </c>
      <c r="N53" s="104">
        <v>29.21875</v>
      </c>
      <c r="O53" s="57">
        <v>7000</v>
      </c>
      <c r="P53" s="58">
        <f t="shared" si="0"/>
        <v>204531.25</v>
      </c>
    </row>
    <row r="54" spans="1:16" ht="26.25" customHeight="1" x14ac:dyDescent="0.2">
      <c r="A54" s="100"/>
      <c r="B54" s="100"/>
      <c r="C54" s="65" t="s">
        <v>6085</v>
      </c>
      <c r="D54" s="70" t="s">
        <v>57</v>
      </c>
      <c r="E54" s="12">
        <v>44561</v>
      </c>
      <c r="F54" s="68" t="s">
        <v>58</v>
      </c>
      <c r="G54" s="12">
        <v>44567</v>
      </c>
      <c r="H54" s="69" t="s">
        <v>6172</v>
      </c>
      <c r="I54" s="15">
        <v>38</v>
      </c>
      <c r="J54" s="15">
        <v>20</v>
      </c>
      <c r="K54" s="15">
        <v>43</v>
      </c>
      <c r="L54" s="15">
        <v>9</v>
      </c>
      <c r="M54" s="73">
        <v>8.17</v>
      </c>
      <c r="N54" s="104">
        <v>9</v>
      </c>
      <c r="O54" s="57">
        <v>7000</v>
      </c>
      <c r="P54" s="58">
        <f t="shared" si="0"/>
        <v>63000</v>
      </c>
    </row>
    <row r="55" spans="1:16" ht="26.25" customHeight="1" x14ac:dyDescent="0.2">
      <c r="A55" s="100"/>
      <c r="B55" s="100"/>
      <c r="C55" s="65" t="s">
        <v>6086</v>
      </c>
      <c r="D55" s="70" t="s">
        <v>57</v>
      </c>
      <c r="E55" s="12">
        <v>44561</v>
      </c>
      <c r="F55" s="68" t="s">
        <v>58</v>
      </c>
      <c r="G55" s="12">
        <v>44567</v>
      </c>
      <c r="H55" s="69" t="s">
        <v>6172</v>
      </c>
      <c r="I55" s="15">
        <v>45</v>
      </c>
      <c r="J55" s="15">
        <v>41</v>
      </c>
      <c r="K55" s="15">
        <v>41</v>
      </c>
      <c r="L55" s="15">
        <v>9</v>
      </c>
      <c r="M55" s="73">
        <v>18.911249999999999</v>
      </c>
      <c r="N55" s="104">
        <v>18.911249999999999</v>
      </c>
      <c r="O55" s="57">
        <v>7000</v>
      </c>
      <c r="P55" s="58">
        <f t="shared" si="0"/>
        <v>132378.75</v>
      </c>
    </row>
    <row r="56" spans="1:16" ht="26.25" customHeight="1" x14ac:dyDescent="0.2">
      <c r="A56" s="100"/>
      <c r="B56" s="100"/>
      <c r="C56" s="65" t="s">
        <v>6087</v>
      </c>
      <c r="D56" s="70" t="s">
        <v>57</v>
      </c>
      <c r="E56" s="12">
        <v>44561</v>
      </c>
      <c r="F56" s="68" t="s">
        <v>58</v>
      </c>
      <c r="G56" s="12">
        <v>44567</v>
      </c>
      <c r="H56" s="69" t="s">
        <v>6172</v>
      </c>
      <c r="I56" s="15">
        <v>55</v>
      </c>
      <c r="J56" s="15">
        <v>36</v>
      </c>
      <c r="K56" s="15">
        <v>13</v>
      </c>
      <c r="L56" s="15">
        <v>5</v>
      </c>
      <c r="M56" s="73">
        <v>6.4349999999999996</v>
      </c>
      <c r="N56" s="104">
        <v>7</v>
      </c>
      <c r="O56" s="57">
        <v>7000</v>
      </c>
      <c r="P56" s="58">
        <f t="shared" si="0"/>
        <v>49000</v>
      </c>
    </row>
    <row r="57" spans="1:16" ht="26.25" customHeight="1" x14ac:dyDescent="0.2">
      <c r="A57" s="100"/>
      <c r="B57" s="100"/>
      <c r="C57" s="65" t="s">
        <v>6088</v>
      </c>
      <c r="D57" s="70" t="s">
        <v>57</v>
      </c>
      <c r="E57" s="12">
        <v>44561</v>
      </c>
      <c r="F57" s="68" t="s">
        <v>58</v>
      </c>
      <c r="G57" s="12">
        <v>44567</v>
      </c>
      <c r="H57" s="69" t="s">
        <v>6172</v>
      </c>
      <c r="I57" s="15">
        <v>90</v>
      </c>
      <c r="J57" s="15">
        <v>56</v>
      </c>
      <c r="K57" s="15">
        <v>34</v>
      </c>
      <c r="L57" s="15">
        <v>18</v>
      </c>
      <c r="M57" s="73">
        <v>42.84</v>
      </c>
      <c r="N57" s="104">
        <v>42.84</v>
      </c>
      <c r="O57" s="57">
        <v>7000</v>
      </c>
      <c r="P57" s="58">
        <f t="shared" si="0"/>
        <v>299880</v>
      </c>
    </row>
    <row r="58" spans="1:16" ht="26.25" customHeight="1" x14ac:dyDescent="0.2">
      <c r="A58" s="100"/>
      <c r="B58" s="100"/>
      <c r="C58" s="65" t="s">
        <v>6089</v>
      </c>
      <c r="D58" s="70" t="s">
        <v>57</v>
      </c>
      <c r="E58" s="12">
        <v>44561</v>
      </c>
      <c r="F58" s="68" t="s">
        <v>58</v>
      </c>
      <c r="G58" s="12">
        <v>44567</v>
      </c>
      <c r="H58" s="69" t="s">
        <v>6172</v>
      </c>
      <c r="I58" s="15">
        <v>80</v>
      </c>
      <c r="J58" s="15">
        <v>57</v>
      </c>
      <c r="K58" s="15">
        <v>24</v>
      </c>
      <c r="L58" s="15">
        <v>14</v>
      </c>
      <c r="M58" s="73">
        <v>27.36</v>
      </c>
      <c r="N58" s="104">
        <v>28</v>
      </c>
      <c r="O58" s="57">
        <v>7000</v>
      </c>
      <c r="P58" s="58">
        <f t="shared" si="0"/>
        <v>196000</v>
      </c>
    </row>
    <row r="59" spans="1:16" ht="26.25" customHeight="1" x14ac:dyDescent="0.2">
      <c r="A59" s="100"/>
      <c r="B59" s="100"/>
      <c r="C59" s="65" t="s">
        <v>6090</v>
      </c>
      <c r="D59" s="70" t="s">
        <v>57</v>
      </c>
      <c r="E59" s="12">
        <v>44561</v>
      </c>
      <c r="F59" s="68" t="s">
        <v>58</v>
      </c>
      <c r="G59" s="12">
        <v>44567</v>
      </c>
      <c r="H59" s="69" t="s">
        <v>6172</v>
      </c>
      <c r="I59" s="15">
        <v>28</v>
      </c>
      <c r="J59" s="15">
        <v>20</v>
      </c>
      <c r="K59" s="15">
        <v>16</v>
      </c>
      <c r="L59" s="15">
        <v>1</v>
      </c>
      <c r="M59" s="73">
        <v>2.2400000000000002</v>
      </c>
      <c r="N59" s="104">
        <v>2.2400000000000002</v>
      </c>
      <c r="O59" s="57">
        <v>7000</v>
      </c>
      <c r="P59" s="58">
        <f t="shared" si="0"/>
        <v>15680.000000000002</v>
      </c>
    </row>
    <row r="60" spans="1:16" ht="26.25" customHeight="1" x14ac:dyDescent="0.2">
      <c r="A60" s="100"/>
      <c r="B60" s="100"/>
      <c r="C60" s="65" t="s">
        <v>6091</v>
      </c>
      <c r="D60" s="70" t="s">
        <v>57</v>
      </c>
      <c r="E60" s="12">
        <v>44561</v>
      </c>
      <c r="F60" s="68" t="s">
        <v>58</v>
      </c>
      <c r="G60" s="12">
        <v>44567</v>
      </c>
      <c r="H60" s="69" t="s">
        <v>6172</v>
      </c>
      <c r="I60" s="15">
        <v>24</v>
      </c>
      <c r="J60" s="15">
        <v>15</v>
      </c>
      <c r="K60" s="15">
        <v>13</v>
      </c>
      <c r="L60" s="15">
        <v>8</v>
      </c>
      <c r="M60" s="73">
        <v>1.17</v>
      </c>
      <c r="N60" s="104">
        <v>8</v>
      </c>
      <c r="O60" s="57">
        <v>7000</v>
      </c>
      <c r="P60" s="58">
        <f t="shared" si="0"/>
        <v>56000</v>
      </c>
    </row>
    <row r="61" spans="1:16" ht="26.25" customHeight="1" x14ac:dyDescent="0.2">
      <c r="A61" s="100"/>
      <c r="B61" s="100"/>
      <c r="C61" s="65" t="s">
        <v>6092</v>
      </c>
      <c r="D61" s="70" t="s">
        <v>57</v>
      </c>
      <c r="E61" s="12">
        <v>44561</v>
      </c>
      <c r="F61" s="68" t="s">
        <v>58</v>
      </c>
      <c r="G61" s="12">
        <v>44567</v>
      </c>
      <c r="H61" s="69" t="s">
        <v>6172</v>
      </c>
      <c r="I61" s="15">
        <v>40</v>
      </c>
      <c r="J61" s="15">
        <v>40</v>
      </c>
      <c r="K61" s="15">
        <v>16</v>
      </c>
      <c r="L61" s="15">
        <v>3</v>
      </c>
      <c r="M61" s="73">
        <v>6.4</v>
      </c>
      <c r="N61" s="104">
        <v>7</v>
      </c>
      <c r="O61" s="57">
        <v>7000</v>
      </c>
      <c r="P61" s="58">
        <f t="shared" si="0"/>
        <v>49000</v>
      </c>
    </row>
    <row r="62" spans="1:16" ht="26.25" customHeight="1" x14ac:dyDescent="0.2">
      <c r="A62" s="100"/>
      <c r="B62" s="100"/>
      <c r="C62" s="65" t="s">
        <v>6093</v>
      </c>
      <c r="D62" s="70" t="s">
        <v>57</v>
      </c>
      <c r="E62" s="12">
        <v>44561</v>
      </c>
      <c r="F62" s="68" t="s">
        <v>58</v>
      </c>
      <c r="G62" s="12">
        <v>44567</v>
      </c>
      <c r="H62" s="69" t="s">
        <v>6172</v>
      </c>
      <c r="I62" s="15">
        <v>80</v>
      </c>
      <c r="J62" s="15">
        <v>70</v>
      </c>
      <c r="K62" s="15">
        <v>25</v>
      </c>
      <c r="L62" s="15">
        <v>10</v>
      </c>
      <c r="M62" s="73">
        <v>35</v>
      </c>
      <c r="N62" s="104">
        <v>35</v>
      </c>
      <c r="O62" s="57">
        <v>7000</v>
      </c>
      <c r="P62" s="58">
        <f t="shared" si="0"/>
        <v>245000</v>
      </c>
    </row>
    <row r="63" spans="1:16" ht="26.25" customHeight="1" x14ac:dyDescent="0.2">
      <c r="A63" s="100"/>
      <c r="B63" s="100"/>
      <c r="C63" s="65" t="s">
        <v>6094</v>
      </c>
      <c r="D63" s="70" t="s">
        <v>57</v>
      </c>
      <c r="E63" s="12">
        <v>44561</v>
      </c>
      <c r="F63" s="68" t="s">
        <v>58</v>
      </c>
      <c r="G63" s="12">
        <v>44567</v>
      </c>
      <c r="H63" s="69" t="s">
        <v>6172</v>
      </c>
      <c r="I63" s="15">
        <v>92</v>
      </c>
      <c r="J63" s="15">
        <v>64</v>
      </c>
      <c r="K63" s="15">
        <v>30</v>
      </c>
      <c r="L63" s="15">
        <v>13</v>
      </c>
      <c r="M63" s="73">
        <v>44.16</v>
      </c>
      <c r="N63" s="104">
        <v>44.16</v>
      </c>
      <c r="O63" s="57">
        <v>7000</v>
      </c>
      <c r="P63" s="58">
        <f t="shared" si="0"/>
        <v>309120</v>
      </c>
    </row>
    <row r="64" spans="1:16" ht="26.25" customHeight="1" x14ac:dyDescent="0.2">
      <c r="A64" s="100"/>
      <c r="B64" s="100"/>
      <c r="C64" s="65" t="s">
        <v>6095</v>
      </c>
      <c r="D64" s="70" t="s">
        <v>57</v>
      </c>
      <c r="E64" s="12">
        <v>44561</v>
      </c>
      <c r="F64" s="68" t="s">
        <v>58</v>
      </c>
      <c r="G64" s="12">
        <v>44567</v>
      </c>
      <c r="H64" s="69" t="s">
        <v>6172</v>
      </c>
      <c r="I64" s="15">
        <v>95</v>
      </c>
      <c r="J64" s="15">
        <v>61</v>
      </c>
      <c r="K64" s="15">
        <v>25</v>
      </c>
      <c r="L64" s="15">
        <v>10</v>
      </c>
      <c r="M64" s="73">
        <v>36.21875</v>
      </c>
      <c r="N64" s="104">
        <v>36.21875</v>
      </c>
      <c r="O64" s="57">
        <v>7000</v>
      </c>
      <c r="P64" s="58">
        <f t="shared" si="0"/>
        <v>253531.25</v>
      </c>
    </row>
    <row r="65" spans="1:16" ht="26.25" customHeight="1" x14ac:dyDescent="0.2">
      <c r="A65" s="100"/>
      <c r="B65" s="100"/>
      <c r="C65" s="65" t="s">
        <v>6096</v>
      </c>
      <c r="D65" s="70" t="s">
        <v>57</v>
      </c>
      <c r="E65" s="12">
        <v>44561</v>
      </c>
      <c r="F65" s="68" t="s">
        <v>58</v>
      </c>
      <c r="G65" s="12">
        <v>44567</v>
      </c>
      <c r="H65" s="69" t="s">
        <v>6172</v>
      </c>
      <c r="I65" s="15">
        <v>55</v>
      </c>
      <c r="J65" s="15">
        <v>47</v>
      </c>
      <c r="K65" s="15">
        <v>26</v>
      </c>
      <c r="L65" s="15">
        <v>4</v>
      </c>
      <c r="M65" s="73">
        <v>16.802499999999998</v>
      </c>
      <c r="N65" s="104">
        <v>16.802499999999998</v>
      </c>
      <c r="O65" s="57">
        <v>7000</v>
      </c>
      <c r="P65" s="58">
        <f t="shared" si="0"/>
        <v>117617.49999999999</v>
      </c>
    </row>
    <row r="66" spans="1:16" ht="26.25" customHeight="1" x14ac:dyDescent="0.2">
      <c r="A66" s="100"/>
      <c r="B66" s="100"/>
      <c r="C66" s="65" t="s">
        <v>6097</v>
      </c>
      <c r="D66" s="70" t="s">
        <v>57</v>
      </c>
      <c r="E66" s="12">
        <v>44561</v>
      </c>
      <c r="F66" s="68" t="s">
        <v>58</v>
      </c>
      <c r="G66" s="12">
        <v>44567</v>
      </c>
      <c r="H66" s="69" t="s">
        <v>6172</v>
      </c>
      <c r="I66" s="15">
        <v>94</v>
      </c>
      <c r="J66" s="15">
        <v>58</v>
      </c>
      <c r="K66" s="15">
        <v>12</v>
      </c>
      <c r="L66" s="15">
        <v>9</v>
      </c>
      <c r="M66" s="73">
        <v>16.356000000000002</v>
      </c>
      <c r="N66" s="104">
        <v>17</v>
      </c>
      <c r="O66" s="57">
        <v>7000</v>
      </c>
      <c r="P66" s="58">
        <f t="shared" si="0"/>
        <v>119000</v>
      </c>
    </row>
    <row r="67" spans="1:16" ht="26.25" customHeight="1" x14ac:dyDescent="0.2">
      <c r="A67" s="100"/>
      <c r="B67" s="100"/>
      <c r="C67" s="65" t="s">
        <v>6098</v>
      </c>
      <c r="D67" s="70" t="s">
        <v>57</v>
      </c>
      <c r="E67" s="12">
        <v>44561</v>
      </c>
      <c r="F67" s="68" t="s">
        <v>58</v>
      </c>
      <c r="G67" s="12">
        <v>44567</v>
      </c>
      <c r="H67" s="69" t="s">
        <v>6172</v>
      </c>
      <c r="I67" s="15">
        <v>58</v>
      </c>
      <c r="J67" s="15">
        <v>57</v>
      </c>
      <c r="K67" s="15">
        <v>22</v>
      </c>
      <c r="L67" s="15">
        <v>11</v>
      </c>
      <c r="M67" s="73">
        <v>18.183</v>
      </c>
      <c r="N67" s="104">
        <v>18.183</v>
      </c>
      <c r="O67" s="57">
        <v>7000</v>
      </c>
      <c r="P67" s="58">
        <f t="shared" ref="P67:P130" si="1">N67*O67</f>
        <v>127281</v>
      </c>
    </row>
    <row r="68" spans="1:16" ht="26.25" customHeight="1" x14ac:dyDescent="0.2">
      <c r="A68" s="100"/>
      <c r="B68" s="100"/>
      <c r="C68" s="65" t="s">
        <v>6099</v>
      </c>
      <c r="D68" s="70" t="s">
        <v>57</v>
      </c>
      <c r="E68" s="12">
        <v>44561</v>
      </c>
      <c r="F68" s="68" t="s">
        <v>58</v>
      </c>
      <c r="G68" s="12">
        <v>44567</v>
      </c>
      <c r="H68" s="69" t="s">
        <v>6172</v>
      </c>
      <c r="I68" s="15">
        <v>80</v>
      </c>
      <c r="J68" s="15">
        <v>67</v>
      </c>
      <c r="K68" s="15">
        <v>20</v>
      </c>
      <c r="L68" s="15">
        <v>14</v>
      </c>
      <c r="M68" s="73">
        <v>26.8</v>
      </c>
      <c r="N68" s="104">
        <v>26.8</v>
      </c>
      <c r="O68" s="57">
        <v>7000</v>
      </c>
      <c r="P68" s="58">
        <f t="shared" si="1"/>
        <v>187600</v>
      </c>
    </row>
    <row r="69" spans="1:16" ht="26.25" customHeight="1" x14ac:dyDescent="0.2">
      <c r="A69" s="100"/>
      <c r="B69" s="100"/>
      <c r="C69" s="65" t="s">
        <v>6100</v>
      </c>
      <c r="D69" s="70" t="s">
        <v>57</v>
      </c>
      <c r="E69" s="12">
        <v>44561</v>
      </c>
      <c r="F69" s="68" t="s">
        <v>58</v>
      </c>
      <c r="G69" s="12">
        <v>44567</v>
      </c>
      <c r="H69" s="69" t="s">
        <v>6172</v>
      </c>
      <c r="I69" s="15">
        <v>62</v>
      </c>
      <c r="J69" s="15">
        <v>47</v>
      </c>
      <c r="K69" s="15">
        <v>32</v>
      </c>
      <c r="L69" s="15">
        <v>16</v>
      </c>
      <c r="M69" s="73">
        <v>23.312000000000001</v>
      </c>
      <c r="N69" s="104">
        <v>24</v>
      </c>
      <c r="O69" s="57">
        <v>7000</v>
      </c>
      <c r="P69" s="58">
        <f t="shared" si="1"/>
        <v>168000</v>
      </c>
    </row>
    <row r="70" spans="1:16" ht="26.25" customHeight="1" x14ac:dyDescent="0.2">
      <c r="A70" s="100"/>
      <c r="B70" s="100"/>
      <c r="C70" s="65" t="s">
        <v>6101</v>
      </c>
      <c r="D70" s="70" t="s">
        <v>57</v>
      </c>
      <c r="E70" s="12">
        <v>44561</v>
      </c>
      <c r="F70" s="68" t="s">
        <v>58</v>
      </c>
      <c r="G70" s="12">
        <v>44567</v>
      </c>
      <c r="H70" s="69" t="s">
        <v>6172</v>
      </c>
      <c r="I70" s="15">
        <v>57</v>
      </c>
      <c r="J70" s="15">
        <v>40</v>
      </c>
      <c r="K70" s="15">
        <v>28</v>
      </c>
      <c r="L70" s="15">
        <v>12</v>
      </c>
      <c r="M70" s="73">
        <v>15.96</v>
      </c>
      <c r="N70" s="104">
        <v>15.96</v>
      </c>
      <c r="O70" s="57">
        <v>7000</v>
      </c>
      <c r="P70" s="58">
        <f t="shared" si="1"/>
        <v>111720</v>
      </c>
    </row>
    <row r="71" spans="1:16" ht="26.25" customHeight="1" x14ac:dyDescent="0.2">
      <c r="A71" s="100"/>
      <c r="B71" s="100"/>
      <c r="C71" s="65" t="s">
        <v>6102</v>
      </c>
      <c r="D71" s="70" t="s">
        <v>57</v>
      </c>
      <c r="E71" s="12">
        <v>44561</v>
      </c>
      <c r="F71" s="68" t="s">
        <v>58</v>
      </c>
      <c r="G71" s="12">
        <v>44567</v>
      </c>
      <c r="H71" s="69" t="s">
        <v>6172</v>
      </c>
      <c r="I71" s="15">
        <v>87</v>
      </c>
      <c r="J71" s="15">
        <v>52</v>
      </c>
      <c r="K71" s="15">
        <v>35</v>
      </c>
      <c r="L71" s="15">
        <v>19</v>
      </c>
      <c r="M71" s="73">
        <v>39.585000000000001</v>
      </c>
      <c r="N71" s="104">
        <v>39.585000000000001</v>
      </c>
      <c r="O71" s="57">
        <v>7000</v>
      </c>
      <c r="P71" s="58">
        <f t="shared" si="1"/>
        <v>277095</v>
      </c>
    </row>
    <row r="72" spans="1:16" ht="26.25" customHeight="1" x14ac:dyDescent="0.2">
      <c r="A72" s="100"/>
      <c r="B72" s="100"/>
      <c r="C72" s="65" t="s">
        <v>6103</v>
      </c>
      <c r="D72" s="70" t="s">
        <v>57</v>
      </c>
      <c r="E72" s="12">
        <v>44561</v>
      </c>
      <c r="F72" s="68" t="s">
        <v>58</v>
      </c>
      <c r="G72" s="12">
        <v>44567</v>
      </c>
      <c r="H72" s="69" t="s">
        <v>6172</v>
      </c>
      <c r="I72" s="15">
        <v>95</v>
      </c>
      <c r="J72" s="15">
        <v>54</v>
      </c>
      <c r="K72" s="15">
        <v>34</v>
      </c>
      <c r="L72" s="15">
        <v>19</v>
      </c>
      <c r="M72" s="73">
        <v>43.604999999999997</v>
      </c>
      <c r="N72" s="104">
        <v>43.604999999999997</v>
      </c>
      <c r="O72" s="57">
        <v>7000</v>
      </c>
      <c r="P72" s="58">
        <f t="shared" si="1"/>
        <v>305235</v>
      </c>
    </row>
    <row r="73" spans="1:16" ht="26.25" customHeight="1" x14ac:dyDescent="0.2">
      <c r="A73" s="100"/>
      <c r="B73" s="100"/>
      <c r="C73" s="65" t="s">
        <v>6104</v>
      </c>
      <c r="D73" s="70" t="s">
        <v>57</v>
      </c>
      <c r="E73" s="12">
        <v>44561</v>
      </c>
      <c r="F73" s="68" t="s">
        <v>58</v>
      </c>
      <c r="G73" s="12">
        <v>44567</v>
      </c>
      <c r="H73" s="69" t="s">
        <v>6172</v>
      </c>
      <c r="I73" s="15">
        <v>81</v>
      </c>
      <c r="J73" s="15">
        <v>62</v>
      </c>
      <c r="K73" s="15">
        <v>17</v>
      </c>
      <c r="L73" s="15">
        <v>11</v>
      </c>
      <c r="M73" s="73">
        <v>21.343499999999999</v>
      </c>
      <c r="N73" s="104">
        <v>22</v>
      </c>
      <c r="O73" s="57">
        <v>7000</v>
      </c>
      <c r="P73" s="58">
        <f t="shared" si="1"/>
        <v>154000</v>
      </c>
    </row>
    <row r="74" spans="1:16" ht="26.25" customHeight="1" x14ac:dyDescent="0.2">
      <c r="A74" s="100"/>
      <c r="B74" s="100"/>
      <c r="C74" s="65" t="s">
        <v>6105</v>
      </c>
      <c r="D74" s="70" t="s">
        <v>57</v>
      </c>
      <c r="E74" s="12">
        <v>44561</v>
      </c>
      <c r="F74" s="68" t="s">
        <v>58</v>
      </c>
      <c r="G74" s="12">
        <v>44567</v>
      </c>
      <c r="H74" s="69" t="s">
        <v>6172</v>
      </c>
      <c r="I74" s="15">
        <v>84</v>
      </c>
      <c r="J74" s="15">
        <v>50</v>
      </c>
      <c r="K74" s="15">
        <v>20</v>
      </c>
      <c r="L74" s="15">
        <v>10</v>
      </c>
      <c r="M74" s="73">
        <v>21</v>
      </c>
      <c r="N74" s="104">
        <v>21</v>
      </c>
      <c r="O74" s="57">
        <v>7000</v>
      </c>
      <c r="P74" s="58">
        <f t="shared" si="1"/>
        <v>147000</v>
      </c>
    </row>
    <row r="75" spans="1:16" ht="26.25" customHeight="1" x14ac:dyDescent="0.2">
      <c r="A75" s="100"/>
      <c r="B75" s="100"/>
      <c r="C75" s="65" t="s">
        <v>6106</v>
      </c>
      <c r="D75" s="70" t="s">
        <v>57</v>
      </c>
      <c r="E75" s="12">
        <v>44561</v>
      </c>
      <c r="F75" s="68" t="s">
        <v>58</v>
      </c>
      <c r="G75" s="12">
        <v>44567</v>
      </c>
      <c r="H75" s="69" t="s">
        <v>6172</v>
      </c>
      <c r="I75" s="15">
        <v>65</v>
      </c>
      <c r="J75" s="15">
        <v>60</v>
      </c>
      <c r="K75" s="15">
        <v>12</v>
      </c>
      <c r="L75" s="15">
        <v>6</v>
      </c>
      <c r="M75" s="73">
        <v>11.7</v>
      </c>
      <c r="N75" s="104">
        <v>11.7</v>
      </c>
      <c r="O75" s="57">
        <v>7000</v>
      </c>
      <c r="P75" s="58">
        <f t="shared" si="1"/>
        <v>81900</v>
      </c>
    </row>
    <row r="76" spans="1:16" ht="26.25" customHeight="1" x14ac:dyDescent="0.2">
      <c r="A76" s="100"/>
      <c r="B76" s="100"/>
      <c r="C76" s="65" t="s">
        <v>6107</v>
      </c>
      <c r="D76" s="70" t="s">
        <v>57</v>
      </c>
      <c r="E76" s="12">
        <v>44561</v>
      </c>
      <c r="F76" s="68" t="s">
        <v>58</v>
      </c>
      <c r="G76" s="12">
        <v>44567</v>
      </c>
      <c r="H76" s="69" t="s">
        <v>6172</v>
      </c>
      <c r="I76" s="15">
        <v>62</v>
      </c>
      <c r="J76" s="15">
        <v>52</v>
      </c>
      <c r="K76" s="15">
        <v>17</v>
      </c>
      <c r="L76" s="15">
        <v>5</v>
      </c>
      <c r="M76" s="73">
        <v>13.702</v>
      </c>
      <c r="N76" s="104">
        <v>13.702</v>
      </c>
      <c r="O76" s="57">
        <v>7000</v>
      </c>
      <c r="P76" s="58">
        <f t="shared" si="1"/>
        <v>95914</v>
      </c>
    </row>
    <row r="77" spans="1:16" ht="26.25" customHeight="1" x14ac:dyDescent="0.2">
      <c r="A77" s="100"/>
      <c r="B77" s="100"/>
      <c r="C77" s="65" t="s">
        <v>6108</v>
      </c>
      <c r="D77" s="70" t="s">
        <v>57</v>
      </c>
      <c r="E77" s="12">
        <v>44561</v>
      </c>
      <c r="F77" s="68" t="s">
        <v>58</v>
      </c>
      <c r="G77" s="12">
        <v>44567</v>
      </c>
      <c r="H77" s="69" t="s">
        <v>6172</v>
      </c>
      <c r="I77" s="15">
        <v>68</v>
      </c>
      <c r="J77" s="15">
        <v>45</v>
      </c>
      <c r="K77" s="15">
        <v>16</v>
      </c>
      <c r="L77" s="15">
        <v>4</v>
      </c>
      <c r="M77" s="73">
        <v>12.24</v>
      </c>
      <c r="N77" s="104">
        <v>12.24</v>
      </c>
      <c r="O77" s="57">
        <v>7000</v>
      </c>
      <c r="P77" s="58">
        <f t="shared" si="1"/>
        <v>85680</v>
      </c>
    </row>
    <row r="78" spans="1:16" ht="26.25" customHeight="1" x14ac:dyDescent="0.2">
      <c r="A78" s="100"/>
      <c r="B78" s="100"/>
      <c r="C78" s="65" t="s">
        <v>6109</v>
      </c>
      <c r="D78" s="70" t="s">
        <v>57</v>
      </c>
      <c r="E78" s="12">
        <v>44561</v>
      </c>
      <c r="F78" s="68" t="s">
        <v>58</v>
      </c>
      <c r="G78" s="12">
        <v>44567</v>
      </c>
      <c r="H78" s="69" t="s">
        <v>6172</v>
      </c>
      <c r="I78" s="15">
        <v>67</v>
      </c>
      <c r="J78" s="15">
        <v>56</v>
      </c>
      <c r="K78" s="15">
        <v>21</v>
      </c>
      <c r="L78" s="15">
        <v>9</v>
      </c>
      <c r="M78" s="73">
        <v>19.698</v>
      </c>
      <c r="N78" s="104">
        <v>19.698</v>
      </c>
      <c r="O78" s="57">
        <v>7000</v>
      </c>
      <c r="P78" s="58">
        <f t="shared" si="1"/>
        <v>137886</v>
      </c>
    </row>
    <row r="79" spans="1:16" ht="26.25" customHeight="1" x14ac:dyDescent="0.2">
      <c r="A79" s="100"/>
      <c r="B79" s="100"/>
      <c r="C79" s="65" t="s">
        <v>6110</v>
      </c>
      <c r="D79" s="70" t="s">
        <v>57</v>
      </c>
      <c r="E79" s="12">
        <v>44561</v>
      </c>
      <c r="F79" s="68" t="s">
        <v>58</v>
      </c>
      <c r="G79" s="12">
        <v>44567</v>
      </c>
      <c r="H79" s="69" t="s">
        <v>6172</v>
      </c>
      <c r="I79" s="15">
        <v>57</v>
      </c>
      <c r="J79" s="15">
        <v>45</v>
      </c>
      <c r="K79" s="15">
        <v>15</v>
      </c>
      <c r="L79" s="15">
        <v>5</v>
      </c>
      <c r="M79" s="73">
        <v>9.6187500000000004</v>
      </c>
      <c r="N79" s="104">
        <v>9.6187500000000004</v>
      </c>
      <c r="O79" s="57">
        <v>7000</v>
      </c>
      <c r="P79" s="58">
        <f t="shared" si="1"/>
        <v>67331.25</v>
      </c>
    </row>
    <row r="80" spans="1:16" ht="26.25" customHeight="1" x14ac:dyDescent="0.2">
      <c r="A80" s="100"/>
      <c r="B80" s="100"/>
      <c r="C80" s="65" t="s">
        <v>6111</v>
      </c>
      <c r="D80" s="70" t="s">
        <v>57</v>
      </c>
      <c r="E80" s="12">
        <v>44561</v>
      </c>
      <c r="F80" s="68" t="s">
        <v>58</v>
      </c>
      <c r="G80" s="12">
        <v>44567</v>
      </c>
      <c r="H80" s="69" t="s">
        <v>6172</v>
      </c>
      <c r="I80" s="15">
        <v>80</v>
      </c>
      <c r="J80" s="15">
        <v>68</v>
      </c>
      <c r="K80" s="15">
        <v>18</v>
      </c>
      <c r="L80" s="15">
        <v>8</v>
      </c>
      <c r="M80" s="73">
        <v>24.48</v>
      </c>
      <c r="N80" s="104">
        <v>25</v>
      </c>
      <c r="O80" s="57">
        <v>7000</v>
      </c>
      <c r="P80" s="58">
        <f t="shared" si="1"/>
        <v>175000</v>
      </c>
    </row>
    <row r="81" spans="1:16" ht="26.25" customHeight="1" x14ac:dyDescent="0.2">
      <c r="A81" s="100"/>
      <c r="B81" s="100"/>
      <c r="C81" s="65" t="s">
        <v>6112</v>
      </c>
      <c r="D81" s="70" t="s">
        <v>57</v>
      </c>
      <c r="E81" s="12">
        <v>44561</v>
      </c>
      <c r="F81" s="68" t="s">
        <v>58</v>
      </c>
      <c r="G81" s="12">
        <v>44567</v>
      </c>
      <c r="H81" s="69" t="s">
        <v>6172</v>
      </c>
      <c r="I81" s="15">
        <v>75</v>
      </c>
      <c r="J81" s="15">
        <v>60</v>
      </c>
      <c r="K81" s="15">
        <v>13</v>
      </c>
      <c r="L81" s="15">
        <v>8</v>
      </c>
      <c r="M81" s="73">
        <v>14.625</v>
      </c>
      <c r="N81" s="104">
        <v>14.625</v>
      </c>
      <c r="O81" s="57">
        <v>7000</v>
      </c>
      <c r="P81" s="58">
        <f t="shared" si="1"/>
        <v>102375</v>
      </c>
    </row>
    <row r="82" spans="1:16" ht="26.25" customHeight="1" x14ac:dyDescent="0.2">
      <c r="A82" s="100"/>
      <c r="B82" s="100"/>
      <c r="C82" s="65" t="s">
        <v>6113</v>
      </c>
      <c r="D82" s="70" t="s">
        <v>57</v>
      </c>
      <c r="E82" s="12">
        <v>44561</v>
      </c>
      <c r="F82" s="68" t="s">
        <v>58</v>
      </c>
      <c r="G82" s="12">
        <v>44567</v>
      </c>
      <c r="H82" s="69" t="s">
        <v>6172</v>
      </c>
      <c r="I82" s="15">
        <v>48</v>
      </c>
      <c r="J82" s="15">
        <v>38</v>
      </c>
      <c r="K82" s="15">
        <v>30</v>
      </c>
      <c r="L82" s="15">
        <v>10</v>
      </c>
      <c r="M82" s="73">
        <v>13.68</v>
      </c>
      <c r="N82" s="104">
        <v>13.68</v>
      </c>
      <c r="O82" s="57">
        <v>7000</v>
      </c>
      <c r="P82" s="58">
        <f t="shared" si="1"/>
        <v>95760</v>
      </c>
    </row>
    <row r="83" spans="1:16" ht="26.25" customHeight="1" x14ac:dyDescent="0.2">
      <c r="A83" s="100"/>
      <c r="B83" s="100"/>
      <c r="C83" s="65" t="s">
        <v>6114</v>
      </c>
      <c r="D83" s="70" t="s">
        <v>57</v>
      </c>
      <c r="E83" s="12">
        <v>44561</v>
      </c>
      <c r="F83" s="68" t="s">
        <v>58</v>
      </c>
      <c r="G83" s="12">
        <v>44567</v>
      </c>
      <c r="H83" s="69" t="s">
        <v>6172</v>
      </c>
      <c r="I83" s="15">
        <v>63</v>
      </c>
      <c r="J83" s="15">
        <v>60</v>
      </c>
      <c r="K83" s="15">
        <v>18</v>
      </c>
      <c r="L83" s="15">
        <v>5</v>
      </c>
      <c r="M83" s="73">
        <v>17.010000000000002</v>
      </c>
      <c r="N83" s="104">
        <v>17.010000000000002</v>
      </c>
      <c r="O83" s="57">
        <v>7000</v>
      </c>
      <c r="P83" s="58">
        <f t="shared" si="1"/>
        <v>119070.00000000001</v>
      </c>
    </row>
    <row r="84" spans="1:16" ht="26.25" customHeight="1" x14ac:dyDescent="0.2">
      <c r="A84" s="100"/>
      <c r="B84" s="100"/>
      <c r="C84" s="65" t="s">
        <v>6115</v>
      </c>
      <c r="D84" s="70" t="s">
        <v>57</v>
      </c>
      <c r="E84" s="12">
        <v>44561</v>
      </c>
      <c r="F84" s="68" t="s">
        <v>58</v>
      </c>
      <c r="G84" s="12">
        <v>44567</v>
      </c>
      <c r="H84" s="69" t="s">
        <v>6172</v>
      </c>
      <c r="I84" s="15">
        <v>100</v>
      </c>
      <c r="J84" s="15">
        <v>52</v>
      </c>
      <c r="K84" s="15">
        <v>23</v>
      </c>
      <c r="L84" s="15">
        <v>11</v>
      </c>
      <c r="M84" s="73">
        <v>29.9</v>
      </c>
      <c r="N84" s="104">
        <v>29.9</v>
      </c>
      <c r="O84" s="57">
        <v>7000</v>
      </c>
      <c r="P84" s="58">
        <f t="shared" si="1"/>
        <v>209300</v>
      </c>
    </row>
    <row r="85" spans="1:16" ht="26.25" customHeight="1" x14ac:dyDescent="0.2">
      <c r="A85" s="100"/>
      <c r="B85" s="100"/>
      <c r="C85" s="65" t="s">
        <v>6116</v>
      </c>
      <c r="D85" s="70" t="s">
        <v>57</v>
      </c>
      <c r="E85" s="12">
        <v>44561</v>
      </c>
      <c r="F85" s="68" t="s">
        <v>58</v>
      </c>
      <c r="G85" s="12">
        <v>44567</v>
      </c>
      <c r="H85" s="69" t="s">
        <v>6172</v>
      </c>
      <c r="I85" s="15">
        <v>87</v>
      </c>
      <c r="J85" s="15">
        <v>64</v>
      </c>
      <c r="K85" s="15">
        <v>21</v>
      </c>
      <c r="L85" s="15">
        <v>6</v>
      </c>
      <c r="M85" s="73">
        <v>29.231999999999999</v>
      </c>
      <c r="N85" s="104">
        <v>29.231999999999999</v>
      </c>
      <c r="O85" s="57">
        <v>7000</v>
      </c>
      <c r="P85" s="58">
        <f t="shared" si="1"/>
        <v>204624</v>
      </c>
    </row>
    <row r="86" spans="1:16" ht="26.25" customHeight="1" x14ac:dyDescent="0.2">
      <c r="A86" s="100"/>
      <c r="B86" s="100"/>
      <c r="C86" s="65" t="s">
        <v>6117</v>
      </c>
      <c r="D86" s="70" t="s">
        <v>57</v>
      </c>
      <c r="E86" s="12">
        <v>44561</v>
      </c>
      <c r="F86" s="68" t="s">
        <v>58</v>
      </c>
      <c r="G86" s="12">
        <v>44567</v>
      </c>
      <c r="H86" s="69" t="s">
        <v>6172</v>
      </c>
      <c r="I86" s="15">
        <v>65</v>
      </c>
      <c r="J86" s="15">
        <v>35</v>
      </c>
      <c r="K86" s="15">
        <v>14</v>
      </c>
      <c r="L86" s="15">
        <v>5</v>
      </c>
      <c r="M86" s="73">
        <v>7.9625000000000004</v>
      </c>
      <c r="N86" s="104">
        <v>7.9625000000000004</v>
      </c>
      <c r="O86" s="57">
        <v>7000</v>
      </c>
      <c r="P86" s="58">
        <f t="shared" si="1"/>
        <v>55737.5</v>
      </c>
    </row>
    <row r="87" spans="1:16" ht="26.25" customHeight="1" x14ac:dyDescent="0.2">
      <c r="A87" s="100"/>
      <c r="B87" s="100"/>
      <c r="C87" s="65" t="s">
        <v>6118</v>
      </c>
      <c r="D87" s="70" t="s">
        <v>57</v>
      </c>
      <c r="E87" s="12">
        <v>44561</v>
      </c>
      <c r="F87" s="68" t="s">
        <v>58</v>
      </c>
      <c r="G87" s="12">
        <v>44567</v>
      </c>
      <c r="H87" s="69" t="s">
        <v>6172</v>
      </c>
      <c r="I87" s="15">
        <v>77</v>
      </c>
      <c r="J87" s="15">
        <v>67</v>
      </c>
      <c r="K87" s="15">
        <v>27</v>
      </c>
      <c r="L87" s="15">
        <v>9</v>
      </c>
      <c r="M87" s="73">
        <v>34.823250000000002</v>
      </c>
      <c r="N87" s="104">
        <v>34.823250000000002</v>
      </c>
      <c r="O87" s="57">
        <v>7000</v>
      </c>
      <c r="P87" s="58">
        <f t="shared" si="1"/>
        <v>243762.75</v>
      </c>
    </row>
    <row r="88" spans="1:16" ht="26.25" customHeight="1" x14ac:dyDescent="0.2">
      <c r="A88" s="100"/>
      <c r="B88" s="100"/>
      <c r="C88" s="65" t="s">
        <v>6119</v>
      </c>
      <c r="D88" s="70" t="s">
        <v>57</v>
      </c>
      <c r="E88" s="12">
        <v>44561</v>
      </c>
      <c r="F88" s="68" t="s">
        <v>58</v>
      </c>
      <c r="G88" s="12">
        <v>44567</v>
      </c>
      <c r="H88" s="69" t="s">
        <v>6172</v>
      </c>
      <c r="I88" s="15">
        <v>85</v>
      </c>
      <c r="J88" s="15">
        <v>52</v>
      </c>
      <c r="K88" s="15">
        <v>18</v>
      </c>
      <c r="L88" s="15">
        <v>13</v>
      </c>
      <c r="M88" s="73">
        <v>19.89</v>
      </c>
      <c r="N88" s="104">
        <v>19.89</v>
      </c>
      <c r="O88" s="57">
        <v>7000</v>
      </c>
      <c r="P88" s="58">
        <f t="shared" si="1"/>
        <v>139230</v>
      </c>
    </row>
    <row r="89" spans="1:16" ht="26.25" customHeight="1" x14ac:dyDescent="0.2">
      <c r="A89" s="100"/>
      <c r="B89" s="100"/>
      <c r="C89" s="65" t="s">
        <v>6120</v>
      </c>
      <c r="D89" s="70" t="s">
        <v>57</v>
      </c>
      <c r="E89" s="12">
        <v>44561</v>
      </c>
      <c r="F89" s="68" t="s">
        <v>58</v>
      </c>
      <c r="G89" s="12">
        <v>44567</v>
      </c>
      <c r="H89" s="69" t="s">
        <v>6172</v>
      </c>
      <c r="I89" s="15">
        <v>58</v>
      </c>
      <c r="J89" s="15">
        <v>38</v>
      </c>
      <c r="K89" s="15">
        <v>18</v>
      </c>
      <c r="L89" s="15">
        <v>5</v>
      </c>
      <c r="M89" s="73">
        <v>9.9179999999999993</v>
      </c>
      <c r="N89" s="104">
        <v>9.9179999999999993</v>
      </c>
      <c r="O89" s="57">
        <v>7000</v>
      </c>
      <c r="P89" s="58">
        <f t="shared" si="1"/>
        <v>69426</v>
      </c>
    </row>
    <row r="90" spans="1:16" ht="26.25" customHeight="1" x14ac:dyDescent="0.2">
      <c r="A90" s="100"/>
      <c r="B90" s="100"/>
      <c r="C90" s="65" t="s">
        <v>6121</v>
      </c>
      <c r="D90" s="70" t="s">
        <v>57</v>
      </c>
      <c r="E90" s="12">
        <v>44561</v>
      </c>
      <c r="F90" s="68" t="s">
        <v>58</v>
      </c>
      <c r="G90" s="12">
        <v>44567</v>
      </c>
      <c r="H90" s="69" t="s">
        <v>6172</v>
      </c>
      <c r="I90" s="15">
        <v>62</v>
      </c>
      <c r="J90" s="15">
        <v>54</v>
      </c>
      <c r="K90" s="15">
        <v>21</v>
      </c>
      <c r="L90" s="15">
        <v>8</v>
      </c>
      <c r="M90" s="73">
        <v>17.577000000000002</v>
      </c>
      <c r="N90" s="104">
        <v>17.577000000000002</v>
      </c>
      <c r="O90" s="57">
        <v>7000</v>
      </c>
      <c r="P90" s="58">
        <f t="shared" si="1"/>
        <v>123039.00000000001</v>
      </c>
    </row>
    <row r="91" spans="1:16" ht="26.25" customHeight="1" x14ac:dyDescent="0.2">
      <c r="A91" s="100"/>
      <c r="B91" s="100"/>
      <c r="C91" s="65" t="s">
        <v>6122</v>
      </c>
      <c r="D91" s="70" t="s">
        <v>57</v>
      </c>
      <c r="E91" s="12">
        <v>44561</v>
      </c>
      <c r="F91" s="68" t="s">
        <v>58</v>
      </c>
      <c r="G91" s="12">
        <v>44567</v>
      </c>
      <c r="H91" s="69" t="s">
        <v>6172</v>
      </c>
      <c r="I91" s="15">
        <v>52</v>
      </c>
      <c r="J91" s="15">
        <v>44</v>
      </c>
      <c r="K91" s="15">
        <v>17</v>
      </c>
      <c r="L91" s="15">
        <v>3</v>
      </c>
      <c r="M91" s="73">
        <v>9.7240000000000002</v>
      </c>
      <c r="N91" s="104">
        <v>9.7240000000000002</v>
      </c>
      <c r="O91" s="57">
        <v>7000</v>
      </c>
      <c r="P91" s="58">
        <f t="shared" si="1"/>
        <v>68068</v>
      </c>
    </row>
    <row r="92" spans="1:16" ht="26.25" customHeight="1" x14ac:dyDescent="0.2">
      <c r="A92" s="100"/>
      <c r="B92" s="100"/>
      <c r="C92" s="65" t="s">
        <v>6123</v>
      </c>
      <c r="D92" s="70" t="s">
        <v>57</v>
      </c>
      <c r="E92" s="12">
        <v>44561</v>
      </c>
      <c r="F92" s="68" t="s">
        <v>58</v>
      </c>
      <c r="G92" s="12">
        <v>44567</v>
      </c>
      <c r="H92" s="69" t="s">
        <v>6172</v>
      </c>
      <c r="I92" s="15">
        <v>56</v>
      </c>
      <c r="J92" s="15">
        <v>28</v>
      </c>
      <c r="K92" s="15">
        <v>13</v>
      </c>
      <c r="L92" s="15">
        <v>1</v>
      </c>
      <c r="M92" s="73">
        <v>5.0960000000000001</v>
      </c>
      <c r="N92" s="104">
        <v>5.0960000000000001</v>
      </c>
      <c r="O92" s="57">
        <v>7000</v>
      </c>
      <c r="P92" s="58">
        <f t="shared" si="1"/>
        <v>35672</v>
      </c>
    </row>
    <row r="93" spans="1:16" ht="26.25" customHeight="1" x14ac:dyDescent="0.2">
      <c r="A93" s="100"/>
      <c r="B93" s="100"/>
      <c r="C93" s="65" t="s">
        <v>6124</v>
      </c>
      <c r="D93" s="70" t="s">
        <v>57</v>
      </c>
      <c r="E93" s="12">
        <v>44561</v>
      </c>
      <c r="F93" s="68" t="s">
        <v>58</v>
      </c>
      <c r="G93" s="12">
        <v>44567</v>
      </c>
      <c r="H93" s="69" t="s">
        <v>6172</v>
      </c>
      <c r="I93" s="15">
        <v>77</v>
      </c>
      <c r="J93" s="15">
        <v>34</v>
      </c>
      <c r="K93" s="15">
        <v>15</v>
      </c>
      <c r="L93" s="15">
        <v>2</v>
      </c>
      <c r="M93" s="73">
        <v>9.8175000000000008</v>
      </c>
      <c r="N93" s="104">
        <v>9.8175000000000008</v>
      </c>
      <c r="O93" s="57">
        <v>7000</v>
      </c>
      <c r="P93" s="58">
        <f t="shared" si="1"/>
        <v>68722.5</v>
      </c>
    </row>
    <row r="94" spans="1:16" ht="26.25" customHeight="1" x14ac:dyDescent="0.2">
      <c r="A94" s="100"/>
      <c r="B94" s="100"/>
      <c r="C94" s="65" t="s">
        <v>6125</v>
      </c>
      <c r="D94" s="70" t="s">
        <v>57</v>
      </c>
      <c r="E94" s="12">
        <v>44561</v>
      </c>
      <c r="F94" s="68" t="s">
        <v>58</v>
      </c>
      <c r="G94" s="12">
        <v>44567</v>
      </c>
      <c r="H94" s="69" t="s">
        <v>6172</v>
      </c>
      <c r="I94" s="15">
        <v>67</v>
      </c>
      <c r="J94" s="15">
        <v>60</v>
      </c>
      <c r="K94" s="15">
        <v>12</v>
      </c>
      <c r="L94" s="15">
        <v>2</v>
      </c>
      <c r="M94" s="73">
        <v>12.06</v>
      </c>
      <c r="N94" s="104">
        <v>12.06</v>
      </c>
      <c r="O94" s="57">
        <v>7000</v>
      </c>
      <c r="P94" s="58">
        <f t="shared" si="1"/>
        <v>84420</v>
      </c>
    </row>
    <row r="95" spans="1:16" ht="26.25" customHeight="1" x14ac:dyDescent="0.2">
      <c r="A95" s="100"/>
      <c r="B95" s="100"/>
      <c r="C95" s="65" t="s">
        <v>6126</v>
      </c>
      <c r="D95" s="70" t="s">
        <v>57</v>
      </c>
      <c r="E95" s="12">
        <v>44561</v>
      </c>
      <c r="F95" s="68" t="s">
        <v>58</v>
      </c>
      <c r="G95" s="12">
        <v>44567</v>
      </c>
      <c r="H95" s="69" t="s">
        <v>6172</v>
      </c>
      <c r="I95" s="15">
        <v>44</v>
      </c>
      <c r="J95" s="15">
        <v>23</v>
      </c>
      <c r="K95" s="15">
        <v>21</v>
      </c>
      <c r="L95" s="15">
        <v>4</v>
      </c>
      <c r="M95" s="73">
        <v>5.3129999999999997</v>
      </c>
      <c r="N95" s="104">
        <v>6</v>
      </c>
      <c r="O95" s="57">
        <v>7000</v>
      </c>
      <c r="P95" s="58">
        <f t="shared" si="1"/>
        <v>42000</v>
      </c>
    </row>
    <row r="96" spans="1:16" ht="26.25" customHeight="1" x14ac:dyDescent="0.2">
      <c r="A96" s="100"/>
      <c r="B96" s="100"/>
      <c r="C96" s="65" t="s">
        <v>6127</v>
      </c>
      <c r="D96" s="70" t="s">
        <v>57</v>
      </c>
      <c r="E96" s="12">
        <v>44561</v>
      </c>
      <c r="F96" s="68" t="s">
        <v>58</v>
      </c>
      <c r="G96" s="12">
        <v>44567</v>
      </c>
      <c r="H96" s="69" t="s">
        <v>6172</v>
      </c>
      <c r="I96" s="15">
        <v>56</v>
      </c>
      <c r="J96" s="15">
        <v>42</v>
      </c>
      <c r="K96" s="15">
        <v>23</v>
      </c>
      <c r="L96" s="15">
        <v>1</v>
      </c>
      <c r="M96" s="73">
        <v>13.523999999999999</v>
      </c>
      <c r="N96" s="104">
        <v>13.523999999999999</v>
      </c>
      <c r="O96" s="57">
        <v>7000</v>
      </c>
      <c r="P96" s="58">
        <f t="shared" si="1"/>
        <v>94668</v>
      </c>
    </row>
    <row r="97" spans="1:16" ht="26.25" customHeight="1" x14ac:dyDescent="0.2">
      <c r="A97" s="100"/>
      <c r="B97" s="100"/>
      <c r="C97" s="65" t="s">
        <v>6128</v>
      </c>
      <c r="D97" s="70" t="s">
        <v>57</v>
      </c>
      <c r="E97" s="12">
        <v>44561</v>
      </c>
      <c r="F97" s="68" t="s">
        <v>58</v>
      </c>
      <c r="G97" s="12">
        <v>44567</v>
      </c>
      <c r="H97" s="69" t="s">
        <v>6172</v>
      </c>
      <c r="I97" s="15">
        <v>60</v>
      </c>
      <c r="J97" s="15">
        <v>15</v>
      </c>
      <c r="K97" s="15">
        <v>15</v>
      </c>
      <c r="L97" s="15">
        <v>1</v>
      </c>
      <c r="M97" s="73">
        <v>3.375</v>
      </c>
      <c r="N97" s="104">
        <v>4</v>
      </c>
      <c r="O97" s="57">
        <v>7000</v>
      </c>
      <c r="P97" s="58">
        <f t="shared" si="1"/>
        <v>28000</v>
      </c>
    </row>
    <row r="98" spans="1:16" ht="26.25" customHeight="1" x14ac:dyDescent="0.2">
      <c r="A98" s="100"/>
      <c r="B98" s="100"/>
      <c r="C98" s="65" t="s">
        <v>6129</v>
      </c>
      <c r="D98" s="70" t="s">
        <v>57</v>
      </c>
      <c r="E98" s="12">
        <v>44561</v>
      </c>
      <c r="F98" s="68" t="s">
        <v>58</v>
      </c>
      <c r="G98" s="12">
        <v>44567</v>
      </c>
      <c r="H98" s="69" t="s">
        <v>6172</v>
      </c>
      <c r="I98" s="15">
        <v>52</v>
      </c>
      <c r="J98" s="15">
        <v>28</v>
      </c>
      <c r="K98" s="15">
        <v>25</v>
      </c>
      <c r="L98" s="15">
        <v>7</v>
      </c>
      <c r="M98" s="73">
        <v>9.1</v>
      </c>
      <c r="N98" s="104">
        <v>9.1</v>
      </c>
      <c r="O98" s="57">
        <v>7000</v>
      </c>
      <c r="P98" s="58">
        <f t="shared" si="1"/>
        <v>63700</v>
      </c>
    </row>
    <row r="99" spans="1:16" ht="26.25" customHeight="1" x14ac:dyDescent="0.2">
      <c r="A99" s="100"/>
      <c r="B99" s="100"/>
      <c r="C99" s="65" t="s">
        <v>6130</v>
      </c>
      <c r="D99" s="70" t="s">
        <v>57</v>
      </c>
      <c r="E99" s="12">
        <v>44561</v>
      </c>
      <c r="F99" s="68" t="s">
        <v>58</v>
      </c>
      <c r="G99" s="12">
        <v>44567</v>
      </c>
      <c r="H99" s="69" t="s">
        <v>6172</v>
      </c>
      <c r="I99" s="15">
        <v>37</v>
      </c>
      <c r="J99" s="15">
        <v>30</v>
      </c>
      <c r="K99" s="15">
        <v>30</v>
      </c>
      <c r="L99" s="15">
        <v>3</v>
      </c>
      <c r="M99" s="73">
        <v>8.3249999999999993</v>
      </c>
      <c r="N99" s="104">
        <v>9</v>
      </c>
      <c r="O99" s="57">
        <v>7000</v>
      </c>
      <c r="P99" s="58">
        <f t="shared" si="1"/>
        <v>63000</v>
      </c>
    </row>
    <row r="100" spans="1:16" ht="26.25" customHeight="1" x14ac:dyDescent="0.2">
      <c r="A100" s="100"/>
      <c r="B100" s="100"/>
      <c r="C100" s="65" t="s">
        <v>6131</v>
      </c>
      <c r="D100" s="70" t="s">
        <v>57</v>
      </c>
      <c r="E100" s="12">
        <v>44561</v>
      </c>
      <c r="F100" s="68" t="s">
        <v>58</v>
      </c>
      <c r="G100" s="12">
        <v>44567</v>
      </c>
      <c r="H100" s="69" t="s">
        <v>6172</v>
      </c>
      <c r="I100" s="15">
        <v>39</v>
      </c>
      <c r="J100" s="15">
        <v>42</v>
      </c>
      <c r="K100" s="15">
        <v>15</v>
      </c>
      <c r="L100" s="15">
        <v>2</v>
      </c>
      <c r="M100" s="73">
        <v>6.1425000000000001</v>
      </c>
      <c r="N100" s="104">
        <v>6.1425000000000001</v>
      </c>
      <c r="O100" s="57">
        <v>7000</v>
      </c>
      <c r="P100" s="58">
        <f t="shared" si="1"/>
        <v>42997.5</v>
      </c>
    </row>
    <row r="101" spans="1:16" ht="26.25" customHeight="1" x14ac:dyDescent="0.2">
      <c r="A101" s="100"/>
      <c r="B101" s="100"/>
      <c r="C101" s="65" t="s">
        <v>6132</v>
      </c>
      <c r="D101" s="70" t="s">
        <v>57</v>
      </c>
      <c r="E101" s="12">
        <v>44561</v>
      </c>
      <c r="F101" s="68" t="s">
        <v>58</v>
      </c>
      <c r="G101" s="12">
        <v>44567</v>
      </c>
      <c r="H101" s="69" t="s">
        <v>6172</v>
      </c>
      <c r="I101" s="15">
        <v>50</v>
      </c>
      <c r="J101" s="15">
        <v>35</v>
      </c>
      <c r="K101" s="15">
        <v>23</v>
      </c>
      <c r="L101" s="15">
        <v>10</v>
      </c>
      <c r="M101" s="73">
        <v>10.0625</v>
      </c>
      <c r="N101" s="104">
        <v>10.0625</v>
      </c>
      <c r="O101" s="57">
        <v>7000</v>
      </c>
      <c r="P101" s="58">
        <f t="shared" si="1"/>
        <v>70437.5</v>
      </c>
    </row>
    <row r="102" spans="1:16" ht="26.25" customHeight="1" x14ac:dyDescent="0.2">
      <c r="A102" s="100"/>
      <c r="B102" s="100"/>
      <c r="C102" s="65" t="s">
        <v>6133</v>
      </c>
      <c r="D102" s="70" t="s">
        <v>57</v>
      </c>
      <c r="E102" s="12">
        <v>44561</v>
      </c>
      <c r="F102" s="68" t="s">
        <v>58</v>
      </c>
      <c r="G102" s="12">
        <v>44567</v>
      </c>
      <c r="H102" s="69" t="s">
        <v>6172</v>
      </c>
      <c r="I102" s="15">
        <v>87</v>
      </c>
      <c r="J102" s="15">
        <v>56</v>
      </c>
      <c r="K102" s="15">
        <v>2</v>
      </c>
      <c r="L102" s="15">
        <v>13</v>
      </c>
      <c r="M102" s="73">
        <v>2.4359999999999999</v>
      </c>
      <c r="N102" s="104">
        <v>14</v>
      </c>
      <c r="O102" s="57">
        <v>7000</v>
      </c>
      <c r="P102" s="58">
        <f t="shared" si="1"/>
        <v>98000</v>
      </c>
    </row>
    <row r="103" spans="1:16" ht="26.25" customHeight="1" x14ac:dyDescent="0.2">
      <c r="A103" s="100"/>
      <c r="B103" s="100"/>
      <c r="C103" s="65" t="s">
        <v>6134</v>
      </c>
      <c r="D103" s="70" t="s">
        <v>57</v>
      </c>
      <c r="E103" s="12">
        <v>44561</v>
      </c>
      <c r="F103" s="68" t="s">
        <v>58</v>
      </c>
      <c r="G103" s="12">
        <v>44567</v>
      </c>
      <c r="H103" s="69" t="s">
        <v>6172</v>
      </c>
      <c r="I103" s="15">
        <v>55</v>
      </c>
      <c r="J103" s="15">
        <v>35</v>
      </c>
      <c r="K103" s="15">
        <v>15</v>
      </c>
      <c r="L103" s="15">
        <v>5</v>
      </c>
      <c r="M103" s="73">
        <v>7.21875</v>
      </c>
      <c r="N103" s="104">
        <v>7.21875</v>
      </c>
      <c r="O103" s="57">
        <v>7000</v>
      </c>
      <c r="P103" s="58">
        <f t="shared" si="1"/>
        <v>50531.25</v>
      </c>
    </row>
    <row r="104" spans="1:16" ht="26.25" customHeight="1" x14ac:dyDescent="0.2">
      <c r="A104" s="100"/>
      <c r="B104" s="100"/>
      <c r="C104" s="65" t="s">
        <v>6135</v>
      </c>
      <c r="D104" s="70" t="s">
        <v>57</v>
      </c>
      <c r="E104" s="12">
        <v>44561</v>
      </c>
      <c r="F104" s="68" t="s">
        <v>58</v>
      </c>
      <c r="G104" s="12">
        <v>44567</v>
      </c>
      <c r="H104" s="69" t="s">
        <v>6172</v>
      </c>
      <c r="I104" s="15">
        <v>102</v>
      </c>
      <c r="J104" s="15">
        <v>30</v>
      </c>
      <c r="K104" s="15">
        <v>30</v>
      </c>
      <c r="L104" s="15">
        <v>6</v>
      </c>
      <c r="M104" s="73">
        <v>22.95</v>
      </c>
      <c r="N104" s="104">
        <v>22.95</v>
      </c>
      <c r="O104" s="57">
        <v>7000</v>
      </c>
      <c r="P104" s="58">
        <f t="shared" si="1"/>
        <v>160650</v>
      </c>
    </row>
    <row r="105" spans="1:16" ht="26.25" customHeight="1" x14ac:dyDescent="0.2">
      <c r="A105" s="100"/>
      <c r="B105" s="100"/>
      <c r="C105" s="65" t="s">
        <v>6136</v>
      </c>
      <c r="D105" s="70" t="s">
        <v>57</v>
      </c>
      <c r="E105" s="12">
        <v>44561</v>
      </c>
      <c r="F105" s="68" t="s">
        <v>58</v>
      </c>
      <c r="G105" s="12">
        <v>44567</v>
      </c>
      <c r="H105" s="69" t="s">
        <v>6172</v>
      </c>
      <c r="I105" s="15">
        <v>80</v>
      </c>
      <c r="J105" s="15">
        <v>30</v>
      </c>
      <c r="K105" s="15">
        <v>30</v>
      </c>
      <c r="L105" s="15">
        <v>9</v>
      </c>
      <c r="M105" s="73">
        <v>18</v>
      </c>
      <c r="N105" s="104">
        <v>18</v>
      </c>
      <c r="O105" s="57">
        <v>7000</v>
      </c>
      <c r="P105" s="58">
        <f t="shared" si="1"/>
        <v>126000</v>
      </c>
    </row>
    <row r="106" spans="1:16" ht="26.25" customHeight="1" x14ac:dyDescent="0.2">
      <c r="A106" s="100"/>
      <c r="B106" s="100"/>
      <c r="C106" s="65" t="s">
        <v>6137</v>
      </c>
      <c r="D106" s="70" t="s">
        <v>57</v>
      </c>
      <c r="E106" s="12">
        <v>44561</v>
      </c>
      <c r="F106" s="68" t="s">
        <v>58</v>
      </c>
      <c r="G106" s="12">
        <v>44567</v>
      </c>
      <c r="H106" s="69" t="s">
        <v>6172</v>
      </c>
      <c r="I106" s="15">
        <v>60</v>
      </c>
      <c r="J106" s="15">
        <v>42</v>
      </c>
      <c r="K106" s="15">
        <v>17</v>
      </c>
      <c r="L106" s="15">
        <v>5</v>
      </c>
      <c r="M106" s="73">
        <v>10.71</v>
      </c>
      <c r="N106" s="104">
        <v>10.71</v>
      </c>
      <c r="O106" s="57">
        <v>7000</v>
      </c>
      <c r="P106" s="58">
        <f t="shared" si="1"/>
        <v>74970</v>
      </c>
    </row>
    <row r="107" spans="1:16" ht="26.25" customHeight="1" x14ac:dyDescent="0.2">
      <c r="A107" s="100"/>
      <c r="B107" s="100"/>
      <c r="C107" s="65" t="s">
        <v>6138</v>
      </c>
      <c r="D107" s="70" t="s">
        <v>57</v>
      </c>
      <c r="E107" s="12">
        <v>44561</v>
      </c>
      <c r="F107" s="68" t="s">
        <v>58</v>
      </c>
      <c r="G107" s="12">
        <v>44567</v>
      </c>
      <c r="H107" s="69" t="s">
        <v>6172</v>
      </c>
      <c r="I107" s="15">
        <v>48</v>
      </c>
      <c r="J107" s="15">
        <v>28</v>
      </c>
      <c r="K107" s="15">
        <v>27</v>
      </c>
      <c r="L107" s="15">
        <v>2</v>
      </c>
      <c r="M107" s="73">
        <v>9.0719999999999992</v>
      </c>
      <c r="N107" s="104">
        <v>9.0719999999999992</v>
      </c>
      <c r="O107" s="57">
        <v>7000</v>
      </c>
      <c r="P107" s="58">
        <f t="shared" si="1"/>
        <v>63503.999999999993</v>
      </c>
    </row>
    <row r="108" spans="1:16" ht="26.25" customHeight="1" x14ac:dyDescent="0.2">
      <c r="A108" s="100"/>
      <c r="B108" s="100"/>
      <c r="C108" s="65" t="s">
        <v>6139</v>
      </c>
      <c r="D108" s="70" t="s">
        <v>57</v>
      </c>
      <c r="E108" s="12">
        <v>44561</v>
      </c>
      <c r="F108" s="68" t="s">
        <v>58</v>
      </c>
      <c r="G108" s="12">
        <v>44567</v>
      </c>
      <c r="H108" s="69" t="s">
        <v>6172</v>
      </c>
      <c r="I108" s="15">
        <v>57</v>
      </c>
      <c r="J108" s="15">
        <v>34</v>
      </c>
      <c r="K108" s="15">
        <v>16</v>
      </c>
      <c r="L108" s="15">
        <v>2</v>
      </c>
      <c r="M108" s="73">
        <v>7.7519999999999998</v>
      </c>
      <c r="N108" s="104">
        <v>7.7519999999999998</v>
      </c>
      <c r="O108" s="57">
        <v>7000</v>
      </c>
      <c r="P108" s="58">
        <f t="shared" si="1"/>
        <v>54264</v>
      </c>
    </row>
    <row r="109" spans="1:16" ht="26.25" customHeight="1" x14ac:dyDescent="0.2">
      <c r="A109" s="100"/>
      <c r="B109" s="100"/>
      <c r="C109" s="65" t="s">
        <v>6140</v>
      </c>
      <c r="D109" s="70" t="s">
        <v>57</v>
      </c>
      <c r="E109" s="12">
        <v>44561</v>
      </c>
      <c r="F109" s="68" t="s">
        <v>58</v>
      </c>
      <c r="G109" s="12">
        <v>44567</v>
      </c>
      <c r="H109" s="69" t="s">
        <v>6172</v>
      </c>
      <c r="I109" s="15">
        <v>78</v>
      </c>
      <c r="J109" s="15">
        <v>53</v>
      </c>
      <c r="K109" s="15">
        <v>32</v>
      </c>
      <c r="L109" s="15">
        <v>9</v>
      </c>
      <c r="M109" s="73">
        <v>33.072000000000003</v>
      </c>
      <c r="N109" s="104">
        <v>33.072000000000003</v>
      </c>
      <c r="O109" s="57">
        <v>7000</v>
      </c>
      <c r="P109" s="58">
        <f t="shared" si="1"/>
        <v>231504.00000000003</v>
      </c>
    </row>
    <row r="110" spans="1:16" ht="26.25" customHeight="1" x14ac:dyDescent="0.2">
      <c r="A110" s="100"/>
      <c r="B110" s="100"/>
      <c r="C110" s="65" t="s">
        <v>6141</v>
      </c>
      <c r="D110" s="70" t="s">
        <v>57</v>
      </c>
      <c r="E110" s="12">
        <v>44561</v>
      </c>
      <c r="F110" s="68" t="s">
        <v>58</v>
      </c>
      <c r="G110" s="12">
        <v>44567</v>
      </c>
      <c r="H110" s="69" t="s">
        <v>6172</v>
      </c>
      <c r="I110" s="15">
        <v>42</v>
      </c>
      <c r="J110" s="15">
        <v>47</v>
      </c>
      <c r="K110" s="15">
        <v>16</v>
      </c>
      <c r="L110" s="15">
        <v>4</v>
      </c>
      <c r="M110" s="73">
        <v>7.8959999999999999</v>
      </c>
      <c r="N110" s="104">
        <v>7.8959999999999999</v>
      </c>
      <c r="O110" s="57">
        <v>7000</v>
      </c>
      <c r="P110" s="58">
        <f t="shared" si="1"/>
        <v>55272</v>
      </c>
    </row>
    <row r="111" spans="1:16" ht="26.25" customHeight="1" x14ac:dyDescent="0.2">
      <c r="A111" s="100"/>
      <c r="B111" s="100"/>
      <c r="C111" s="65" t="s">
        <v>6142</v>
      </c>
      <c r="D111" s="70" t="s">
        <v>57</v>
      </c>
      <c r="E111" s="12">
        <v>44561</v>
      </c>
      <c r="F111" s="68" t="s">
        <v>58</v>
      </c>
      <c r="G111" s="12">
        <v>44567</v>
      </c>
      <c r="H111" s="69" t="s">
        <v>6172</v>
      </c>
      <c r="I111" s="15">
        <v>52</v>
      </c>
      <c r="J111" s="15">
        <v>37</v>
      </c>
      <c r="K111" s="15">
        <v>23</v>
      </c>
      <c r="L111" s="15">
        <v>2</v>
      </c>
      <c r="M111" s="73">
        <v>11.063000000000001</v>
      </c>
      <c r="N111" s="104">
        <v>11.063000000000001</v>
      </c>
      <c r="O111" s="57">
        <v>7000</v>
      </c>
      <c r="P111" s="58">
        <f t="shared" si="1"/>
        <v>77441</v>
      </c>
    </row>
    <row r="112" spans="1:16" ht="26.25" customHeight="1" x14ac:dyDescent="0.2">
      <c r="A112" s="100"/>
      <c r="B112" s="101"/>
      <c r="C112" s="65" t="s">
        <v>6143</v>
      </c>
      <c r="D112" s="70" t="s">
        <v>57</v>
      </c>
      <c r="E112" s="12">
        <v>44561</v>
      </c>
      <c r="F112" s="68" t="s">
        <v>58</v>
      </c>
      <c r="G112" s="12">
        <v>44567</v>
      </c>
      <c r="H112" s="69" t="s">
        <v>6172</v>
      </c>
      <c r="I112" s="15">
        <v>65</v>
      </c>
      <c r="J112" s="15">
        <v>65</v>
      </c>
      <c r="K112" s="15">
        <v>8</v>
      </c>
      <c r="L112" s="15">
        <v>3</v>
      </c>
      <c r="M112" s="73">
        <v>8.4499999999999993</v>
      </c>
      <c r="N112" s="104">
        <v>9</v>
      </c>
      <c r="O112" s="57">
        <v>7000</v>
      </c>
      <c r="P112" s="58">
        <f t="shared" si="1"/>
        <v>63000</v>
      </c>
    </row>
    <row r="113" spans="1:16" ht="26.25" customHeight="1" x14ac:dyDescent="0.2">
      <c r="A113" s="100"/>
      <c r="B113" s="90" t="s">
        <v>6144</v>
      </c>
      <c r="C113" s="65" t="s">
        <v>6031</v>
      </c>
      <c r="D113" s="70" t="s">
        <v>57</v>
      </c>
      <c r="E113" s="12">
        <v>44561</v>
      </c>
      <c r="F113" s="68" t="s">
        <v>58</v>
      </c>
      <c r="G113" s="12">
        <v>44567</v>
      </c>
      <c r="H113" s="69" t="s">
        <v>6172</v>
      </c>
      <c r="I113" s="15">
        <v>42</v>
      </c>
      <c r="J113" s="15">
        <v>38</v>
      </c>
      <c r="K113" s="15">
        <v>17</v>
      </c>
      <c r="L113" s="15">
        <v>3</v>
      </c>
      <c r="M113" s="73">
        <v>6.7830000000000004</v>
      </c>
      <c r="N113" s="104">
        <v>6.7830000000000004</v>
      </c>
      <c r="O113" s="57">
        <v>7000</v>
      </c>
      <c r="P113" s="58">
        <f t="shared" si="1"/>
        <v>47481</v>
      </c>
    </row>
    <row r="114" spans="1:16" ht="26.25" customHeight="1" x14ac:dyDescent="0.2">
      <c r="A114" s="100"/>
      <c r="B114" s="100" t="s">
        <v>6145</v>
      </c>
      <c r="C114" s="65" t="s">
        <v>6146</v>
      </c>
      <c r="D114" s="70" t="s">
        <v>57</v>
      </c>
      <c r="E114" s="12">
        <v>44561</v>
      </c>
      <c r="F114" s="68" t="s">
        <v>58</v>
      </c>
      <c r="G114" s="12">
        <v>44567</v>
      </c>
      <c r="H114" s="69" t="s">
        <v>6172</v>
      </c>
      <c r="I114" s="15">
        <v>62</v>
      </c>
      <c r="J114" s="15">
        <v>48</v>
      </c>
      <c r="K114" s="15">
        <v>31</v>
      </c>
      <c r="L114" s="15">
        <v>17</v>
      </c>
      <c r="M114" s="73">
        <v>23.064</v>
      </c>
      <c r="N114" s="104">
        <v>23.064</v>
      </c>
      <c r="O114" s="57">
        <v>7000</v>
      </c>
      <c r="P114" s="58">
        <f t="shared" si="1"/>
        <v>161448</v>
      </c>
    </row>
    <row r="115" spans="1:16" ht="26.25" customHeight="1" x14ac:dyDescent="0.2">
      <c r="A115" s="100"/>
      <c r="B115" s="100"/>
      <c r="C115" s="65" t="s">
        <v>6147</v>
      </c>
      <c r="D115" s="70" t="s">
        <v>57</v>
      </c>
      <c r="E115" s="12">
        <v>44561</v>
      </c>
      <c r="F115" s="68" t="s">
        <v>58</v>
      </c>
      <c r="G115" s="12">
        <v>44567</v>
      </c>
      <c r="H115" s="69" t="s">
        <v>6172</v>
      </c>
      <c r="I115" s="15">
        <v>70</v>
      </c>
      <c r="J115" s="15">
        <v>57</v>
      </c>
      <c r="K115" s="15">
        <v>20</v>
      </c>
      <c r="L115" s="15">
        <v>7</v>
      </c>
      <c r="M115" s="73">
        <v>19.95</v>
      </c>
      <c r="N115" s="104">
        <v>19.95</v>
      </c>
      <c r="O115" s="57">
        <v>7000</v>
      </c>
      <c r="P115" s="58">
        <f t="shared" si="1"/>
        <v>139650</v>
      </c>
    </row>
    <row r="116" spans="1:16" ht="26.25" customHeight="1" x14ac:dyDescent="0.2">
      <c r="A116" s="100"/>
      <c r="B116" s="100"/>
      <c r="C116" s="65" t="s">
        <v>6148</v>
      </c>
      <c r="D116" s="70" t="s">
        <v>57</v>
      </c>
      <c r="E116" s="12">
        <v>44561</v>
      </c>
      <c r="F116" s="68" t="s">
        <v>58</v>
      </c>
      <c r="G116" s="12">
        <v>44567</v>
      </c>
      <c r="H116" s="69" t="s">
        <v>6172</v>
      </c>
      <c r="I116" s="15">
        <v>27</v>
      </c>
      <c r="J116" s="15">
        <v>18</v>
      </c>
      <c r="K116" s="15">
        <v>15</v>
      </c>
      <c r="L116" s="15">
        <v>1</v>
      </c>
      <c r="M116" s="73">
        <v>1.8225</v>
      </c>
      <c r="N116" s="104">
        <v>1.8225</v>
      </c>
      <c r="O116" s="57">
        <v>7000</v>
      </c>
      <c r="P116" s="58">
        <f t="shared" si="1"/>
        <v>12757.5</v>
      </c>
    </row>
    <row r="117" spans="1:16" ht="26.25" customHeight="1" x14ac:dyDescent="0.2">
      <c r="A117" s="100"/>
      <c r="B117" s="100"/>
      <c r="C117" s="65" t="s">
        <v>6149</v>
      </c>
      <c r="D117" s="70" t="s">
        <v>57</v>
      </c>
      <c r="E117" s="12">
        <v>44561</v>
      </c>
      <c r="F117" s="68" t="s">
        <v>58</v>
      </c>
      <c r="G117" s="12">
        <v>44567</v>
      </c>
      <c r="H117" s="69" t="s">
        <v>6172</v>
      </c>
      <c r="I117" s="15">
        <v>18</v>
      </c>
      <c r="J117" s="15">
        <v>18</v>
      </c>
      <c r="K117" s="15">
        <v>8</v>
      </c>
      <c r="L117" s="15">
        <v>1</v>
      </c>
      <c r="M117" s="73">
        <v>0.64800000000000002</v>
      </c>
      <c r="N117" s="104">
        <v>1</v>
      </c>
      <c r="O117" s="57">
        <v>7000</v>
      </c>
      <c r="P117" s="58">
        <f t="shared" si="1"/>
        <v>7000</v>
      </c>
    </row>
    <row r="118" spans="1:16" ht="26.25" customHeight="1" x14ac:dyDescent="0.2">
      <c r="A118" s="100"/>
      <c r="B118" s="101"/>
      <c r="C118" s="65" t="s">
        <v>6150</v>
      </c>
      <c r="D118" s="70" t="s">
        <v>57</v>
      </c>
      <c r="E118" s="12">
        <v>44561</v>
      </c>
      <c r="F118" s="68" t="s">
        <v>58</v>
      </c>
      <c r="G118" s="12">
        <v>44567</v>
      </c>
      <c r="H118" s="69" t="s">
        <v>6172</v>
      </c>
      <c r="I118" s="15">
        <v>70</v>
      </c>
      <c r="J118" s="15">
        <v>34</v>
      </c>
      <c r="K118" s="15">
        <v>34</v>
      </c>
      <c r="L118" s="15">
        <v>12</v>
      </c>
      <c r="M118" s="73">
        <v>20.23</v>
      </c>
      <c r="N118" s="104">
        <v>20.23</v>
      </c>
      <c r="O118" s="57">
        <v>7000</v>
      </c>
      <c r="P118" s="58">
        <f t="shared" si="1"/>
        <v>141610</v>
      </c>
    </row>
    <row r="119" spans="1:16" ht="26.25" customHeight="1" x14ac:dyDescent="0.2">
      <c r="A119" s="100"/>
      <c r="B119" s="100" t="s">
        <v>6151</v>
      </c>
      <c r="C119" s="65" t="s">
        <v>6152</v>
      </c>
      <c r="D119" s="70" t="s">
        <v>57</v>
      </c>
      <c r="E119" s="12">
        <v>44561</v>
      </c>
      <c r="F119" s="68" t="s">
        <v>58</v>
      </c>
      <c r="G119" s="12">
        <v>44567</v>
      </c>
      <c r="H119" s="69" t="s">
        <v>6172</v>
      </c>
      <c r="I119" s="15">
        <v>37</v>
      </c>
      <c r="J119" s="15">
        <v>37</v>
      </c>
      <c r="K119" s="15">
        <v>75</v>
      </c>
      <c r="L119" s="15">
        <v>9</v>
      </c>
      <c r="M119" s="73">
        <v>25.668749999999999</v>
      </c>
      <c r="N119" s="104">
        <v>25.668749999999999</v>
      </c>
      <c r="O119" s="57">
        <v>7000</v>
      </c>
      <c r="P119" s="58">
        <f t="shared" si="1"/>
        <v>179681.25</v>
      </c>
    </row>
    <row r="120" spans="1:16" ht="26.25" customHeight="1" x14ac:dyDescent="0.2">
      <c r="A120" s="100"/>
      <c r="B120" s="100"/>
      <c r="C120" s="65" t="s">
        <v>6153</v>
      </c>
      <c r="D120" s="70" t="s">
        <v>57</v>
      </c>
      <c r="E120" s="12">
        <v>44561</v>
      </c>
      <c r="F120" s="68" t="s">
        <v>58</v>
      </c>
      <c r="G120" s="12">
        <v>44567</v>
      </c>
      <c r="H120" s="69" t="s">
        <v>6172</v>
      </c>
      <c r="I120" s="15">
        <v>43</v>
      </c>
      <c r="J120" s="15">
        <v>34</v>
      </c>
      <c r="K120" s="15">
        <v>19</v>
      </c>
      <c r="L120" s="15">
        <v>9</v>
      </c>
      <c r="M120" s="73">
        <v>6.9444999999999997</v>
      </c>
      <c r="N120" s="104">
        <v>9</v>
      </c>
      <c r="O120" s="57">
        <v>7000</v>
      </c>
      <c r="P120" s="58">
        <f t="shared" si="1"/>
        <v>63000</v>
      </c>
    </row>
    <row r="121" spans="1:16" ht="26.25" customHeight="1" x14ac:dyDescent="0.2">
      <c r="A121" s="100"/>
      <c r="B121" s="100"/>
      <c r="C121" s="65" t="s">
        <v>6154</v>
      </c>
      <c r="D121" s="70" t="s">
        <v>57</v>
      </c>
      <c r="E121" s="12">
        <v>44561</v>
      </c>
      <c r="F121" s="68" t="s">
        <v>58</v>
      </c>
      <c r="G121" s="12">
        <v>44567</v>
      </c>
      <c r="H121" s="69" t="s">
        <v>6172</v>
      </c>
      <c r="I121" s="15">
        <v>43</v>
      </c>
      <c r="J121" s="15">
        <v>34</v>
      </c>
      <c r="K121" s="15">
        <v>19</v>
      </c>
      <c r="L121" s="15">
        <v>9</v>
      </c>
      <c r="M121" s="73">
        <v>6.9444999999999997</v>
      </c>
      <c r="N121" s="104">
        <v>9</v>
      </c>
      <c r="O121" s="57">
        <v>7000</v>
      </c>
      <c r="P121" s="58">
        <f t="shared" si="1"/>
        <v>63000</v>
      </c>
    </row>
    <row r="122" spans="1:16" ht="26.25" customHeight="1" x14ac:dyDescent="0.2">
      <c r="A122" s="100"/>
      <c r="B122" s="100"/>
      <c r="C122" s="65" t="s">
        <v>6155</v>
      </c>
      <c r="D122" s="70" t="s">
        <v>57</v>
      </c>
      <c r="E122" s="12">
        <v>44561</v>
      </c>
      <c r="F122" s="68" t="s">
        <v>58</v>
      </c>
      <c r="G122" s="12">
        <v>44567</v>
      </c>
      <c r="H122" s="69" t="s">
        <v>6172</v>
      </c>
      <c r="I122" s="15">
        <v>43</v>
      </c>
      <c r="J122" s="15">
        <v>34</v>
      </c>
      <c r="K122" s="15">
        <v>19</v>
      </c>
      <c r="L122" s="15">
        <v>9</v>
      </c>
      <c r="M122" s="73">
        <v>6.9444999999999997</v>
      </c>
      <c r="N122" s="104">
        <v>9</v>
      </c>
      <c r="O122" s="57">
        <v>7000</v>
      </c>
      <c r="P122" s="58">
        <f t="shared" si="1"/>
        <v>63000</v>
      </c>
    </row>
    <row r="123" spans="1:16" ht="26.25" customHeight="1" x14ac:dyDescent="0.2">
      <c r="A123" s="100"/>
      <c r="B123" s="100"/>
      <c r="C123" s="65" t="s">
        <v>6156</v>
      </c>
      <c r="D123" s="70" t="s">
        <v>57</v>
      </c>
      <c r="E123" s="12">
        <v>44561</v>
      </c>
      <c r="F123" s="68" t="s">
        <v>58</v>
      </c>
      <c r="G123" s="12">
        <v>44567</v>
      </c>
      <c r="H123" s="69" t="s">
        <v>6172</v>
      </c>
      <c r="I123" s="15">
        <v>43</v>
      </c>
      <c r="J123" s="15">
        <v>34</v>
      </c>
      <c r="K123" s="15">
        <v>19</v>
      </c>
      <c r="L123" s="15">
        <v>9</v>
      </c>
      <c r="M123" s="73">
        <v>6.9444999999999997</v>
      </c>
      <c r="N123" s="104">
        <v>9</v>
      </c>
      <c r="O123" s="57">
        <v>7000</v>
      </c>
      <c r="P123" s="58">
        <f t="shared" si="1"/>
        <v>63000</v>
      </c>
    </row>
    <row r="124" spans="1:16" ht="26.25" customHeight="1" x14ac:dyDescent="0.2">
      <c r="A124" s="100"/>
      <c r="B124" s="100"/>
      <c r="C124" s="65" t="s">
        <v>6157</v>
      </c>
      <c r="D124" s="70" t="s">
        <v>57</v>
      </c>
      <c r="E124" s="12">
        <v>44561</v>
      </c>
      <c r="F124" s="68" t="s">
        <v>58</v>
      </c>
      <c r="G124" s="12">
        <v>44567</v>
      </c>
      <c r="H124" s="69" t="s">
        <v>6172</v>
      </c>
      <c r="I124" s="15">
        <v>43</v>
      </c>
      <c r="J124" s="15">
        <v>34</v>
      </c>
      <c r="K124" s="15">
        <v>19</v>
      </c>
      <c r="L124" s="15">
        <v>9</v>
      </c>
      <c r="M124" s="73">
        <v>6.9444999999999997</v>
      </c>
      <c r="N124" s="104">
        <v>9</v>
      </c>
      <c r="O124" s="57">
        <v>7000</v>
      </c>
      <c r="P124" s="58">
        <f t="shared" si="1"/>
        <v>63000</v>
      </c>
    </row>
    <row r="125" spans="1:16" ht="26.25" customHeight="1" x14ac:dyDescent="0.2">
      <c r="A125" s="100"/>
      <c r="B125" s="100"/>
      <c r="C125" s="65" t="s">
        <v>6158</v>
      </c>
      <c r="D125" s="70" t="s">
        <v>57</v>
      </c>
      <c r="E125" s="12">
        <v>44561</v>
      </c>
      <c r="F125" s="68" t="s">
        <v>58</v>
      </c>
      <c r="G125" s="12">
        <v>44567</v>
      </c>
      <c r="H125" s="69" t="s">
        <v>6172</v>
      </c>
      <c r="I125" s="15">
        <v>35</v>
      </c>
      <c r="J125" s="15">
        <v>35</v>
      </c>
      <c r="K125" s="15">
        <v>10</v>
      </c>
      <c r="L125" s="15">
        <v>12</v>
      </c>
      <c r="M125" s="73">
        <v>3.0625</v>
      </c>
      <c r="N125" s="104">
        <v>12</v>
      </c>
      <c r="O125" s="57">
        <v>7000</v>
      </c>
      <c r="P125" s="58">
        <f t="shared" si="1"/>
        <v>84000</v>
      </c>
    </row>
    <row r="126" spans="1:16" ht="26.25" customHeight="1" x14ac:dyDescent="0.2">
      <c r="A126" s="100"/>
      <c r="B126" s="100"/>
      <c r="C126" s="65" t="s">
        <v>6159</v>
      </c>
      <c r="D126" s="70" t="s">
        <v>57</v>
      </c>
      <c r="E126" s="12">
        <v>44561</v>
      </c>
      <c r="F126" s="68" t="s">
        <v>58</v>
      </c>
      <c r="G126" s="12">
        <v>44567</v>
      </c>
      <c r="H126" s="69" t="s">
        <v>6172</v>
      </c>
      <c r="I126" s="15">
        <v>43</v>
      </c>
      <c r="J126" s="15">
        <v>34</v>
      </c>
      <c r="K126" s="15">
        <v>19</v>
      </c>
      <c r="L126" s="15">
        <v>9</v>
      </c>
      <c r="M126" s="73">
        <v>6.9444999999999997</v>
      </c>
      <c r="N126" s="104">
        <v>9</v>
      </c>
      <c r="O126" s="57">
        <v>7000</v>
      </c>
      <c r="P126" s="58">
        <f t="shared" si="1"/>
        <v>63000</v>
      </c>
    </row>
    <row r="127" spans="1:16" ht="26.25" customHeight="1" x14ac:dyDescent="0.2">
      <c r="A127" s="100"/>
      <c r="B127" s="100"/>
      <c r="C127" s="65" t="s">
        <v>6160</v>
      </c>
      <c r="D127" s="70" t="s">
        <v>57</v>
      </c>
      <c r="E127" s="12">
        <v>44561</v>
      </c>
      <c r="F127" s="68" t="s">
        <v>58</v>
      </c>
      <c r="G127" s="12">
        <v>44567</v>
      </c>
      <c r="H127" s="69" t="s">
        <v>6172</v>
      </c>
      <c r="I127" s="15">
        <v>37</v>
      </c>
      <c r="J127" s="15">
        <v>37</v>
      </c>
      <c r="K127" s="15">
        <v>15</v>
      </c>
      <c r="L127" s="15">
        <v>10</v>
      </c>
      <c r="M127" s="73">
        <v>5.13375</v>
      </c>
      <c r="N127" s="104">
        <v>10</v>
      </c>
      <c r="O127" s="57">
        <v>7000</v>
      </c>
      <c r="P127" s="58">
        <f t="shared" si="1"/>
        <v>70000</v>
      </c>
    </row>
    <row r="128" spans="1:16" ht="26.25" customHeight="1" x14ac:dyDescent="0.2">
      <c r="A128" s="100"/>
      <c r="B128" s="100"/>
      <c r="C128" s="65" t="s">
        <v>6161</v>
      </c>
      <c r="D128" s="70" t="s">
        <v>57</v>
      </c>
      <c r="E128" s="12">
        <v>44561</v>
      </c>
      <c r="F128" s="68" t="s">
        <v>58</v>
      </c>
      <c r="G128" s="12">
        <v>44567</v>
      </c>
      <c r="H128" s="69" t="s">
        <v>6172</v>
      </c>
      <c r="I128" s="15">
        <v>43</v>
      </c>
      <c r="J128" s="15">
        <v>34</v>
      </c>
      <c r="K128" s="15">
        <v>19</v>
      </c>
      <c r="L128" s="15">
        <v>7</v>
      </c>
      <c r="M128" s="73">
        <v>6.9444999999999997</v>
      </c>
      <c r="N128" s="104">
        <v>7</v>
      </c>
      <c r="O128" s="57">
        <v>7000</v>
      </c>
      <c r="P128" s="58">
        <f t="shared" si="1"/>
        <v>49000</v>
      </c>
    </row>
    <row r="129" spans="1:16" ht="26.25" customHeight="1" x14ac:dyDescent="0.2">
      <c r="A129" s="100"/>
      <c r="B129" s="100"/>
      <c r="C129" s="65" t="s">
        <v>6162</v>
      </c>
      <c r="D129" s="70" t="s">
        <v>57</v>
      </c>
      <c r="E129" s="12">
        <v>44561</v>
      </c>
      <c r="F129" s="68" t="s">
        <v>58</v>
      </c>
      <c r="G129" s="12">
        <v>44567</v>
      </c>
      <c r="H129" s="69" t="s">
        <v>6172</v>
      </c>
      <c r="I129" s="15">
        <v>43</v>
      </c>
      <c r="J129" s="15">
        <v>34</v>
      </c>
      <c r="K129" s="15">
        <v>19</v>
      </c>
      <c r="L129" s="15">
        <v>9</v>
      </c>
      <c r="M129" s="73">
        <v>6.9444999999999997</v>
      </c>
      <c r="N129" s="104">
        <v>9</v>
      </c>
      <c r="O129" s="57">
        <v>7000</v>
      </c>
      <c r="P129" s="58">
        <f t="shared" si="1"/>
        <v>63000</v>
      </c>
    </row>
    <row r="130" spans="1:16" ht="26.25" customHeight="1" x14ac:dyDescent="0.2">
      <c r="A130" s="100"/>
      <c r="B130" s="100"/>
      <c r="C130" s="65" t="s">
        <v>6163</v>
      </c>
      <c r="D130" s="70" t="s">
        <v>57</v>
      </c>
      <c r="E130" s="12">
        <v>44561</v>
      </c>
      <c r="F130" s="68" t="s">
        <v>58</v>
      </c>
      <c r="G130" s="12">
        <v>44567</v>
      </c>
      <c r="H130" s="69" t="s">
        <v>6172</v>
      </c>
      <c r="I130" s="15">
        <v>43</v>
      </c>
      <c r="J130" s="15">
        <v>34</v>
      </c>
      <c r="K130" s="15">
        <v>19</v>
      </c>
      <c r="L130" s="15">
        <v>9</v>
      </c>
      <c r="M130" s="73">
        <v>6.9444999999999997</v>
      </c>
      <c r="N130" s="104">
        <v>9</v>
      </c>
      <c r="O130" s="57">
        <v>7000</v>
      </c>
      <c r="P130" s="58">
        <f t="shared" si="1"/>
        <v>63000</v>
      </c>
    </row>
    <row r="131" spans="1:16" ht="26.25" customHeight="1" x14ac:dyDescent="0.2">
      <c r="A131" s="100"/>
      <c r="B131" s="100"/>
      <c r="C131" s="65" t="s">
        <v>6164</v>
      </c>
      <c r="D131" s="70" t="s">
        <v>57</v>
      </c>
      <c r="E131" s="12">
        <v>44561</v>
      </c>
      <c r="F131" s="68" t="s">
        <v>58</v>
      </c>
      <c r="G131" s="12">
        <v>44567</v>
      </c>
      <c r="H131" s="69" t="s">
        <v>6172</v>
      </c>
      <c r="I131" s="15">
        <v>43</v>
      </c>
      <c r="J131" s="15">
        <v>34</v>
      </c>
      <c r="K131" s="15">
        <v>19</v>
      </c>
      <c r="L131" s="15">
        <v>9</v>
      </c>
      <c r="M131" s="73">
        <v>6.9444999999999997</v>
      </c>
      <c r="N131" s="104">
        <v>9</v>
      </c>
      <c r="O131" s="57">
        <v>7000</v>
      </c>
      <c r="P131" s="58">
        <f t="shared" ref="P131:P138" si="2">N131*O131</f>
        <v>63000</v>
      </c>
    </row>
    <row r="132" spans="1:16" ht="26.25" customHeight="1" x14ac:dyDescent="0.2">
      <c r="A132" s="100"/>
      <c r="B132" s="100"/>
      <c r="C132" s="65" t="s">
        <v>6165</v>
      </c>
      <c r="D132" s="70" t="s">
        <v>57</v>
      </c>
      <c r="E132" s="12">
        <v>44561</v>
      </c>
      <c r="F132" s="68" t="s">
        <v>58</v>
      </c>
      <c r="G132" s="12">
        <v>44567</v>
      </c>
      <c r="H132" s="69" t="s">
        <v>6172</v>
      </c>
      <c r="I132" s="15">
        <v>43</v>
      </c>
      <c r="J132" s="15">
        <v>34</v>
      </c>
      <c r="K132" s="15">
        <v>19</v>
      </c>
      <c r="L132" s="15">
        <v>7</v>
      </c>
      <c r="M132" s="73">
        <v>6.9444999999999997</v>
      </c>
      <c r="N132" s="104">
        <v>7</v>
      </c>
      <c r="O132" s="57">
        <v>7000</v>
      </c>
      <c r="P132" s="58">
        <f t="shared" si="2"/>
        <v>49000</v>
      </c>
    </row>
    <row r="133" spans="1:16" ht="26.25" customHeight="1" x14ac:dyDescent="0.2">
      <c r="A133" s="100"/>
      <c r="B133" s="100"/>
      <c r="C133" s="65" t="s">
        <v>6166</v>
      </c>
      <c r="D133" s="70" t="s">
        <v>57</v>
      </c>
      <c r="E133" s="12">
        <v>44561</v>
      </c>
      <c r="F133" s="68" t="s">
        <v>58</v>
      </c>
      <c r="G133" s="12">
        <v>44567</v>
      </c>
      <c r="H133" s="69" t="s">
        <v>6172</v>
      </c>
      <c r="I133" s="15">
        <v>34</v>
      </c>
      <c r="J133" s="15">
        <v>22</v>
      </c>
      <c r="K133" s="15">
        <v>18</v>
      </c>
      <c r="L133" s="15">
        <v>7</v>
      </c>
      <c r="M133" s="73">
        <v>3.3660000000000001</v>
      </c>
      <c r="N133" s="104">
        <v>8</v>
      </c>
      <c r="O133" s="57">
        <v>7000</v>
      </c>
      <c r="P133" s="58">
        <f t="shared" si="2"/>
        <v>56000</v>
      </c>
    </row>
    <row r="134" spans="1:16" ht="26.25" customHeight="1" x14ac:dyDescent="0.2">
      <c r="A134" s="100"/>
      <c r="B134" s="100"/>
      <c r="C134" s="65" t="s">
        <v>6167</v>
      </c>
      <c r="D134" s="70" t="s">
        <v>57</v>
      </c>
      <c r="E134" s="12">
        <v>44561</v>
      </c>
      <c r="F134" s="68" t="s">
        <v>58</v>
      </c>
      <c r="G134" s="12">
        <v>44567</v>
      </c>
      <c r="H134" s="69" t="s">
        <v>6172</v>
      </c>
      <c r="I134" s="15">
        <v>64</v>
      </c>
      <c r="J134" s="15">
        <v>37</v>
      </c>
      <c r="K134" s="15">
        <v>30</v>
      </c>
      <c r="L134" s="15">
        <v>13</v>
      </c>
      <c r="M134" s="73">
        <v>17.760000000000002</v>
      </c>
      <c r="N134" s="104">
        <v>17.760000000000002</v>
      </c>
      <c r="O134" s="57">
        <v>7000</v>
      </c>
      <c r="P134" s="58">
        <f t="shared" si="2"/>
        <v>124320.00000000001</v>
      </c>
    </row>
    <row r="135" spans="1:16" ht="26.25" customHeight="1" x14ac:dyDescent="0.2">
      <c r="A135" s="100"/>
      <c r="B135" s="100"/>
      <c r="C135" s="65" t="s">
        <v>6168</v>
      </c>
      <c r="D135" s="70" t="s">
        <v>57</v>
      </c>
      <c r="E135" s="12">
        <v>44561</v>
      </c>
      <c r="F135" s="68" t="s">
        <v>58</v>
      </c>
      <c r="G135" s="12">
        <v>44567</v>
      </c>
      <c r="H135" s="69" t="s">
        <v>6172</v>
      </c>
      <c r="I135" s="15">
        <v>37</v>
      </c>
      <c r="J135" s="15">
        <v>37</v>
      </c>
      <c r="K135" s="15">
        <v>15</v>
      </c>
      <c r="L135" s="15">
        <v>10</v>
      </c>
      <c r="M135" s="73">
        <v>5.13375</v>
      </c>
      <c r="N135" s="104">
        <v>10</v>
      </c>
      <c r="O135" s="57">
        <v>7000</v>
      </c>
      <c r="P135" s="58">
        <f t="shared" si="2"/>
        <v>70000</v>
      </c>
    </row>
    <row r="136" spans="1:16" ht="26.25" customHeight="1" x14ac:dyDescent="0.2">
      <c r="A136" s="100"/>
      <c r="B136" s="100"/>
      <c r="C136" s="65" t="s">
        <v>6169</v>
      </c>
      <c r="D136" s="70" t="s">
        <v>57</v>
      </c>
      <c r="E136" s="12">
        <v>44561</v>
      </c>
      <c r="F136" s="68" t="s">
        <v>58</v>
      </c>
      <c r="G136" s="12">
        <v>44567</v>
      </c>
      <c r="H136" s="69" t="s">
        <v>6172</v>
      </c>
      <c r="I136" s="15">
        <v>33</v>
      </c>
      <c r="J136" s="15">
        <v>24</v>
      </c>
      <c r="K136" s="15">
        <v>19</v>
      </c>
      <c r="L136" s="15">
        <v>7</v>
      </c>
      <c r="M136" s="73">
        <v>3.762</v>
      </c>
      <c r="N136" s="104">
        <v>7</v>
      </c>
      <c r="O136" s="57">
        <v>7000</v>
      </c>
      <c r="P136" s="58">
        <f t="shared" si="2"/>
        <v>49000</v>
      </c>
    </row>
    <row r="137" spans="1:16" ht="26.25" customHeight="1" x14ac:dyDescent="0.2">
      <c r="A137" s="100"/>
      <c r="B137" s="100"/>
      <c r="C137" s="65" t="s">
        <v>6170</v>
      </c>
      <c r="D137" s="70" t="s">
        <v>57</v>
      </c>
      <c r="E137" s="12">
        <v>44561</v>
      </c>
      <c r="F137" s="68" t="s">
        <v>58</v>
      </c>
      <c r="G137" s="12">
        <v>44567</v>
      </c>
      <c r="H137" s="69" t="s">
        <v>6172</v>
      </c>
      <c r="I137" s="15">
        <v>33</v>
      </c>
      <c r="J137" s="15">
        <v>24</v>
      </c>
      <c r="K137" s="15">
        <v>19</v>
      </c>
      <c r="L137" s="15">
        <v>7</v>
      </c>
      <c r="M137" s="73">
        <v>3.762</v>
      </c>
      <c r="N137" s="104">
        <v>7</v>
      </c>
      <c r="O137" s="57">
        <v>7000</v>
      </c>
      <c r="P137" s="58">
        <f t="shared" si="2"/>
        <v>49000</v>
      </c>
    </row>
    <row r="138" spans="1:16" ht="26.25" customHeight="1" x14ac:dyDescent="0.2">
      <c r="A138" s="100"/>
      <c r="B138" s="100"/>
      <c r="C138" s="65" t="s">
        <v>6171</v>
      </c>
      <c r="D138" s="70" t="s">
        <v>57</v>
      </c>
      <c r="E138" s="12">
        <v>44561</v>
      </c>
      <c r="F138" s="68" t="s">
        <v>58</v>
      </c>
      <c r="G138" s="12">
        <v>44567</v>
      </c>
      <c r="H138" s="69" t="s">
        <v>6172</v>
      </c>
      <c r="I138" s="15">
        <v>37</v>
      </c>
      <c r="J138" s="15">
        <v>37</v>
      </c>
      <c r="K138" s="15">
        <v>16</v>
      </c>
      <c r="L138" s="15">
        <v>12</v>
      </c>
      <c r="M138" s="73">
        <v>5.476</v>
      </c>
      <c r="N138" s="104">
        <v>13</v>
      </c>
      <c r="O138" s="57">
        <v>7000</v>
      </c>
      <c r="P138" s="58">
        <f t="shared" si="2"/>
        <v>91000</v>
      </c>
    </row>
    <row r="139" spans="1:16" ht="22.5" customHeight="1" x14ac:dyDescent="0.2">
      <c r="A139" s="159" t="s">
        <v>30</v>
      </c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1"/>
      <c r="M139" s="71">
        <f>SUBTOTAL(109,Table22457891011234567891011121314151617181920212223242526272829303132333435373839404142434445464748495051525354555657585960616263646566676869707172737475767778798081828384858687888990919293949596979899100[KG VOLUME])</f>
        <v>2212.7960000000012</v>
      </c>
      <c r="N139" s="61">
        <f>SUM(N3:N138)</f>
        <v>2352.0525000000002</v>
      </c>
      <c r="O139" s="162">
        <f>SUM(P3:P138)</f>
        <v>16464367.5</v>
      </c>
      <c r="P139" s="163"/>
    </row>
    <row r="140" spans="1:16" ht="18" customHeight="1" x14ac:dyDescent="0.2">
      <c r="A140" s="78"/>
      <c r="B140" s="49" t="s">
        <v>42</v>
      </c>
      <c r="C140" s="48"/>
      <c r="D140" s="50" t="s">
        <v>43</v>
      </c>
      <c r="E140" s="78"/>
      <c r="F140" s="78"/>
      <c r="G140" s="78"/>
      <c r="H140" s="78"/>
      <c r="I140" s="78"/>
      <c r="J140" s="78"/>
      <c r="K140" s="78"/>
      <c r="L140" s="78"/>
      <c r="M140" s="79"/>
      <c r="N140" s="80" t="s">
        <v>52</v>
      </c>
      <c r="O140" s="81"/>
      <c r="P140" s="81">
        <v>0</v>
      </c>
    </row>
    <row r="141" spans="1:16" ht="18" customHeight="1" thickBot="1" x14ac:dyDescent="0.25">
      <c r="A141" s="78"/>
      <c r="B141" s="49"/>
      <c r="C141" s="48"/>
      <c r="D141" s="50"/>
      <c r="E141" s="78"/>
      <c r="F141" s="78"/>
      <c r="G141" s="78"/>
      <c r="H141" s="78"/>
      <c r="I141" s="78"/>
      <c r="J141" s="78"/>
      <c r="K141" s="78"/>
      <c r="L141" s="78"/>
      <c r="M141" s="79"/>
      <c r="N141" s="82" t="s">
        <v>53</v>
      </c>
      <c r="O141" s="83"/>
      <c r="P141" s="83">
        <f>O139-P140</f>
        <v>16464367.5</v>
      </c>
    </row>
    <row r="142" spans="1:16" ht="18" customHeight="1" x14ac:dyDescent="0.2">
      <c r="A142" s="10"/>
      <c r="H142" s="56"/>
      <c r="N142" s="55" t="s">
        <v>31</v>
      </c>
      <c r="P142" s="62">
        <f>P141*1%</f>
        <v>164643.67500000002</v>
      </c>
    </row>
    <row r="143" spans="1:16" ht="18" customHeight="1" thickBot="1" x14ac:dyDescent="0.25">
      <c r="A143" s="10"/>
      <c r="H143" s="56"/>
      <c r="N143" s="55" t="s">
        <v>54</v>
      </c>
      <c r="P143" s="64">
        <f>P141*2%</f>
        <v>329287.35000000003</v>
      </c>
    </row>
    <row r="144" spans="1:16" ht="18" customHeight="1" x14ac:dyDescent="0.2">
      <c r="A144" s="10"/>
      <c r="H144" s="56"/>
      <c r="N144" s="59" t="s">
        <v>32</v>
      </c>
      <c r="O144" s="60"/>
      <c r="P144" s="63">
        <f>P141+P142-P143</f>
        <v>16299723.825000001</v>
      </c>
    </row>
    <row r="146" spans="1:16" x14ac:dyDescent="0.2">
      <c r="A146" s="10"/>
      <c r="H146" s="56"/>
      <c r="P146" s="64"/>
    </row>
    <row r="147" spans="1:16" x14ac:dyDescent="0.2">
      <c r="A147" s="10"/>
      <c r="H147" s="56"/>
      <c r="O147" s="51"/>
      <c r="P147" s="64"/>
    </row>
    <row r="148" spans="1:16" s="3" customFormat="1" x14ac:dyDescent="0.25">
      <c r="A148" s="10"/>
      <c r="B148" s="2"/>
      <c r="C148" s="2"/>
      <c r="E148" s="11"/>
      <c r="H148" s="56"/>
      <c r="N148" s="14"/>
      <c r="O148" s="14"/>
      <c r="P148" s="14"/>
    </row>
    <row r="149" spans="1:16" s="3" customFormat="1" x14ac:dyDescent="0.25">
      <c r="A149" s="10"/>
      <c r="B149" s="2"/>
      <c r="C149" s="2"/>
      <c r="E149" s="11"/>
      <c r="H149" s="56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56"/>
      <c r="N150" s="14"/>
      <c r="O150" s="14"/>
      <c r="P150" s="14"/>
    </row>
    <row r="151" spans="1:16" s="3" customFormat="1" x14ac:dyDescent="0.25">
      <c r="A151" s="10"/>
      <c r="B151" s="2"/>
      <c r="C151" s="2"/>
      <c r="E151" s="11"/>
      <c r="H151" s="56"/>
      <c r="N151" s="14"/>
      <c r="O151" s="14"/>
      <c r="P151" s="14"/>
    </row>
    <row r="152" spans="1:16" s="3" customFormat="1" x14ac:dyDescent="0.25">
      <c r="A152" s="10"/>
      <c r="B152" s="2"/>
      <c r="C152" s="2"/>
      <c r="E152" s="11"/>
      <c r="H152" s="56"/>
      <c r="N152" s="14"/>
      <c r="O152" s="14"/>
      <c r="P152" s="14"/>
    </row>
    <row r="153" spans="1:16" s="3" customFormat="1" x14ac:dyDescent="0.25">
      <c r="A153" s="10"/>
      <c r="B153" s="2"/>
      <c r="C153" s="2"/>
      <c r="E153" s="11"/>
      <c r="H153" s="56"/>
      <c r="N153" s="14"/>
      <c r="O153" s="14"/>
      <c r="P153" s="14"/>
    </row>
    <row r="154" spans="1:16" s="3" customFormat="1" x14ac:dyDescent="0.25">
      <c r="A154" s="10"/>
      <c r="B154" s="2"/>
      <c r="C154" s="2"/>
      <c r="E154" s="11"/>
      <c r="H154" s="56"/>
      <c r="N154" s="14"/>
      <c r="O154" s="14"/>
      <c r="P154" s="14"/>
    </row>
    <row r="155" spans="1:16" s="3" customFormat="1" x14ac:dyDescent="0.25">
      <c r="A155" s="10"/>
      <c r="B155" s="2"/>
      <c r="C155" s="2"/>
      <c r="E155" s="11"/>
      <c r="H155" s="56"/>
      <c r="N155" s="14"/>
      <c r="O155" s="14"/>
      <c r="P155" s="14"/>
    </row>
    <row r="156" spans="1:16" s="3" customFormat="1" x14ac:dyDescent="0.25">
      <c r="A156" s="10"/>
      <c r="B156" s="2"/>
      <c r="C156" s="2"/>
      <c r="E156" s="11"/>
      <c r="H156" s="56"/>
      <c r="N156" s="14"/>
      <c r="O156" s="14"/>
      <c r="P156" s="14"/>
    </row>
    <row r="157" spans="1:16" s="3" customFormat="1" x14ac:dyDescent="0.25">
      <c r="A157" s="10"/>
      <c r="B157" s="2"/>
      <c r="C157" s="2"/>
      <c r="E157" s="11"/>
      <c r="H157" s="56"/>
      <c r="N157" s="14"/>
      <c r="O157" s="14"/>
      <c r="P157" s="14"/>
    </row>
    <row r="158" spans="1:16" s="3" customFormat="1" x14ac:dyDescent="0.25">
      <c r="A158" s="10"/>
      <c r="B158" s="2"/>
      <c r="C158" s="2"/>
      <c r="E158" s="11"/>
      <c r="H158" s="56"/>
      <c r="N158" s="14"/>
      <c r="O158" s="14"/>
      <c r="P158" s="1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</sheetData>
  <mergeCells count="2">
    <mergeCell ref="A139:L139"/>
    <mergeCell ref="O139:P139"/>
  </mergeCells>
  <conditionalFormatting sqref="C3:C138">
    <cfRule type="duplicateValues" dxfId="15" priority="1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8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I7" sqref="I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6">
        <v>405810</v>
      </c>
      <c r="B3" s="96" t="s">
        <v>464</v>
      </c>
      <c r="C3" s="1" t="s">
        <v>465</v>
      </c>
      <c r="D3" s="68" t="s">
        <v>57</v>
      </c>
      <c r="E3" s="94">
        <v>44534</v>
      </c>
      <c r="F3" s="1" t="s">
        <v>71</v>
      </c>
      <c r="G3" s="94">
        <v>44538</v>
      </c>
      <c r="H3" s="1" t="s">
        <v>299</v>
      </c>
      <c r="I3" s="1">
        <v>57</v>
      </c>
      <c r="J3" s="1">
        <v>38</v>
      </c>
      <c r="K3" s="1">
        <v>24</v>
      </c>
      <c r="L3" s="1">
        <v>1</v>
      </c>
      <c r="M3" s="72">
        <v>12.996</v>
      </c>
      <c r="N3" s="95">
        <v>12.996</v>
      </c>
      <c r="O3" s="57">
        <v>7000</v>
      </c>
      <c r="P3" s="58">
        <f t="shared" ref="P3:P66" si="0">N3*O3</f>
        <v>90972</v>
      </c>
    </row>
    <row r="4" spans="1:16" ht="26.25" customHeight="1" x14ac:dyDescent="0.2">
      <c r="A4" s="97"/>
      <c r="B4" s="97"/>
      <c r="C4" s="1" t="s">
        <v>466</v>
      </c>
      <c r="D4" s="68" t="s">
        <v>57</v>
      </c>
      <c r="E4" s="94">
        <v>44534</v>
      </c>
      <c r="F4" s="1" t="s">
        <v>71</v>
      </c>
      <c r="G4" s="94">
        <v>44538</v>
      </c>
      <c r="H4" s="1" t="s">
        <v>299</v>
      </c>
      <c r="I4" s="1">
        <v>65</v>
      </c>
      <c r="J4" s="1">
        <v>20</v>
      </c>
      <c r="K4" s="1">
        <v>17</v>
      </c>
      <c r="L4" s="1">
        <v>3</v>
      </c>
      <c r="M4" s="72">
        <v>5.5250000000000004</v>
      </c>
      <c r="N4" s="95">
        <v>5.5250000000000004</v>
      </c>
      <c r="O4" s="57">
        <v>7000</v>
      </c>
      <c r="P4" s="58">
        <f t="shared" si="0"/>
        <v>38675</v>
      </c>
    </row>
    <row r="5" spans="1:16" ht="26.25" customHeight="1" x14ac:dyDescent="0.2">
      <c r="A5" s="97"/>
      <c r="B5" s="97"/>
      <c r="C5" s="15" t="s">
        <v>467</v>
      </c>
      <c r="D5" s="70" t="s">
        <v>57</v>
      </c>
      <c r="E5" s="12">
        <v>44534</v>
      </c>
      <c r="F5" s="1" t="s">
        <v>71</v>
      </c>
      <c r="G5" s="12">
        <v>44538</v>
      </c>
      <c r="H5" s="125" t="s">
        <v>299</v>
      </c>
      <c r="I5" s="15">
        <v>56</v>
      </c>
      <c r="J5" s="15">
        <v>35</v>
      </c>
      <c r="K5" s="15">
        <v>10</v>
      </c>
      <c r="L5" s="15">
        <v>2</v>
      </c>
      <c r="M5" s="126">
        <v>4.9000000000000004</v>
      </c>
      <c r="N5" s="95">
        <v>4.9000000000000004</v>
      </c>
      <c r="O5" s="57">
        <v>7000</v>
      </c>
      <c r="P5" s="58">
        <f t="shared" si="0"/>
        <v>34300</v>
      </c>
    </row>
    <row r="6" spans="1:16" ht="26.25" customHeight="1" x14ac:dyDescent="0.2">
      <c r="A6" s="97"/>
      <c r="B6" s="97"/>
      <c r="C6" s="15" t="s">
        <v>468</v>
      </c>
      <c r="D6" s="70" t="s">
        <v>57</v>
      </c>
      <c r="E6" s="12">
        <v>44534</v>
      </c>
      <c r="F6" s="1" t="s">
        <v>71</v>
      </c>
      <c r="G6" s="12">
        <v>44538</v>
      </c>
      <c r="H6" s="125" t="s">
        <v>299</v>
      </c>
      <c r="I6" s="15">
        <v>35</v>
      </c>
      <c r="J6" s="15">
        <v>20</v>
      </c>
      <c r="K6" s="15">
        <v>20</v>
      </c>
      <c r="L6" s="15">
        <v>8</v>
      </c>
      <c r="M6" s="126">
        <v>3.5</v>
      </c>
      <c r="N6" s="95">
        <v>9</v>
      </c>
      <c r="O6" s="57">
        <v>7000</v>
      </c>
      <c r="P6" s="58">
        <f t="shared" si="0"/>
        <v>63000</v>
      </c>
    </row>
    <row r="7" spans="1:16" ht="26.25" customHeight="1" x14ac:dyDescent="0.2">
      <c r="A7" s="97"/>
      <c r="B7" s="97"/>
      <c r="C7" s="15" t="s">
        <v>469</v>
      </c>
      <c r="D7" s="70" t="s">
        <v>57</v>
      </c>
      <c r="E7" s="12">
        <v>44534</v>
      </c>
      <c r="F7" s="1" t="s">
        <v>71</v>
      </c>
      <c r="G7" s="12">
        <v>44538</v>
      </c>
      <c r="H7" s="125" t="s">
        <v>299</v>
      </c>
      <c r="I7" s="15">
        <v>80</v>
      </c>
      <c r="J7" s="15">
        <v>66</v>
      </c>
      <c r="K7" s="15">
        <v>20</v>
      </c>
      <c r="L7" s="15">
        <v>7</v>
      </c>
      <c r="M7" s="126">
        <v>26.4</v>
      </c>
      <c r="N7" s="95">
        <v>27</v>
      </c>
      <c r="O7" s="57">
        <v>7000</v>
      </c>
      <c r="P7" s="58">
        <f t="shared" si="0"/>
        <v>189000</v>
      </c>
    </row>
    <row r="8" spans="1:16" ht="26.25" customHeight="1" x14ac:dyDescent="0.2">
      <c r="A8" s="97"/>
      <c r="B8" s="97"/>
      <c r="C8" s="15" t="s">
        <v>470</v>
      </c>
      <c r="D8" s="70" t="s">
        <v>57</v>
      </c>
      <c r="E8" s="12">
        <v>44534</v>
      </c>
      <c r="F8" s="1" t="s">
        <v>71</v>
      </c>
      <c r="G8" s="12">
        <v>44538</v>
      </c>
      <c r="H8" s="125" t="s">
        <v>299</v>
      </c>
      <c r="I8" s="15">
        <v>35</v>
      </c>
      <c r="J8" s="15">
        <v>35</v>
      </c>
      <c r="K8" s="15">
        <v>24</v>
      </c>
      <c r="L8" s="15">
        <v>5</v>
      </c>
      <c r="M8" s="126">
        <v>7.35</v>
      </c>
      <c r="N8" s="95">
        <v>8</v>
      </c>
      <c r="O8" s="57">
        <v>7000</v>
      </c>
      <c r="P8" s="58">
        <f t="shared" si="0"/>
        <v>56000</v>
      </c>
    </row>
    <row r="9" spans="1:16" ht="26.25" customHeight="1" x14ac:dyDescent="0.2">
      <c r="A9" s="97"/>
      <c r="B9" s="97"/>
      <c r="C9" s="15" t="s">
        <v>471</v>
      </c>
      <c r="D9" s="70" t="s">
        <v>57</v>
      </c>
      <c r="E9" s="12">
        <v>44534</v>
      </c>
      <c r="F9" s="1" t="s">
        <v>71</v>
      </c>
      <c r="G9" s="12">
        <v>44538</v>
      </c>
      <c r="H9" s="125" t="s">
        <v>299</v>
      </c>
      <c r="I9" s="15">
        <v>37</v>
      </c>
      <c r="J9" s="15">
        <v>37</v>
      </c>
      <c r="K9" s="15">
        <v>34</v>
      </c>
      <c r="L9" s="15">
        <v>6</v>
      </c>
      <c r="M9" s="126">
        <v>11.6365</v>
      </c>
      <c r="N9" s="95">
        <v>11.6365</v>
      </c>
      <c r="O9" s="57">
        <v>7000</v>
      </c>
      <c r="P9" s="58">
        <f t="shared" si="0"/>
        <v>81455.5</v>
      </c>
    </row>
    <row r="10" spans="1:16" ht="26.25" customHeight="1" x14ac:dyDescent="0.2">
      <c r="A10" s="97"/>
      <c r="B10" s="97"/>
      <c r="C10" s="15" t="s">
        <v>472</v>
      </c>
      <c r="D10" s="70" t="s">
        <v>57</v>
      </c>
      <c r="E10" s="12">
        <v>44534</v>
      </c>
      <c r="F10" s="1" t="s">
        <v>71</v>
      </c>
      <c r="G10" s="12">
        <v>44538</v>
      </c>
      <c r="H10" s="125" t="s">
        <v>299</v>
      </c>
      <c r="I10" s="15">
        <v>47</v>
      </c>
      <c r="J10" s="15">
        <v>30</v>
      </c>
      <c r="K10" s="15">
        <v>20</v>
      </c>
      <c r="L10" s="15">
        <v>2</v>
      </c>
      <c r="M10" s="126">
        <v>7.05</v>
      </c>
      <c r="N10" s="95">
        <v>7.05</v>
      </c>
      <c r="O10" s="57">
        <v>7000</v>
      </c>
      <c r="P10" s="58">
        <f t="shared" si="0"/>
        <v>49350</v>
      </c>
    </row>
    <row r="11" spans="1:16" ht="26.25" customHeight="1" x14ac:dyDescent="0.2">
      <c r="A11" s="97"/>
      <c r="B11" s="97"/>
      <c r="C11" s="15" t="s">
        <v>473</v>
      </c>
      <c r="D11" s="70" t="s">
        <v>57</v>
      </c>
      <c r="E11" s="12">
        <v>44534</v>
      </c>
      <c r="F11" s="1" t="s">
        <v>71</v>
      </c>
      <c r="G11" s="12">
        <v>44538</v>
      </c>
      <c r="H11" s="125" t="s">
        <v>299</v>
      </c>
      <c r="I11" s="15">
        <v>60</v>
      </c>
      <c r="J11" s="15">
        <v>46</v>
      </c>
      <c r="K11" s="15">
        <v>30</v>
      </c>
      <c r="L11" s="15">
        <v>5</v>
      </c>
      <c r="M11" s="126">
        <v>20.7</v>
      </c>
      <c r="N11" s="95">
        <v>20.7</v>
      </c>
      <c r="O11" s="57">
        <v>7000</v>
      </c>
      <c r="P11" s="58">
        <f t="shared" si="0"/>
        <v>144900</v>
      </c>
    </row>
    <row r="12" spans="1:16" ht="26.25" customHeight="1" x14ac:dyDescent="0.2">
      <c r="A12" s="97"/>
      <c r="B12" s="97"/>
      <c r="C12" s="15" t="s">
        <v>474</v>
      </c>
      <c r="D12" s="70" t="s">
        <v>57</v>
      </c>
      <c r="E12" s="12">
        <v>44534</v>
      </c>
      <c r="F12" s="1" t="s">
        <v>71</v>
      </c>
      <c r="G12" s="12">
        <v>44538</v>
      </c>
      <c r="H12" s="125" t="s">
        <v>299</v>
      </c>
      <c r="I12" s="15">
        <v>36</v>
      </c>
      <c r="J12" s="15">
        <v>26</v>
      </c>
      <c r="K12" s="15">
        <v>26</v>
      </c>
      <c r="L12" s="15">
        <v>4</v>
      </c>
      <c r="M12" s="126">
        <v>6.0839999999999996</v>
      </c>
      <c r="N12" s="95">
        <v>6.0839999999999996</v>
      </c>
      <c r="O12" s="57">
        <v>7000</v>
      </c>
      <c r="P12" s="58">
        <f t="shared" si="0"/>
        <v>42588</v>
      </c>
    </row>
    <row r="13" spans="1:16" ht="26.25" customHeight="1" x14ac:dyDescent="0.2">
      <c r="A13" s="97"/>
      <c r="B13" s="97"/>
      <c r="C13" s="15" t="s">
        <v>475</v>
      </c>
      <c r="D13" s="70" t="s">
        <v>57</v>
      </c>
      <c r="E13" s="12">
        <v>44534</v>
      </c>
      <c r="F13" s="1" t="s">
        <v>71</v>
      </c>
      <c r="G13" s="12">
        <v>44538</v>
      </c>
      <c r="H13" s="125" t="s">
        <v>299</v>
      </c>
      <c r="I13" s="15">
        <v>86</v>
      </c>
      <c r="J13" s="15">
        <v>80</v>
      </c>
      <c r="K13" s="15">
        <v>33</v>
      </c>
      <c r="L13" s="15">
        <v>1</v>
      </c>
      <c r="M13" s="126">
        <v>56.76</v>
      </c>
      <c r="N13" s="95">
        <v>56.76</v>
      </c>
      <c r="O13" s="57">
        <v>7000</v>
      </c>
      <c r="P13" s="58">
        <f t="shared" si="0"/>
        <v>397320</v>
      </c>
    </row>
    <row r="14" spans="1:16" ht="26.25" customHeight="1" x14ac:dyDescent="0.2">
      <c r="A14" s="97"/>
      <c r="B14" s="97"/>
      <c r="C14" s="15" t="s">
        <v>476</v>
      </c>
      <c r="D14" s="70" t="s">
        <v>57</v>
      </c>
      <c r="E14" s="12">
        <v>44534</v>
      </c>
      <c r="F14" s="1" t="s">
        <v>71</v>
      </c>
      <c r="G14" s="12">
        <v>44538</v>
      </c>
      <c r="H14" s="125" t="s">
        <v>299</v>
      </c>
      <c r="I14" s="15">
        <v>44</v>
      </c>
      <c r="J14" s="15">
        <v>40</v>
      </c>
      <c r="K14" s="15">
        <v>20</v>
      </c>
      <c r="L14" s="15">
        <v>4</v>
      </c>
      <c r="M14" s="126">
        <v>8.8000000000000007</v>
      </c>
      <c r="N14" s="95">
        <v>8.8000000000000007</v>
      </c>
      <c r="O14" s="57">
        <v>7000</v>
      </c>
      <c r="P14" s="58">
        <f t="shared" si="0"/>
        <v>61600.000000000007</v>
      </c>
    </row>
    <row r="15" spans="1:16" ht="26.25" customHeight="1" x14ac:dyDescent="0.2">
      <c r="A15" s="97"/>
      <c r="B15" s="97"/>
      <c r="C15" s="15" t="s">
        <v>477</v>
      </c>
      <c r="D15" s="70" t="s">
        <v>57</v>
      </c>
      <c r="E15" s="12">
        <v>44534</v>
      </c>
      <c r="F15" s="1" t="s">
        <v>71</v>
      </c>
      <c r="G15" s="12">
        <v>44538</v>
      </c>
      <c r="H15" s="125" t="s">
        <v>299</v>
      </c>
      <c r="I15" s="15">
        <v>60</v>
      </c>
      <c r="J15" s="15">
        <v>36</v>
      </c>
      <c r="K15" s="15">
        <v>30</v>
      </c>
      <c r="L15" s="15">
        <v>11</v>
      </c>
      <c r="M15" s="126">
        <v>16.2</v>
      </c>
      <c r="N15" s="95">
        <v>16.2</v>
      </c>
      <c r="O15" s="57">
        <v>7000</v>
      </c>
      <c r="P15" s="58">
        <f t="shared" si="0"/>
        <v>113400</v>
      </c>
    </row>
    <row r="16" spans="1:16" ht="26.25" customHeight="1" x14ac:dyDescent="0.2">
      <c r="A16" s="97"/>
      <c r="B16" s="97"/>
      <c r="C16" s="15" t="s">
        <v>478</v>
      </c>
      <c r="D16" s="70" t="s">
        <v>57</v>
      </c>
      <c r="E16" s="12">
        <v>44534</v>
      </c>
      <c r="F16" s="1" t="s">
        <v>71</v>
      </c>
      <c r="G16" s="12">
        <v>44538</v>
      </c>
      <c r="H16" s="125" t="s">
        <v>299</v>
      </c>
      <c r="I16" s="15">
        <v>55</v>
      </c>
      <c r="J16" s="15">
        <v>40</v>
      </c>
      <c r="K16" s="15">
        <v>28</v>
      </c>
      <c r="L16" s="15">
        <v>10</v>
      </c>
      <c r="M16" s="126">
        <v>15.4</v>
      </c>
      <c r="N16" s="95">
        <v>16</v>
      </c>
      <c r="O16" s="57">
        <v>7000</v>
      </c>
      <c r="P16" s="58">
        <f t="shared" si="0"/>
        <v>112000</v>
      </c>
    </row>
    <row r="17" spans="1:16" ht="26.25" customHeight="1" x14ac:dyDescent="0.2">
      <c r="A17" s="97"/>
      <c r="B17" s="97"/>
      <c r="C17" s="15" t="s">
        <v>479</v>
      </c>
      <c r="D17" s="70" t="s">
        <v>57</v>
      </c>
      <c r="E17" s="12">
        <v>44534</v>
      </c>
      <c r="F17" s="1" t="s">
        <v>71</v>
      </c>
      <c r="G17" s="12">
        <v>44538</v>
      </c>
      <c r="H17" s="125" t="s">
        <v>299</v>
      </c>
      <c r="I17" s="15">
        <v>35</v>
      </c>
      <c r="J17" s="15">
        <v>25</v>
      </c>
      <c r="K17" s="15">
        <v>25</v>
      </c>
      <c r="L17" s="15">
        <v>12</v>
      </c>
      <c r="M17" s="126">
        <v>5.46875</v>
      </c>
      <c r="N17" s="95">
        <v>13</v>
      </c>
      <c r="O17" s="57">
        <v>7000</v>
      </c>
      <c r="P17" s="58">
        <f t="shared" si="0"/>
        <v>91000</v>
      </c>
    </row>
    <row r="18" spans="1:16" ht="26.25" customHeight="1" x14ac:dyDescent="0.2">
      <c r="A18" s="97"/>
      <c r="B18" s="97"/>
      <c r="C18" s="15" t="s">
        <v>480</v>
      </c>
      <c r="D18" s="70" t="s">
        <v>57</v>
      </c>
      <c r="E18" s="12">
        <v>44534</v>
      </c>
      <c r="F18" s="1" t="s">
        <v>71</v>
      </c>
      <c r="G18" s="12">
        <v>44538</v>
      </c>
      <c r="H18" s="125" t="s">
        <v>299</v>
      </c>
      <c r="I18" s="15">
        <v>80</v>
      </c>
      <c r="J18" s="15">
        <v>10</v>
      </c>
      <c r="K18" s="15">
        <v>10</v>
      </c>
      <c r="L18" s="15">
        <v>1</v>
      </c>
      <c r="M18" s="126">
        <v>2</v>
      </c>
      <c r="N18" s="95">
        <v>2</v>
      </c>
      <c r="O18" s="57">
        <v>7000</v>
      </c>
      <c r="P18" s="58">
        <f t="shared" si="0"/>
        <v>14000</v>
      </c>
    </row>
    <row r="19" spans="1:16" ht="26.25" customHeight="1" x14ac:dyDescent="0.2">
      <c r="A19" s="97"/>
      <c r="B19" s="97"/>
      <c r="C19" s="15" t="s">
        <v>481</v>
      </c>
      <c r="D19" s="70" t="s">
        <v>57</v>
      </c>
      <c r="E19" s="12">
        <v>44534</v>
      </c>
      <c r="F19" s="1" t="s">
        <v>71</v>
      </c>
      <c r="G19" s="12">
        <v>44538</v>
      </c>
      <c r="H19" s="125" t="s">
        <v>299</v>
      </c>
      <c r="I19" s="15">
        <v>80</v>
      </c>
      <c r="J19" s="15">
        <v>40</v>
      </c>
      <c r="K19" s="15">
        <v>28</v>
      </c>
      <c r="L19" s="15">
        <v>8</v>
      </c>
      <c r="M19" s="126">
        <v>22.4</v>
      </c>
      <c r="N19" s="95">
        <v>23</v>
      </c>
      <c r="O19" s="57">
        <v>7000</v>
      </c>
      <c r="P19" s="58">
        <f t="shared" si="0"/>
        <v>161000</v>
      </c>
    </row>
    <row r="20" spans="1:16" ht="26.25" customHeight="1" x14ac:dyDescent="0.2">
      <c r="A20" s="97"/>
      <c r="B20" s="97"/>
      <c r="C20" s="15" t="s">
        <v>482</v>
      </c>
      <c r="D20" s="70" t="s">
        <v>57</v>
      </c>
      <c r="E20" s="12">
        <v>44534</v>
      </c>
      <c r="F20" s="1" t="s">
        <v>71</v>
      </c>
      <c r="G20" s="12">
        <v>44538</v>
      </c>
      <c r="H20" s="125" t="s">
        <v>299</v>
      </c>
      <c r="I20" s="15">
        <v>45</v>
      </c>
      <c r="J20" s="15">
        <v>35</v>
      </c>
      <c r="K20" s="15">
        <v>24</v>
      </c>
      <c r="L20" s="15">
        <v>11</v>
      </c>
      <c r="M20" s="126">
        <v>9.4499999999999993</v>
      </c>
      <c r="N20" s="95">
        <v>12</v>
      </c>
      <c r="O20" s="57">
        <v>7000</v>
      </c>
      <c r="P20" s="58">
        <f t="shared" si="0"/>
        <v>84000</v>
      </c>
    </row>
    <row r="21" spans="1:16" ht="26.25" customHeight="1" x14ac:dyDescent="0.2">
      <c r="A21" s="97"/>
      <c r="B21" s="97"/>
      <c r="C21" s="15" t="s">
        <v>483</v>
      </c>
      <c r="D21" s="70" t="s">
        <v>57</v>
      </c>
      <c r="E21" s="12">
        <v>44534</v>
      </c>
      <c r="F21" s="1" t="s">
        <v>71</v>
      </c>
      <c r="G21" s="12">
        <v>44538</v>
      </c>
      <c r="H21" s="125" t="s">
        <v>299</v>
      </c>
      <c r="I21" s="15">
        <v>120</v>
      </c>
      <c r="J21" s="15">
        <v>25</v>
      </c>
      <c r="K21" s="15">
        <v>17</v>
      </c>
      <c r="L21" s="15">
        <v>7</v>
      </c>
      <c r="M21" s="126">
        <v>12.75</v>
      </c>
      <c r="N21" s="95">
        <v>12.75</v>
      </c>
      <c r="O21" s="57">
        <v>7000</v>
      </c>
      <c r="P21" s="58">
        <f t="shared" si="0"/>
        <v>89250</v>
      </c>
    </row>
    <row r="22" spans="1:16" ht="26.25" customHeight="1" x14ac:dyDescent="0.2">
      <c r="A22" s="97"/>
      <c r="B22" s="97"/>
      <c r="C22" s="15" t="s">
        <v>484</v>
      </c>
      <c r="D22" s="70" t="s">
        <v>57</v>
      </c>
      <c r="E22" s="12">
        <v>44534</v>
      </c>
      <c r="F22" s="1" t="s">
        <v>71</v>
      </c>
      <c r="G22" s="12">
        <v>44538</v>
      </c>
      <c r="H22" s="125" t="s">
        <v>299</v>
      </c>
      <c r="I22" s="15">
        <v>30</v>
      </c>
      <c r="J22" s="15">
        <v>25</v>
      </c>
      <c r="K22" s="15">
        <v>20</v>
      </c>
      <c r="L22" s="15">
        <v>4</v>
      </c>
      <c r="M22" s="126">
        <v>3.75</v>
      </c>
      <c r="N22" s="95">
        <v>4</v>
      </c>
      <c r="O22" s="57">
        <v>7000</v>
      </c>
      <c r="P22" s="58">
        <f t="shared" si="0"/>
        <v>28000</v>
      </c>
    </row>
    <row r="23" spans="1:16" ht="26.25" customHeight="1" x14ac:dyDescent="0.2">
      <c r="A23" s="97"/>
      <c r="B23" s="97"/>
      <c r="C23" s="15" t="s">
        <v>485</v>
      </c>
      <c r="D23" s="70" t="s">
        <v>57</v>
      </c>
      <c r="E23" s="12">
        <v>44534</v>
      </c>
      <c r="F23" s="1" t="s">
        <v>71</v>
      </c>
      <c r="G23" s="12">
        <v>44538</v>
      </c>
      <c r="H23" s="125" t="s">
        <v>299</v>
      </c>
      <c r="I23" s="15">
        <v>40</v>
      </c>
      <c r="J23" s="15">
        <v>22</v>
      </c>
      <c r="K23" s="15">
        <v>26</v>
      </c>
      <c r="L23" s="15">
        <v>16</v>
      </c>
      <c r="M23" s="126">
        <v>5.72</v>
      </c>
      <c r="N23" s="95">
        <v>16</v>
      </c>
      <c r="O23" s="57">
        <v>7000</v>
      </c>
      <c r="P23" s="58">
        <f t="shared" si="0"/>
        <v>112000</v>
      </c>
    </row>
    <row r="24" spans="1:16" ht="26.25" customHeight="1" x14ac:dyDescent="0.2">
      <c r="A24" s="97"/>
      <c r="B24" s="97"/>
      <c r="C24" s="15" t="s">
        <v>486</v>
      </c>
      <c r="D24" s="70" t="s">
        <v>57</v>
      </c>
      <c r="E24" s="12">
        <v>44534</v>
      </c>
      <c r="F24" s="1" t="s">
        <v>71</v>
      </c>
      <c r="G24" s="12">
        <v>44538</v>
      </c>
      <c r="H24" s="125" t="s">
        <v>299</v>
      </c>
      <c r="I24" s="15">
        <v>77</v>
      </c>
      <c r="J24" s="15">
        <v>40</v>
      </c>
      <c r="K24" s="15">
        <v>40</v>
      </c>
      <c r="L24" s="15">
        <v>10</v>
      </c>
      <c r="M24" s="126">
        <v>30.8</v>
      </c>
      <c r="N24" s="95">
        <v>30.8</v>
      </c>
      <c r="O24" s="57">
        <v>7000</v>
      </c>
      <c r="P24" s="58">
        <f t="shared" si="0"/>
        <v>215600</v>
      </c>
    </row>
    <row r="25" spans="1:16" ht="26.25" customHeight="1" x14ac:dyDescent="0.2">
      <c r="A25" s="97"/>
      <c r="B25" s="97"/>
      <c r="C25" s="15" t="s">
        <v>487</v>
      </c>
      <c r="D25" s="70" t="s">
        <v>57</v>
      </c>
      <c r="E25" s="12">
        <v>44534</v>
      </c>
      <c r="F25" s="1" t="s">
        <v>71</v>
      </c>
      <c r="G25" s="12">
        <v>44538</v>
      </c>
      <c r="H25" s="125" t="s">
        <v>299</v>
      </c>
      <c r="I25" s="15">
        <v>57</v>
      </c>
      <c r="J25" s="15">
        <v>37</v>
      </c>
      <c r="K25" s="15">
        <v>28</v>
      </c>
      <c r="L25" s="15">
        <v>34</v>
      </c>
      <c r="M25" s="126">
        <v>14.763</v>
      </c>
      <c r="N25" s="95">
        <v>34</v>
      </c>
      <c r="O25" s="57">
        <v>7000</v>
      </c>
      <c r="P25" s="58">
        <f t="shared" si="0"/>
        <v>238000</v>
      </c>
    </row>
    <row r="26" spans="1:16" ht="26.25" customHeight="1" x14ac:dyDescent="0.2">
      <c r="A26" s="97"/>
      <c r="B26" s="97"/>
      <c r="C26" s="15" t="s">
        <v>488</v>
      </c>
      <c r="D26" s="70" t="s">
        <v>57</v>
      </c>
      <c r="E26" s="12">
        <v>44534</v>
      </c>
      <c r="F26" s="1" t="s">
        <v>71</v>
      </c>
      <c r="G26" s="12">
        <v>44538</v>
      </c>
      <c r="H26" s="125" t="s">
        <v>299</v>
      </c>
      <c r="I26" s="15">
        <v>44</v>
      </c>
      <c r="J26" s="15">
        <v>24</v>
      </c>
      <c r="K26" s="15">
        <v>15</v>
      </c>
      <c r="L26" s="15">
        <v>7</v>
      </c>
      <c r="M26" s="126">
        <v>3.96</v>
      </c>
      <c r="N26" s="95">
        <v>7</v>
      </c>
      <c r="O26" s="57">
        <v>7000</v>
      </c>
      <c r="P26" s="58">
        <f t="shared" si="0"/>
        <v>49000</v>
      </c>
    </row>
    <row r="27" spans="1:16" ht="26.25" customHeight="1" x14ac:dyDescent="0.2">
      <c r="A27" s="97"/>
      <c r="B27" s="97"/>
      <c r="C27" s="15" t="s">
        <v>489</v>
      </c>
      <c r="D27" s="70" t="s">
        <v>57</v>
      </c>
      <c r="E27" s="12">
        <v>44534</v>
      </c>
      <c r="F27" s="1" t="s">
        <v>71</v>
      </c>
      <c r="G27" s="12">
        <v>44538</v>
      </c>
      <c r="H27" s="125" t="s">
        <v>299</v>
      </c>
      <c r="I27" s="15">
        <v>66</v>
      </c>
      <c r="J27" s="15">
        <v>60</v>
      </c>
      <c r="K27" s="15">
        <v>25</v>
      </c>
      <c r="L27" s="15">
        <v>6</v>
      </c>
      <c r="M27" s="126">
        <v>24.75</v>
      </c>
      <c r="N27" s="95">
        <v>24.75</v>
      </c>
      <c r="O27" s="57">
        <v>7000</v>
      </c>
      <c r="P27" s="58">
        <f t="shared" si="0"/>
        <v>173250</v>
      </c>
    </row>
    <row r="28" spans="1:16" ht="26.25" customHeight="1" x14ac:dyDescent="0.2">
      <c r="A28" s="97"/>
      <c r="B28" s="97"/>
      <c r="C28" s="15" t="s">
        <v>490</v>
      </c>
      <c r="D28" s="70" t="s">
        <v>57</v>
      </c>
      <c r="E28" s="12">
        <v>44534</v>
      </c>
      <c r="F28" s="1" t="s">
        <v>71</v>
      </c>
      <c r="G28" s="12">
        <v>44538</v>
      </c>
      <c r="H28" s="125" t="s">
        <v>299</v>
      </c>
      <c r="I28" s="15">
        <v>86</v>
      </c>
      <c r="J28" s="15">
        <v>70</v>
      </c>
      <c r="K28" s="15">
        <v>21</v>
      </c>
      <c r="L28" s="15">
        <v>8</v>
      </c>
      <c r="M28" s="126">
        <v>31.605</v>
      </c>
      <c r="N28" s="95">
        <v>31.605</v>
      </c>
      <c r="O28" s="57">
        <v>7000</v>
      </c>
      <c r="P28" s="58">
        <f t="shared" si="0"/>
        <v>221235</v>
      </c>
    </row>
    <row r="29" spans="1:16" ht="26.25" customHeight="1" x14ac:dyDescent="0.2">
      <c r="A29" s="97"/>
      <c r="B29" s="97"/>
      <c r="C29" s="15" t="s">
        <v>491</v>
      </c>
      <c r="D29" s="70" t="s">
        <v>57</v>
      </c>
      <c r="E29" s="12">
        <v>44534</v>
      </c>
      <c r="F29" s="1" t="s">
        <v>71</v>
      </c>
      <c r="G29" s="12">
        <v>44538</v>
      </c>
      <c r="H29" s="125" t="s">
        <v>299</v>
      </c>
      <c r="I29" s="15">
        <v>53</v>
      </c>
      <c r="J29" s="15">
        <v>39</v>
      </c>
      <c r="K29" s="15">
        <v>27</v>
      </c>
      <c r="L29" s="15">
        <v>10</v>
      </c>
      <c r="M29" s="126">
        <v>13.952249999999999</v>
      </c>
      <c r="N29" s="95">
        <v>13.952249999999999</v>
      </c>
      <c r="O29" s="57">
        <v>7000</v>
      </c>
      <c r="P29" s="58">
        <f t="shared" si="0"/>
        <v>97665.75</v>
      </c>
    </row>
    <row r="30" spans="1:16" ht="26.25" customHeight="1" x14ac:dyDescent="0.2">
      <c r="A30" s="97"/>
      <c r="B30" s="97"/>
      <c r="C30" s="15" t="s">
        <v>492</v>
      </c>
      <c r="D30" s="70" t="s">
        <v>57</v>
      </c>
      <c r="E30" s="12">
        <v>44534</v>
      </c>
      <c r="F30" s="1" t="s">
        <v>71</v>
      </c>
      <c r="G30" s="12">
        <v>44538</v>
      </c>
      <c r="H30" s="125" t="s">
        <v>299</v>
      </c>
      <c r="I30" s="15">
        <v>62</v>
      </c>
      <c r="J30" s="15">
        <v>67</v>
      </c>
      <c r="K30" s="15">
        <v>17</v>
      </c>
      <c r="L30" s="15">
        <v>5</v>
      </c>
      <c r="M30" s="126">
        <v>17.654499999999999</v>
      </c>
      <c r="N30" s="95">
        <v>17.654499999999999</v>
      </c>
      <c r="O30" s="57">
        <v>7000</v>
      </c>
      <c r="P30" s="58">
        <f t="shared" si="0"/>
        <v>123581.49999999999</v>
      </c>
    </row>
    <row r="31" spans="1:16" ht="26.25" customHeight="1" x14ac:dyDescent="0.2">
      <c r="A31" s="97"/>
      <c r="B31" s="97"/>
      <c r="C31" s="15" t="s">
        <v>493</v>
      </c>
      <c r="D31" s="70" t="s">
        <v>57</v>
      </c>
      <c r="E31" s="12">
        <v>44534</v>
      </c>
      <c r="F31" s="1" t="s">
        <v>71</v>
      </c>
      <c r="G31" s="12">
        <v>44538</v>
      </c>
      <c r="H31" s="125" t="s">
        <v>299</v>
      </c>
      <c r="I31" s="15">
        <v>54</v>
      </c>
      <c r="J31" s="15">
        <v>45</v>
      </c>
      <c r="K31" s="15">
        <v>15</v>
      </c>
      <c r="L31" s="15">
        <v>4</v>
      </c>
      <c r="M31" s="126">
        <v>9.1125000000000007</v>
      </c>
      <c r="N31" s="95">
        <v>9.1125000000000007</v>
      </c>
      <c r="O31" s="57">
        <v>7000</v>
      </c>
      <c r="P31" s="58">
        <f t="shared" si="0"/>
        <v>63787.500000000007</v>
      </c>
    </row>
    <row r="32" spans="1:16" ht="26.25" customHeight="1" x14ac:dyDescent="0.2">
      <c r="A32" s="97"/>
      <c r="B32" s="97"/>
      <c r="C32" s="15" t="s">
        <v>494</v>
      </c>
      <c r="D32" s="70" t="s">
        <v>57</v>
      </c>
      <c r="E32" s="12">
        <v>44534</v>
      </c>
      <c r="F32" s="1" t="s">
        <v>71</v>
      </c>
      <c r="G32" s="12">
        <v>44538</v>
      </c>
      <c r="H32" s="125" t="s">
        <v>299</v>
      </c>
      <c r="I32" s="15">
        <v>40</v>
      </c>
      <c r="J32" s="15">
        <v>40</v>
      </c>
      <c r="K32" s="15">
        <v>10</v>
      </c>
      <c r="L32" s="15">
        <v>2</v>
      </c>
      <c r="M32" s="126">
        <v>4</v>
      </c>
      <c r="N32" s="95">
        <v>4</v>
      </c>
      <c r="O32" s="57">
        <v>7000</v>
      </c>
      <c r="P32" s="58">
        <f t="shared" si="0"/>
        <v>28000</v>
      </c>
    </row>
    <row r="33" spans="1:16" ht="26.25" customHeight="1" x14ac:dyDescent="0.2">
      <c r="A33" s="97"/>
      <c r="B33" s="97"/>
      <c r="C33" s="15" t="s">
        <v>495</v>
      </c>
      <c r="D33" s="70" t="s">
        <v>57</v>
      </c>
      <c r="E33" s="12">
        <v>44534</v>
      </c>
      <c r="F33" s="1" t="s">
        <v>71</v>
      </c>
      <c r="G33" s="12">
        <v>44538</v>
      </c>
      <c r="H33" s="125" t="s">
        <v>299</v>
      </c>
      <c r="I33" s="15">
        <v>57</v>
      </c>
      <c r="J33" s="15">
        <v>30</v>
      </c>
      <c r="K33" s="15">
        <v>20</v>
      </c>
      <c r="L33" s="15">
        <v>3</v>
      </c>
      <c r="M33" s="126">
        <v>8.5500000000000007</v>
      </c>
      <c r="N33" s="95">
        <v>8.5500000000000007</v>
      </c>
      <c r="O33" s="57">
        <v>7000</v>
      </c>
      <c r="P33" s="58">
        <f t="shared" si="0"/>
        <v>59850.000000000007</v>
      </c>
    </row>
    <row r="34" spans="1:16" ht="26.25" customHeight="1" x14ac:dyDescent="0.2">
      <c r="A34" s="97"/>
      <c r="B34" s="97"/>
      <c r="C34" s="15" t="s">
        <v>496</v>
      </c>
      <c r="D34" s="70" t="s">
        <v>57</v>
      </c>
      <c r="E34" s="12">
        <v>44534</v>
      </c>
      <c r="F34" s="1" t="s">
        <v>71</v>
      </c>
      <c r="G34" s="12">
        <v>44538</v>
      </c>
      <c r="H34" s="125" t="s">
        <v>299</v>
      </c>
      <c r="I34" s="15">
        <v>44</v>
      </c>
      <c r="J34" s="15">
        <v>40</v>
      </c>
      <c r="K34" s="15">
        <v>10</v>
      </c>
      <c r="L34" s="15">
        <v>1</v>
      </c>
      <c r="M34" s="126">
        <v>4.4000000000000004</v>
      </c>
      <c r="N34" s="95">
        <v>5</v>
      </c>
      <c r="O34" s="57">
        <v>7000</v>
      </c>
      <c r="P34" s="58">
        <f t="shared" si="0"/>
        <v>35000</v>
      </c>
    </row>
    <row r="35" spans="1:16" ht="26.25" customHeight="1" x14ac:dyDescent="0.2">
      <c r="A35" s="97"/>
      <c r="B35" s="97"/>
      <c r="C35" s="15" t="s">
        <v>497</v>
      </c>
      <c r="D35" s="70" t="s">
        <v>57</v>
      </c>
      <c r="E35" s="12">
        <v>44534</v>
      </c>
      <c r="F35" s="1" t="s">
        <v>71</v>
      </c>
      <c r="G35" s="12">
        <v>44538</v>
      </c>
      <c r="H35" s="125" t="s">
        <v>299</v>
      </c>
      <c r="I35" s="15">
        <v>27</v>
      </c>
      <c r="J35" s="15">
        <v>24</v>
      </c>
      <c r="K35" s="15">
        <v>24</v>
      </c>
      <c r="L35" s="15">
        <v>4</v>
      </c>
      <c r="M35" s="126">
        <v>3.8879999999999999</v>
      </c>
      <c r="N35" s="95">
        <v>4</v>
      </c>
      <c r="O35" s="57">
        <v>7000</v>
      </c>
      <c r="P35" s="58">
        <f t="shared" si="0"/>
        <v>28000</v>
      </c>
    </row>
    <row r="36" spans="1:16" ht="26.25" customHeight="1" x14ac:dyDescent="0.2">
      <c r="A36" s="97"/>
      <c r="B36" s="97"/>
      <c r="C36" s="15" t="s">
        <v>498</v>
      </c>
      <c r="D36" s="70" t="s">
        <v>57</v>
      </c>
      <c r="E36" s="12">
        <v>44534</v>
      </c>
      <c r="F36" s="1" t="s">
        <v>71</v>
      </c>
      <c r="G36" s="12">
        <v>44538</v>
      </c>
      <c r="H36" s="125" t="s">
        <v>299</v>
      </c>
      <c r="I36" s="15">
        <v>70</v>
      </c>
      <c r="J36" s="15">
        <v>60</v>
      </c>
      <c r="K36" s="15">
        <v>25</v>
      </c>
      <c r="L36" s="15">
        <v>6</v>
      </c>
      <c r="M36" s="126">
        <v>26.25</v>
      </c>
      <c r="N36" s="95">
        <v>26.25</v>
      </c>
      <c r="O36" s="57">
        <v>7000</v>
      </c>
      <c r="P36" s="58">
        <f t="shared" si="0"/>
        <v>183750</v>
      </c>
    </row>
    <row r="37" spans="1:16" ht="26.25" customHeight="1" x14ac:dyDescent="0.2">
      <c r="A37" s="97"/>
      <c r="B37" s="97"/>
      <c r="C37" s="15" t="s">
        <v>499</v>
      </c>
      <c r="D37" s="70" t="s">
        <v>57</v>
      </c>
      <c r="E37" s="12">
        <v>44534</v>
      </c>
      <c r="F37" s="1" t="s">
        <v>71</v>
      </c>
      <c r="G37" s="12">
        <v>44538</v>
      </c>
      <c r="H37" s="125" t="s">
        <v>299</v>
      </c>
      <c r="I37" s="15">
        <v>72</v>
      </c>
      <c r="J37" s="15">
        <v>67</v>
      </c>
      <c r="K37" s="15">
        <v>22</v>
      </c>
      <c r="L37" s="15">
        <v>12</v>
      </c>
      <c r="M37" s="126">
        <v>26.532</v>
      </c>
      <c r="N37" s="95">
        <v>26.532</v>
      </c>
      <c r="O37" s="57">
        <v>7000</v>
      </c>
      <c r="P37" s="58">
        <f t="shared" si="0"/>
        <v>185724</v>
      </c>
    </row>
    <row r="38" spans="1:16" ht="26.25" customHeight="1" x14ac:dyDescent="0.2">
      <c r="A38" s="97"/>
      <c r="B38" s="97"/>
      <c r="C38" s="15" t="s">
        <v>500</v>
      </c>
      <c r="D38" s="70" t="s">
        <v>57</v>
      </c>
      <c r="E38" s="12">
        <v>44534</v>
      </c>
      <c r="F38" s="1" t="s">
        <v>71</v>
      </c>
      <c r="G38" s="12">
        <v>44538</v>
      </c>
      <c r="H38" s="125" t="s">
        <v>299</v>
      </c>
      <c r="I38" s="15">
        <v>38</v>
      </c>
      <c r="J38" s="15">
        <v>22</v>
      </c>
      <c r="K38" s="15">
        <v>10</v>
      </c>
      <c r="L38" s="15">
        <v>1</v>
      </c>
      <c r="M38" s="126">
        <v>2.09</v>
      </c>
      <c r="N38" s="95">
        <v>2.09</v>
      </c>
      <c r="O38" s="57">
        <v>7000</v>
      </c>
      <c r="P38" s="58">
        <f t="shared" si="0"/>
        <v>14629.999999999998</v>
      </c>
    </row>
    <row r="39" spans="1:16" ht="26.25" customHeight="1" x14ac:dyDescent="0.2">
      <c r="A39" s="97"/>
      <c r="B39" s="97"/>
      <c r="C39" s="15" t="s">
        <v>501</v>
      </c>
      <c r="D39" s="70" t="s">
        <v>57</v>
      </c>
      <c r="E39" s="12">
        <v>44534</v>
      </c>
      <c r="F39" s="1" t="s">
        <v>71</v>
      </c>
      <c r="G39" s="12">
        <v>44538</v>
      </c>
      <c r="H39" s="125" t="s">
        <v>299</v>
      </c>
      <c r="I39" s="15">
        <v>32</v>
      </c>
      <c r="J39" s="15">
        <v>27</v>
      </c>
      <c r="K39" s="15">
        <v>10</v>
      </c>
      <c r="L39" s="15">
        <v>1</v>
      </c>
      <c r="M39" s="126">
        <v>2.16</v>
      </c>
      <c r="N39" s="95">
        <v>2.16</v>
      </c>
      <c r="O39" s="57">
        <v>7000</v>
      </c>
      <c r="P39" s="58">
        <f t="shared" si="0"/>
        <v>15120.000000000002</v>
      </c>
    </row>
    <row r="40" spans="1:16" ht="26.25" customHeight="1" x14ac:dyDescent="0.2">
      <c r="A40" s="97"/>
      <c r="B40" s="97"/>
      <c r="C40" s="15" t="s">
        <v>502</v>
      </c>
      <c r="D40" s="70" t="s">
        <v>57</v>
      </c>
      <c r="E40" s="12">
        <v>44534</v>
      </c>
      <c r="F40" s="1" t="s">
        <v>71</v>
      </c>
      <c r="G40" s="12">
        <v>44538</v>
      </c>
      <c r="H40" s="125" t="s">
        <v>299</v>
      </c>
      <c r="I40" s="15">
        <v>56</v>
      </c>
      <c r="J40" s="15">
        <v>38</v>
      </c>
      <c r="K40" s="15">
        <v>17</v>
      </c>
      <c r="L40" s="15">
        <v>1</v>
      </c>
      <c r="M40" s="126">
        <v>9.0440000000000005</v>
      </c>
      <c r="N40" s="95">
        <v>9.0440000000000005</v>
      </c>
      <c r="O40" s="57">
        <v>7000</v>
      </c>
      <c r="P40" s="58">
        <f t="shared" si="0"/>
        <v>63308</v>
      </c>
    </row>
    <row r="41" spans="1:16" ht="26.25" customHeight="1" x14ac:dyDescent="0.2">
      <c r="A41" s="97"/>
      <c r="B41" s="97"/>
      <c r="C41" s="15" t="s">
        <v>503</v>
      </c>
      <c r="D41" s="70" t="s">
        <v>57</v>
      </c>
      <c r="E41" s="12">
        <v>44534</v>
      </c>
      <c r="F41" s="1" t="s">
        <v>71</v>
      </c>
      <c r="G41" s="12">
        <v>44538</v>
      </c>
      <c r="H41" s="125" t="s">
        <v>299</v>
      </c>
      <c r="I41" s="15">
        <v>66</v>
      </c>
      <c r="J41" s="15">
        <v>40</v>
      </c>
      <c r="K41" s="15">
        <v>22</v>
      </c>
      <c r="L41" s="15">
        <v>6</v>
      </c>
      <c r="M41" s="126">
        <v>14.52</v>
      </c>
      <c r="N41" s="95">
        <v>14.52</v>
      </c>
      <c r="O41" s="57">
        <v>7000</v>
      </c>
      <c r="P41" s="58">
        <f t="shared" si="0"/>
        <v>101640</v>
      </c>
    </row>
    <row r="42" spans="1:16" ht="26.25" customHeight="1" x14ac:dyDescent="0.2">
      <c r="A42" s="97"/>
      <c r="B42" s="97"/>
      <c r="C42" s="15" t="s">
        <v>504</v>
      </c>
      <c r="D42" s="70" t="s">
        <v>57</v>
      </c>
      <c r="E42" s="12">
        <v>44534</v>
      </c>
      <c r="F42" s="1" t="s">
        <v>71</v>
      </c>
      <c r="G42" s="12">
        <v>44538</v>
      </c>
      <c r="H42" s="125" t="s">
        <v>299</v>
      </c>
      <c r="I42" s="15">
        <v>70</v>
      </c>
      <c r="J42" s="15">
        <v>65</v>
      </c>
      <c r="K42" s="15">
        <v>22</v>
      </c>
      <c r="L42" s="15">
        <v>13</v>
      </c>
      <c r="M42" s="126">
        <v>25.024999999999999</v>
      </c>
      <c r="N42" s="95">
        <v>25.024999999999999</v>
      </c>
      <c r="O42" s="57">
        <v>7000</v>
      </c>
      <c r="P42" s="58">
        <f t="shared" si="0"/>
        <v>175175</v>
      </c>
    </row>
    <row r="43" spans="1:16" ht="26.25" customHeight="1" x14ac:dyDescent="0.2">
      <c r="A43" s="97"/>
      <c r="B43" s="97"/>
      <c r="C43" s="15" t="s">
        <v>505</v>
      </c>
      <c r="D43" s="70" t="s">
        <v>57</v>
      </c>
      <c r="E43" s="12">
        <v>44534</v>
      </c>
      <c r="F43" s="1" t="s">
        <v>71</v>
      </c>
      <c r="G43" s="12">
        <v>44538</v>
      </c>
      <c r="H43" s="125" t="s">
        <v>299</v>
      </c>
      <c r="I43" s="15">
        <v>60</v>
      </c>
      <c r="J43" s="15">
        <v>64</v>
      </c>
      <c r="K43" s="15">
        <v>25</v>
      </c>
      <c r="L43" s="15">
        <v>7</v>
      </c>
      <c r="M43" s="126">
        <v>24</v>
      </c>
      <c r="N43" s="95">
        <v>24</v>
      </c>
      <c r="O43" s="57">
        <v>7000</v>
      </c>
      <c r="P43" s="58">
        <f t="shared" si="0"/>
        <v>168000</v>
      </c>
    </row>
    <row r="44" spans="1:16" ht="26.25" customHeight="1" x14ac:dyDescent="0.2">
      <c r="A44" s="97"/>
      <c r="B44" s="97"/>
      <c r="C44" s="15" t="s">
        <v>506</v>
      </c>
      <c r="D44" s="70" t="s">
        <v>57</v>
      </c>
      <c r="E44" s="12">
        <v>44534</v>
      </c>
      <c r="F44" s="1" t="s">
        <v>71</v>
      </c>
      <c r="G44" s="12">
        <v>44538</v>
      </c>
      <c r="H44" s="125" t="s">
        <v>299</v>
      </c>
      <c r="I44" s="15">
        <v>62</v>
      </c>
      <c r="J44" s="15">
        <v>40</v>
      </c>
      <c r="K44" s="15">
        <v>15</v>
      </c>
      <c r="L44" s="15">
        <v>5</v>
      </c>
      <c r="M44" s="126">
        <v>9.3000000000000007</v>
      </c>
      <c r="N44" s="95">
        <v>10</v>
      </c>
      <c r="O44" s="57">
        <v>7000</v>
      </c>
      <c r="P44" s="58">
        <f t="shared" si="0"/>
        <v>70000</v>
      </c>
    </row>
    <row r="45" spans="1:16" ht="26.25" customHeight="1" x14ac:dyDescent="0.2">
      <c r="A45" s="97"/>
      <c r="B45" s="97"/>
      <c r="C45" s="15" t="s">
        <v>507</v>
      </c>
      <c r="D45" s="70" t="s">
        <v>57</v>
      </c>
      <c r="E45" s="12">
        <v>44534</v>
      </c>
      <c r="F45" s="1" t="s">
        <v>71</v>
      </c>
      <c r="G45" s="12">
        <v>44538</v>
      </c>
      <c r="H45" s="125" t="s">
        <v>299</v>
      </c>
      <c r="I45" s="15">
        <v>66</v>
      </c>
      <c r="J45" s="15">
        <v>67</v>
      </c>
      <c r="K45" s="15">
        <v>24</v>
      </c>
      <c r="L45" s="15">
        <v>11</v>
      </c>
      <c r="M45" s="126">
        <v>26.532</v>
      </c>
      <c r="N45" s="95">
        <v>26.532</v>
      </c>
      <c r="O45" s="57">
        <v>7000</v>
      </c>
      <c r="P45" s="58">
        <f t="shared" si="0"/>
        <v>185724</v>
      </c>
    </row>
    <row r="46" spans="1:16" ht="26.25" customHeight="1" x14ac:dyDescent="0.2">
      <c r="A46" s="97"/>
      <c r="B46" s="97"/>
      <c r="C46" s="15" t="s">
        <v>508</v>
      </c>
      <c r="D46" s="70" t="s">
        <v>57</v>
      </c>
      <c r="E46" s="12">
        <v>44534</v>
      </c>
      <c r="F46" s="1" t="s">
        <v>71</v>
      </c>
      <c r="G46" s="12">
        <v>44538</v>
      </c>
      <c r="H46" s="125" t="s">
        <v>299</v>
      </c>
      <c r="I46" s="15">
        <v>46</v>
      </c>
      <c r="J46" s="15">
        <v>27</v>
      </c>
      <c r="K46" s="15">
        <v>24</v>
      </c>
      <c r="L46" s="15">
        <v>2</v>
      </c>
      <c r="M46" s="126">
        <v>7.452</v>
      </c>
      <c r="N46" s="95">
        <v>8</v>
      </c>
      <c r="O46" s="57">
        <v>7000</v>
      </c>
      <c r="P46" s="58">
        <f t="shared" si="0"/>
        <v>56000</v>
      </c>
    </row>
    <row r="47" spans="1:16" ht="26.25" customHeight="1" x14ac:dyDescent="0.2">
      <c r="A47" s="97"/>
      <c r="B47" s="97"/>
      <c r="C47" s="15" t="s">
        <v>509</v>
      </c>
      <c r="D47" s="70" t="s">
        <v>57</v>
      </c>
      <c r="E47" s="12">
        <v>44534</v>
      </c>
      <c r="F47" s="1" t="s">
        <v>71</v>
      </c>
      <c r="G47" s="12">
        <v>44538</v>
      </c>
      <c r="H47" s="125" t="s">
        <v>299</v>
      </c>
      <c r="I47" s="15">
        <v>50</v>
      </c>
      <c r="J47" s="15">
        <v>23</v>
      </c>
      <c r="K47" s="15">
        <v>20</v>
      </c>
      <c r="L47" s="15">
        <v>25</v>
      </c>
      <c r="M47" s="126">
        <v>5.75</v>
      </c>
      <c r="N47" s="95">
        <v>25</v>
      </c>
      <c r="O47" s="57">
        <v>7000</v>
      </c>
      <c r="P47" s="58">
        <f t="shared" si="0"/>
        <v>175000</v>
      </c>
    </row>
    <row r="48" spans="1:16" ht="26.25" customHeight="1" x14ac:dyDescent="0.2">
      <c r="A48" s="97"/>
      <c r="B48" s="97"/>
      <c r="C48" s="15" t="s">
        <v>510</v>
      </c>
      <c r="D48" s="70" t="s">
        <v>57</v>
      </c>
      <c r="E48" s="12">
        <v>44534</v>
      </c>
      <c r="F48" s="1" t="s">
        <v>71</v>
      </c>
      <c r="G48" s="12">
        <v>44538</v>
      </c>
      <c r="H48" s="125" t="s">
        <v>299</v>
      </c>
      <c r="I48" s="15">
        <v>35</v>
      </c>
      <c r="J48" s="15">
        <v>25</v>
      </c>
      <c r="K48" s="15">
        <v>17</v>
      </c>
      <c r="L48" s="15">
        <v>3</v>
      </c>
      <c r="M48" s="126">
        <v>3.71875</v>
      </c>
      <c r="N48" s="95">
        <v>3.71875</v>
      </c>
      <c r="O48" s="57">
        <v>7000</v>
      </c>
      <c r="P48" s="58">
        <f t="shared" si="0"/>
        <v>26031.25</v>
      </c>
    </row>
    <row r="49" spans="1:16" ht="26.25" customHeight="1" x14ac:dyDescent="0.2">
      <c r="A49" s="97"/>
      <c r="B49" s="97"/>
      <c r="C49" s="15" t="s">
        <v>511</v>
      </c>
      <c r="D49" s="70" t="s">
        <v>57</v>
      </c>
      <c r="E49" s="12">
        <v>44534</v>
      </c>
      <c r="F49" s="1" t="s">
        <v>71</v>
      </c>
      <c r="G49" s="12">
        <v>44538</v>
      </c>
      <c r="H49" s="125" t="s">
        <v>299</v>
      </c>
      <c r="I49" s="15">
        <v>52</v>
      </c>
      <c r="J49" s="15">
        <v>34</v>
      </c>
      <c r="K49" s="15">
        <v>24</v>
      </c>
      <c r="L49" s="15">
        <v>7</v>
      </c>
      <c r="M49" s="126">
        <v>10.608000000000001</v>
      </c>
      <c r="N49" s="95">
        <v>10.608000000000001</v>
      </c>
      <c r="O49" s="57">
        <v>7000</v>
      </c>
      <c r="P49" s="58">
        <f t="shared" si="0"/>
        <v>74256</v>
      </c>
    </row>
    <row r="50" spans="1:16" ht="26.25" customHeight="1" x14ac:dyDescent="0.2">
      <c r="A50" s="97"/>
      <c r="B50" s="97"/>
      <c r="C50" s="15" t="s">
        <v>512</v>
      </c>
      <c r="D50" s="70" t="s">
        <v>57</v>
      </c>
      <c r="E50" s="12">
        <v>44534</v>
      </c>
      <c r="F50" s="1" t="s">
        <v>71</v>
      </c>
      <c r="G50" s="12">
        <v>44538</v>
      </c>
      <c r="H50" s="125" t="s">
        <v>299</v>
      </c>
      <c r="I50" s="15">
        <v>30</v>
      </c>
      <c r="J50" s="15">
        <v>23</v>
      </c>
      <c r="K50" s="15">
        <v>26</v>
      </c>
      <c r="L50" s="15">
        <v>16</v>
      </c>
      <c r="M50" s="126">
        <v>4.4850000000000003</v>
      </c>
      <c r="N50" s="95">
        <v>17</v>
      </c>
      <c r="O50" s="57">
        <v>7000</v>
      </c>
      <c r="P50" s="58">
        <f t="shared" si="0"/>
        <v>119000</v>
      </c>
    </row>
    <row r="51" spans="1:16" ht="26.25" customHeight="1" x14ac:dyDescent="0.2">
      <c r="A51" s="97"/>
      <c r="B51" s="97"/>
      <c r="C51" s="15" t="s">
        <v>513</v>
      </c>
      <c r="D51" s="70" t="s">
        <v>57</v>
      </c>
      <c r="E51" s="12">
        <v>44534</v>
      </c>
      <c r="F51" s="1" t="s">
        <v>71</v>
      </c>
      <c r="G51" s="12">
        <v>44538</v>
      </c>
      <c r="H51" s="125" t="s">
        <v>299</v>
      </c>
      <c r="I51" s="15">
        <v>80</v>
      </c>
      <c r="J51" s="15">
        <v>15</v>
      </c>
      <c r="K51" s="15">
        <v>10</v>
      </c>
      <c r="L51" s="15">
        <v>3</v>
      </c>
      <c r="M51" s="126">
        <v>3</v>
      </c>
      <c r="N51" s="95">
        <v>3</v>
      </c>
      <c r="O51" s="57">
        <v>7000</v>
      </c>
      <c r="P51" s="58">
        <f t="shared" si="0"/>
        <v>21000</v>
      </c>
    </row>
    <row r="52" spans="1:16" ht="26.25" customHeight="1" x14ac:dyDescent="0.2">
      <c r="A52" s="97"/>
      <c r="B52" s="97"/>
      <c r="C52" s="15" t="s">
        <v>514</v>
      </c>
      <c r="D52" s="70" t="s">
        <v>57</v>
      </c>
      <c r="E52" s="12">
        <v>44534</v>
      </c>
      <c r="F52" s="1" t="s">
        <v>71</v>
      </c>
      <c r="G52" s="12">
        <v>44538</v>
      </c>
      <c r="H52" s="125" t="s">
        <v>299</v>
      </c>
      <c r="I52" s="15">
        <v>77</v>
      </c>
      <c r="J52" s="15">
        <v>22</v>
      </c>
      <c r="K52" s="15">
        <v>17</v>
      </c>
      <c r="L52" s="15">
        <v>3</v>
      </c>
      <c r="M52" s="126">
        <v>7.1994999999999996</v>
      </c>
      <c r="N52" s="95">
        <v>7.1994999999999996</v>
      </c>
      <c r="O52" s="57">
        <v>7000</v>
      </c>
      <c r="P52" s="58">
        <f t="shared" si="0"/>
        <v>50396.5</v>
      </c>
    </row>
    <row r="53" spans="1:16" ht="26.25" customHeight="1" x14ac:dyDescent="0.2">
      <c r="A53" s="97"/>
      <c r="B53" s="97"/>
      <c r="C53" s="15" t="s">
        <v>515</v>
      </c>
      <c r="D53" s="70" t="s">
        <v>57</v>
      </c>
      <c r="E53" s="12">
        <v>44534</v>
      </c>
      <c r="F53" s="1" t="s">
        <v>71</v>
      </c>
      <c r="G53" s="12">
        <v>44538</v>
      </c>
      <c r="H53" s="125" t="s">
        <v>299</v>
      </c>
      <c r="I53" s="15">
        <v>77</v>
      </c>
      <c r="J53" s="15">
        <v>22</v>
      </c>
      <c r="K53" s="15">
        <v>12</v>
      </c>
      <c r="L53" s="15">
        <v>3</v>
      </c>
      <c r="M53" s="126">
        <v>5.0819999999999999</v>
      </c>
      <c r="N53" s="95">
        <v>5.0819999999999999</v>
      </c>
      <c r="O53" s="57">
        <v>7000</v>
      </c>
      <c r="P53" s="58">
        <f t="shared" si="0"/>
        <v>35574</v>
      </c>
    </row>
    <row r="54" spans="1:16" ht="26.25" customHeight="1" x14ac:dyDescent="0.2">
      <c r="A54" s="97"/>
      <c r="B54" s="97"/>
      <c r="C54" s="15" t="s">
        <v>516</v>
      </c>
      <c r="D54" s="70" t="s">
        <v>57</v>
      </c>
      <c r="E54" s="12">
        <v>44534</v>
      </c>
      <c r="F54" s="1" t="s">
        <v>71</v>
      </c>
      <c r="G54" s="12">
        <v>44538</v>
      </c>
      <c r="H54" s="125" t="s">
        <v>299</v>
      </c>
      <c r="I54" s="15">
        <v>87</v>
      </c>
      <c r="J54" s="15">
        <v>60</v>
      </c>
      <c r="K54" s="15">
        <v>39</v>
      </c>
      <c r="L54" s="15">
        <v>30</v>
      </c>
      <c r="M54" s="126">
        <v>50.895000000000003</v>
      </c>
      <c r="N54" s="95">
        <v>50.895000000000003</v>
      </c>
      <c r="O54" s="57">
        <v>7000</v>
      </c>
      <c r="P54" s="58">
        <f t="shared" si="0"/>
        <v>356265</v>
      </c>
    </row>
    <row r="55" spans="1:16" ht="26.25" customHeight="1" x14ac:dyDescent="0.2">
      <c r="A55" s="97"/>
      <c r="B55" s="97"/>
      <c r="C55" s="15" t="s">
        <v>517</v>
      </c>
      <c r="D55" s="70" t="s">
        <v>57</v>
      </c>
      <c r="E55" s="12">
        <v>44534</v>
      </c>
      <c r="F55" s="1" t="s">
        <v>71</v>
      </c>
      <c r="G55" s="12">
        <v>44538</v>
      </c>
      <c r="H55" s="125" t="s">
        <v>299</v>
      </c>
      <c r="I55" s="15">
        <v>88</v>
      </c>
      <c r="J55" s="15">
        <v>50</v>
      </c>
      <c r="K55" s="15">
        <v>37</v>
      </c>
      <c r="L55" s="15">
        <v>10</v>
      </c>
      <c r="M55" s="126">
        <v>40.700000000000003</v>
      </c>
      <c r="N55" s="95">
        <v>40.700000000000003</v>
      </c>
      <c r="O55" s="57">
        <v>7000</v>
      </c>
      <c r="P55" s="58">
        <f t="shared" si="0"/>
        <v>284900</v>
      </c>
    </row>
    <row r="56" spans="1:16" ht="26.25" customHeight="1" x14ac:dyDescent="0.2">
      <c r="A56" s="97"/>
      <c r="B56" s="97"/>
      <c r="C56" s="15" t="s">
        <v>518</v>
      </c>
      <c r="D56" s="70" t="s">
        <v>57</v>
      </c>
      <c r="E56" s="12">
        <v>44534</v>
      </c>
      <c r="F56" s="1" t="s">
        <v>71</v>
      </c>
      <c r="G56" s="12">
        <v>44538</v>
      </c>
      <c r="H56" s="125" t="s">
        <v>299</v>
      </c>
      <c r="I56" s="15">
        <v>68</v>
      </c>
      <c r="J56" s="15">
        <v>40</v>
      </c>
      <c r="K56" s="15">
        <v>22</v>
      </c>
      <c r="L56" s="15">
        <v>14</v>
      </c>
      <c r="M56" s="126">
        <v>14.96</v>
      </c>
      <c r="N56" s="95">
        <v>14.96</v>
      </c>
      <c r="O56" s="57">
        <v>7000</v>
      </c>
      <c r="P56" s="58">
        <f t="shared" si="0"/>
        <v>104720</v>
      </c>
    </row>
    <row r="57" spans="1:16" ht="26.25" customHeight="1" x14ac:dyDescent="0.2">
      <c r="A57" s="97"/>
      <c r="B57" s="97"/>
      <c r="C57" s="15" t="s">
        <v>519</v>
      </c>
      <c r="D57" s="70" t="s">
        <v>57</v>
      </c>
      <c r="E57" s="12">
        <v>44534</v>
      </c>
      <c r="F57" s="1" t="s">
        <v>71</v>
      </c>
      <c r="G57" s="12">
        <v>44538</v>
      </c>
      <c r="H57" s="125" t="s">
        <v>299</v>
      </c>
      <c r="I57" s="15">
        <v>85</v>
      </c>
      <c r="J57" s="15">
        <v>12</v>
      </c>
      <c r="K57" s="15">
        <v>7</v>
      </c>
      <c r="L57" s="15">
        <v>1</v>
      </c>
      <c r="M57" s="126">
        <v>1.7849999999999999</v>
      </c>
      <c r="N57" s="95">
        <v>1.7849999999999999</v>
      </c>
      <c r="O57" s="57">
        <v>7000</v>
      </c>
      <c r="P57" s="58">
        <f t="shared" si="0"/>
        <v>12495</v>
      </c>
    </row>
    <row r="58" spans="1:16" ht="26.25" customHeight="1" x14ac:dyDescent="0.2">
      <c r="A58" s="97"/>
      <c r="B58" s="97"/>
      <c r="C58" s="15" t="s">
        <v>520</v>
      </c>
      <c r="D58" s="70" t="s">
        <v>57</v>
      </c>
      <c r="E58" s="12">
        <v>44534</v>
      </c>
      <c r="F58" s="1" t="s">
        <v>71</v>
      </c>
      <c r="G58" s="12">
        <v>44538</v>
      </c>
      <c r="H58" s="125" t="s">
        <v>299</v>
      </c>
      <c r="I58" s="15">
        <v>77</v>
      </c>
      <c r="J58" s="15">
        <v>55</v>
      </c>
      <c r="K58" s="15">
        <v>30</v>
      </c>
      <c r="L58" s="15">
        <v>13</v>
      </c>
      <c r="M58" s="126">
        <v>31.762499999999999</v>
      </c>
      <c r="N58" s="95">
        <v>31.762499999999999</v>
      </c>
      <c r="O58" s="57">
        <v>7000</v>
      </c>
      <c r="P58" s="58">
        <f t="shared" si="0"/>
        <v>222337.5</v>
      </c>
    </row>
    <row r="59" spans="1:16" ht="26.25" customHeight="1" x14ac:dyDescent="0.2">
      <c r="A59" s="97"/>
      <c r="B59" s="97"/>
      <c r="C59" s="15" t="s">
        <v>521</v>
      </c>
      <c r="D59" s="70" t="s">
        <v>57</v>
      </c>
      <c r="E59" s="12">
        <v>44534</v>
      </c>
      <c r="F59" s="1" t="s">
        <v>71</v>
      </c>
      <c r="G59" s="12">
        <v>44538</v>
      </c>
      <c r="H59" s="125" t="s">
        <v>299</v>
      </c>
      <c r="I59" s="15">
        <v>93</v>
      </c>
      <c r="J59" s="15">
        <v>60</v>
      </c>
      <c r="K59" s="15">
        <v>27</v>
      </c>
      <c r="L59" s="15">
        <v>31</v>
      </c>
      <c r="M59" s="126">
        <v>37.664999999999999</v>
      </c>
      <c r="N59" s="95">
        <v>37.664999999999999</v>
      </c>
      <c r="O59" s="57">
        <v>7000</v>
      </c>
      <c r="P59" s="58">
        <f t="shared" si="0"/>
        <v>263655</v>
      </c>
    </row>
    <row r="60" spans="1:16" ht="26.25" customHeight="1" x14ac:dyDescent="0.2">
      <c r="A60" s="97"/>
      <c r="B60" s="97"/>
      <c r="C60" s="15" t="s">
        <v>522</v>
      </c>
      <c r="D60" s="70" t="s">
        <v>57</v>
      </c>
      <c r="E60" s="12">
        <v>44534</v>
      </c>
      <c r="F60" s="1" t="s">
        <v>71</v>
      </c>
      <c r="G60" s="12">
        <v>44538</v>
      </c>
      <c r="H60" s="125" t="s">
        <v>299</v>
      </c>
      <c r="I60" s="15">
        <v>85</v>
      </c>
      <c r="J60" s="15">
        <v>55</v>
      </c>
      <c r="K60" s="15">
        <v>35</v>
      </c>
      <c r="L60" s="15">
        <v>21</v>
      </c>
      <c r="M60" s="126">
        <v>40.90625</v>
      </c>
      <c r="N60" s="95">
        <v>40.90625</v>
      </c>
      <c r="O60" s="57">
        <v>7000</v>
      </c>
      <c r="P60" s="58">
        <f t="shared" si="0"/>
        <v>286343.75</v>
      </c>
    </row>
    <row r="61" spans="1:16" ht="26.25" customHeight="1" x14ac:dyDescent="0.2">
      <c r="A61" s="97"/>
      <c r="B61" s="97"/>
      <c r="C61" s="15" t="s">
        <v>523</v>
      </c>
      <c r="D61" s="70" t="s">
        <v>57</v>
      </c>
      <c r="E61" s="12">
        <v>44534</v>
      </c>
      <c r="F61" s="1" t="s">
        <v>71</v>
      </c>
      <c r="G61" s="12">
        <v>44538</v>
      </c>
      <c r="H61" s="125" t="s">
        <v>299</v>
      </c>
      <c r="I61" s="15">
        <v>88</v>
      </c>
      <c r="J61" s="15">
        <v>55</v>
      </c>
      <c r="K61" s="15">
        <v>12</v>
      </c>
      <c r="L61" s="15">
        <v>12</v>
      </c>
      <c r="M61" s="126">
        <v>14.52</v>
      </c>
      <c r="N61" s="95">
        <v>14.52</v>
      </c>
      <c r="O61" s="57">
        <v>7000</v>
      </c>
      <c r="P61" s="58">
        <f t="shared" si="0"/>
        <v>101640</v>
      </c>
    </row>
    <row r="62" spans="1:16" ht="26.25" customHeight="1" x14ac:dyDescent="0.2">
      <c r="A62" s="97"/>
      <c r="B62" s="97"/>
      <c r="C62" s="15" t="s">
        <v>524</v>
      </c>
      <c r="D62" s="70" t="s">
        <v>57</v>
      </c>
      <c r="E62" s="12">
        <v>44534</v>
      </c>
      <c r="F62" s="1" t="s">
        <v>71</v>
      </c>
      <c r="G62" s="12">
        <v>44538</v>
      </c>
      <c r="H62" s="125" t="s">
        <v>299</v>
      </c>
      <c r="I62" s="15">
        <v>87</v>
      </c>
      <c r="J62" s="15">
        <v>58</v>
      </c>
      <c r="K62" s="15">
        <v>34</v>
      </c>
      <c r="L62" s="15">
        <v>20</v>
      </c>
      <c r="M62" s="126">
        <v>42.890999999999998</v>
      </c>
      <c r="N62" s="95">
        <v>42.890999999999998</v>
      </c>
      <c r="O62" s="57">
        <v>7000</v>
      </c>
      <c r="P62" s="58">
        <f t="shared" si="0"/>
        <v>300237</v>
      </c>
    </row>
    <row r="63" spans="1:16" ht="26.25" customHeight="1" x14ac:dyDescent="0.2">
      <c r="A63" s="97"/>
      <c r="B63" s="97"/>
      <c r="C63" s="15" t="s">
        <v>525</v>
      </c>
      <c r="D63" s="70" t="s">
        <v>57</v>
      </c>
      <c r="E63" s="12">
        <v>44534</v>
      </c>
      <c r="F63" s="1" t="s">
        <v>71</v>
      </c>
      <c r="G63" s="12">
        <v>44538</v>
      </c>
      <c r="H63" s="125" t="s">
        <v>299</v>
      </c>
      <c r="I63" s="15">
        <v>40</v>
      </c>
      <c r="J63" s="15">
        <v>30</v>
      </c>
      <c r="K63" s="15">
        <v>15</v>
      </c>
      <c r="L63" s="15">
        <v>1</v>
      </c>
      <c r="M63" s="126">
        <v>4.5</v>
      </c>
      <c r="N63" s="95">
        <v>6</v>
      </c>
      <c r="O63" s="57">
        <v>7000</v>
      </c>
      <c r="P63" s="58">
        <f t="shared" si="0"/>
        <v>42000</v>
      </c>
    </row>
    <row r="64" spans="1:16" ht="26.25" customHeight="1" x14ac:dyDescent="0.2">
      <c r="A64" s="97"/>
      <c r="B64" s="97"/>
      <c r="C64" s="15" t="s">
        <v>526</v>
      </c>
      <c r="D64" s="70" t="s">
        <v>57</v>
      </c>
      <c r="E64" s="12">
        <v>44534</v>
      </c>
      <c r="F64" s="1" t="s">
        <v>71</v>
      </c>
      <c r="G64" s="12">
        <v>44538</v>
      </c>
      <c r="H64" s="125" t="s">
        <v>299</v>
      </c>
      <c r="I64" s="15">
        <v>112</v>
      </c>
      <c r="J64" s="15">
        <v>14</v>
      </c>
      <c r="K64" s="15">
        <v>10</v>
      </c>
      <c r="L64" s="15">
        <v>2</v>
      </c>
      <c r="M64" s="126">
        <v>3.92</v>
      </c>
      <c r="N64" s="95">
        <v>3.92</v>
      </c>
      <c r="O64" s="57">
        <v>7000</v>
      </c>
      <c r="P64" s="58">
        <f t="shared" si="0"/>
        <v>27440</v>
      </c>
    </row>
    <row r="65" spans="1:16" ht="26.25" customHeight="1" x14ac:dyDescent="0.2">
      <c r="A65" s="97"/>
      <c r="B65" s="97"/>
      <c r="C65" s="15" t="s">
        <v>527</v>
      </c>
      <c r="D65" s="70" t="s">
        <v>57</v>
      </c>
      <c r="E65" s="12">
        <v>44534</v>
      </c>
      <c r="F65" s="1" t="s">
        <v>71</v>
      </c>
      <c r="G65" s="12">
        <v>44538</v>
      </c>
      <c r="H65" s="125" t="s">
        <v>299</v>
      </c>
      <c r="I65" s="15">
        <v>124</v>
      </c>
      <c r="J65" s="15">
        <v>10</v>
      </c>
      <c r="K65" s="15">
        <v>10</v>
      </c>
      <c r="L65" s="15">
        <v>7</v>
      </c>
      <c r="M65" s="126">
        <v>3.1</v>
      </c>
      <c r="N65" s="95">
        <v>7</v>
      </c>
      <c r="O65" s="57">
        <v>7000</v>
      </c>
      <c r="P65" s="58">
        <f t="shared" si="0"/>
        <v>49000</v>
      </c>
    </row>
    <row r="66" spans="1:16" ht="26.25" customHeight="1" x14ac:dyDescent="0.2">
      <c r="A66" s="97"/>
      <c r="B66" s="97"/>
      <c r="C66" s="15" t="s">
        <v>528</v>
      </c>
      <c r="D66" s="70" t="s">
        <v>57</v>
      </c>
      <c r="E66" s="12">
        <v>44534</v>
      </c>
      <c r="F66" s="1" t="s">
        <v>71</v>
      </c>
      <c r="G66" s="12">
        <v>44538</v>
      </c>
      <c r="H66" s="125" t="s">
        <v>299</v>
      </c>
      <c r="I66" s="15">
        <v>30</v>
      </c>
      <c r="J66" s="15">
        <v>20</v>
      </c>
      <c r="K66" s="15">
        <v>12</v>
      </c>
      <c r="L66" s="15">
        <v>1</v>
      </c>
      <c r="M66" s="126">
        <v>1.8</v>
      </c>
      <c r="N66" s="95">
        <v>1.8</v>
      </c>
      <c r="O66" s="57">
        <v>7000</v>
      </c>
      <c r="P66" s="58">
        <f t="shared" si="0"/>
        <v>12600</v>
      </c>
    </row>
    <row r="67" spans="1:16" ht="26.25" customHeight="1" x14ac:dyDescent="0.2">
      <c r="A67" s="97"/>
      <c r="B67" s="97"/>
      <c r="C67" s="15" t="s">
        <v>529</v>
      </c>
      <c r="D67" s="70" t="s">
        <v>57</v>
      </c>
      <c r="E67" s="12">
        <v>44534</v>
      </c>
      <c r="F67" s="1" t="s">
        <v>71</v>
      </c>
      <c r="G67" s="12">
        <v>44538</v>
      </c>
      <c r="H67" s="125" t="s">
        <v>299</v>
      </c>
      <c r="I67" s="15">
        <v>94</v>
      </c>
      <c r="J67" s="15">
        <v>46</v>
      </c>
      <c r="K67" s="15">
        <v>34</v>
      </c>
      <c r="L67" s="15">
        <v>21</v>
      </c>
      <c r="M67" s="126">
        <v>36.753999999999998</v>
      </c>
      <c r="N67" s="95">
        <v>36.753999999999998</v>
      </c>
      <c r="O67" s="57">
        <v>7000</v>
      </c>
      <c r="P67" s="58">
        <f t="shared" ref="P67:P117" si="1">N67*O67</f>
        <v>257277.99999999997</v>
      </c>
    </row>
    <row r="68" spans="1:16" ht="26.25" customHeight="1" x14ac:dyDescent="0.2">
      <c r="A68" s="97"/>
      <c r="B68" s="97"/>
      <c r="C68" s="15" t="s">
        <v>530</v>
      </c>
      <c r="D68" s="70" t="s">
        <v>57</v>
      </c>
      <c r="E68" s="12">
        <v>44534</v>
      </c>
      <c r="F68" s="1" t="s">
        <v>71</v>
      </c>
      <c r="G68" s="12">
        <v>44538</v>
      </c>
      <c r="H68" s="125" t="s">
        <v>299</v>
      </c>
      <c r="I68" s="15">
        <v>67</v>
      </c>
      <c r="J68" s="15">
        <v>60</v>
      </c>
      <c r="K68" s="15">
        <v>17</v>
      </c>
      <c r="L68" s="15">
        <v>8</v>
      </c>
      <c r="M68" s="126">
        <v>17.085000000000001</v>
      </c>
      <c r="N68" s="95">
        <v>17.085000000000001</v>
      </c>
      <c r="O68" s="57">
        <v>7000</v>
      </c>
      <c r="P68" s="58">
        <f t="shared" si="1"/>
        <v>119595</v>
      </c>
    </row>
    <row r="69" spans="1:16" ht="26.25" customHeight="1" x14ac:dyDescent="0.2">
      <c r="A69" s="97"/>
      <c r="B69" s="97"/>
      <c r="C69" s="15" t="s">
        <v>531</v>
      </c>
      <c r="D69" s="70" t="s">
        <v>57</v>
      </c>
      <c r="E69" s="12">
        <v>44534</v>
      </c>
      <c r="F69" s="1" t="s">
        <v>71</v>
      </c>
      <c r="G69" s="12">
        <v>44538</v>
      </c>
      <c r="H69" s="125" t="s">
        <v>299</v>
      </c>
      <c r="I69" s="15">
        <v>100</v>
      </c>
      <c r="J69" s="15">
        <v>60</v>
      </c>
      <c r="K69" s="15">
        <v>30</v>
      </c>
      <c r="L69" s="15">
        <v>26</v>
      </c>
      <c r="M69" s="126">
        <v>45</v>
      </c>
      <c r="N69" s="95">
        <v>45</v>
      </c>
      <c r="O69" s="57">
        <v>7000</v>
      </c>
      <c r="P69" s="58">
        <f t="shared" si="1"/>
        <v>315000</v>
      </c>
    </row>
    <row r="70" spans="1:16" ht="26.25" customHeight="1" x14ac:dyDescent="0.2">
      <c r="A70" s="97"/>
      <c r="B70" s="97"/>
      <c r="C70" s="15" t="s">
        <v>532</v>
      </c>
      <c r="D70" s="70" t="s">
        <v>57</v>
      </c>
      <c r="E70" s="12">
        <v>44534</v>
      </c>
      <c r="F70" s="1" t="s">
        <v>71</v>
      </c>
      <c r="G70" s="12">
        <v>44538</v>
      </c>
      <c r="H70" s="125" t="s">
        <v>299</v>
      </c>
      <c r="I70" s="15">
        <v>100</v>
      </c>
      <c r="J70" s="15">
        <v>64</v>
      </c>
      <c r="K70" s="15">
        <v>37</v>
      </c>
      <c r="L70" s="15">
        <v>32</v>
      </c>
      <c r="M70" s="126">
        <v>59.2</v>
      </c>
      <c r="N70" s="95">
        <v>59.2</v>
      </c>
      <c r="O70" s="57">
        <v>7000</v>
      </c>
      <c r="P70" s="58">
        <f t="shared" si="1"/>
        <v>414400</v>
      </c>
    </row>
    <row r="71" spans="1:16" ht="26.25" customHeight="1" x14ac:dyDescent="0.2">
      <c r="A71" s="97"/>
      <c r="B71" s="97"/>
      <c r="C71" s="15" t="s">
        <v>533</v>
      </c>
      <c r="D71" s="70" t="s">
        <v>57</v>
      </c>
      <c r="E71" s="12">
        <v>44534</v>
      </c>
      <c r="F71" s="1" t="s">
        <v>71</v>
      </c>
      <c r="G71" s="12">
        <v>44538</v>
      </c>
      <c r="H71" s="125" t="s">
        <v>299</v>
      </c>
      <c r="I71" s="15">
        <v>50</v>
      </c>
      <c r="J71" s="15">
        <v>37</v>
      </c>
      <c r="K71" s="15">
        <v>22</v>
      </c>
      <c r="L71" s="15">
        <v>4</v>
      </c>
      <c r="M71" s="126">
        <v>10.175000000000001</v>
      </c>
      <c r="N71" s="95">
        <v>10.175000000000001</v>
      </c>
      <c r="O71" s="57">
        <v>7000</v>
      </c>
      <c r="P71" s="58">
        <f t="shared" si="1"/>
        <v>71225</v>
      </c>
    </row>
    <row r="72" spans="1:16" ht="26.25" customHeight="1" x14ac:dyDescent="0.2">
      <c r="A72" s="97"/>
      <c r="B72" s="97"/>
      <c r="C72" s="15" t="s">
        <v>534</v>
      </c>
      <c r="D72" s="70" t="s">
        <v>57</v>
      </c>
      <c r="E72" s="12">
        <v>44534</v>
      </c>
      <c r="F72" s="1" t="s">
        <v>71</v>
      </c>
      <c r="G72" s="12">
        <v>44538</v>
      </c>
      <c r="H72" s="125" t="s">
        <v>299</v>
      </c>
      <c r="I72" s="15">
        <v>77</v>
      </c>
      <c r="J72" s="15">
        <v>60</v>
      </c>
      <c r="K72" s="15">
        <v>22</v>
      </c>
      <c r="L72" s="15">
        <v>9</v>
      </c>
      <c r="M72" s="126">
        <v>25.41</v>
      </c>
      <c r="N72" s="95">
        <v>26</v>
      </c>
      <c r="O72" s="57">
        <v>7000</v>
      </c>
      <c r="P72" s="58">
        <f t="shared" si="1"/>
        <v>182000</v>
      </c>
    </row>
    <row r="73" spans="1:16" ht="26.25" customHeight="1" x14ac:dyDescent="0.2">
      <c r="A73" s="97"/>
      <c r="B73" s="97"/>
      <c r="C73" s="15" t="s">
        <v>535</v>
      </c>
      <c r="D73" s="70" t="s">
        <v>57</v>
      </c>
      <c r="E73" s="12">
        <v>44534</v>
      </c>
      <c r="F73" s="1" t="s">
        <v>71</v>
      </c>
      <c r="G73" s="12">
        <v>44538</v>
      </c>
      <c r="H73" s="125" t="s">
        <v>299</v>
      </c>
      <c r="I73" s="15">
        <v>60</v>
      </c>
      <c r="J73" s="15">
        <v>57</v>
      </c>
      <c r="K73" s="15">
        <v>27</v>
      </c>
      <c r="L73" s="15">
        <v>10</v>
      </c>
      <c r="M73" s="126">
        <v>23.085000000000001</v>
      </c>
      <c r="N73" s="95">
        <v>23.085000000000001</v>
      </c>
      <c r="O73" s="57">
        <v>7000</v>
      </c>
      <c r="P73" s="58">
        <f t="shared" si="1"/>
        <v>161595</v>
      </c>
    </row>
    <row r="74" spans="1:16" ht="26.25" customHeight="1" x14ac:dyDescent="0.2">
      <c r="A74" s="97"/>
      <c r="B74" s="97"/>
      <c r="C74" s="15" t="s">
        <v>536</v>
      </c>
      <c r="D74" s="70" t="s">
        <v>57</v>
      </c>
      <c r="E74" s="12">
        <v>44534</v>
      </c>
      <c r="F74" s="1" t="s">
        <v>71</v>
      </c>
      <c r="G74" s="12">
        <v>44538</v>
      </c>
      <c r="H74" s="125" t="s">
        <v>299</v>
      </c>
      <c r="I74" s="15">
        <v>100</v>
      </c>
      <c r="J74" s="15">
        <v>57</v>
      </c>
      <c r="K74" s="15">
        <v>25</v>
      </c>
      <c r="L74" s="15">
        <v>16</v>
      </c>
      <c r="M74" s="126">
        <v>35.625</v>
      </c>
      <c r="N74" s="95">
        <v>35.625</v>
      </c>
      <c r="O74" s="57">
        <v>7000</v>
      </c>
      <c r="P74" s="58">
        <f t="shared" si="1"/>
        <v>249375</v>
      </c>
    </row>
    <row r="75" spans="1:16" ht="26.25" customHeight="1" x14ac:dyDescent="0.2">
      <c r="A75" s="97"/>
      <c r="B75" s="97"/>
      <c r="C75" s="15" t="s">
        <v>537</v>
      </c>
      <c r="D75" s="70" t="s">
        <v>57</v>
      </c>
      <c r="E75" s="12">
        <v>44534</v>
      </c>
      <c r="F75" s="1" t="s">
        <v>71</v>
      </c>
      <c r="G75" s="12">
        <v>44538</v>
      </c>
      <c r="H75" s="125" t="s">
        <v>299</v>
      </c>
      <c r="I75" s="15">
        <v>86</v>
      </c>
      <c r="J75" s="15">
        <v>59</v>
      </c>
      <c r="K75" s="15">
        <v>30</v>
      </c>
      <c r="L75" s="15">
        <v>18</v>
      </c>
      <c r="M75" s="126">
        <v>38.055</v>
      </c>
      <c r="N75" s="95">
        <v>38.055</v>
      </c>
      <c r="O75" s="57">
        <v>7000</v>
      </c>
      <c r="P75" s="58">
        <f t="shared" si="1"/>
        <v>266385</v>
      </c>
    </row>
    <row r="76" spans="1:16" ht="26.25" customHeight="1" x14ac:dyDescent="0.2">
      <c r="A76" s="97"/>
      <c r="B76" s="97"/>
      <c r="C76" s="15" t="s">
        <v>538</v>
      </c>
      <c r="D76" s="70" t="s">
        <v>57</v>
      </c>
      <c r="E76" s="12">
        <v>44534</v>
      </c>
      <c r="F76" s="1" t="s">
        <v>71</v>
      </c>
      <c r="G76" s="12">
        <v>44538</v>
      </c>
      <c r="H76" s="125" t="s">
        <v>299</v>
      </c>
      <c r="I76" s="15">
        <v>90</v>
      </c>
      <c r="J76" s="15">
        <v>70</v>
      </c>
      <c r="K76" s="15">
        <v>27</v>
      </c>
      <c r="L76" s="15">
        <v>10</v>
      </c>
      <c r="M76" s="126">
        <v>42.524999999999999</v>
      </c>
      <c r="N76" s="95">
        <v>42.524999999999999</v>
      </c>
      <c r="O76" s="57">
        <v>7000</v>
      </c>
      <c r="P76" s="58">
        <f t="shared" si="1"/>
        <v>297675</v>
      </c>
    </row>
    <row r="77" spans="1:16" ht="26.25" customHeight="1" x14ac:dyDescent="0.2">
      <c r="A77" s="97"/>
      <c r="B77" s="97"/>
      <c r="C77" s="15" t="s">
        <v>539</v>
      </c>
      <c r="D77" s="70" t="s">
        <v>57</v>
      </c>
      <c r="E77" s="12">
        <v>44534</v>
      </c>
      <c r="F77" s="1" t="s">
        <v>71</v>
      </c>
      <c r="G77" s="12">
        <v>44538</v>
      </c>
      <c r="H77" s="125" t="s">
        <v>299</v>
      </c>
      <c r="I77" s="15">
        <v>86</v>
      </c>
      <c r="J77" s="15">
        <v>65</v>
      </c>
      <c r="K77" s="15">
        <v>37</v>
      </c>
      <c r="L77" s="15">
        <v>12</v>
      </c>
      <c r="M77" s="126">
        <v>51.707500000000003</v>
      </c>
      <c r="N77" s="95">
        <v>51.707500000000003</v>
      </c>
      <c r="O77" s="57">
        <v>7000</v>
      </c>
      <c r="P77" s="58">
        <f t="shared" si="1"/>
        <v>361952.5</v>
      </c>
    </row>
    <row r="78" spans="1:16" ht="26.25" customHeight="1" x14ac:dyDescent="0.2">
      <c r="A78" s="97"/>
      <c r="B78" s="97"/>
      <c r="C78" s="15" t="s">
        <v>540</v>
      </c>
      <c r="D78" s="70" t="s">
        <v>57</v>
      </c>
      <c r="E78" s="12">
        <v>44534</v>
      </c>
      <c r="F78" s="1" t="s">
        <v>71</v>
      </c>
      <c r="G78" s="12">
        <v>44538</v>
      </c>
      <c r="H78" s="125" t="s">
        <v>299</v>
      </c>
      <c r="I78" s="15">
        <v>83</v>
      </c>
      <c r="J78" s="15">
        <v>66</v>
      </c>
      <c r="K78" s="15">
        <v>20</v>
      </c>
      <c r="L78" s="15">
        <v>17</v>
      </c>
      <c r="M78" s="126">
        <v>27.39</v>
      </c>
      <c r="N78" s="95">
        <v>28</v>
      </c>
      <c r="O78" s="57">
        <v>7000</v>
      </c>
      <c r="P78" s="58">
        <f t="shared" si="1"/>
        <v>196000</v>
      </c>
    </row>
    <row r="79" spans="1:16" ht="26.25" customHeight="1" x14ac:dyDescent="0.2">
      <c r="A79" s="97"/>
      <c r="B79" s="97"/>
      <c r="C79" s="15" t="s">
        <v>541</v>
      </c>
      <c r="D79" s="70" t="s">
        <v>57</v>
      </c>
      <c r="E79" s="12">
        <v>44534</v>
      </c>
      <c r="F79" s="1" t="s">
        <v>71</v>
      </c>
      <c r="G79" s="12">
        <v>44538</v>
      </c>
      <c r="H79" s="125" t="s">
        <v>299</v>
      </c>
      <c r="I79" s="15">
        <v>87</v>
      </c>
      <c r="J79" s="15">
        <v>40</v>
      </c>
      <c r="K79" s="15">
        <v>18</v>
      </c>
      <c r="L79" s="15">
        <v>5</v>
      </c>
      <c r="M79" s="126">
        <v>15.66</v>
      </c>
      <c r="N79" s="95">
        <v>15.66</v>
      </c>
      <c r="O79" s="57">
        <v>7000</v>
      </c>
      <c r="P79" s="58">
        <f t="shared" si="1"/>
        <v>109620</v>
      </c>
    </row>
    <row r="80" spans="1:16" ht="26.25" customHeight="1" x14ac:dyDescent="0.2">
      <c r="A80" s="97"/>
      <c r="B80" s="97"/>
      <c r="C80" s="15" t="s">
        <v>542</v>
      </c>
      <c r="D80" s="70" t="s">
        <v>57</v>
      </c>
      <c r="E80" s="12">
        <v>44534</v>
      </c>
      <c r="F80" s="1" t="s">
        <v>71</v>
      </c>
      <c r="G80" s="12">
        <v>44538</v>
      </c>
      <c r="H80" s="125" t="s">
        <v>299</v>
      </c>
      <c r="I80" s="15">
        <v>97</v>
      </c>
      <c r="J80" s="15">
        <v>55</v>
      </c>
      <c r="K80" s="15">
        <v>48</v>
      </c>
      <c r="L80" s="15">
        <v>29</v>
      </c>
      <c r="M80" s="126">
        <v>64.02</v>
      </c>
      <c r="N80" s="95">
        <v>64.02</v>
      </c>
      <c r="O80" s="57">
        <v>7000</v>
      </c>
      <c r="P80" s="58">
        <f t="shared" si="1"/>
        <v>448140</v>
      </c>
    </row>
    <row r="81" spans="1:16" ht="26.25" customHeight="1" x14ac:dyDescent="0.2">
      <c r="A81" s="97"/>
      <c r="B81" s="97"/>
      <c r="C81" s="15" t="s">
        <v>543</v>
      </c>
      <c r="D81" s="70" t="s">
        <v>57</v>
      </c>
      <c r="E81" s="12">
        <v>44534</v>
      </c>
      <c r="F81" s="1" t="s">
        <v>71</v>
      </c>
      <c r="G81" s="12">
        <v>44538</v>
      </c>
      <c r="H81" s="125" t="s">
        <v>299</v>
      </c>
      <c r="I81" s="15">
        <v>52</v>
      </c>
      <c r="J81" s="15">
        <v>37</v>
      </c>
      <c r="K81" s="15">
        <v>27</v>
      </c>
      <c r="L81" s="15">
        <v>10</v>
      </c>
      <c r="M81" s="126">
        <v>12.987</v>
      </c>
      <c r="N81" s="95">
        <v>12.987</v>
      </c>
      <c r="O81" s="57">
        <v>7000</v>
      </c>
      <c r="P81" s="58">
        <f t="shared" si="1"/>
        <v>90909</v>
      </c>
    </row>
    <row r="82" spans="1:16" ht="26.25" customHeight="1" x14ac:dyDescent="0.2">
      <c r="A82" s="97"/>
      <c r="B82" s="97"/>
      <c r="C82" s="15" t="s">
        <v>544</v>
      </c>
      <c r="D82" s="70" t="s">
        <v>57</v>
      </c>
      <c r="E82" s="12">
        <v>44534</v>
      </c>
      <c r="F82" s="1" t="s">
        <v>71</v>
      </c>
      <c r="G82" s="12">
        <v>44538</v>
      </c>
      <c r="H82" s="125" t="s">
        <v>299</v>
      </c>
      <c r="I82" s="15">
        <v>52</v>
      </c>
      <c r="J82" s="15">
        <v>39</v>
      </c>
      <c r="K82" s="15">
        <v>17</v>
      </c>
      <c r="L82" s="15">
        <v>2</v>
      </c>
      <c r="M82" s="126">
        <v>8.6189999999999998</v>
      </c>
      <c r="N82" s="95">
        <v>8.6189999999999998</v>
      </c>
      <c r="O82" s="57">
        <v>7000</v>
      </c>
      <c r="P82" s="58">
        <f t="shared" si="1"/>
        <v>60333</v>
      </c>
    </row>
    <row r="83" spans="1:16" ht="26.25" customHeight="1" x14ac:dyDescent="0.2">
      <c r="A83" s="97"/>
      <c r="B83" s="97"/>
      <c r="C83" s="15" t="s">
        <v>545</v>
      </c>
      <c r="D83" s="70" t="s">
        <v>57</v>
      </c>
      <c r="E83" s="12">
        <v>44534</v>
      </c>
      <c r="F83" s="1" t="s">
        <v>71</v>
      </c>
      <c r="G83" s="12">
        <v>44538</v>
      </c>
      <c r="H83" s="125" t="s">
        <v>299</v>
      </c>
      <c r="I83" s="15">
        <v>35</v>
      </c>
      <c r="J83" s="15">
        <v>30</v>
      </c>
      <c r="K83" s="15">
        <v>27</v>
      </c>
      <c r="L83" s="15">
        <v>4</v>
      </c>
      <c r="M83" s="126">
        <v>7.0875000000000004</v>
      </c>
      <c r="N83" s="95">
        <v>7.0875000000000004</v>
      </c>
      <c r="O83" s="57">
        <v>7000</v>
      </c>
      <c r="P83" s="58">
        <f t="shared" si="1"/>
        <v>49612.5</v>
      </c>
    </row>
    <row r="84" spans="1:16" ht="26.25" customHeight="1" x14ac:dyDescent="0.2">
      <c r="A84" s="97"/>
      <c r="B84" s="97"/>
      <c r="C84" s="15" t="s">
        <v>546</v>
      </c>
      <c r="D84" s="70" t="s">
        <v>57</v>
      </c>
      <c r="E84" s="12">
        <v>44534</v>
      </c>
      <c r="F84" s="1" t="s">
        <v>71</v>
      </c>
      <c r="G84" s="12">
        <v>44538</v>
      </c>
      <c r="H84" s="125" t="s">
        <v>299</v>
      </c>
      <c r="I84" s="15">
        <v>77</v>
      </c>
      <c r="J84" s="15">
        <v>62</v>
      </c>
      <c r="K84" s="15">
        <v>27</v>
      </c>
      <c r="L84" s="15">
        <v>20</v>
      </c>
      <c r="M84" s="126">
        <v>32.224499999999999</v>
      </c>
      <c r="N84" s="95">
        <v>32.224499999999999</v>
      </c>
      <c r="O84" s="57">
        <v>7000</v>
      </c>
      <c r="P84" s="58">
        <f t="shared" si="1"/>
        <v>225571.5</v>
      </c>
    </row>
    <row r="85" spans="1:16" ht="26.25" customHeight="1" x14ac:dyDescent="0.2">
      <c r="A85" s="97"/>
      <c r="B85" s="97"/>
      <c r="C85" s="15" t="s">
        <v>547</v>
      </c>
      <c r="D85" s="70" t="s">
        <v>57</v>
      </c>
      <c r="E85" s="12">
        <v>44534</v>
      </c>
      <c r="F85" s="1" t="s">
        <v>71</v>
      </c>
      <c r="G85" s="12">
        <v>44538</v>
      </c>
      <c r="H85" s="125" t="s">
        <v>299</v>
      </c>
      <c r="I85" s="15">
        <v>100</v>
      </c>
      <c r="J85" s="15">
        <v>46</v>
      </c>
      <c r="K85" s="15">
        <v>37</v>
      </c>
      <c r="L85" s="15">
        <v>27</v>
      </c>
      <c r="M85" s="126">
        <v>42.55</v>
      </c>
      <c r="N85" s="95">
        <v>42.55</v>
      </c>
      <c r="O85" s="57">
        <v>7000</v>
      </c>
      <c r="P85" s="58">
        <f t="shared" si="1"/>
        <v>297850</v>
      </c>
    </row>
    <row r="86" spans="1:16" ht="26.25" customHeight="1" x14ac:dyDescent="0.2">
      <c r="A86" s="97"/>
      <c r="B86" s="97"/>
      <c r="C86" s="15" t="s">
        <v>548</v>
      </c>
      <c r="D86" s="70" t="s">
        <v>57</v>
      </c>
      <c r="E86" s="12">
        <v>44534</v>
      </c>
      <c r="F86" s="1" t="s">
        <v>71</v>
      </c>
      <c r="G86" s="12">
        <v>44538</v>
      </c>
      <c r="H86" s="125" t="s">
        <v>299</v>
      </c>
      <c r="I86" s="15">
        <v>85</v>
      </c>
      <c r="J86" s="15">
        <v>55</v>
      </c>
      <c r="K86" s="15">
        <v>27</v>
      </c>
      <c r="L86" s="15">
        <v>16</v>
      </c>
      <c r="M86" s="126">
        <v>31.556249999999999</v>
      </c>
      <c r="N86" s="95">
        <v>31.556249999999999</v>
      </c>
      <c r="O86" s="57">
        <v>7000</v>
      </c>
      <c r="P86" s="58">
        <f t="shared" si="1"/>
        <v>220893.75</v>
      </c>
    </row>
    <row r="87" spans="1:16" ht="26.25" customHeight="1" x14ac:dyDescent="0.2">
      <c r="A87" s="97"/>
      <c r="B87" s="97"/>
      <c r="C87" s="15" t="s">
        <v>549</v>
      </c>
      <c r="D87" s="70" t="s">
        <v>57</v>
      </c>
      <c r="E87" s="12">
        <v>44534</v>
      </c>
      <c r="F87" s="1" t="s">
        <v>71</v>
      </c>
      <c r="G87" s="12">
        <v>44538</v>
      </c>
      <c r="H87" s="125" t="s">
        <v>299</v>
      </c>
      <c r="I87" s="15">
        <v>50</v>
      </c>
      <c r="J87" s="15">
        <v>60</v>
      </c>
      <c r="K87" s="15">
        <v>20</v>
      </c>
      <c r="L87" s="15">
        <v>5</v>
      </c>
      <c r="M87" s="126">
        <v>15</v>
      </c>
      <c r="N87" s="95">
        <v>15</v>
      </c>
      <c r="O87" s="57">
        <v>7000</v>
      </c>
      <c r="P87" s="58">
        <f t="shared" si="1"/>
        <v>105000</v>
      </c>
    </row>
    <row r="88" spans="1:16" ht="26.25" customHeight="1" x14ac:dyDescent="0.2">
      <c r="A88" s="97"/>
      <c r="B88" s="97"/>
      <c r="C88" s="15" t="s">
        <v>550</v>
      </c>
      <c r="D88" s="70" t="s">
        <v>57</v>
      </c>
      <c r="E88" s="12">
        <v>44534</v>
      </c>
      <c r="F88" s="1" t="s">
        <v>71</v>
      </c>
      <c r="G88" s="12">
        <v>44538</v>
      </c>
      <c r="H88" s="125" t="s">
        <v>299</v>
      </c>
      <c r="I88" s="15">
        <v>75</v>
      </c>
      <c r="J88" s="15">
        <v>60</v>
      </c>
      <c r="K88" s="15">
        <v>30</v>
      </c>
      <c r="L88" s="15">
        <v>16</v>
      </c>
      <c r="M88" s="126">
        <v>33.75</v>
      </c>
      <c r="N88" s="95">
        <v>33.75</v>
      </c>
      <c r="O88" s="57">
        <v>7000</v>
      </c>
      <c r="P88" s="58">
        <f t="shared" si="1"/>
        <v>236250</v>
      </c>
    </row>
    <row r="89" spans="1:16" ht="26.25" customHeight="1" x14ac:dyDescent="0.2">
      <c r="A89" s="97"/>
      <c r="B89" s="97"/>
      <c r="C89" s="15" t="s">
        <v>551</v>
      </c>
      <c r="D89" s="70" t="s">
        <v>57</v>
      </c>
      <c r="E89" s="12">
        <v>44534</v>
      </c>
      <c r="F89" s="1" t="s">
        <v>71</v>
      </c>
      <c r="G89" s="12">
        <v>44538</v>
      </c>
      <c r="H89" s="125" t="s">
        <v>299</v>
      </c>
      <c r="I89" s="15">
        <v>77</v>
      </c>
      <c r="J89" s="15">
        <v>50</v>
      </c>
      <c r="K89" s="15">
        <v>32</v>
      </c>
      <c r="L89" s="15">
        <v>7</v>
      </c>
      <c r="M89" s="126">
        <v>30.8</v>
      </c>
      <c r="N89" s="95">
        <v>30.8</v>
      </c>
      <c r="O89" s="57">
        <v>7000</v>
      </c>
      <c r="P89" s="58">
        <f t="shared" si="1"/>
        <v>215600</v>
      </c>
    </row>
    <row r="90" spans="1:16" ht="26.25" customHeight="1" x14ac:dyDescent="0.2">
      <c r="A90" s="97"/>
      <c r="B90" s="97"/>
      <c r="C90" s="15" t="s">
        <v>552</v>
      </c>
      <c r="D90" s="70" t="s">
        <v>57</v>
      </c>
      <c r="E90" s="12">
        <v>44534</v>
      </c>
      <c r="F90" s="1" t="s">
        <v>71</v>
      </c>
      <c r="G90" s="12">
        <v>44538</v>
      </c>
      <c r="H90" s="125" t="s">
        <v>299</v>
      </c>
      <c r="I90" s="15">
        <v>70</v>
      </c>
      <c r="J90" s="15">
        <v>50</v>
      </c>
      <c r="K90" s="15">
        <v>32</v>
      </c>
      <c r="L90" s="15">
        <v>12</v>
      </c>
      <c r="M90" s="126">
        <v>28</v>
      </c>
      <c r="N90" s="95">
        <v>28</v>
      </c>
      <c r="O90" s="57">
        <v>7000</v>
      </c>
      <c r="P90" s="58">
        <f t="shared" si="1"/>
        <v>196000</v>
      </c>
    </row>
    <row r="91" spans="1:16" ht="26.25" customHeight="1" x14ac:dyDescent="0.2">
      <c r="A91" s="97"/>
      <c r="B91" s="97"/>
      <c r="C91" s="15" t="s">
        <v>553</v>
      </c>
      <c r="D91" s="70" t="s">
        <v>57</v>
      </c>
      <c r="E91" s="12">
        <v>44534</v>
      </c>
      <c r="F91" s="1" t="s">
        <v>71</v>
      </c>
      <c r="G91" s="12">
        <v>44538</v>
      </c>
      <c r="H91" s="125" t="s">
        <v>299</v>
      </c>
      <c r="I91" s="15">
        <v>62</v>
      </c>
      <c r="J91" s="15">
        <v>37</v>
      </c>
      <c r="K91" s="15">
        <v>17</v>
      </c>
      <c r="L91" s="15">
        <v>3</v>
      </c>
      <c r="M91" s="126">
        <v>9.7494999999999994</v>
      </c>
      <c r="N91" s="95">
        <v>9.7494999999999994</v>
      </c>
      <c r="O91" s="57">
        <v>7000</v>
      </c>
      <c r="P91" s="58">
        <f t="shared" si="1"/>
        <v>68246.5</v>
      </c>
    </row>
    <row r="92" spans="1:16" ht="26.25" customHeight="1" x14ac:dyDescent="0.2">
      <c r="A92" s="97"/>
      <c r="B92" s="97"/>
      <c r="C92" s="15" t="s">
        <v>554</v>
      </c>
      <c r="D92" s="70" t="s">
        <v>57</v>
      </c>
      <c r="E92" s="12">
        <v>44534</v>
      </c>
      <c r="F92" s="1" t="s">
        <v>71</v>
      </c>
      <c r="G92" s="12">
        <v>44538</v>
      </c>
      <c r="H92" s="125" t="s">
        <v>299</v>
      </c>
      <c r="I92" s="15">
        <v>56</v>
      </c>
      <c r="J92" s="15">
        <v>42</v>
      </c>
      <c r="K92" s="15">
        <v>27</v>
      </c>
      <c r="L92" s="15">
        <v>10</v>
      </c>
      <c r="M92" s="126">
        <v>15.875999999999999</v>
      </c>
      <c r="N92" s="95">
        <v>15.875999999999999</v>
      </c>
      <c r="O92" s="57">
        <v>7000</v>
      </c>
      <c r="P92" s="58">
        <f t="shared" si="1"/>
        <v>111132</v>
      </c>
    </row>
    <row r="93" spans="1:16" ht="26.25" customHeight="1" x14ac:dyDescent="0.2">
      <c r="A93" s="97"/>
      <c r="B93" s="97"/>
      <c r="C93" s="15" t="s">
        <v>555</v>
      </c>
      <c r="D93" s="70" t="s">
        <v>57</v>
      </c>
      <c r="E93" s="12">
        <v>44534</v>
      </c>
      <c r="F93" s="1" t="s">
        <v>71</v>
      </c>
      <c r="G93" s="12">
        <v>44538</v>
      </c>
      <c r="H93" s="125" t="s">
        <v>299</v>
      </c>
      <c r="I93" s="15">
        <v>75</v>
      </c>
      <c r="J93" s="15">
        <v>27</v>
      </c>
      <c r="K93" s="15">
        <v>22</v>
      </c>
      <c r="L93" s="15">
        <v>5</v>
      </c>
      <c r="M93" s="126">
        <v>11.137499999999999</v>
      </c>
      <c r="N93" s="95">
        <v>11.137499999999999</v>
      </c>
      <c r="O93" s="57">
        <v>7000</v>
      </c>
      <c r="P93" s="58">
        <f t="shared" si="1"/>
        <v>77962.5</v>
      </c>
    </row>
    <row r="94" spans="1:16" ht="26.25" customHeight="1" x14ac:dyDescent="0.2">
      <c r="A94" s="97"/>
      <c r="B94" s="97"/>
      <c r="C94" s="15" t="s">
        <v>556</v>
      </c>
      <c r="D94" s="70" t="s">
        <v>57</v>
      </c>
      <c r="E94" s="12">
        <v>44534</v>
      </c>
      <c r="F94" s="1" t="s">
        <v>71</v>
      </c>
      <c r="G94" s="12">
        <v>44538</v>
      </c>
      <c r="H94" s="125" t="s">
        <v>299</v>
      </c>
      <c r="I94" s="15">
        <v>90</v>
      </c>
      <c r="J94" s="15">
        <v>66</v>
      </c>
      <c r="K94" s="15">
        <v>38</v>
      </c>
      <c r="L94" s="15">
        <v>16</v>
      </c>
      <c r="M94" s="126">
        <v>56.43</v>
      </c>
      <c r="N94" s="95">
        <v>57</v>
      </c>
      <c r="O94" s="57">
        <v>7000</v>
      </c>
      <c r="P94" s="58">
        <f t="shared" si="1"/>
        <v>399000</v>
      </c>
    </row>
    <row r="95" spans="1:16" ht="26.25" customHeight="1" x14ac:dyDescent="0.2">
      <c r="A95" s="97"/>
      <c r="B95" s="97"/>
      <c r="C95" s="15" t="s">
        <v>557</v>
      </c>
      <c r="D95" s="70" t="s">
        <v>57</v>
      </c>
      <c r="E95" s="12">
        <v>44534</v>
      </c>
      <c r="F95" s="1" t="s">
        <v>71</v>
      </c>
      <c r="G95" s="12">
        <v>44538</v>
      </c>
      <c r="H95" s="125" t="s">
        <v>299</v>
      </c>
      <c r="I95" s="15">
        <v>66</v>
      </c>
      <c r="J95" s="15">
        <v>52</v>
      </c>
      <c r="K95" s="15">
        <v>6</v>
      </c>
      <c r="L95" s="15">
        <v>2</v>
      </c>
      <c r="M95" s="126">
        <v>5.1479999999999997</v>
      </c>
      <c r="N95" s="95">
        <v>5.1479999999999997</v>
      </c>
      <c r="O95" s="57">
        <v>7000</v>
      </c>
      <c r="P95" s="58">
        <f t="shared" si="1"/>
        <v>36036</v>
      </c>
    </row>
    <row r="96" spans="1:16" ht="26.25" customHeight="1" x14ac:dyDescent="0.2">
      <c r="A96" s="97"/>
      <c r="B96" s="97"/>
      <c r="C96" s="15" t="s">
        <v>558</v>
      </c>
      <c r="D96" s="70" t="s">
        <v>57</v>
      </c>
      <c r="E96" s="12">
        <v>44534</v>
      </c>
      <c r="F96" s="1" t="s">
        <v>71</v>
      </c>
      <c r="G96" s="12">
        <v>44538</v>
      </c>
      <c r="H96" s="125" t="s">
        <v>299</v>
      </c>
      <c r="I96" s="15">
        <v>68</v>
      </c>
      <c r="J96" s="15">
        <v>48</v>
      </c>
      <c r="K96" s="15">
        <v>17</v>
      </c>
      <c r="L96" s="15">
        <v>6</v>
      </c>
      <c r="M96" s="126">
        <v>13.872</v>
      </c>
      <c r="N96" s="95">
        <v>13.872</v>
      </c>
      <c r="O96" s="57">
        <v>7000</v>
      </c>
      <c r="P96" s="58">
        <f t="shared" si="1"/>
        <v>97104</v>
      </c>
    </row>
    <row r="97" spans="1:16" ht="26.25" customHeight="1" x14ac:dyDescent="0.2">
      <c r="A97" s="97"/>
      <c r="B97" s="97"/>
      <c r="C97" s="15" t="s">
        <v>559</v>
      </c>
      <c r="D97" s="70" t="s">
        <v>57</v>
      </c>
      <c r="E97" s="12">
        <v>44534</v>
      </c>
      <c r="F97" s="1" t="s">
        <v>71</v>
      </c>
      <c r="G97" s="12">
        <v>44538</v>
      </c>
      <c r="H97" s="125" t="s">
        <v>299</v>
      </c>
      <c r="I97" s="15">
        <v>84</v>
      </c>
      <c r="J97" s="15">
        <v>67</v>
      </c>
      <c r="K97" s="15">
        <v>22</v>
      </c>
      <c r="L97" s="15">
        <v>13</v>
      </c>
      <c r="M97" s="126">
        <v>30.954000000000001</v>
      </c>
      <c r="N97" s="95">
        <v>30.954000000000001</v>
      </c>
      <c r="O97" s="57">
        <v>7000</v>
      </c>
      <c r="P97" s="58">
        <f t="shared" si="1"/>
        <v>216678</v>
      </c>
    </row>
    <row r="98" spans="1:16" ht="26.25" customHeight="1" x14ac:dyDescent="0.2">
      <c r="A98" s="97"/>
      <c r="B98" s="97"/>
      <c r="C98" s="15" t="s">
        <v>560</v>
      </c>
      <c r="D98" s="70" t="s">
        <v>57</v>
      </c>
      <c r="E98" s="12">
        <v>44534</v>
      </c>
      <c r="F98" s="1" t="s">
        <v>71</v>
      </c>
      <c r="G98" s="12">
        <v>44538</v>
      </c>
      <c r="H98" s="125" t="s">
        <v>299</v>
      </c>
      <c r="I98" s="15">
        <v>60</v>
      </c>
      <c r="J98" s="15">
        <v>43</v>
      </c>
      <c r="K98" s="15">
        <v>20</v>
      </c>
      <c r="L98" s="15">
        <v>6</v>
      </c>
      <c r="M98" s="126">
        <v>12.9</v>
      </c>
      <c r="N98" s="95">
        <v>12.9</v>
      </c>
      <c r="O98" s="57">
        <v>7000</v>
      </c>
      <c r="P98" s="58">
        <f t="shared" si="1"/>
        <v>90300</v>
      </c>
    </row>
    <row r="99" spans="1:16" ht="26.25" customHeight="1" x14ac:dyDescent="0.2">
      <c r="A99" s="97"/>
      <c r="B99" s="97"/>
      <c r="C99" s="15" t="s">
        <v>561</v>
      </c>
      <c r="D99" s="70" t="s">
        <v>57</v>
      </c>
      <c r="E99" s="12">
        <v>44534</v>
      </c>
      <c r="F99" s="1" t="s">
        <v>71</v>
      </c>
      <c r="G99" s="12">
        <v>44538</v>
      </c>
      <c r="H99" s="125" t="s">
        <v>299</v>
      </c>
      <c r="I99" s="15">
        <v>72</v>
      </c>
      <c r="J99" s="15">
        <v>62</v>
      </c>
      <c r="K99" s="15">
        <v>32</v>
      </c>
      <c r="L99" s="15">
        <v>12</v>
      </c>
      <c r="M99" s="126">
        <v>35.712000000000003</v>
      </c>
      <c r="N99" s="95">
        <v>35.712000000000003</v>
      </c>
      <c r="O99" s="57">
        <v>7000</v>
      </c>
      <c r="P99" s="58">
        <f t="shared" si="1"/>
        <v>249984.00000000003</v>
      </c>
    </row>
    <row r="100" spans="1:16" ht="26.25" customHeight="1" x14ac:dyDescent="0.2">
      <c r="A100" s="97"/>
      <c r="B100" s="97"/>
      <c r="C100" s="15" t="s">
        <v>562</v>
      </c>
      <c r="D100" s="70" t="s">
        <v>57</v>
      </c>
      <c r="E100" s="12">
        <v>44534</v>
      </c>
      <c r="F100" s="1" t="s">
        <v>71</v>
      </c>
      <c r="G100" s="12">
        <v>44538</v>
      </c>
      <c r="H100" s="125" t="s">
        <v>299</v>
      </c>
      <c r="I100" s="15">
        <v>90</v>
      </c>
      <c r="J100" s="15">
        <v>55</v>
      </c>
      <c r="K100" s="15">
        <v>35</v>
      </c>
      <c r="L100" s="15">
        <v>21</v>
      </c>
      <c r="M100" s="126">
        <v>43.3125</v>
      </c>
      <c r="N100" s="95">
        <v>44</v>
      </c>
      <c r="O100" s="57">
        <v>7000</v>
      </c>
      <c r="P100" s="58">
        <f t="shared" si="1"/>
        <v>308000</v>
      </c>
    </row>
    <row r="101" spans="1:16" ht="26.25" customHeight="1" x14ac:dyDescent="0.2">
      <c r="A101" s="97"/>
      <c r="B101" s="97"/>
      <c r="C101" s="15" t="s">
        <v>563</v>
      </c>
      <c r="D101" s="70" t="s">
        <v>57</v>
      </c>
      <c r="E101" s="12">
        <v>44534</v>
      </c>
      <c r="F101" s="1" t="s">
        <v>71</v>
      </c>
      <c r="G101" s="12">
        <v>44538</v>
      </c>
      <c r="H101" s="125" t="s">
        <v>299</v>
      </c>
      <c r="I101" s="15">
        <v>75</v>
      </c>
      <c r="J101" s="15">
        <v>50</v>
      </c>
      <c r="K101" s="15">
        <v>26</v>
      </c>
      <c r="L101" s="15">
        <v>8</v>
      </c>
      <c r="M101" s="126">
        <v>24.375</v>
      </c>
      <c r="N101" s="95">
        <v>25</v>
      </c>
      <c r="O101" s="57">
        <v>7000</v>
      </c>
      <c r="P101" s="58">
        <f t="shared" si="1"/>
        <v>175000</v>
      </c>
    </row>
    <row r="102" spans="1:16" ht="26.25" customHeight="1" x14ac:dyDescent="0.2">
      <c r="A102" s="97"/>
      <c r="B102" s="97"/>
      <c r="C102" s="15" t="s">
        <v>564</v>
      </c>
      <c r="D102" s="70" t="s">
        <v>57</v>
      </c>
      <c r="E102" s="12">
        <v>44534</v>
      </c>
      <c r="F102" s="1" t="s">
        <v>71</v>
      </c>
      <c r="G102" s="12">
        <v>44538</v>
      </c>
      <c r="H102" s="125" t="s">
        <v>299</v>
      </c>
      <c r="I102" s="15">
        <v>70</v>
      </c>
      <c r="J102" s="15">
        <v>53</v>
      </c>
      <c r="K102" s="15">
        <v>32</v>
      </c>
      <c r="L102" s="15">
        <v>8</v>
      </c>
      <c r="M102" s="126">
        <v>29.68</v>
      </c>
      <c r="N102" s="95">
        <v>29.68</v>
      </c>
      <c r="O102" s="57">
        <v>7000</v>
      </c>
      <c r="P102" s="58">
        <f t="shared" si="1"/>
        <v>207760</v>
      </c>
    </row>
    <row r="103" spans="1:16" ht="26.25" customHeight="1" x14ac:dyDescent="0.2">
      <c r="A103" s="97"/>
      <c r="B103" s="97"/>
      <c r="C103" s="15" t="s">
        <v>565</v>
      </c>
      <c r="D103" s="70" t="s">
        <v>57</v>
      </c>
      <c r="E103" s="12">
        <v>44534</v>
      </c>
      <c r="F103" s="1" t="s">
        <v>71</v>
      </c>
      <c r="G103" s="12">
        <v>44538</v>
      </c>
      <c r="H103" s="125" t="s">
        <v>299</v>
      </c>
      <c r="I103" s="15">
        <v>62</v>
      </c>
      <c r="J103" s="15">
        <v>62</v>
      </c>
      <c r="K103" s="15">
        <v>10</v>
      </c>
      <c r="L103" s="15">
        <v>4</v>
      </c>
      <c r="M103" s="126">
        <v>9.61</v>
      </c>
      <c r="N103" s="95">
        <v>9.61</v>
      </c>
      <c r="O103" s="57">
        <v>7000</v>
      </c>
      <c r="P103" s="58">
        <f t="shared" si="1"/>
        <v>67270</v>
      </c>
    </row>
    <row r="104" spans="1:16" ht="26.25" customHeight="1" x14ac:dyDescent="0.2">
      <c r="A104" s="97"/>
      <c r="B104" s="97"/>
      <c r="C104" s="15" t="s">
        <v>566</v>
      </c>
      <c r="D104" s="70" t="s">
        <v>57</v>
      </c>
      <c r="E104" s="12">
        <v>44534</v>
      </c>
      <c r="F104" s="1" t="s">
        <v>71</v>
      </c>
      <c r="G104" s="12">
        <v>44538</v>
      </c>
      <c r="H104" s="125" t="s">
        <v>299</v>
      </c>
      <c r="I104" s="15">
        <v>73</v>
      </c>
      <c r="J104" s="15">
        <v>57</v>
      </c>
      <c r="K104" s="15">
        <v>26</v>
      </c>
      <c r="L104" s="15">
        <v>15</v>
      </c>
      <c r="M104" s="126">
        <v>27.046500000000002</v>
      </c>
      <c r="N104" s="95">
        <v>27.046500000000002</v>
      </c>
      <c r="O104" s="57">
        <v>7000</v>
      </c>
      <c r="P104" s="58">
        <f t="shared" si="1"/>
        <v>189325.5</v>
      </c>
    </row>
    <row r="105" spans="1:16" ht="26.25" customHeight="1" x14ac:dyDescent="0.2">
      <c r="A105" s="97"/>
      <c r="B105" s="97"/>
      <c r="C105" s="15" t="s">
        <v>567</v>
      </c>
      <c r="D105" s="70" t="s">
        <v>57</v>
      </c>
      <c r="E105" s="12">
        <v>44534</v>
      </c>
      <c r="F105" s="1" t="s">
        <v>71</v>
      </c>
      <c r="G105" s="12">
        <v>44538</v>
      </c>
      <c r="H105" s="125" t="s">
        <v>299</v>
      </c>
      <c r="I105" s="15">
        <v>57</v>
      </c>
      <c r="J105" s="15">
        <v>44</v>
      </c>
      <c r="K105" s="15">
        <v>18</v>
      </c>
      <c r="L105" s="15">
        <v>5</v>
      </c>
      <c r="M105" s="126">
        <v>11.286</v>
      </c>
      <c r="N105" s="95">
        <v>11.286</v>
      </c>
      <c r="O105" s="57">
        <v>7000</v>
      </c>
      <c r="P105" s="58">
        <f t="shared" si="1"/>
        <v>79002</v>
      </c>
    </row>
    <row r="106" spans="1:16" ht="26.25" customHeight="1" x14ac:dyDescent="0.2">
      <c r="A106" s="97"/>
      <c r="B106" s="97"/>
      <c r="C106" s="15" t="s">
        <v>568</v>
      </c>
      <c r="D106" s="70" t="s">
        <v>57</v>
      </c>
      <c r="E106" s="12">
        <v>44534</v>
      </c>
      <c r="F106" s="1" t="s">
        <v>71</v>
      </c>
      <c r="G106" s="12">
        <v>44538</v>
      </c>
      <c r="H106" s="125" t="s">
        <v>299</v>
      </c>
      <c r="I106" s="15">
        <v>58</v>
      </c>
      <c r="J106" s="15">
        <v>54</v>
      </c>
      <c r="K106" s="15">
        <v>22</v>
      </c>
      <c r="L106" s="15">
        <v>21</v>
      </c>
      <c r="M106" s="126">
        <v>17.225999999999999</v>
      </c>
      <c r="N106" s="95">
        <v>21</v>
      </c>
      <c r="O106" s="57">
        <v>7000</v>
      </c>
      <c r="P106" s="58">
        <f t="shared" si="1"/>
        <v>147000</v>
      </c>
    </row>
    <row r="107" spans="1:16" ht="26.25" customHeight="1" x14ac:dyDescent="0.2">
      <c r="A107" s="97"/>
      <c r="B107" s="97"/>
      <c r="C107" s="15" t="s">
        <v>569</v>
      </c>
      <c r="D107" s="70" t="s">
        <v>57</v>
      </c>
      <c r="E107" s="12">
        <v>44534</v>
      </c>
      <c r="F107" s="1" t="s">
        <v>71</v>
      </c>
      <c r="G107" s="12">
        <v>44538</v>
      </c>
      <c r="H107" s="125" t="s">
        <v>299</v>
      </c>
      <c r="I107" s="15">
        <v>66</v>
      </c>
      <c r="J107" s="15">
        <v>60</v>
      </c>
      <c r="K107" s="15">
        <v>27</v>
      </c>
      <c r="L107" s="15">
        <v>10</v>
      </c>
      <c r="M107" s="126">
        <v>26.73</v>
      </c>
      <c r="N107" s="95">
        <v>26.73</v>
      </c>
      <c r="O107" s="57">
        <v>7000</v>
      </c>
      <c r="P107" s="58">
        <f t="shared" si="1"/>
        <v>187110</v>
      </c>
    </row>
    <row r="108" spans="1:16" ht="26.25" customHeight="1" x14ac:dyDescent="0.2">
      <c r="A108" s="97"/>
      <c r="B108" s="97"/>
      <c r="C108" s="15" t="s">
        <v>570</v>
      </c>
      <c r="D108" s="70" t="s">
        <v>57</v>
      </c>
      <c r="E108" s="12">
        <v>44534</v>
      </c>
      <c r="F108" s="1" t="s">
        <v>71</v>
      </c>
      <c r="G108" s="12">
        <v>44538</v>
      </c>
      <c r="H108" s="125" t="s">
        <v>299</v>
      </c>
      <c r="I108" s="15">
        <v>90</v>
      </c>
      <c r="J108" s="15">
        <v>43</v>
      </c>
      <c r="K108" s="15">
        <v>58</v>
      </c>
      <c r="L108" s="15">
        <v>28</v>
      </c>
      <c r="M108" s="126">
        <v>56.115000000000002</v>
      </c>
      <c r="N108" s="95">
        <v>56.115000000000002</v>
      </c>
      <c r="O108" s="57">
        <v>7000</v>
      </c>
      <c r="P108" s="58">
        <f t="shared" si="1"/>
        <v>392805</v>
      </c>
    </row>
    <row r="109" spans="1:16" ht="26.25" customHeight="1" x14ac:dyDescent="0.2">
      <c r="A109" s="97"/>
      <c r="B109" s="98"/>
      <c r="C109" s="15" t="s">
        <v>571</v>
      </c>
      <c r="D109" s="70" t="s">
        <v>57</v>
      </c>
      <c r="E109" s="12">
        <v>44534</v>
      </c>
      <c r="F109" s="1" t="s">
        <v>71</v>
      </c>
      <c r="G109" s="12">
        <v>44538</v>
      </c>
      <c r="H109" s="125" t="s">
        <v>299</v>
      </c>
      <c r="I109" s="15">
        <v>97</v>
      </c>
      <c r="J109" s="15">
        <v>60</v>
      </c>
      <c r="K109" s="15">
        <v>33</v>
      </c>
      <c r="L109" s="15">
        <v>9</v>
      </c>
      <c r="M109" s="126">
        <v>48.015000000000001</v>
      </c>
      <c r="N109" s="95">
        <v>48.015000000000001</v>
      </c>
      <c r="O109" s="57">
        <v>7000</v>
      </c>
      <c r="P109" s="58">
        <f t="shared" si="1"/>
        <v>336105</v>
      </c>
    </row>
    <row r="110" spans="1:16" ht="26.25" customHeight="1" x14ac:dyDescent="0.2">
      <c r="A110" s="97"/>
      <c r="B110" s="97" t="s">
        <v>572</v>
      </c>
      <c r="C110" s="15" t="s">
        <v>573</v>
      </c>
      <c r="D110" s="70" t="s">
        <v>57</v>
      </c>
      <c r="E110" s="12">
        <v>44534</v>
      </c>
      <c r="F110" s="1" t="s">
        <v>71</v>
      </c>
      <c r="G110" s="12">
        <v>44538</v>
      </c>
      <c r="H110" s="125" t="s">
        <v>299</v>
      </c>
      <c r="I110" s="15">
        <v>87</v>
      </c>
      <c r="J110" s="15">
        <v>50</v>
      </c>
      <c r="K110" s="15">
        <v>37</v>
      </c>
      <c r="L110" s="15">
        <v>17</v>
      </c>
      <c r="M110" s="126">
        <v>40.237499999999997</v>
      </c>
      <c r="N110" s="95">
        <v>40.237499999999997</v>
      </c>
      <c r="O110" s="57">
        <v>7000</v>
      </c>
      <c r="P110" s="58">
        <f t="shared" si="1"/>
        <v>281662.5</v>
      </c>
    </row>
    <row r="111" spans="1:16" ht="26.25" customHeight="1" x14ac:dyDescent="0.2">
      <c r="A111" s="97"/>
      <c r="B111" s="97"/>
      <c r="C111" s="15" t="s">
        <v>574</v>
      </c>
      <c r="D111" s="70" t="s">
        <v>57</v>
      </c>
      <c r="E111" s="12">
        <v>44534</v>
      </c>
      <c r="F111" s="1" t="s">
        <v>71</v>
      </c>
      <c r="G111" s="12">
        <v>44538</v>
      </c>
      <c r="H111" s="125" t="s">
        <v>299</v>
      </c>
      <c r="I111" s="15">
        <v>40</v>
      </c>
      <c r="J111" s="15">
        <v>30</v>
      </c>
      <c r="K111" s="15">
        <v>6</v>
      </c>
      <c r="L111" s="15">
        <v>1</v>
      </c>
      <c r="M111" s="126">
        <v>1.8</v>
      </c>
      <c r="N111" s="95">
        <v>1.8</v>
      </c>
      <c r="O111" s="57">
        <v>7000</v>
      </c>
      <c r="P111" s="58">
        <f t="shared" si="1"/>
        <v>12600</v>
      </c>
    </row>
    <row r="112" spans="1:16" ht="26.25" customHeight="1" x14ac:dyDescent="0.2">
      <c r="A112" s="97"/>
      <c r="B112" s="97"/>
      <c r="C112" s="15" t="s">
        <v>575</v>
      </c>
      <c r="D112" s="70" t="s">
        <v>57</v>
      </c>
      <c r="E112" s="12">
        <v>44534</v>
      </c>
      <c r="F112" s="1" t="s">
        <v>71</v>
      </c>
      <c r="G112" s="12">
        <v>44538</v>
      </c>
      <c r="H112" s="125" t="s">
        <v>299</v>
      </c>
      <c r="I112" s="15">
        <v>55</v>
      </c>
      <c r="J112" s="15">
        <v>42</v>
      </c>
      <c r="K112" s="15">
        <v>24</v>
      </c>
      <c r="L112" s="15">
        <v>6</v>
      </c>
      <c r="M112" s="126">
        <v>13.86</v>
      </c>
      <c r="N112" s="95">
        <v>13.86</v>
      </c>
      <c r="O112" s="57">
        <v>7000</v>
      </c>
      <c r="P112" s="58">
        <f t="shared" si="1"/>
        <v>97020</v>
      </c>
    </row>
    <row r="113" spans="1:16" ht="26.25" customHeight="1" x14ac:dyDescent="0.2">
      <c r="A113" s="97"/>
      <c r="B113" s="97"/>
      <c r="C113" s="15" t="s">
        <v>576</v>
      </c>
      <c r="D113" s="70" t="s">
        <v>57</v>
      </c>
      <c r="E113" s="12">
        <v>44534</v>
      </c>
      <c r="F113" s="1" t="s">
        <v>71</v>
      </c>
      <c r="G113" s="12">
        <v>44538</v>
      </c>
      <c r="H113" s="125" t="s">
        <v>299</v>
      </c>
      <c r="I113" s="15">
        <v>47</v>
      </c>
      <c r="J113" s="15">
        <v>30</v>
      </c>
      <c r="K113" s="15">
        <v>25</v>
      </c>
      <c r="L113" s="15">
        <v>8</v>
      </c>
      <c r="M113" s="126">
        <v>8.8125</v>
      </c>
      <c r="N113" s="95">
        <v>8.8125</v>
      </c>
      <c r="O113" s="57">
        <v>7000</v>
      </c>
      <c r="P113" s="58">
        <f t="shared" si="1"/>
        <v>61687.5</v>
      </c>
    </row>
    <row r="114" spans="1:16" ht="26.25" customHeight="1" x14ac:dyDescent="0.2">
      <c r="A114" s="97"/>
      <c r="B114" s="97"/>
      <c r="C114" s="15" t="s">
        <v>577</v>
      </c>
      <c r="D114" s="70" t="s">
        <v>57</v>
      </c>
      <c r="E114" s="12">
        <v>44534</v>
      </c>
      <c r="F114" s="1" t="s">
        <v>71</v>
      </c>
      <c r="G114" s="12">
        <v>44538</v>
      </c>
      <c r="H114" s="125" t="s">
        <v>299</v>
      </c>
      <c r="I114" s="15">
        <v>37</v>
      </c>
      <c r="J114" s="15">
        <v>37</v>
      </c>
      <c r="K114" s="15">
        <v>6</v>
      </c>
      <c r="L114" s="15">
        <v>1</v>
      </c>
      <c r="M114" s="126">
        <v>2.0535000000000001</v>
      </c>
      <c r="N114" s="95">
        <v>2.0535000000000001</v>
      </c>
      <c r="O114" s="57">
        <v>7000</v>
      </c>
      <c r="P114" s="58">
        <f t="shared" si="1"/>
        <v>14374.5</v>
      </c>
    </row>
    <row r="115" spans="1:16" ht="26.25" customHeight="1" x14ac:dyDescent="0.2">
      <c r="A115" s="97"/>
      <c r="B115" s="97"/>
      <c r="C115" s="15" t="s">
        <v>578</v>
      </c>
      <c r="D115" s="70" t="s">
        <v>57</v>
      </c>
      <c r="E115" s="12">
        <v>44534</v>
      </c>
      <c r="F115" s="1" t="s">
        <v>71</v>
      </c>
      <c r="G115" s="12">
        <v>44538</v>
      </c>
      <c r="H115" s="125" t="s">
        <v>299</v>
      </c>
      <c r="I115" s="15">
        <v>98</v>
      </c>
      <c r="J115" s="15">
        <v>50</v>
      </c>
      <c r="K115" s="15">
        <v>42</v>
      </c>
      <c r="L115" s="15">
        <v>14</v>
      </c>
      <c r="M115" s="126">
        <v>51.45</v>
      </c>
      <c r="N115" s="95">
        <v>52</v>
      </c>
      <c r="O115" s="57">
        <v>7000</v>
      </c>
      <c r="P115" s="58">
        <f t="shared" si="1"/>
        <v>364000</v>
      </c>
    </row>
    <row r="116" spans="1:16" ht="26.25" customHeight="1" x14ac:dyDescent="0.2">
      <c r="A116" s="97"/>
      <c r="B116" s="97"/>
      <c r="C116" s="15" t="s">
        <v>579</v>
      </c>
      <c r="D116" s="70" t="s">
        <v>57</v>
      </c>
      <c r="E116" s="12">
        <v>44534</v>
      </c>
      <c r="F116" s="1" t="s">
        <v>71</v>
      </c>
      <c r="G116" s="12">
        <v>44538</v>
      </c>
      <c r="H116" s="125" t="s">
        <v>299</v>
      </c>
      <c r="I116" s="15">
        <v>46</v>
      </c>
      <c r="J116" s="15">
        <v>40</v>
      </c>
      <c r="K116" s="15">
        <v>15</v>
      </c>
      <c r="L116" s="15">
        <v>4</v>
      </c>
      <c r="M116" s="126">
        <v>6.9</v>
      </c>
      <c r="N116" s="95">
        <v>6.9</v>
      </c>
      <c r="O116" s="57">
        <v>7000</v>
      </c>
      <c r="P116" s="58">
        <f t="shared" si="1"/>
        <v>48300</v>
      </c>
    </row>
    <row r="117" spans="1:16" ht="26.25" customHeight="1" x14ac:dyDescent="0.2">
      <c r="A117" s="97"/>
      <c r="B117" s="97"/>
      <c r="C117" s="15" t="s">
        <v>580</v>
      </c>
      <c r="D117" s="70" t="s">
        <v>57</v>
      </c>
      <c r="E117" s="12">
        <v>44534</v>
      </c>
      <c r="F117" s="1" t="s">
        <v>71</v>
      </c>
      <c r="G117" s="12">
        <v>44538</v>
      </c>
      <c r="H117" s="125" t="s">
        <v>299</v>
      </c>
      <c r="I117" s="15">
        <v>68</v>
      </c>
      <c r="J117" s="15">
        <v>48</v>
      </c>
      <c r="K117" s="15">
        <v>58</v>
      </c>
      <c r="L117" s="15">
        <v>30</v>
      </c>
      <c r="M117" s="126">
        <v>47.328000000000003</v>
      </c>
      <c r="N117" s="95">
        <v>48</v>
      </c>
      <c r="O117" s="57">
        <v>7000</v>
      </c>
      <c r="P117" s="58">
        <f t="shared" si="1"/>
        <v>336000</v>
      </c>
    </row>
    <row r="118" spans="1:16" ht="22.5" customHeight="1" x14ac:dyDescent="0.2">
      <c r="A118" s="159" t="s">
        <v>30</v>
      </c>
      <c r="B118" s="160"/>
      <c r="C118" s="160"/>
      <c r="D118" s="160"/>
      <c r="E118" s="160"/>
      <c r="F118" s="160"/>
      <c r="G118" s="160"/>
      <c r="H118" s="160"/>
      <c r="I118" s="160"/>
      <c r="J118" s="160"/>
      <c r="K118" s="160"/>
      <c r="L118" s="161"/>
      <c r="M118" s="71">
        <f>SUBTOTAL(109,Table22457891011234567891011[KG VOLUME])</f>
        <v>2326.3107500000006</v>
      </c>
      <c r="N118" s="61">
        <f>SUM(N3:N117)</f>
        <v>2424.3525000000004</v>
      </c>
      <c r="O118" s="162">
        <f>SUM(P3:P117)</f>
        <v>16970467.5</v>
      </c>
      <c r="P118" s="163"/>
    </row>
    <row r="119" spans="1:16" ht="18" customHeight="1" x14ac:dyDescent="0.2">
      <c r="A119" s="78"/>
      <c r="B119" s="49" t="s">
        <v>42</v>
      </c>
      <c r="C119" s="48"/>
      <c r="D119" s="50" t="s">
        <v>43</v>
      </c>
      <c r="E119" s="78"/>
      <c r="F119" s="78"/>
      <c r="G119" s="78"/>
      <c r="H119" s="78"/>
      <c r="I119" s="78"/>
      <c r="J119" s="78"/>
      <c r="K119" s="78"/>
      <c r="L119" s="78"/>
      <c r="M119" s="79"/>
      <c r="N119" s="80" t="s">
        <v>52</v>
      </c>
      <c r="O119" s="81"/>
      <c r="P119" s="81">
        <v>0</v>
      </c>
    </row>
    <row r="120" spans="1:16" ht="18" customHeight="1" thickBot="1" x14ac:dyDescent="0.25">
      <c r="A120" s="78"/>
      <c r="B120" s="49"/>
      <c r="C120" s="48"/>
      <c r="D120" s="50"/>
      <c r="E120" s="78"/>
      <c r="F120" s="78"/>
      <c r="G120" s="78"/>
      <c r="H120" s="78"/>
      <c r="I120" s="78"/>
      <c r="J120" s="78"/>
      <c r="K120" s="78"/>
      <c r="L120" s="78"/>
      <c r="M120" s="79"/>
      <c r="N120" s="82" t="s">
        <v>53</v>
      </c>
      <c r="O120" s="83"/>
      <c r="P120" s="83">
        <f>O118-P119</f>
        <v>16970467.5</v>
      </c>
    </row>
    <row r="121" spans="1:16" ht="18" customHeight="1" x14ac:dyDescent="0.2">
      <c r="A121" s="10"/>
      <c r="H121" s="56"/>
      <c r="N121" s="55" t="s">
        <v>31</v>
      </c>
      <c r="P121" s="62">
        <f>P120*1%</f>
        <v>169704.67500000002</v>
      </c>
    </row>
    <row r="122" spans="1:16" ht="18" customHeight="1" thickBot="1" x14ac:dyDescent="0.25">
      <c r="A122" s="10"/>
      <c r="H122" s="56"/>
      <c r="N122" s="55" t="s">
        <v>54</v>
      </c>
      <c r="P122" s="64">
        <f>P120*2%</f>
        <v>339409.35000000003</v>
      </c>
    </row>
    <row r="123" spans="1:16" ht="18" customHeight="1" x14ac:dyDescent="0.2">
      <c r="A123" s="10"/>
      <c r="H123" s="56"/>
      <c r="N123" s="59" t="s">
        <v>32</v>
      </c>
      <c r="O123" s="60"/>
      <c r="P123" s="63">
        <f>P120+P121-P122</f>
        <v>16800762.824999999</v>
      </c>
    </row>
    <row r="125" spans="1:16" x14ac:dyDescent="0.2">
      <c r="A125" s="10"/>
      <c r="H125" s="56"/>
      <c r="P125" s="64"/>
    </row>
    <row r="126" spans="1:16" x14ac:dyDescent="0.2">
      <c r="A126" s="10"/>
      <c r="H126" s="56"/>
      <c r="O126" s="51"/>
      <c r="P126" s="64"/>
    </row>
    <row r="127" spans="1:16" s="3" customFormat="1" x14ac:dyDescent="0.25">
      <c r="A127" s="10"/>
      <c r="B127" s="2"/>
      <c r="C127" s="2"/>
      <c r="E127" s="11"/>
      <c r="H127" s="56"/>
      <c r="N127" s="14"/>
      <c r="O127" s="14"/>
      <c r="P127" s="14"/>
    </row>
    <row r="128" spans="1:16" s="3" customFormat="1" x14ac:dyDescent="0.25">
      <c r="A128" s="10"/>
      <c r="B128" s="2"/>
      <c r="C128" s="2"/>
      <c r="E128" s="11"/>
      <c r="H128" s="56"/>
      <c r="N128" s="14"/>
      <c r="O128" s="14"/>
      <c r="P128" s="14"/>
    </row>
    <row r="129" spans="1:16" s="3" customFormat="1" x14ac:dyDescent="0.25">
      <c r="A129" s="10"/>
      <c r="B129" s="2"/>
      <c r="C129" s="2"/>
      <c r="E129" s="11"/>
      <c r="H129" s="56"/>
      <c r="N129" s="14"/>
      <c r="O129" s="14"/>
      <c r="P129" s="14"/>
    </row>
    <row r="130" spans="1:16" s="3" customFormat="1" x14ac:dyDescent="0.25">
      <c r="A130" s="10"/>
      <c r="B130" s="2"/>
      <c r="C130" s="2"/>
      <c r="E130" s="11"/>
      <c r="H130" s="56"/>
      <c r="N130" s="14"/>
      <c r="O130" s="14"/>
      <c r="P130" s="14"/>
    </row>
    <row r="131" spans="1:16" s="3" customFormat="1" x14ac:dyDescent="0.25">
      <c r="A131" s="10"/>
      <c r="B131" s="2"/>
      <c r="C131" s="2"/>
      <c r="E131" s="11"/>
      <c r="H131" s="56"/>
      <c r="N131" s="14"/>
      <c r="O131" s="14"/>
      <c r="P131" s="14"/>
    </row>
    <row r="132" spans="1:16" s="3" customFormat="1" x14ac:dyDescent="0.25">
      <c r="A132" s="10"/>
      <c r="B132" s="2"/>
      <c r="C132" s="2"/>
      <c r="E132" s="11"/>
      <c r="H132" s="56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56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6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6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6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6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6"/>
      <c r="N138" s="14"/>
      <c r="O138" s="14"/>
      <c r="P138" s="14"/>
    </row>
  </sheetData>
  <mergeCells count="2">
    <mergeCell ref="A118:L118"/>
    <mergeCell ref="O118:P118"/>
  </mergeCells>
  <conditionalFormatting sqref="C3:C117">
    <cfRule type="duplicateValues" dxfId="1443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I9" sqref="I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6">
        <v>405812</v>
      </c>
      <c r="B3" s="99" t="s">
        <v>581</v>
      </c>
      <c r="C3" s="90" t="s">
        <v>582</v>
      </c>
      <c r="D3" s="102" t="s">
        <v>57</v>
      </c>
      <c r="E3" s="91">
        <v>44534</v>
      </c>
      <c r="F3" s="90" t="s">
        <v>71</v>
      </c>
      <c r="G3" s="91">
        <v>44538</v>
      </c>
      <c r="H3" s="1" t="s">
        <v>299</v>
      </c>
      <c r="I3" s="90">
        <v>93</v>
      </c>
      <c r="J3" s="90">
        <v>70</v>
      </c>
      <c r="K3" s="90">
        <v>24</v>
      </c>
      <c r="L3" s="90">
        <v>23</v>
      </c>
      <c r="M3" s="92">
        <v>39.06</v>
      </c>
      <c r="N3" s="104">
        <v>39.06</v>
      </c>
      <c r="O3" s="57">
        <v>7000</v>
      </c>
      <c r="P3" s="58">
        <f t="shared" ref="P3:P28" si="0">N3*O3</f>
        <v>273420</v>
      </c>
    </row>
    <row r="4" spans="1:16" ht="26.25" customHeight="1" x14ac:dyDescent="0.2">
      <c r="A4" s="100"/>
      <c r="B4" s="100"/>
      <c r="C4" s="90" t="s">
        <v>583</v>
      </c>
      <c r="D4" s="102" t="s">
        <v>57</v>
      </c>
      <c r="E4" s="91">
        <v>44534</v>
      </c>
      <c r="F4" s="90" t="s">
        <v>71</v>
      </c>
      <c r="G4" s="91">
        <v>44538</v>
      </c>
      <c r="H4" s="1" t="s">
        <v>299</v>
      </c>
      <c r="I4" s="90">
        <v>50</v>
      </c>
      <c r="J4" s="90">
        <v>45</v>
      </c>
      <c r="K4" s="90">
        <v>35</v>
      </c>
      <c r="L4" s="90">
        <v>9</v>
      </c>
      <c r="M4" s="92">
        <v>19.6875</v>
      </c>
      <c r="N4" s="104">
        <v>19.6875</v>
      </c>
      <c r="O4" s="57">
        <v>7000</v>
      </c>
      <c r="P4" s="58">
        <f t="shared" si="0"/>
        <v>137812.5</v>
      </c>
    </row>
    <row r="5" spans="1:16" ht="26.25" customHeight="1" x14ac:dyDescent="0.2">
      <c r="A5" s="100"/>
      <c r="B5" s="100"/>
      <c r="C5" s="15" t="s">
        <v>584</v>
      </c>
      <c r="D5" s="127" t="s">
        <v>57</v>
      </c>
      <c r="E5" s="128">
        <v>44534</v>
      </c>
      <c r="F5" s="129" t="s">
        <v>71</v>
      </c>
      <c r="G5" s="128">
        <v>44538</v>
      </c>
      <c r="H5" s="130" t="s">
        <v>299</v>
      </c>
      <c r="I5" s="131">
        <v>72</v>
      </c>
      <c r="J5" s="131">
        <v>42</v>
      </c>
      <c r="K5" s="131">
        <v>17</v>
      </c>
      <c r="L5" s="131">
        <v>2</v>
      </c>
      <c r="M5" s="73">
        <v>12.852</v>
      </c>
      <c r="N5" s="104">
        <v>12.852</v>
      </c>
      <c r="O5" s="57">
        <v>7000</v>
      </c>
      <c r="P5" s="58">
        <f t="shared" si="0"/>
        <v>89964</v>
      </c>
    </row>
    <row r="6" spans="1:16" ht="26.25" customHeight="1" x14ac:dyDescent="0.2">
      <c r="A6" s="100"/>
      <c r="B6" s="100"/>
      <c r="C6" s="15" t="s">
        <v>585</v>
      </c>
      <c r="D6" s="127" t="s">
        <v>57</v>
      </c>
      <c r="E6" s="128">
        <v>44534</v>
      </c>
      <c r="F6" s="129" t="s">
        <v>71</v>
      </c>
      <c r="G6" s="128">
        <v>44538</v>
      </c>
      <c r="H6" s="130" t="s">
        <v>299</v>
      </c>
      <c r="I6" s="131">
        <v>42</v>
      </c>
      <c r="J6" s="131">
        <v>31</v>
      </c>
      <c r="K6" s="131">
        <v>31</v>
      </c>
      <c r="L6" s="131">
        <v>1</v>
      </c>
      <c r="M6" s="73">
        <v>10.0905</v>
      </c>
      <c r="N6" s="104">
        <v>10.0905</v>
      </c>
      <c r="O6" s="57">
        <v>7000</v>
      </c>
      <c r="P6" s="58">
        <f t="shared" si="0"/>
        <v>70633.5</v>
      </c>
    </row>
    <row r="7" spans="1:16" ht="26.25" customHeight="1" x14ac:dyDescent="0.2">
      <c r="A7" s="100"/>
      <c r="B7" s="100"/>
      <c r="C7" s="15" t="s">
        <v>586</v>
      </c>
      <c r="D7" s="127" t="s">
        <v>57</v>
      </c>
      <c r="E7" s="128">
        <v>44534</v>
      </c>
      <c r="F7" s="129" t="s">
        <v>71</v>
      </c>
      <c r="G7" s="128">
        <v>44538</v>
      </c>
      <c r="H7" s="130" t="s">
        <v>299</v>
      </c>
      <c r="I7" s="131">
        <v>150</v>
      </c>
      <c r="J7" s="131">
        <v>34</v>
      </c>
      <c r="K7" s="131">
        <v>14</v>
      </c>
      <c r="L7" s="131">
        <v>8</v>
      </c>
      <c r="M7" s="73">
        <v>17.850000000000001</v>
      </c>
      <c r="N7" s="104">
        <v>17.850000000000001</v>
      </c>
      <c r="O7" s="57">
        <v>7000</v>
      </c>
      <c r="P7" s="58">
        <f t="shared" si="0"/>
        <v>124950.00000000001</v>
      </c>
    </row>
    <row r="8" spans="1:16" ht="26.25" customHeight="1" x14ac:dyDescent="0.2">
      <c r="A8" s="100"/>
      <c r="B8" s="100"/>
      <c r="C8" s="15" t="s">
        <v>587</v>
      </c>
      <c r="D8" s="127" t="s">
        <v>57</v>
      </c>
      <c r="E8" s="128">
        <v>44534</v>
      </c>
      <c r="F8" s="129" t="s">
        <v>71</v>
      </c>
      <c r="G8" s="128">
        <v>44538</v>
      </c>
      <c r="H8" s="130" t="s">
        <v>299</v>
      </c>
      <c r="I8" s="131">
        <v>103</v>
      </c>
      <c r="J8" s="131">
        <v>30</v>
      </c>
      <c r="K8" s="131">
        <v>10</v>
      </c>
      <c r="L8" s="131">
        <v>20</v>
      </c>
      <c r="M8" s="73">
        <v>7.7249999999999996</v>
      </c>
      <c r="N8" s="104">
        <v>20</v>
      </c>
      <c r="O8" s="57">
        <v>7000</v>
      </c>
      <c r="P8" s="58">
        <f t="shared" si="0"/>
        <v>140000</v>
      </c>
    </row>
    <row r="9" spans="1:16" ht="26.25" customHeight="1" x14ac:dyDescent="0.2">
      <c r="A9" s="100"/>
      <c r="B9" s="100"/>
      <c r="C9" s="15" t="s">
        <v>588</v>
      </c>
      <c r="D9" s="127" t="s">
        <v>57</v>
      </c>
      <c r="E9" s="128">
        <v>44534</v>
      </c>
      <c r="F9" s="129" t="s">
        <v>71</v>
      </c>
      <c r="G9" s="128">
        <v>44538</v>
      </c>
      <c r="H9" s="130" t="s">
        <v>299</v>
      </c>
      <c r="I9" s="131">
        <v>121</v>
      </c>
      <c r="J9" s="131">
        <v>25</v>
      </c>
      <c r="K9" s="131">
        <v>10</v>
      </c>
      <c r="L9" s="131">
        <v>13</v>
      </c>
      <c r="M9" s="73">
        <v>7.5625</v>
      </c>
      <c r="N9" s="104">
        <v>13</v>
      </c>
      <c r="O9" s="57">
        <v>7000</v>
      </c>
      <c r="P9" s="58">
        <f t="shared" si="0"/>
        <v>91000</v>
      </c>
    </row>
    <row r="10" spans="1:16" ht="26.25" customHeight="1" x14ac:dyDescent="0.2">
      <c r="A10" s="100"/>
      <c r="B10" s="100"/>
      <c r="C10" s="15" t="s">
        <v>589</v>
      </c>
      <c r="D10" s="127" t="s">
        <v>57</v>
      </c>
      <c r="E10" s="128">
        <v>44534</v>
      </c>
      <c r="F10" s="129" t="s">
        <v>71</v>
      </c>
      <c r="G10" s="128">
        <v>44538</v>
      </c>
      <c r="H10" s="130" t="s">
        <v>299</v>
      </c>
      <c r="I10" s="131">
        <v>128</v>
      </c>
      <c r="J10" s="131">
        <v>7</v>
      </c>
      <c r="K10" s="131">
        <v>7</v>
      </c>
      <c r="L10" s="131">
        <v>2</v>
      </c>
      <c r="M10" s="73">
        <v>1.5680000000000001</v>
      </c>
      <c r="N10" s="104">
        <v>2</v>
      </c>
      <c r="O10" s="57">
        <v>7000</v>
      </c>
      <c r="P10" s="58">
        <f t="shared" si="0"/>
        <v>14000</v>
      </c>
    </row>
    <row r="11" spans="1:16" ht="26.25" customHeight="1" x14ac:dyDescent="0.2">
      <c r="A11" s="100"/>
      <c r="B11" s="100"/>
      <c r="C11" s="15" t="s">
        <v>590</v>
      </c>
      <c r="D11" s="127" t="s">
        <v>57</v>
      </c>
      <c r="E11" s="128">
        <v>44534</v>
      </c>
      <c r="F11" s="129" t="s">
        <v>71</v>
      </c>
      <c r="G11" s="128">
        <v>44538</v>
      </c>
      <c r="H11" s="130" t="s">
        <v>299</v>
      </c>
      <c r="I11" s="131">
        <v>62</v>
      </c>
      <c r="J11" s="131">
        <v>23</v>
      </c>
      <c r="K11" s="131">
        <v>23</v>
      </c>
      <c r="L11" s="131">
        <v>1</v>
      </c>
      <c r="M11" s="73">
        <v>8.1995000000000005</v>
      </c>
      <c r="N11" s="104">
        <v>8.1995000000000005</v>
      </c>
      <c r="O11" s="57">
        <v>7000</v>
      </c>
      <c r="P11" s="58">
        <f t="shared" si="0"/>
        <v>57396.5</v>
      </c>
    </row>
    <row r="12" spans="1:16" ht="26.25" customHeight="1" x14ac:dyDescent="0.2">
      <c r="A12" s="100"/>
      <c r="B12" s="100"/>
      <c r="C12" s="15" t="s">
        <v>591</v>
      </c>
      <c r="D12" s="127" t="s">
        <v>57</v>
      </c>
      <c r="E12" s="128">
        <v>44534</v>
      </c>
      <c r="F12" s="129" t="s">
        <v>71</v>
      </c>
      <c r="G12" s="128">
        <v>44538</v>
      </c>
      <c r="H12" s="130" t="s">
        <v>299</v>
      </c>
      <c r="I12" s="131">
        <v>36</v>
      </c>
      <c r="J12" s="131">
        <v>34</v>
      </c>
      <c r="K12" s="131">
        <v>24</v>
      </c>
      <c r="L12" s="131">
        <v>10</v>
      </c>
      <c r="M12" s="73">
        <v>7.3440000000000003</v>
      </c>
      <c r="N12" s="104">
        <v>11</v>
      </c>
      <c r="O12" s="57">
        <v>7000</v>
      </c>
      <c r="P12" s="58">
        <f t="shared" si="0"/>
        <v>77000</v>
      </c>
    </row>
    <row r="13" spans="1:16" ht="26.25" customHeight="1" x14ac:dyDescent="0.2">
      <c r="A13" s="100"/>
      <c r="B13" s="100"/>
      <c r="C13" s="15" t="s">
        <v>592</v>
      </c>
      <c r="D13" s="127" t="s">
        <v>57</v>
      </c>
      <c r="E13" s="128">
        <v>44534</v>
      </c>
      <c r="F13" s="129" t="s">
        <v>71</v>
      </c>
      <c r="G13" s="128">
        <v>44538</v>
      </c>
      <c r="H13" s="130" t="s">
        <v>299</v>
      </c>
      <c r="I13" s="131">
        <v>46</v>
      </c>
      <c r="J13" s="131">
        <v>32</v>
      </c>
      <c r="K13" s="131">
        <v>26</v>
      </c>
      <c r="L13" s="131">
        <v>5</v>
      </c>
      <c r="M13" s="73">
        <v>9.5679999999999996</v>
      </c>
      <c r="N13" s="104">
        <v>9.5679999999999996</v>
      </c>
      <c r="O13" s="57">
        <v>7000</v>
      </c>
      <c r="P13" s="58">
        <f t="shared" si="0"/>
        <v>66976</v>
      </c>
    </row>
    <row r="14" spans="1:16" ht="26.25" customHeight="1" x14ac:dyDescent="0.2">
      <c r="A14" s="100"/>
      <c r="B14" s="100"/>
      <c r="C14" s="15" t="s">
        <v>593</v>
      </c>
      <c r="D14" s="127" t="s">
        <v>57</v>
      </c>
      <c r="E14" s="128">
        <v>44534</v>
      </c>
      <c r="F14" s="129" t="s">
        <v>71</v>
      </c>
      <c r="G14" s="128">
        <v>44538</v>
      </c>
      <c r="H14" s="130" t="s">
        <v>299</v>
      </c>
      <c r="I14" s="131">
        <v>152</v>
      </c>
      <c r="J14" s="131">
        <v>8</v>
      </c>
      <c r="K14" s="131">
        <v>8</v>
      </c>
      <c r="L14" s="131">
        <v>1</v>
      </c>
      <c r="M14" s="73">
        <v>2.4319999999999999</v>
      </c>
      <c r="N14" s="104">
        <v>3</v>
      </c>
      <c r="O14" s="57">
        <v>7000</v>
      </c>
      <c r="P14" s="58">
        <f t="shared" si="0"/>
        <v>21000</v>
      </c>
    </row>
    <row r="15" spans="1:16" ht="26.25" customHeight="1" x14ac:dyDescent="0.2">
      <c r="A15" s="100"/>
      <c r="B15" s="100"/>
      <c r="C15" s="15" t="s">
        <v>594</v>
      </c>
      <c r="D15" s="127" t="s">
        <v>57</v>
      </c>
      <c r="E15" s="128">
        <v>44534</v>
      </c>
      <c r="F15" s="129" t="s">
        <v>71</v>
      </c>
      <c r="G15" s="128">
        <v>44538</v>
      </c>
      <c r="H15" s="130" t="s">
        <v>299</v>
      </c>
      <c r="I15" s="131">
        <v>125</v>
      </c>
      <c r="J15" s="131">
        <v>15</v>
      </c>
      <c r="K15" s="131">
        <v>12</v>
      </c>
      <c r="L15" s="131">
        <v>6</v>
      </c>
      <c r="M15" s="73">
        <v>5.625</v>
      </c>
      <c r="N15" s="104">
        <v>6</v>
      </c>
      <c r="O15" s="57">
        <v>7000</v>
      </c>
      <c r="P15" s="58">
        <f t="shared" si="0"/>
        <v>42000</v>
      </c>
    </row>
    <row r="16" spans="1:16" ht="26.25" customHeight="1" x14ac:dyDescent="0.2">
      <c r="A16" s="100"/>
      <c r="B16" s="100"/>
      <c r="C16" s="15" t="s">
        <v>595</v>
      </c>
      <c r="D16" s="127" t="s">
        <v>57</v>
      </c>
      <c r="E16" s="128">
        <v>44534</v>
      </c>
      <c r="F16" s="129" t="s">
        <v>71</v>
      </c>
      <c r="G16" s="128">
        <v>44538</v>
      </c>
      <c r="H16" s="130" t="s">
        <v>299</v>
      </c>
      <c r="I16" s="131">
        <v>41</v>
      </c>
      <c r="J16" s="131">
        <v>40</v>
      </c>
      <c r="K16" s="131">
        <v>22</v>
      </c>
      <c r="L16" s="131">
        <v>6</v>
      </c>
      <c r="M16" s="73">
        <v>9.02</v>
      </c>
      <c r="N16" s="104">
        <v>9.02</v>
      </c>
      <c r="O16" s="57">
        <v>7000</v>
      </c>
      <c r="P16" s="58">
        <f t="shared" si="0"/>
        <v>63140</v>
      </c>
    </row>
    <row r="17" spans="1:16" ht="26.25" customHeight="1" x14ac:dyDescent="0.2">
      <c r="A17" s="100"/>
      <c r="B17" s="100"/>
      <c r="C17" s="15" t="s">
        <v>596</v>
      </c>
      <c r="D17" s="127" t="s">
        <v>57</v>
      </c>
      <c r="E17" s="128">
        <v>44534</v>
      </c>
      <c r="F17" s="129" t="s">
        <v>71</v>
      </c>
      <c r="G17" s="128">
        <v>44538</v>
      </c>
      <c r="H17" s="130" t="s">
        <v>299</v>
      </c>
      <c r="I17" s="131">
        <v>58</v>
      </c>
      <c r="J17" s="131">
        <v>39</v>
      </c>
      <c r="K17" s="131">
        <v>20</v>
      </c>
      <c r="L17" s="131">
        <v>12</v>
      </c>
      <c r="M17" s="73">
        <v>11.31</v>
      </c>
      <c r="N17" s="104">
        <v>13</v>
      </c>
      <c r="O17" s="57">
        <v>7000</v>
      </c>
      <c r="P17" s="58">
        <f t="shared" si="0"/>
        <v>91000</v>
      </c>
    </row>
    <row r="18" spans="1:16" ht="26.25" customHeight="1" x14ac:dyDescent="0.2">
      <c r="A18" s="100"/>
      <c r="B18" s="100"/>
      <c r="C18" s="15" t="s">
        <v>597</v>
      </c>
      <c r="D18" s="127" t="s">
        <v>57</v>
      </c>
      <c r="E18" s="128">
        <v>44534</v>
      </c>
      <c r="F18" s="129" t="s">
        <v>71</v>
      </c>
      <c r="G18" s="128">
        <v>44538</v>
      </c>
      <c r="H18" s="130" t="s">
        <v>299</v>
      </c>
      <c r="I18" s="131">
        <v>53</v>
      </c>
      <c r="J18" s="131">
        <v>53</v>
      </c>
      <c r="K18" s="131">
        <v>20</v>
      </c>
      <c r="L18" s="131">
        <v>3</v>
      </c>
      <c r="M18" s="73">
        <v>14.045</v>
      </c>
      <c r="N18" s="104">
        <v>14.045</v>
      </c>
      <c r="O18" s="57">
        <v>7000</v>
      </c>
      <c r="P18" s="58">
        <f t="shared" si="0"/>
        <v>98315</v>
      </c>
    </row>
    <row r="19" spans="1:16" ht="26.25" customHeight="1" x14ac:dyDescent="0.2">
      <c r="A19" s="100"/>
      <c r="B19" s="101"/>
      <c r="C19" s="15" t="s">
        <v>598</v>
      </c>
      <c r="D19" s="127" t="s">
        <v>57</v>
      </c>
      <c r="E19" s="128">
        <v>44534</v>
      </c>
      <c r="F19" s="129" t="s">
        <v>71</v>
      </c>
      <c r="G19" s="128">
        <v>44538</v>
      </c>
      <c r="H19" s="130" t="s">
        <v>299</v>
      </c>
      <c r="I19" s="131">
        <v>32</v>
      </c>
      <c r="J19" s="131">
        <v>32</v>
      </c>
      <c r="K19" s="131">
        <v>24</v>
      </c>
      <c r="L19" s="131">
        <v>10</v>
      </c>
      <c r="M19" s="73">
        <v>6.1440000000000001</v>
      </c>
      <c r="N19" s="104">
        <v>10</v>
      </c>
      <c r="O19" s="57">
        <v>7000</v>
      </c>
      <c r="P19" s="58">
        <f t="shared" si="0"/>
        <v>70000</v>
      </c>
    </row>
    <row r="20" spans="1:16" ht="26.25" customHeight="1" x14ac:dyDescent="0.2">
      <c r="A20" s="100"/>
      <c r="B20" s="100" t="s">
        <v>599</v>
      </c>
      <c r="C20" s="15" t="s">
        <v>600</v>
      </c>
      <c r="D20" s="127" t="s">
        <v>57</v>
      </c>
      <c r="E20" s="128">
        <v>44534</v>
      </c>
      <c r="F20" s="129" t="s">
        <v>71</v>
      </c>
      <c r="G20" s="128">
        <v>44538</v>
      </c>
      <c r="H20" s="130" t="s">
        <v>299</v>
      </c>
      <c r="I20" s="131">
        <v>40</v>
      </c>
      <c r="J20" s="131">
        <v>31</v>
      </c>
      <c r="K20" s="131">
        <v>30</v>
      </c>
      <c r="L20" s="131">
        <v>9</v>
      </c>
      <c r="M20" s="73">
        <v>9.3000000000000007</v>
      </c>
      <c r="N20" s="104">
        <v>10</v>
      </c>
      <c r="O20" s="57">
        <v>7000</v>
      </c>
      <c r="P20" s="58">
        <f t="shared" si="0"/>
        <v>70000</v>
      </c>
    </row>
    <row r="21" spans="1:16" ht="26.25" customHeight="1" x14ac:dyDescent="0.2">
      <c r="A21" s="100"/>
      <c r="B21" s="100"/>
      <c r="C21" s="15" t="s">
        <v>601</v>
      </c>
      <c r="D21" s="127" t="s">
        <v>57</v>
      </c>
      <c r="E21" s="128">
        <v>44534</v>
      </c>
      <c r="F21" s="129" t="s">
        <v>71</v>
      </c>
      <c r="G21" s="128">
        <v>44538</v>
      </c>
      <c r="H21" s="130" t="s">
        <v>299</v>
      </c>
      <c r="I21" s="131">
        <v>40</v>
      </c>
      <c r="J21" s="131">
        <v>31</v>
      </c>
      <c r="K21" s="131">
        <v>30</v>
      </c>
      <c r="L21" s="131">
        <v>9</v>
      </c>
      <c r="M21" s="73">
        <v>9.3000000000000007</v>
      </c>
      <c r="N21" s="104">
        <v>10</v>
      </c>
      <c r="O21" s="57">
        <v>7000</v>
      </c>
      <c r="P21" s="58">
        <f t="shared" si="0"/>
        <v>70000</v>
      </c>
    </row>
    <row r="22" spans="1:16" ht="26.25" customHeight="1" x14ac:dyDescent="0.2">
      <c r="A22" s="100"/>
      <c r="B22" s="100"/>
      <c r="C22" s="15" t="s">
        <v>602</v>
      </c>
      <c r="D22" s="127" t="s">
        <v>57</v>
      </c>
      <c r="E22" s="128">
        <v>44534</v>
      </c>
      <c r="F22" s="129" t="s">
        <v>71</v>
      </c>
      <c r="G22" s="128">
        <v>44538</v>
      </c>
      <c r="H22" s="130" t="s">
        <v>299</v>
      </c>
      <c r="I22" s="131">
        <v>40</v>
      </c>
      <c r="J22" s="131">
        <v>31</v>
      </c>
      <c r="K22" s="131">
        <v>30</v>
      </c>
      <c r="L22" s="131">
        <v>9</v>
      </c>
      <c r="M22" s="73">
        <v>9.3000000000000007</v>
      </c>
      <c r="N22" s="104">
        <v>10</v>
      </c>
      <c r="O22" s="57">
        <v>7000</v>
      </c>
      <c r="P22" s="58">
        <f t="shared" si="0"/>
        <v>70000</v>
      </c>
    </row>
    <row r="23" spans="1:16" ht="26.25" customHeight="1" x14ac:dyDescent="0.2">
      <c r="A23" s="100"/>
      <c r="B23" s="100"/>
      <c r="C23" s="15" t="s">
        <v>603</v>
      </c>
      <c r="D23" s="127" t="s">
        <v>57</v>
      </c>
      <c r="E23" s="128">
        <v>44534</v>
      </c>
      <c r="F23" s="129" t="s">
        <v>71</v>
      </c>
      <c r="G23" s="128">
        <v>44538</v>
      </c>
      <c r="H23" s="130" t="s">
        <v>299</v>
      </c>
      <c r="I23" s="131">
        <v>35</v>
      </c>
      <c r="J23" s="131">
        <v>35</v>
      </c>
      <c r="K23" s="131">
        <v>17</v>
      </c>
      <c r="L23" s="131">
        <v>12</v>
      </c>
      <c r="M23" s="73">
        <v>5.2062499999999998</v>
      </c>
      <c r="N23" s="104">
        <v>12</v>
      </c>
      <c r="O23" s="57">
        <v>7000</v>
      </c>
      <c r="P23" s="58">
        <f t="shared" si="0"/>
        <v>84000</v>
      </c>
    </row>
    <row r="24" spans="1:16" ht="26.25" customHeight="1" x14ac:dyDescent="0.2">
      <c r="A24" s="100"/>
      <c r="B24" s="100"/>
      <c r="C24" s="15" t="s">
        <v>604</v>
      </c>
      <c r="D24" s="127" t="s">
        <v>57</v>
      </c>
      <c r="E24" s="128">
        <v>44534</v>
      </c>
      <c r="F24" s="129" t="s">
        <v>71</v>
      </c>
      <c r="G24" s="128">
        <v>44538</v>
      </c>
      <c r="H24" s="130" t="s">
        <v>299</v>
      </c>
      <c r="I24" s="131">
        <v>35</v>
      </c>
      <c r="J24" s="131">
        <v>35</v>
      </c>
      <c r="K24" s="131">
        <v>17</v>
      </c>
      <c r="L24" s="131">
        <v>12</v>
      </c>
      <c r="M24" s="73">
        <v>5.2062499999999998</v>
      </c>
      <c r="N24" s="104">
        <v>12</v>
      </c>
      <c r="O24" s="57">
        <v>7000</v>
      </c>
      <c r="P24" s="58">
        <f t="shared" si="0"/>
        <v>84000</v>
      </c>
    </row>
    <row r="25" spans="1:16" ht="26.25" customHeight="1" x14ac:dyDescent="0.2">
      <c r="A25" s="100"/>
      <c r="B25" s="100"/>
      <c r="C25" s="15" t="s">
        <v>605</v>
      </c>
      <c r="D25" s="127" t="s">
        <v>57</v>
      </c>
      <c r="E25" s="128">
        <v>44534</v>
      </c>
      <c r="F25" s="129" t="s">
        <v>71</v>
      </c>
      <c r="G25" s="128">
        <v>44538</v>
      </c>
      <c r="H25" s="130" t="s">
        <v>299</v>
      </c>
      <c r="I25" s="131">
        <v>31</v>
      </c>
      <c r="J25" s="131">
        <v>32</v>
      </c>
      <c r="K25" s="131">
        <v>20</v>
      </c>
      <c r="L25" s="131">
        <v>7</v>
      </c>
      <c r="M25" s="73">
        <v>4.96</v>
      </c>
      <c r="N25" s="104">
        <v>7</v>
      </c>
      <c r="O25" s="57">
        <v>7000</v>
      </c>
      <c r="P25" s="58">
        <f t="shared" si="0"/>
        <v>49000</v>
      </c>
    </row>
    <row r="26" spans="1:16" ht="26.25" customHeight="1" x14ac:dyDescent="0.2">
      <c r="A26" s="100"/>
      <c r="B26" s="100"/>
      <c r="C26" s="90" t="s">
        <v>606</v>
      </c>
      <c r="D26" s="102" t="s">
        <v>57</v>
      </c>
      <c r="E26" s="91">
        <v>44534</v>
      </c>
      <c r="F26" s="90" t="s">
        <v>71</v>
      </c>
      <c r="G26" s="91">
        <v>44538</v>
      </c>
      <c r="H26" s="1" t="s">
        <v>299</v>
      </c>
      <c r="I26" s="90">
        <v>31</v>
      </c>
      <c r="J26" s="90">
        <v>32</v>
      </c>
      <c r="K26" s="90">
        <v>20</v>
      </c>
      <c r="L26" s="90">
        <v>7</v>
      </c>
      <c r="M26" s="92">
        <v>4.96</v>
      </c>
      <c r="N26" s="104">
        <v>7</v>
      </c>
      <c r="O26" s="57">
        <v>7000</v>
      </c>
      <c r="P26" s="58">
        <f t="shared" si="0"/>
        <v>49000</v>
      </c>
    </row>
    <row r="27" spans="1:16" ht="26.25" customHeight="1" x14ac:dyDescent="0.2">
      <c r="A27" s="100"/>
      <c r="B27" s="100"/>
      <c r="C27" s="90" t="s">
        <v>607</v>
      </c>
      <c r="D27" s="102" t="s">
        <v>57</v>
      </c>
      <c r="E27" s="91">
        <v>44534</v>
      </c>
      <c r="F27" s="90" t="s">
        <v>71</v>
      </c>
      <c r="G27" s="91">
        <v>44538</v>
      </c>
      <c r="H27" s="1" t="s">
        <v>299</v>
      </c>
      <c r="I27" s="90">
        <v>31</v>
      </c>
      <c r="J27" s="90">
        <v>32</v>
      </c>
      <c r="K27" s="90">
        <v>20</v>
      </c>
      <c r="L27" s="90">
        <v>7</v>
      </c>
      <c r="M27" s="92">
        <v>4.96</v>
      </c>
      <c r="N27" s="104">
        <v>7</v>
      </c>
      <c r="O27" s="57">
        <v>7000</v>
      </c>
      <c r="P27" s="58">
        <f t="shared" si="0"/>
        <v>49000</v>
      </c>
    </row>
    <row r="28" spans="1:16" ht="26.25" customHeight="1" x14ac:dyDescent="0.2">
      <c r="A28" s="100"/>
      <c r="B28" s="101"/>
      <c r="C28" s="90" t="s">
        <v>608</v>
      </c>
      <c r="D28" s="102" t="s">
        <v>57</v>
      </c>
      <c r="E28" s="91">
        <v>44534</v>
      </c>
      <c r="F28" s="90" t="s">
        <v>71</v>
      </c>
      <c r="G28" s="91">
        <v>44538</v>
      </c>
      <c r="H28" s="1" t="s">
        <v>299</v>
      </c>
      <c r="I28" s="90">
        <v>42</v>
      </c>
      <c r="J28" s="90">
        <v>30</v>
      </c>
      <c r="K28" s="90">
        <v>20</v>
      </c>
      <c r="L28" s="90">
        <v>6</v>
      </c>
      <c r="M28" s="92">
        <v>6.3</v>
      </c>
      <c r="N28" s="104">
        <v>7</v>
      </c>
      <c r="O28" s="57">
        <v>7000</v>
      </c>
      <c r="P28" s="58">
        <f t="shared" si="0"/>
        <v>49000</v>
      </c>
    </row>
    <row r="29" spans="1:16" ht="22.5" customHeight="1" x14ac:dyDescent="0.2">
      <c r="A29" s="159" t="s">
        <v>30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1"/>
      <c r="M29" s="71">
        <f>SUBTOTAL(109,Table2245789101123456789101112[KG VOLUME])</f>
        <v>249.57550000000012</v>
      </c>
      <c r="N29" s="61">
        <f>SUM(N3:N28)</f>
        <v>300.37250000000006</v>
      </c>
      <c r="O29" s="162">
        <f>SUM(P3:P28)</f>
        <v>2102607.5</v>
      </c>
      <c r="P29" s="163"/>
    </row>
    <row r="30" spans="1:16" ht="18" customHeight="1" x14ac:dyDescent="0.2">
      <c r="A30" s="78"/>
      <c r="B30" s="49" t="s">
        <v>42</v>
      </c>
      <c r="C30" s="48"/>
      <c r="D30" s="50" t="s">
        <v>43</v>
      </c>
      <c r="E30" s="78"/>
      <c r="F30" s="78"/>
      <c r="G30" s="78"/>
      <c r="H30" s="78"/>
      <c r="I30" s="78"/>
      <c r="J30" s="78"/>
      <c r="K30" s="78"/>
      <c r="L30" s="78"/>
      <c r="M30" s="79"/>
      <c r="N30" s="80" t="s">
        <v>52</v>
      </c>
      <c r="O30" s="81"/>
      <c r="P30" s="81">
        <v>0</v>
      </c>
    </row>
    <row r="31" spans="1:16" ht="18" customHeight="1" thickBot="1" x14ac:dyDescent="0.25">
      <c r="A31" s="78"/>
      <c r="B31" s="49"/>
      <c r="C31" s="48"/>
      <c r="D31" s="50"/>
      <c r="E31" s="78"/>
      <c r="F31" s="78"/>
      <c r="G31" s="78"/>
      <c r="H31" s="78"/>
      <c r="I31" s="78"/>
      <c r="J31" s="78"/>
      <c r="K31" s="78"/>
      <c r="L31" s="78"/>
      <c r="M31" s="79"/>
      <c r="N31" s="82" t="s">
        <v>53</v>
      </c>
      <c r="O31" s="83"/>
      <c r="P31" s="83">
        <f>O29-P30</f>
        <v>2102607.5</v>
      </c>
    </row>
    <row r="32" spans="1:16" ht="18" customHeight="1" x14ac:dyDescent="0.2">
      <c r="A32" s="10"/>
      <c r="H32" s="56"/>
      <c r="N32" s="55" t="s">
        <v>31</v>
      </c>
      <c r="P32" s="62">
        <f>P31*1%</f>
        <v>21026.075000000001</v>
      </c>
    </row>
    <row r="33" spans="1:16" ht="18" customHeight="1" thickBot="1" x14ac:dyDescent="0.25">
      <c r="A33" s="10"/>
      <c r="H33" s="56"/>
      <c r="N33" s="55" t="s">
        <v>54</v>
      </c>
      <c r="P33" s="64">
        <f>P31*2%</f>
        <v>42052.15</v>
      </c>
    </row>
    <row r="34" spans="1:16" ht="18" customHeight="1" x14ac:dyDescent="0.2">
      <c r="A34" s="10"/>
      <c r="H34" s="56"/>
      <c r="N34" s="59" t="s">
        <v>32</v>
      </c>
      <c r="O34" s="60"/>
      <c r="P34" s="63">
        <f>P31+P32-P33</f>
        <v>2081581.4250000003</v>
      </c>
    </row>
    <row r="36" spans="1:16" x14ac:dyDescent="0.2">
      <c r="A36" s="10"/>
      <c r="H36" s="56"/>
      <c r="P36" s="64"/>
    </row>
    <row r="37" spans="1:16" x14ac:dyDescent="0.2">
      <c r="A37" s="10"/>
      <c r="H37" s="56"/>
      <c r="O37" s="51"/>
      <c r="P37" s="6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</sheetData>
  <mergeCells count="2">
    <mergeCell ref="A29:L29"/>
    <mergeCell ref="O29:P29"/>
  </mergeCells>
  <conditionalFormatting sqref="C3:C28">
    <cfRule type="duplicateValues" dxfId="142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26" activePane="bottomRight" state="frozen"/>
      <selection activeCell="H12" sqref="H12"/>
      <selection pane="topRight" activeCell="H12" sqref="H12"/>
      <selection pane="bottomLeft" activeCell="H12" sqref="H12"/>
      <selection pane="bottomRight" activeCell="H34" sqref="H34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9" style="3" customWidth="1"/>
    <col min="5" max="5" width="9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2.5" customHeight="1" x14ac:dyDescent="0.2">
      <c r="A3" s="99">
        <v>406113</v>
      </c>
      <c r="B3" s="99" t="s">
        <v>609</v>
      </c>
      <c r="C3" s="90" t="s">
        <v>610</v>
      </c>
      <c r="D3" s="102" t="s">
        <v>57</v>
      </c>
      <c r="E3" s="91">
        <v>44535</v>
      </c>
      <c r="F3" s="90" t="s">
        <v>71</v>
      </c>
      <c r="G3" s="91">
        <v>44541</v>
      </c>
      <c r="H3" s="1" t="s">
        <v>635</v>
      </c>
      <c r="I3" s="90">
        <v>58</v>
      </c>
      <c r="J3" s="90">
        <v>40</v>
      </c>
      <c r="K3" s="90">
        <v>38</v>
      </c>
      <c r="L3" s="90">
        <v>7</v>
      </c>
      <c r="M3" s="92">
        <v>22.04</v>
      </c>
      <c r="N3" s="104">
        <v>22.04</v>
      </c>
      <c r="O3" s="57">
        <v>7000</v>
      </c>
      <c r="P3" s="58">
        <f t="shared" ref="P3:P26" si="0">N3*O3</f>
        <v>154280</v>
      </c>
    </row>
    <row r="4" spans="1:16" ht="22.5" customHeight="1" x14ac:dyDescent="0.2">
      <c r="A4" s="100"/>
      <c r="B4" s="100"/>
      <c r="C4" s="90" t="s">
        <v>611</v>
      </c>
      <c r="D4" s="102" t="s">
        <v>57</v>
      </c>
      <c r="E4" s="91">
        <v>44535</v>
      </c>
      <c r="F4" s="90" t="s">
        <v>71</v>
      </c>
      <c r="G4" s="91">
        <v>44541</v>
      </c>
      <c r="H4" s="1" t="s">
        <v>635</v>
      </c>
      <c r="I4" s="90">
        <v>75</v>
      </c>
      <c r="J4" s="90">
        <v>51</v>
      </c>
      <c r="K4" s="90">
        <v>31</v>
      </c>
      <c r="L4" s="90">
        <v>5</v>
      </c>
      <c r="M4" s="92">
        <v>29.643750000000001</v>
      </c>
      <c r="N4" s="104">
        <v>29.643750000000001</v>
      </c>
      <c r="O4" s="57">
        <v>7000</v>
      </c>
      <c r="P4" s="58">
        <f t="shared" si="0"/>
        <v>207506.25</v>
      </c>
    </row>
    <row r="5" spans="1:16" ht="22.5" customHeight="1" x14ac:dyDescent="0.2">
      <c r="A5" s="100"/>
      <c r="B5" s="100"/>
      <c r="C5" s="90" t="s">
        <v>612</v>
      </c>
      <c r="D5" s="102" t="s">
        <v>57</v>
      </c>
      <c r="E5" s="91">
        <v>44535</v>
      </c>
      <c r="F5" s="90" t="s">
        <v>71</v>
      </c>
      <c r="G5" s="91">
        <v>44541</v>
      </c>
      <c r="H5" s="1" t="s">
        <v>635</v>
      </c>
      <c r="I5" s="90">
        <v>51</v>
      </c>
      <c r="J5" s="90">
        <v>40</v>
      </c>
      <c r="K5" s="90">
        <v>13</v>
      </c>
      <c r="L5" s="90">
        <v>2</v>
      </c>
      <c r="M5" s="92">
        <v>6.63</v>
      </c>
      <c r="N5" s="104">
        <v>6.63</v>
      </c>
      <c r="O5" s="57">
        <v>7000</v>
      </c>
      <c r="P5" s="58">
        <f t="shared" si="0"/>
        <v>46410</v>
      </c>
    </row>
    <row r="6" spans="1:16" ht="22.5" customHeight="1" x14ac:dyDescent="0.2">
      <c r="A6" s="100"/>
      <c r="B6" s="100"/>
      <c r="C6" s="90" t="s">
        <v>613</v>
      </c>
      <c r="D6" s="102" t="s">
        <v>57</v>
      </c>
      <c r="E6" s="91">
        <v>44535</v>
      </c>
      <c r="F6" s="90" t="s">
        <v>71</v>
      </c>
      <c r="G6" s="91">
        <v>44541</v>
      </c>
      <c r="H6" s="1" t="s">
        <v>635</v>
      </c>
      <c r="I6" s="90">
        <v>62</v>
      </c>
      <c r="J6" s="90">
        <v>50</v>
      </c>
      <c r="K6" s="90">
        <v>13</v>
      </c>
      <c r="L6" s="90">
        <v>4</v>
      </c>
      <c r="M6" s="92">
        <v>10.074999999999999</v>
      </c>
      <c r="N6" s="104">
        <v>10.074999999999999</v>
      </c>
      <c r="O6" s="57">
        <v>7000</v>
      </c>
      <c r="P6" s="58">
        <f t="shared" si="0"/>
        <v>70525</v>
      </c>
    </row>
    <row r="7" spans="1:16" ht="22.5" customHeight="1" x14ac:dyDescent="0.2">
      <c r="A7" s="100"/>
      <c r="B7" s="100"/>
      <c r="C7" s="90" t="s">
        <v>614</v>
      </c>
      <c r="D7" s="102" t="s">
        <v>57</v>
      </c>
      <c r="E7" s="91">
        <v>44535</v>
      </c>
      <c r="F7" s="90" t="s">
        <v>71</v>
      </c>
      <c r="G7" s="91">
        <v>44541</v>
      </c>
      <c r="H7" s="1" t="s">
        <v>635</v>
      </c>
      <c r="I7" s="90">
        <v>51</v>
      </c>
      <c r="J7" s="90">
        <v>23</v>
      </c>
      <c r="K7" s="90">
        <v>28</v>
      </c>
      <c r="L7" s="90">
        <v>2</v>
      </c>
      <c r="M7" s="92">
        <v>8.2110000000000003</v>
      </c>
      <c r="N7" s="104">
        <v>8.2110000000000003</v>
      </c>
      <c r="O7" s="57">
        <v>7000</v>
      </c>
      <c r="P7" s="58">
        <f t="shared" si="0"/>
        <v>57477</v>
      </c>
    </row>
    <row r="8" spans="1:16" ht="22.5" customHeight="1" x14ac:dyDescent="0.2">
      <c r="A8" s="100"/>
      <c r="B8" s="100"/>
      <c r="C8" s="90" t="s">
        <v>615</v>
      </c>
      <c r="D8" s="102" t="s">
        <v>57</v>
      </c>
      <c r="E8" s="91">
        <v>44535</v>
      </c>
      <c r="F8" s="90" t="s">
        <v>71</v>
      </c>
      <c r="G8" s="91">
        <v>44541</v>
      </c>
      <c r="H8" s="1" t="s">
        <v>635</v>
      </c>
      <c r="I8" s="90">
        <v>36</v>
      </c>
      <c r="J8" s="90">
        <v>31</v>
      </c>
      <c r="K8" s="90">
        <v>12</v>
      </c>
      <c r="L8" s="90">
        <v>2</v>
      </c>
      <c r="M8" s="92">
        <v>3.3479999999999999</v>
      </c>
      <c r="N8" s="104">
        <v>4</v>
      </c>
      <c r="O8" s="57">
        <v>7000</v>
      </c>
      <c r="P8" s="58">
        <f t="shared" si="0"/>
        <v>28000</v>
      </c>
    </row>
    <row r="9" spans="1:16" ht="22.5" customHeight="1" x14ac:dyDescent="0.2">
      <c r="A9" s="100"/>
      <c r="B9" s="100"/>
      <c r="C9" s="90" t="s">
        <v>616</v>
      </c>
      <c r="D9" s="102" t="s">
        <v>57</v>
      </c>
      <c r="E9" s="91">
        <v>44535</v>
      </c>
      <c r="F9" s="90" t="s">
        <v>71</v>
      </c>
      <c r="G9" s="91">
        <v>44541</v>
      </c>
      <c r="H9" s="1" t="s">
        <v>635</v>
      </c>
      <c r="I9" s="90">
        <v>94</v>
      </c>
      <c r="J9" s="90">
        <v>61</v>
      </c>
      <c r="K9" s="90">
        <v>40</v>
      </c>
      <c r="L9" s="90">
        <v>21</v>
      </c>
      <c r="M9" s="92">
        <v>57.34</v>
      </c>
      <c r="N9" s="104">
        <v>58</v>
      </c>
      <c r="O9" s="57">
        <v>7000</v>
      </c>
      <c r="P9" s="58">
        <f t="shared" si="0"/>
        <v>406000</v>
      </c>
    </row>
    <row r="10" spans="1:16" ht="22.5" customHeight="1" x14ac:dyDescent="0.2">
      <c r="A10" s="100"/>
      <c r="B10" s="100"/>
      <c r="C10" s="90" t="s">
        <v>617</v>
      </c>
      <c r="D10" s="102" t="s">
        <v>57</v>
      </c>
      <c r="E10" s="91">
        <v>44535</v>
      </c>
      <c r="F10" s="90" t="s">
        <v>71</v>
      </c>
      <c r="G10" s="91">
        <v>44541</v>
      </c>
      <c r="H10" s="1" t="s">
        <v>635</v>
      </c>
      <c r="I10" s="90">
        <v>58</v>
      </c>
      <c r="J10" s="90">
        <v>42</v>
      </c>
      <c r="K10" s="90">
        <v>14</v>
      </c>
      <c r="L10" s="90">
        <v>2</v>
      </c>
      <c r="M10" s="92">
        <v>8.5259999999999998</v>
      </c>
      <c r="N10" s="104">
        <v>8.5259999999999998</v>
      </c>
      <c r="O10" s="57">
        <v>7000</v>
      </c>
      <c r="P10" s="58">
        <f t="shared" si="0"/>
        <v>59682</v>
      </c>
    </row>
    <row r="11" spans="1:16" ht="22.5" customHeight="1" x14ac:dyDescent="0.2">
      <c r="A11" s="100"/>
      <c r="B11" s="100"/>
      <c r="C11" s="90" t="s">
        <v>618</v>
      </c>
      <c r="D11" s="102" t="s">
        <v>57</v>
      </c>
      <c r="E11" s="91">
        <v>44535</v>
      </c>
      <c r="F11" s="90" t="s">
        <v>71</v>
      </c>
      <c r="G11" s="91">
        <v>44541</v>
      </c>
      <c r="H11" s="1" t="s">
        <v>635</v>
      </c>
      <c r="I11" s="90">
        <v>67</v>
      </c>
      <c r="J11" s="90">
        <v>43</v>
      </c>
      <c r="K11" s="90">
        <v>28</v>
      </c>
      <c r="L11" s="90">
        <v>4</v>
      </c>
      <c r="M11" s="92">
        <v>20.167000000000002</v>
      </c>
      <c r="N11" s="104">
        <v>20.167000000000002</v>
      </c>
      <c r="O11" s="57">
        <v>7000</v>
      </c>
      <c r="P11" s="58">
        <f t="shared" si="0"/>
        <v>141169</v>
      </c>
    </row>
    <row r="12" spans="1:16" ht="22.5" customHeight="1" x14ac:dyDescent="0.2">
      <c r="A12" s="100"/>
      <c r="B12" s="100"/>
      <c r="C12" s="90" t="s">
        <v>619</v>
      </c>
      <c r="D12" s="102" t="s">
        <v>57</v>
      </c>
      <c r="E12" s="91">
        <v>44535</v>
      </c>
      <c r="F12" s="90" t="s">
        <v>71</v>
      </c>
      <c r="G12" s="91">
        <v>44541</v>
      </c>
      <c r="H12" s="1" t="s">
        <v>635</v>
      </c>
      <c r="I12" s="90">
        <v>38</v>
      </c>
      <c r="J12" s="90">
        <v>30</v>
      </c>
      <c r="K12" s="90">
        <v>27</v>
      </c>
      <c r="L12" s="90">
        <v>8</v>
      </c>
      <c r="M12" s="92">
        <v>7.6950000000000003</v>
      </c>
      <c r="N12" s="104">
        <v>8</v>
      </c>
      <c r="O12" s="57">
        <v>7000</v>
      </c>
      <c r="P12" s="58">
        <f t="shared" si="0"/>
        <v>56000</v>
      </c>
    </row>
    <row r="13" spans="1:16" ht="22.5" customHeight="1" x14ac:dyDescent="0.2">
      <c r="A13" s="100"/>
      <c r="B13" s="100"/>
      <c r="C13" s="90" t="s">
        <v>620</v>
      </c>
      <c r="D13" s="102" t="s">
        <v>57</v>
      </c>
      <c r="E13" s="91">
        <v>44535</v>
      </c>
      <c r="F13" s="90" t="s">
        <v>71</v>
      </c>
      <c r="G13" s="91">
        <v>44541</v>
      </c>
      <c r="H13" s="1" t="s">
        <v>635</v>
      </c>
      <c r="I13" s="90">
        <v>64</v>
      </c>
      <c r="J13" s="90">
        <v>51</v>
      </c>
      <c r="K13" s="90">
        <v>32</v>
      </c>
      <c r="L13" s="90">
        <v>7</v>
      </c>
      <c r="M13" s="92">
        <v>26.111999999999998</v>
      </c>
      <c r="N13" s="104">
        <v>26.111999999999998</v>
      </c>
      <c r="O13" s="57">
        <v>7000</v>
      </c>
      <c r="P13" s="58">
        <f t="shared" si="0"/>
        <v>182784</v>
      </c>
    </row>
    <row r="14" spans="1:16" ht="22.5" customHeight="1" x14ac:dyDescent="0.2">
      <c r="A14" s="100"/>
      <c r="B14" s="100"/>
      <c r="C14" s="90" t="s">
        <v>621</v>
      </c>
      <c r="D14" s="102" t="s">
        <v>57</v>
      </c>
      <c r="E14" s="91">
        <v>44535</v>
      </c>
      <c r="F14" s="90" t="s">
        <v>71</v>
      </c>
      <c r="G14" s="91">
        <v>44541</v>
      </c>
      <c r="H14" s="1" t="s">
        <v>635</v>
      </c>
      <c r="I14" s="90">
        <v>68</v>
      </c>
      <c r="J14" s="90">
        <v>52</v>
      </c>
      <c r="K14" s="90">
        <v>24</v>
      </c>
      <c r="L14" s="90">
        <v>3</v>
      </c>
      <c r="M14" s="92">
        <v>21.216000000000001</v>
      </c>
      <c r="N14" s="104">
        <v>21.216000000000001</v>
      </c>
      <c r="O14" s="57">
        <v>7000</v>
      </c>
      <c r="P14" s="58">
        <f t="shared" si="0"/>
        <v>148512</v>
      </c>
    </row>
    <row r="15" spans="1:16" ht="22.5" customHeight="1" x14ac:dyDescent="0.2">
      <c r="A15" s="100"/>
      <c r="B15" s="100"/>
      <c r="C15" s="90" t="s">
        <v>622</v>
      </c>
      <c r="D15" s="102" t="s">
        <v>57</v>
      </c>
      <c r="E15" s="91">
        <v>44535</v>
      </c>
      <c r="F15" s="90" t="s">
        <v>71</v>
      </c>
      <c r="G15" s="91">
        <v>44541</v>
      </c>
      <c r="H15" s="1" t="s">
        <v>635</v>
      </c>
      <c r="I15" s="90">
        <v>42</v>
      </c>
      <c r="J15" s="90">
        <v>31</v>
      </c>
      <c r="K15" s="90">
        <v>14</v>
      </c>
      <c r="L15" s="90">
        <v>2</v>
      </c>
      <c r="M15" s="92">
        <v>4.5570000000000004</v>
      </c>
      <c r="N15" s="104">
        <v>4.5570000000000004</v>
      </c>
      <c r="O15" s="57">
        <v>7000</v>
      </c>
      <c r="P15" s="58">
        <f t="shared" si="0"/>
        <v>31899.000000000004</v>
      </c>
    </row>
    <row r="16" spans="1:16" ht="22.5" customHeight="1" x14ac:dyDescent="0.2">
      <c r="A16" s="100"/>
      <c r="B16" s="100"/>
      <c r="C16" s="90" t="s">
        <v>623</v>
      </c>
      <c r="D16" s="102" t="s">
        <v>57</v>
      </c>
      <c r="E16" s="91">
        <v>44535</v>
      </c>
      <c r="F16" s="90" t="s">
        <v>71</v>
      </c>
      <c r="G16" s="91">
        <v>44541</v>
      </c>
      <c r="H16" s="1" t="s">
        <v>635</v>
      </c>
      <c r="I16" s="90">
        <v>75</v>
      </c>
      <c r="J16" s="90">
        <v>54</v>
      </c>
      <c r="K16" s="90">
        <v>24</v>
      </c>
      <c r="L16" s="90">
        <v>8</v>
      </c>
      <c r="M16" s="92">
        <v>24.3</v>
      </c>
      <c r="N16" s="104">
        <v>25</v>
      </c>
      <c r="O16" s="57">
        <v>7000</v>
      </c>
      <c r="P16" s="58">
        <f t="shared" si="0"/>
        <v>175000</v>
      </c>
    </row>
    <row r="17" spans="1:16" ht="22.5" customHeight="1" x14ac:dyDescent="0.2">
      <c r="A17" s="100"/>
      <c r="B17" s="100"/>
      <c r="C17" s="90" t="s">
        <v>624</v>
      </c>
      <c r="D17" s="102" t="s">
        <v>57</v>
      </c>
      <c r="E17" s="91">
        <v>44535</v>
      </c>
      <c r="F17" s="90" t="s">
        <v>71</v>
      </c>
      <c r="G17" s="91">
        <v>44541</v>
      </c>
      <c r="H17" s="1" t="s">
        <v>635</v>
      </c>
      <c r="I17" s="90">
        <v>72</v>
      </c>
      <c r="J17" s="90">
        <v>53</v>
      </c>
      <c r="K17" s="90">
        <v>22</v>
      </c>
      <c r="L17" s="90">
        <v>7</v>
      </c>
      <c r="M17" s="92">
        <v>20.988</v>
      </c>
      <c r="N17" s="104">
        <v>20.988</v>
      </c>
      <c r="O17" s="57">
        <v>7000</v>
      </c>
      <c r="P17" s="58">
        <f t="shared" si="0"/>
        <v>146916</v>
      </c>
    </row>
    <row r="18" spans="1:16" ht="22.5" customHeight="1" x14ac:dyDescent="0.2">
      <c r="A18" s="100"/>
      <c r="B18" s="100"/>
      <c r="C18" s="90" t="s">
        <v>625</v>
      </c>
      <c r="D18" s="102" t="s">
        <v>57</v>
      </c>
      <c r="E18" s="91">
        <v>44535</v>
      </c>
      <c r="F18" s="90" t="s">
        <v>71</v>
      </c>
      <c r="G18" s="91">
        <v>44541</v>
      </c>
      <c r="H18" s="1" t="s">
        <v>635</v>
      </c>
      <c r="I18" s="90">
        <v>51</v>
      </c>
      <c r="J18" s="90">
        <v>36</v>
      </c>
      <c r="K18" s="90">
        <v>15</v>
      </c>
      <c r="L18" s="90">
        <v>3</v>
      </c>
      <c r="M18" s="92">
        <v>6.8849999999999998</v>
      </c>
      <c r="N18" s="104">
        <v>6.8849999999999998</v>
      </c>
      <c r="O18" s="57">
        <v>7000</v>
      </c>
      <c r="P18" s="58">
        <f t="shared" si="0"/>
        <v>48195</v>
      </c>
    </row>
    <row r="19" spans="1:16" ht="22.5" customHeight="1" x14ac:dyDescent="0.2">
      <c r="A19" s="100"/>
      <c r="B19" s="100"/>
      <c r="C19" s="90" t="s">
        <v>626</v>
      </c>
      <c r="D19" s="102" t="s">
        <v>57</v>
      </c>
      <c r="E19" s="91">
        <v>44535</v>
      </c>
      <c r="F19" s="90" t="s">
        <v>71</v>
      </c>
      <c r="G19" s="91">
        <v>44541</v>
      </c>
      <c r="H19" s="1" t="s">
        <v>635</v>
      </c>
      <c r="I19" s="90">
        <v>102</v>
      </c>
      <c r="J19" s="90">
        <v>66</v>
      </c>
      <c r="K19" s="90">
        <v>27</v>
      </c>
      <c r="L19" s="90">
        <v>33</v>
      </c>
      <c r="M19" s="92">
        <v>45.441000000000003</v>
      </c>
      <c r="N19" s="104">
        <v>46</v>
      </c>
      <c r="O19" s="57">
        <v>7000</v>
      </c>
      <c r="P19" s="58">
        <f t="shared" si="0"/>
        <v>322000</v>
      </c>
    </row>
    <row r="20" spans="1:16" ht="22.5" customHeight="1" x14ac:dyDescent="0.2">
      <c r="A20" s="100"/>
      <c r="B20" s="100"/>
      <c r="C20" s="1" t="s">
        <v>627</v>
      </c>
      <c r="D20" s="68" t="s">
        <v>57</v>
      </c>
      <c r="E20" s="91">
        <v>44535</v>
      </c>
      <c r="F20" s="90" t="s">
        <v>71</v>
      </c>
      <c r="G20" s="91">
        <v>44541</v>
      </c>
      <c r="H20" s="1" t="s">
        <v>635</v>
      </c>
      <c r="I20" s="90">
        <v>51</v>
      </c>
      <c r="J20" s="90">
        <v>36</v>
      </c>
      <c r="K20" s="90">
        <v>22</v>
      </c>
      <c r="L20" s="90">
        <v>3</v>
      </c>
      <c r="M20" s="92">
        <v>10.098000000000001</v>
      </c>
      <c r="N20" s="104">
        <v>10.098000000000001</v>
      </c>
      <c r="O20" s="57">
        <v>7000</v>
      </c>
      <c r="P20" s="58">
        <f t="shared" si="0"/>
        <v>70686</v>
      </c>
    </row>
    <row r="21" spans="1:16" ht="22.5" customHeight="1" x14ac:dyDescent="0.2">
      <c r="A21" s="100"/>
      <c r="B21" s="100"/>
      <c r="C21" s="1" t="s">
        <v>628</v>
      </c>
      <c r="D21" s="68" t="s">
        <v>57</v>
      </c>
      <c r="E21" s="91">
        <v>44535</v>
      </c>
      <c r="F21" s="90" t="s">
        <v>71</v>
      </c>
      <c r="G21" s="91">
        <v>44541</v>
      </c>
      <c r="H21" s="1" t="s">
        <v>635</v>
      </c>
      <c r="I21" s="90">
        <v>44</v>
      </c>
      <c r="J21" s="90">
        <v>33</v>
      </c>
      <c r="K21" s="90">
        <v>14</v>
      </c>
      <c r="L21" s="90">
        <v>1</v>
      </c>
      <c r="M21" s="92">
        <v>5.0819999999999999</v>
      </c>
      <c r="N21" s="104">
        <v>5.0819999999999999</v>
      </c>
      <c r="O21" s="57">
        <v>7000</v>
      </c>
      <c r="P21" s="58">
        <f t="shared" si="0"/>
        <v>35574</v>
      </c>
    </row>
    <row r="22" spans="1:16" ht="22.5" customHeight="1" x14ac:dyDescent="0.2">
      <c r="A22" s="100"/>
      <c r="B22" s="100"/>
      <c r="C22" s="107" t="s">
        <v>629</v>
      </c>
      <c r="D22" s="68" t="s">
        <v>57</v>
      </c>
      <c r="E22" s="91">
        <v>44535</v>
      </c>
      <c r="F22" s="90" t="s">
        <v>71</v>
      </c>
      <c r="G22" s="91">
        <v>44541</v>
      </c>
      <c r="H22" s="1" t="s">
        <v>635</v>
      </c>
      <c r="I22" s="90">
        <v>110</v>
      </c>
      <c r="J22" s="90">
        <v>31</v>
      </c>
      <c r="K22" s="90">
        <v>31</v>
      </c>
      <c r="L22" s="90">
        <v>13</v>
      </c>
      <c r="M22" s="92">
        <v>26.427499999999998</v>
      </c>
      <c r="N22" s="104">
        <v>27</v>
      </c>
      <c r="O22" s="57">
        <v>7000</v>
      </c>
      <c r="P22" s="58">
        <f t="shared" si="0"/>
        <v>189000</v>
      </c>
    </row>
    <row r="23" spans="1:16" ht="22.5" customHeight="1" x14ac:dyDescent="0.2">
      <c r="A23" s="100"/>
      <c r="B23" s="100"/>
      <c r="C23" s="1" t="s">
        <v>630</v>
      </c>
      <c r="D23" s="68" t="s">
        <v>57</v>
      </c>
      <c r="E23" s="91">
        <v>44535</v>
      </c>
      <c r="F23" s="90" t="s">
        <v>71</v>
      </c>
      <c r="G23" s="91">
        <v>44541</v>
      </c>
      <c r="H23" s="1" t="s">
        <v>635</v>
      </c>
      <c r="I23" s="90">
        <v>98</v>
      </c>
      <c r="J23" s="90">
        <v>58</v>
      </c>
      <c r="K23" s="90">
        <v>27</v>
      </c>
      <c r="L23" s="90">
        <v>17</v>
      </c>
      <c r="M23" s="92">
        <v>38.366999999999997</v>
      </c>
      <c r="N23" s="104">
        <v>39</v>
      </c>
      <c r="O23" s="57">
        <v>7000</v>
      </c>
      <c r="P23" s="58">
        <f t="shared" si="0"/>
        <v>273000</v>
      </c>
    </row>
    <row r="24" spans="1:16" ht="22.5" customHeight="1" x14ac:dyDescent="0.2">
      <c r="A24" s="100"/>
      <c r="B24" s="101"/>
      <c r="C24" s="1" t="s">
        <v>631</v>
      </c>
      <c r="D24" s="68" t="s">
        <v>57</v>
      </c>
      <c r="E24" s="91">
        <v>44535</v>
      </c>
      <c r="F24" s="90" t="s">
        <v>71</v>
      </c>
      <c r="G24" s="91">
        <v>44541</v>
      </c>
      <c r="H24" s="1" t="s">
        <v>635</v>
      </c>
      <c r="I24" s="90">
        <v>62</v>
      </c>
      <c r="J24" s="90">
        <v>32</v>
      </c>
      <c r="K24" s="90">
        <v>12</v>
      </c>
      <c r="L24" s="90">
        <v>3</v>
      </c>
      <c r="M24" s="92">
        <v>5.952</v>
      </c>
      <c r="N24" s="104">
        <v>5.952</v>
      </c>
      <c r="O24" s="57">
        <v>7000</v>
      </c>
      <c r="P24" s="58">
        <f t="shared" si="0"/>
        <v>41664</v>
      </c>
    </row>
    <row r="25" spans="1:16" ht="22.5" customHeight="1" x14ac:dyDescent="0.2">
      <c r="A25" s="100"/>
      <c r="B25" s="100" t="s">
        <v>632</v>
      </c>
      <c r="C25" s="107" t="s">
        <v>633</v>
      </c>
      <c r="D25" s="68" t="s">
        <v>57</v>
      </c>
      <c r="E25" s="91">
        <v>44535</v>
      </c>
      <c r="F25" s="90" t="s">
        <v>71</v>
      </c>
      <c r="G25" s="91">
        <v>44541</v>
      </c>
      <c r="H25" s="1" t="s">
        <v>635</v>
      </c>
      <c r="I25" s="90">
        <v>24</v>
      </c>
      <c r="J25" s="90">
        <v>10</v>
      </c>
      <c r="K25" s="90">
        <v>8</v>
      </c>
      <c r="L25" s="90">
        <v>1</v>
      </c>
      <c r="M25" s="92">
        <v>0.48</v>
      </c>
      <c r="N25" s="104">
        <v>2</v>
      </c>
      <c r="O25" s="57">
        <v>7000</v>
      </c>
      <c r="P25" s="58">
        <f t="shared" si="0"/>
        <v>14000</v>
      </c>
    </row>
    <row r="26" spans="1:16" ht="22.5" customHeight="1" x14ac:dyDescent="0.2">
      <c r="A26" s="100"/>
      <c r="B26" s="100"/>
      <c r="C26" s="1" t="s">
        <v>634</v>
      </c>
      <c r="D26" s="68" t="s">
        <v>57</v>
      </c>
      <c r="E26" s="91">
        <v>44535</v>
      </c>
      <c r="F26" s="90" t="s">
        <v>71</v>
      </c>
      <c r="G26" s="91">
        <v>44541</v>
      </c>
      <c r="H26" s="1" t="s">
        <v>635</v>
      </c>
      <c r="I26" s="90">
        <v>84</v>
      </c>
      <c r="J26" s="90">
        <v>61</v>
      </c>
      <c r="K26" s="90">
        <v>22</v>
      </c>
      <c r="L26" s="90">
        <v>27</v>
      </c>
      <c r="M26" s="92">
        <v>28.181999999999999</v>
      </c>
      <c r="N26" s="104">
        <v>28.181999999999999</v>
      </c>
      <c r="O26" s="57">
        <v>7000</v>
      </c>
      <c r="P26" s="58">
        <f t="shared" si="0"/>
        <v>197274</v>
      </c>
    </row>
    <row r="27" spans="1:16" ht="22.5" customHeight="1" x14ac:dyDescent="0.2">
      <c r="A27" s="159" t="s">
        <v>30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M27" s="71">
        <f>SUBTOTAL(109,Table224578910112345678910111213[KG VOLUME])</f>
        <v>437.76325000000008</v>
      </c>
      <c r="N27" s="61">
        <f>SUM(N3:N26)</f>
        <v>443.36475000000002</v>
      </c>
      <c r="O27" s="162">
        <f>SUM(P3:P26)</f>
        <v>3103553.25</v>
      </c>
      <c r="P27" s="163"/>
    </row>
    <row r="28" spans="1:16" ht="18" customHeight="1" x14ac:dyDescent="0.2">
      <c r="A28" s="78"/>
      <c r="B28" s="49" t="s">
        <v>42</v>
      </c>
      <c r="C28" s="48"/>
      <c r="D28" s="50" t="s">
        <v>43</v>
      </c>
      <c r="E28" s="78"/>
      <c r="F28" s="78"/>
      <c r="G28" s="78"/>
      <c r="H28" s="78"/>
      <c r="I28" s="78"/>
      <c r="J28" s="78"/>
      <c r="K28" s="78"/>
      <c r="L28" s="78"/>
      <c r="M28" s="79"/>
      <c r="N28" s="80" t="s">
        <v>52</v>
      </c>
      <c r="O28" s="81"/>
      <c r="P28" s="81">
        <v>0</v>
      </c>
    </row>
    <row r="29" spans="1:16" ht="18" customHeight="1" thickBot="1" x14ac:dyDescent="0.25">
      <c r="A29" s="78"/>
      <c r="B29" s="49"/>
      <c r="C29" s="48"/>
      <c r="D29" s="50"/>
      <c r="E29" s="78"/>
      <c r="F29" s="78"/>
      <c r="G29" s="78"/>
      <c r="H29" s="78"/>
      <c r="I29" s="78"/>
      <c r="J29" s="78"/>
      <c r="K29" s="78"/>
      <c r="L29" s="78"/>
      <c r="M29" s="79"/>
      <c r="N29" s="82" t="s">
        <v>53</v>
      </c>
      <c r="O29" s="83"/>
      <c r="P29" s="83">
        <f>O27-P28</f>
        <v>3103553.25</v>
      </c>
    </row>
    <row r="30" spans="1:16" ht="18" customHeight="1" x14ac:dyDescent="0.2">
      <c r="A30" s="10"/>
      <c r="H30" s="56"/>
      <c r="N30" s="55" t="s">
        <v>31</v>
      </c>
      <c r="P30" s="62">
        <f>P29*1%</f>
        <v>31035.532500000001</v>
      </c>
    </row>
    <row r="31" spans="1:16" ht="18" customHeight="1" thickBot="1" x14ac:dyDescent="0.25">
      <c r="A31" s="10"/>
      <c r="H31" s="56"/>
      <c r="N31" s="55" t="s">
        <v>54</v>
      </c>
      <c r="P31" s="64">
        <f>P29*2%</f>
        <v>62071.065000000002</v>
      </c>
    </row>
    <row r="32" spans="1:16" ht="18" customHeight="1" x14ac:dyDescent="0.2">
      <c r="A32" s="10"/>
      <c r="H32" s="56"/>
      <c r="N32" s="59" t="s">
        <v>32</v>
      </c>
      <c r="O32" s="60"/>
      <c r="P32" s="63">
        <f>P29+P30-P31</f>
        <v>3072517.7175000003</v>
      </c>
    </row>
    <row r="34" spans="1:16" x14ac:dyDescent="0.2">
      <c r="A34" s="10"/>
      <c r="H34" s="56"/>
      <c r="P34" s="64"/>
    </row>
    <row r="35" spans="1:16" x14ac:dyDescent="0.2">
      <c r="A35" s="10"/>
      <c r="H35" s="56"/>
      <c r="O35" s="51"/>
      <c r="P35" s="6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</sheetData>
  <mergeCells count="2">
    <mergeCell ref="A27:L27"/>
    <mergeCell ref="O27:P27"/>
  </mergeCells>
  <conditionalFormatting sqref="B3">
    <cfRule type="duplicateValues" dxfId="1411" priority="2"/>
  </conditionalFormatting>
  <conditionalFormatting sqref="B4">
    <cfRule type="duplicateValues" dxfId="1410" priority="1"/>
  </conditionalFormatting>
  <conditionalFormatting sqref="B5:B26">
    <cfRule type="duplicateValues" dxfId="1409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15" activePane="bottomRight" state="frozen"/>
      <selection activeCell="H12" sqref="H12"/>
      <selection pane="topRight" activeCell="H12" sqref="H12"/>
      <selection pane="bottomLeft" activeCell="H12" sqref="H12"/>
      <selection pane="bottomRight" activeCell="D22" sqref="D22"/>
    </sheetView>
  </sheetViews>
  <sheetFormatPr defaultRowHeight="15" x14ac:dyDescent="0.2"/>
  <cols>
    <col min="1" max="1" width="8" style="4" customWidth="1"/>
    <col min="2" max="2" width="19.5703125" style="2" customWidth="1"/>
    <col min="3" max="3" width="16.28515625" style="2" customWidth="1"/>
    <col min="4" max="4" width="9" style="3" customWidth="1"/>
    <col min="5" max="5" width="9.7109375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405817</v>
      </c>
      <c r="B3" s="99" t="s">
        <v>636</v>
      </c>
      <c r="C3" s="90" t="s">
        <v>637</v>
      </c>
      <c r="D3" s="102" t="s">
        <v>57</v>
      </c>
      <c r="E3" s="91">
        <v>44535</v>
      </c>
      <c r="F3" s="90" t="s">
        <v>71</v>
      </c>
      <c r="G3" s="91">
        <v>44541</v>
      </c>
      <c r="H3" s="90" t="s">
        <v>635</v>
      </c>
      <c r="I3" s="90">
        <v>28</v>
      </c>
      <c r="J3" s="90">
        <v>28</v>
      </c>
      <c r="K3" s="90">
        <v>32</v>
      </c>
      <c r="L3" s="90">
        <v>1</v>
      </c>
      <c r="M3" s="92">
        <v>6.2720000000000002</v>
      </c>
      <c r="N3" s="104">
        <v>6.2720000000000002</v>
      </c>
      <c r="O3" s="57">
        <v>7000</v>
      </c>
      <c r="P3" s="58">
        <f t="shared" ref="P3:P33" si="0">N3*O3</f>
        <v>43904</v>
      </c>
    </row>
    <row r="4" spans="1:16" ht="26.25" customHeight="1" x14ac:dyDescent="0.2">
      <c r="A4" s="100"/>
      <c r="B4" s="100"/>
      <c r="C4" s="90" t="s">
        <v>638</v>
      </c>
      <c r="D4" s="102" t="s">
        <v>57</v>
      </c>
      <c r="E4" s="91">
        <v>44535</v>
      </c>
      <c r="F4" s="90" t="s">
        <v>71</v>
      </c>
      <c r="G4" s="91">
        <v>44541</v>
      </c>
      <c r="H4" s="90" t="s">
        <v>635</v>
      </c>
      <c r="I4" s="90">
        <v>36</v>
      </c>
      <c r="J4" s="90">
        <v>23</v>
      </c>
      <c r="K4" s="90">
        <v>20</v>
      </c>
      <c r="L4" s="90">
        <v>1</v>
      </c>
      <c r="M4" s="92">
        <v>4.1399999999999997</v>
      </c>
      <c r="N4" s="104">
        <v>4.1399999999999997</v>
      </c>
      <c r="O4" s="57">
        <v>7000</v>
      </c>
      <c r="P4" s="58">
        <f t="shared" si="0"/>
        <v>28979.999999999996</v>
      </c>
    </row>
    <row r="5" spans="1:16" ht="26.25" customHeight="1" x14ac:dyDescent="0.2">
      <c r="A5" s="100"/>
      <c r="B5" s="100"/>
      <c r="C5" s="15" t="s">
        <v>639</v>
      </c>
      <c r="D5" s="70" t="s">
        <v>57</v>
      </c>
      <c r="E5" s="12">
        <v>44535</v>
      </c>
      <c r="F5" s="1" t="s">
        <v>71</v>
      </c>
      <c r="G5" s="12">
        <v>44541</v>
      </c>
      <c r="H5" s="125" t="s">
        <v>635</v>
      </c>
      <c r="I5" s="15">
        <v>62</v>
      </c>
      <c r="J5" s="15">
        <v>50</v>
      </c>
      <c r="K5" s="15">
        <v>18</v>
      </c>
      <c r="L5" s="15">
        <v>7</v>
      </c>
      <c r="M5" s="73">
        <v>13.95</v>
      </c>
      <c r="N5" s="104">
        <v>13.95</v>
      </c>
      <c r="O5" s="57">
        <v>7000</v>
      </c>
      <c r="P5" s="58">
        <f t="shared" si="0"/>
        <v>97650</v>
      </c>
    </row>
    <row r="6" spans="1:16" ht="26.25" customHeight="1" x14ac:dyDescent="0.2">
      <c r="A6" s="100"/>
      <c r="B6" s="100"/>
      <c r="C6" s="15" t="s">
        <v>640</v>
      </c>
      <c r="D6" s="70" t="s">
        <v>57</v>
      </c>
      <c r="E6" s="12">
        <v>44535</v>
      </c>
      <c r="F6" s="1" t="s">
        <v>71</v>
      </c>
      <c r="G6" s="12">
        <v>44541</v>
      </c>
      <c r="H6" s="125" t="s">
        <v>635</v>
      </c>
      <c r="I6" s="15">
        <v>50</v>
      </c>
      <c r="J6" s="15">
        <v>30</v>
      </c>
      <c r="K6" s="15">
        <v>10</v>
      </c>
      <c r="L6" s="15">
        <v>5</v>
      </c>
      <c r="M6" s="73">
        <v>3.75</v>
      </c>
      <c r="N6" s="104">
        <v>5</v>
      </c>
      <c r="O6" s="57">
        <v>7000</v>
      </c>
      <c r="P6" s="58">
        <f t="shared" si="0"/>
        <v>35000</v>
      </c>
    </row>
    <row r="7" spans="1:16" ht="26.25" customHeight="1" x14ac:dyDescent="0.2">
      <c r="A7" s="100"/>
      <c r="B7" s="100"/>
      <c r="C7" s="15" t="s">
        <v>641</v>
      </c>
      <c r="D7" s="70" t="s">
        <v>57</v>
      </c>
      <c r="E7" s="12">
        <v>44535</v>
      </c>
      <c r="F7" s="1" t="s">
        <v>71</v>
      </c>
      <c r="G7" s="12">
        <v>44541</v>
      </c>
      <c r="H7" s="125" t="s">
        <v>635</v>
      </c>
      <c r="I7" s="15">
        <v>643</v>
      </c>
      <c r="J7" s="15">
        <v>60</v>
      </c>
      <c r="K7" s="15">
        <v>26</v>
      </c>
      <c r="L7" s="15">
        <v>10</v>
      </c>
      <c r="M7" s="73">
        <v>250.77</v>
      </c>
      <c r="N7" s="104">
        <v>250.77</v>
      </c>
      <c r="O7" s="57">
        <v>7000</v>
      </c>
      <c r="P7" s="58">
        <f t="shared" si="0"/>
        <v>1755390</v>
      </c>
    </row>
    <row r="8" spans="1:16" ht="26.25" customHeight="1" x14ac:dyDescent="0.2">
      <c r="A8" s="100"/>
      <c r="B8" s="100"/>
      <c r="C8" s="15" t="s">
        <v>642</v>
      </c>
      <c r="D8" s="70" t="s">
        <v>57</v>
      </c>
      <c r="E8" s="12">
        <v>44535</v>
      </c>
      <c r="F8" s="1" t="s">
        <v>71</v>
      </c>
      <c r="G8" s="12">
        <v>44541</v>
      </c>
      <c r="H8" s="125" t="s">
        <v>635</v>
      </c>
      <c r="I8" s="15">
        <v>52</v>
      </c>
      <c r="J8" s="15">
        <v>41</v>
      </c>
      <c r="K8" s="15">
        <v>20</v>
      </c>
      <c r="L8" s="15">
        <v>3</v>
      </c>
      <c r="M8" s="73">
        <v>10.66</v>
      </c>
      <c r="N8" s="104">
        <v>10.66</v>
      </c>
      <c r="O8" s="57">
        <v>7000</v>
      </c>
      <c r="P8" s="58">
        <f t="shared" si="0"/>
        <v>74620</v>
      </c>
    </row>
    <row r="9" spans="1:16" ht="26.25" customHeight="1" x14ac:dyDescent="0.2">
      <c r="A9" s="100"/>
      <c r="B9" s="100"/>
      <c r="C9" s="15" t="s">
        <v>643</v>
      </c>
      <c r="D9" s="70" t="s">
        <v>57</v>
      </c>
      <c r="E9" s="12">
        <v>44535</v>
      </c>
      <c r="F9" s="1" t="s">
        <v>71</v>
      </c>
      <c r="G9" s="12">
        <v>44541</v>
      </c>
      <c r="H9" s="125" t="s">
        <v>635</v>
      </c>
      <c r="I9" s="15">
        <v>67</v>
      </c>
      <c r="J9" s="15">
        <v>60</v>
      </c>
      <c r="K9" s="15">
        <v>19</v>
      </c>
      <c r="L9" s="15">
        <v>5</v>
      </c>
      <c r="M9" s="73">
        <v>19.094999999999999</v>
      </c>
      <c r="N9" s="104">
        <v>19.094999999999999</v>
      </c>
      <c r="O9" s="57">
        <v>7000</v>
      </c>
      <c r="P9" s="58">
        <f t="shared" si="0"/>
        <v>133665</v>
      </c>
    </row>
    <row r="10" spans="1:16" ht="26.25" customHeight="1" x14ac:dyDescent="0.2">
      <c r="A10" s="100"/>
      <c r="B10" s="100"/>
      <c r="C10" s="15" t="s">
        <v>644</v>
      </c>
      <c r="D10" s="70" t="s">
        <v>57</v>
      </c>
      <c r="E10" s="12">
        <v>44535</v>
      </c>
      <c r="F10" s="1" t="s">
        <v>71</v>
      </c>
      <c r="G10" s="12">
        <v>44541</v>
      </c>
      <c r="H10" s="125" t="s">
        <v>635</v>
      </c>
      <c r="I10" s="15">
        <v>83</v>
      </c>
      <c r="J10" s="15">
        <v>52</v>
      </c>
      <c r="K10" s="15">
        <v>20</v>
      </c>
      <c r="L10" s="15">
        <v>6</v>
      </c>
      <c r="M10" s="73">
        <v>21.58</v>
      </c>
      <c r="N10" s="104">
        <v>21.58</v>
      </c>
      <c r="O10" s="57">
        <v>7000</v>
      </c>
      <c r="P10" s="58">
        <f t="shared" si="0"/>
        <v>151060</v>
      </c>
    </row>
    <row r="11" spans="1:16" ht="26.25" customHeight="1" x14ac:dyDescent="0.2">
      <c r="A11" s="100"/>
      <c r="B11" s="100"/>
      <c r="C11" s="15" t="s">
        <v>645</v>
      </c>
      <c r="D11" s="70" t="s">
        <v>57</v>
      </c>
      <c r="E11" s="12">
        <v>44535</v>
      </c>
      <c r="F11" s="1" t="s">
        <v>71</v>
      </c>
      <c r="G11" s="12">
        <v>44541</v>
      </c>
      <c r="H11" s="125" t="s">
        <v>635</v>
      </c>
      <c r="I11" s="15">
        <v>76</v>
      </c>
      <c r="J11" s="15">
        <v>61</v>
      </c>
      <c r="K11" s="15">
        <v>28</v>
      </c>
      <c r="L11" s="15">
        <v>10</v>
      </c>
      <c r="M11" s="73">
        <v>32.451999999999998</v>
      </c>
      <c r="N11" s="104">
        <v>33</v>
      </c>
      <c r="O11" s="57">
        <v>7000</v>
      </c>
      <c r="P11" s="58">
        <f t="shared" si="0"/>
        <v>231000</v>
      </c>
    </row>
    <row r="12" spans="1:16" ht="26.25" customHeight="1" x14ac:dyDescent="0.2">
      <c r="A12" s="100"/>
      <c r="B12" s="100"/>
      <c r="C12" s="15" t="s">
        <v>646</v>
      </c>
      <c r="D12" s="70" t="s">
        <v>57</v>
      </c>
      <c r="E12" s="12">
        <v>44535</v>
      </c>
      <c r="F12" s="1" t="s">
        <v>71</v>
      </c>
      <c r="G12" s="12">
        <v>44541</v>
      </c>
      <c r="H12" s="125" t="s">
        <v>635</v>
      </c>
      <c r="I12" s="15">
        <v>33</v>
      </c>
      <c r="J12" s="15">
        <v>20</v>
      </c>
      <c r="K12" s="15">
        <v>25</v>
      </c>
      <c r="L12" s="15">
        <v>4</v>
      </c>
      <c r="M12" s="73">
        <v>4.125</v>
      </c>
      <c r="N12" s="104">
        <v>4.125</v>
      </c>
      <c r="O12" s="57">
        <v>7000</v>
      </c>
      <c r="P12" s="58">
        <f t="shared" si="0"/>
        <v>28875</v>
      </c>
    </row>
    <row r="13" spans="1:16" ht="26.25" customHeight="1" x14ac:dyDescent="0.2">
      <c r="A13" s="100"/>
      <c r="B13" s="100"/>
      <c r="C13" s="15" t="s">
        <v>647</v>
      </c>
      <c r="D13" s="70" t="s">
        <v>57</v>
      </c>
      <c r="E13" s="12">
        <v>44535</v>
      </c>
      <c r="F13" s="1" t="s">
        <v>71</v>
      </c>
      <c r="G13" s="12">
        <v>44541</v>
      </c>
      <c r="H13" s="125" t="s">
        <v>635</v>
      </c>
      <c r="I13" s="15">
        <v>96</v>
      </c>
      <c r="J13" s="15">
        <v>52</v>
      </c>
      <c r="K13" s="15">
        <v>30</v>
      </c>
      <c r="L13" s="15">
        <v>30</v>
      </c>
      <c r="M13" s="73">
        <v>37.44</v>
      </c>
      <c r="N13" s="104">
        <v>38</v>
      </c>
      <c r="O13" s="57">
        <v>7000</v>
      </c>
      <c r="P13" s="58">
        <f t="shared" si="0"/>
        <v>266000</v>
      </c>
    </row>
    <row r="14" spans="1:16" ht="26.25" customHeight="1" x14ac:dyDescent="0.2">
      <c r="A14" s="100"/>
      <c r="B14" s="100"/>
      <c r="C14" s="15" t="s">
        <v>648</v>
      </c>
      <c r="D14" s="70" t="s">
        <v>57</v>
      </c>
      <c r="E14" s="12">
        <v>44535</v>
      </c>
      <c r="F14" s="1" t="s">
        <v>71</v>
      </c>
      <c r="G14" s="12">
        <v>44541</v>
      </c>
      <c r="H14" s="125" t="s">
        <v>635</v>
      </c>
      <c r="I14" s="15">
        <v>80</v>
      </c>
      <c r="J14" s="15">
        <v>51</v>
      </c>
      <c r="K14" s="15">
        <v>40</v>
      </c>
      <c r="L14" s="15">
        <v>10</v>
      </c>
      <c r="M14" s="73">
        <v>40.799999999999997</v>
      </c>
      <c r="N14" s="104">
        <v>40.799999999999997</v>
      </c>
      <c r="O14" s="57">
        <v>7000</v>
      </c>
      <c r="P14" s="58">
        <f t="shared" si="0"/>
        <v>285600</v>
      </c>
    </row>
    <row r="15" spans="1:16" ht="26.25" customHeight="1" x14ac:dyDescent="0.2">
      <c r="A15" s="100"/>
      <c r="B15" s="100"/>
      <c r="C15" s="15" t="s">
        <v>649</v>
      </c>
      <c r="D15" s="70" t="s">
        <v>57</v>
      </c>
      <c r="E15" s="12">
        <v>44535</v>
      </c>
      <c r="F15" s="1" t="s">
        <v>71</v>
      </c>
      <c r="G15" s="12">
        <v>44541</v>
      </c>
      <c r="H15" s="125" t="s">
        <v>635</v>
      </c>
      <c r="I15" s="15">
        <v>65</v>
      </c>
      <c r="J15" s="15">
        <v>60</v>
      </c>
      <c r="K15" s="15">
        <v>21</v>
      </c>
      <c r="L15" s="15">
        <v>10</v>
      </c>
      <c r="M15" s="73">
        <v>20.475000000000001</v>
      </c>
      <c r="N15" s="104">
        <v>21</v>
      </c>
      <c r="O15" s="57">
        <v>7000</v>
      </c>
      <c r="P15" s="58">
        <f t="shared" si="0"/>
        <v>147000</v>
      </c>
    </row>
    <row r="16" spans="1:16" ht="26.25" customHeight="1" x14ac:dyDescent="0.2">
      <c r="A16" s="100"/>
      <c r="B16" s="100"/>
      <c r="C16" s="15" t="s">
        <v>650</v>
      </c>
      <c r="D16" s="70" t="s">
        <v>57</v>
      </c>
      <c r="E16" s="12">
        <v>44535</v>
      </c>
      <c r="F16" s="1" t="s">
        <v>71</v>
      </c>
      <c r="G16" s="12">
        <v>44541</v>
      </c>
      <c r="H16" s="125" t="s">
        <v>635</v>
      </c>
      <c r="I16" s="15">
        <v>140</v>
      </c>
      <c r="J16" s="15">
        <v>60</v>
      </c>
      <c r="K16" s="15">
        <v>31</v>
      </c>
      <c r="L16" s="15">
        <v>46</v>
      </c>
      <c r="M16" s="73">
        <v>65.099999999999994</v>
      </c>
      <c r="N16" s="104">
        <v>65.099999999999994</v>
      </c>
      <c r="O16" s="57">
        <v>7000</v>
      </c>
      <c r="P16" s="58">
        <f t="shared" si="0"/>
        <v>455699.99999999994</v>
      </c>
    </row>
    <row r="17" spans="1:16" ht="26.25" customHeight="1" x14ac:dyDescent="0.2">
      <c r="A17" s="100"/>
      <c r="B17" s="100"/>
      <c r="C17" s="15" t="s">
        <v>651</v>
      </c>
      <c r="D17" s="70" t="s">
        <v>57</v>
      </c>
      <c r="E17" s="12">
        <v>44535</v>
      </c>
      <c r="F17" s="1" t="s">
        <v>71</v>
      </c>
      <c r="G17" s="12">
        <v>44541</v>
      </c>
      <c r="H17" s="125" t="s">
        <v>635</v>
      </c>
      <c r="I17" s="15">
        <v>93</v>
      </c>
      <c r="J17" s="15">
        <v>55</v>
      </c>
      <c r="K17" s="15">
        <v>26</v>
      </c>
      <c r="L17" s="15">
        <v>22</v>
      </c>
      <c r="M17" s="73">
        <v>33.247500000000002</v>
      </c>
      <c r="N17" s="104">
        <v>33.247500000000002</v>
      </c>
      <c r="O17" s="57">
        <v>7000</v>
      </c>
      <c r="P17" s="58">
        <f t="shared" si="0"/>
        <v>232732.50000000003</v>
      </c>
    </row>
    <row r="18" spans="1:16" ht="26.25" customHeight="1" x14ac:dyDescent="0.2">
      <c r="A18" s="100"/>
      <c r="B18" s="101"/>
      <c r="C18" s="15" t="s">
        <v>652</v>
      </c>
      <c r="D18" s="70" t="s">
        <v>57</v>
      </c>
      <c r="E18" s="12">
        <v>44535</v>
      </c>
      <c r="F18" s="1" t="s">
        <v>71</v>
      </c>
      <c r="G18" s="12">
        <v>44541</v>
      </c>
      <c r="H18" s="125" t="s">
        <v>635</v>
      </c>
      <c r="I18" s="15">
        <v>36</v>
      </c>
      <c r="J18" s="15">
        <v>31</v>
      </c>
      <c r="K18" s="15">
        <v>25</v>
      </c>
      <c r="L18" s="15">
        <v>5</v>
      </c>
      <c r="M18" s="73">
        <v>6.9749999999999996</v>
      </c>
      <c r="N18" s="104">
        <v>6.9749999999999996</v>
      </c>
      <c r="O18" s="57">
        <v>7000</v>
      </c>
      <c r="P18" s="58">
        <f t="shared" si="0"/>
        <v>48825</v>
      </c>
    </row>
    <row r="19" spans="1:16" ht="26.25" customHeight="1" x14ac:dyDescent="0.2">
      <c r="A19" s="100"/>
      <c r="B19" s="100" t="s">
        <v>653</v>
      </c>
      <c r="C19" s="15" t="s">
        <v>654</v>
      </c>
      <c r="D19" s="70" t="s">
        <v>57</v>
      </c>
      <c r="E19" s="12">
        <v>44535</v>
      </c>
      <c r="F19" s="1" t="s">
        <v>71</v>
      </c>
      <c r="G19" s="12">
        <v>44541</v>
      </c>
      <c r="H19" s="125" t="s">
        <v>635</v>
      </c>
      <c r="I19" s="15">
        <v>61</v>
      </c>
      <c r="J19" s="15">
        <v>26</v>
      </c>
      <c r="K19" s="15">
        <v>33</v>
      </c>
      <c r="L19" s="15">
        <v>24</v>
      </c>
      <c r="M19" s="73">
        <v>13.0845</v>
      </c>
      <c r="N19" s="104">
        <v>24</v>
      </c>
      <c r="O19" s="57">
        <v>7000</v>
      </c>
      <c r="P19" s="58">
        <f t="shared" si="0"/>
        <v>168000</v>
      </c>
    </row>
    <row r="20" spans="1:16" ht="26.25" customHeight="1" x14ac:dyDescent="0.2">
      <c r="A20" s="100"/>
      <c r="B20" s="100"/>
      <c r="C20" s="15" t="s">
        <v>655</v>
      </c>
      <c r="D20" s="70" t="s">
        <v>57</v>
      </c>
      <c r="E20" s="12">
        <v>44535</v>
      </c>
      <c r="F20" s="1" t="s">
        <v>71</v>
      </c>
      <c r="G20" s="12">
        <v>44541</v>
      </c>
      <c r="H20" s="125" t="s">
        <v>635</v>
      </c>
      <c r="I20" s="15">
        <v>45</v>
      </c>
      <c r="J20" s="15">
        <v>22</v>
      </c>
      <c r="K20" s="15">
        <v>42</v>
      </c>
      <c r="L20" s="15">
        <v>25</v>
      </c>
      <c r="M20" s="73">
        <v>10.395</v>
      </c>
      <c r="N20" s="104">
        <v>26</v>
      </c>
      <c r="O20" s="57">
        <v>7000</v>
      </c>
      <c r="P20" s="58">
        <f t="shared" si="0"/>
        <v>182000</v>
      </c>
    </row>
    <row r="21" spans="1:16" ht="26.25" customHeight="1" x14ac:dyDescent="0.2">
      <c r="A21" s="100"/>
      <c r="B21" s="100"/>
      <c r="C21" s="15" t="s">
        <v>656</v>
      </c>
      <c r="D21" s="70" t="s">
        <v>57</v>
      </c>
      <c r="E21" s="12">
        <v>44535</v>
      </c>
      <c r="F21" s="1" t="s">
        <v>71</v>
      </c>
      <c r="G21" s="12">
        <v>44541</v>
      </c>
      <c r="H21" s="125" t="s">
        <v>635</v>
      </c>
      <c r="I21" s="15">
        <v>72</v>
      </c>
      <c r="J21" s="15">
        <v>46</v>
      </c>
      <c r="K21" s="15">
        <v>26</v>
      </c>
      <c r="L21" s="15">
        <v>21</v>
      </c>
      <c r="M21" s="73">
        <v>21.527999999999999</v>
      </c>
      <c r="N21" s="104">
        <v>21.527999999999999</v>
      </c>
      <c r="O21" s="57">
        <v>7000</v>
      </c>
      <c r="P21" s="58">
        <f t="shared" si="0"/>
        <v>150696</v>
      </c>
    </row>
    <row r="22" spans="1:16" ht="26.25" customHeight="1" x14ac:dyDescent="0.2">
      <c r="A22" s="100"/>
      <c r="B22" s="100"/>
      <c r="C22" s="15" t="s">
        <v>657</v>
      </c>
      <c r="D22" s="70" t="s">
        <v>57</v>
      </c>
      <c r="E22" s="12">
        <v>44535</v>
      </c>
      <c r="F22" s="1" t="s">
        <v>71</v>
      </c>
      <c r="G22" s="12">
        <v>44541</v>
      </c>
      <c r="H22" s="125" t="s">
        <v>635</v>
      </c>
      <c r="I22" s="15">
        <v>64</v>
      </c>
      <c r="J22" s="15">
        <v>64</v>
      </c>
      <c r="K22" s="15">
        <v>67</v>
      </c>
      <c r="L22" s="15">
        <v>37</v>
      </c>
      <c r="M22" s="73">
        <v>68.608000000000004</v>
      </c>
      <c r="N22" s="104">
        <v>68.608000000000004</v>
      </c>
      <c r="O22" s="57">
        <v>7000</v>
      </c>
      <c r="P22" s="58">
        <f t="shared" si="0"/>
        <v>480256</v>
      </c>
    </row>
    <row r="23" spans="1:16" ht="26.25" customHeight="1" x14ac:dyDescent="0.2">
      <c r="A23" s="100"/>
      <c r="B23" s="100"/>
      <c r="C23" s="15" t="s">
        <v>658</v>
      </c>
      <c r="D23" s="70" t="s">
        <v>57</v>
      </c>
      <c r="E23" s="12">
        <v>44535</v>
      </c>
      <c r="F23" s="1" t="s">
        <v>71</v>
      </c>
      <c r="G23" s="12">
        <v>44541</v>
      </c>
      <c r="H23" s="125" t="s">
        <v>635</v>
      </c>
      <c r="I23" s="15">
        <v>65</v>
      </c>
      <c r="J23" s="15">
        <v>31</v>
      </c>
      <c r="K23" s="15">
        <v>14</v>
      </c>
      <c r="L23" s="15">
        <v>1</v>
      </c>
      <c r="M23" s="73">
        <v>7.0525000000000002</v>
      </c>
      <c r="N23" s="104">
        <v>7.0525000000000002</v>
      </c>
      <c r="O23" s="57">
        <v>7000</v>
      </c>
      <c r="P23" s="58">
        <f t="shared" si="0"/>
        <v>49367.5</v>
      </c>
    </row>
    <row r="24" spans="1:16" ht="26.25" customHeight="1" x14ac:dyDescent="0.2">
      <c r="A24" s="100"/>
      <c r="B24" s="100"/>
      <c r="C24" s="15" t="s">
        <v>659</v>
      </c>
      <c r="D24" s="70" t="s">
        <v>57</v>
      </c>
      <c r="E24" s="12">
        <v>44535</v>
      </c>
      <c r="F24" s="1" t="s">
        <v>71</v>
      </c>
      <c r="G24" s="12">
        <v>44541</v>
      </c>
      <c r="H24" s="125" t="s">
        <v>635</v>
      </c>
      <c r="I24" s="15">
        <v>50</v>
      </c>
      <c r="J24" s="15">
        <v>42</v>
      </c>
      <c r="K24" s="15">
        <v>12</v>
      </c>
      <c r="L24" s="15">
        <v>2</v>
      </c>
      <c r="M24" s="73">
        <v>6.3</v>
      </c>
      <c r="N24" s="104">
        <v>7</v>
      </c>
      <c r="O24" s="57">
        <v>7000</v>
      </c>
      <c r="P24" s="58">
        <f t="shared" si="0"/>
        <v>49000</v>
      </c>
    </row>
    <row r="25" spans="1:16" ht="26.25" customHeight="1" x14ac:dyDescent="0.2">
      <c r="A25" s="100"/>
      <c r="B25" s="100"/>
      <c r="C25" s="15" t="s">
        <v>660</v>
      </c>
      <c r="D25" s="70" t="s">
        <v>57</v>
      </c>
      <c r="E25" s="12">
        <v>44535</v>
      </c>
      <c r="F25" s="1" t="s">
        <v>71</v>
      </c>
      <c r="G25" s="12">
        <v>44541</v>
      </c>
      <c r="H25" s="125" t="s">
        <v>635</v>
      </c>
      <c r="I25" s="15">
        <v>30</v>
      </c>
      <c r="J25" s="15">
        <v>21</v>
      </c>
      <c r="K25" s="15">
        <v>8</v>
      </c>
      <c r="L25" s="15">
        <v>1</v>
      </c>
      <c r="M25" s="73">
        <v>1.26</v>
      </c>
      <c r="N25" s="104">
        <v>1.26</v>
      </c>
      <c r="O25" s="57">
        <v>7000</v>
      </c>
      <c r="P25" s="58">
        <f t="shared" si="0"/>
        <v>8820</v>
      </c>
    </row>
    <row r="26" spans="1:16" ht="26.25" customHeight="1" x14ac:dyDescent="0.2">
      <c r="A26" s="100"/>
      <c r="B26" s="100"/>
      <c r="C26" s="15" t="s">
        <v>661</v>
      </c>
      <c r="D26" s="70" t="s">
        <v>57</v>
      </c>
      <c r="E26" s="12">
        <v>44535</v>
      </c>
      <c r="F26" s="1" t="s">
        <v>71</v>
      </c>
      <c r="G26" s="12">
        <v>44541</v>
      </c>
      <c r="H26" s="125" t="s">
        <v>635</v>
      </c>
      <c r="I26" s="15">
        <v>43</v>
      </c>
      <c r="J26" s="15">
        <v>25</v>
      </c>
      <c r="K26" s="15">
        <v>23</v>
      </c>
      <c r="L26" s="15">
        <v>10</v>
      </c>
      <c r="M26" s="73">
        <v>6.1812500000000004</v>
      </c>
      <c r="N26" s="104">
        <v>10</v>
      </c>
      <c r="O26" s="57">
        <v>7000</v>
      </c>
      <c r="P26" s="58">
        <f t="shared" si="0"/>
        <v>70000</v>
      </c>
    </row>
    <row r="27" spans="1:16" ht="26.25" customHeight="1" x14ac:dyDescent="0.2">
      <c r="A27" s="100"/>
      <c r="B27" s="100"/>
      <c r="C27" s="15" t="s">
        <v>662</v>
      </c>
      <c r="D27" s="70" t="s">
        <v>57</v>
      </c>
      <c r="E27" s="12">
        <v>44535</v>
      </c>
      <c r="F27" s="1" t="s">
        <v>71</v>
      </c>
      <c r="G27" s="12">
        <v>44541</v>
      </c>
      <c r="H27" s="125" t="s">
        <v>635</v>
      </c>
      <c r="I27" s="15">
        <v>50</v>
      </c>
      <c r="J27" s="15">
        <v>42</v>
      </c>
      <c r="K27" s="15">
        <v>32</v>
      </c>
      <c r="L27" s="15">
        <v>9</v>
      </c>
      <c r="M27" s="73">
        <v>16.8</v>
      </c>
      <c r="N27" s="104">
        <v>16.8</v>
      </c>
      <c r="O27" s="57">
        <v>7000</v>
      </c>
      <c r="P27" s="58">
        <f t="shared" si="0"/>
        <v>117600</v>
      </c>
    </row>
    <row r="28" spans="1:16" ht="26.25" customHeight="1" x14ac:dyDescent="0.2">
      <c r="A28" s="100"/>
      <c r="B28" s="100"/>
      <c r="C28" s="15" t="s">
        <v>663</v>
      </c>
      <c r="D28" s="70" t="s">
        <v>57</v>
      </c>
      <c r="E28" s="12">
        <v>44535</v>
      </c>
      <c r="F28" s="1" t="s">
        <v>71</v>
      </c>
      <c r="G28" s="12">
        <v>44541</v>
      </c>
      <c r="H28" s="125" t="s">
        <v>635</v>
      </c>
      <c r="I28" s="15">
        <v>52</v>
      </c>
      <c r="J28" s="15">
        <v>49</v>
      </c>
      <c r="K28" s="15">
        <v>32</v>
      </c>
      <c r="L28" s="15">
        <v>10</v>
      </c>
      <c r="M28" s="73">
        <v>20.384</v>
      </c>
      <c r="N28" s="104">
        <v>21</v>
      </c>
      <c r="O28" s="57">
        <v>7000</v>
      </c>
      <c r="P28" s="58">
        <f t="shared" si="0"/>
        <v>147000</v>
      </c>
    </row>
    <row r="29" spans="1:16" ht="26.25" customHeight="1" x14ac:dyDescent="0.2">
      <c r="A29" s="100"/>
      <c r="B29" s="100"/>
      <c r="C29" s="15" t="s">
        <v>664</v>
      </c>
      <c r="D29" s="70" t="s">
        <v>57</v>
      </c>
      <c r="E29" s="12">
        <v>44535</v>
      </c>
      <c r="F29" s="1" t="s">
        <v>71</v>
      </c>
      <c r="G29" s="12">
        <v>44541</v>
      </c>
      <c r="H29" s="125" t="s">
        <v>635</v>
      </c>
      <c r="I29" s="15">
        <v>42</v>
      </c>
      <c r="J29" s="15">
        <v>21</v>
      </c>
      <c r="K29" s="15">
        <v>15</v>
      </c>
      <c r="L29" s="15">
        <v>2</v>
      </c>
      <c r="M29" s="73">
        <v>3.3075000000000001</v>
      </c>
      <c r="N29" s="104">
        <v>4</v>
      </c>
      <c r="O29" s="57">
        <v>7000</v>
      </c>
      <c r="P29" s="58">
        <f t="shared" si="0"/>
        <v>28000</v>
      </c>
    </row>
    <row r="30" spans="1:16" ht="26.25" customHeight="1" x14ac:dyDescent="0.2">
      <c r="A30" s="100"/>
      <c r="B30" s="100"/>
      <c r="C30" s="15" t="s">
        <v>665</v>
      </c>
      <c r="D30" s="70" t="s">
        <v>57</v>
      </c>
      <c r="E30" s="12">
        <v>44535</v>
      </c>
      <c r="F30" s="1" t="s">
        <v>71</v>
      </c>
      <c r="G30" s="12">
        <v>44541</v>
      </c>
      <c r="H30" s="125" t="s">
        <v>635</v>
      </c>
      <c r="I30" s="15">
        <v>100</v>
      </c>
      <c r="J30" s="15">
        <v>54</v>
      </c>
      <c r="K30" s="15">
        <v>42</v>
      </c>
      <c r="L30" s="15">
        <v>29</v>
      </c>
      <c r="M30" s="73">
        <v>56.7</v>
      </c>
      <c r="N30" s="104">
        <v>56.7</v>
      </c>
      <c r="O30" s="57">
        <v>7000</v>
      </c>
      <c r="P30" s="58">
        <f t="shared" si="0"/>
        <v>396900</v>
      </c>
    </row>
    <row r="31" spans="1:16" ht="26.25" customHeight="1" x14ac:dyDescent="0.2">
      <c r="A31" s="100"/>
      <c r="B31" s="100"/>
      <c r="C31" s="90" t="s">
        <v>666</v>
      </c>
      <c r="D31" s="102" t="s">
        <v>57</v>
      </c>
      <c r="E31" s="91">
        <v>44535</v>
      </c>
      <c r="F31" s="90" t="s">
        <v>71</v>
      </c>
      <c r="G31" s="91">
        <v>44541</v>
      </c>
      <c r="H31" s="90" t="s">
        <v>635</v>
      </c>
      <c r="I31" s="90">
        <v>81</v>
      </c>
      <c r="J31" s="90">
        <v>52</v>
      </c>
      <c r="K31" s="90">
        <v>25</v>
      </c>
      <c r="L31" s="90">
        <v>13</v>
      </c>
      <c r="M31" s="92">
        <v>26.324999999999999</v>
      </c>
      <c r="N31" s="104">
        <v>26.324999999999999</v>
      </c>
      <c r="O31" s="57">
        <v>7000</v>
      </c>
      <c r="P31" s="58">
        <f t="shared" si="0"/>
        <v>184275</v>
      </c>
    </row>
    <row r="32" spans="1:16" ht="26.25" customHeight="1" x14ac:dyDescent="0.2">
      <c r="A32" s="100"/>
      <c r="B32" s="100"/>
      <c r="C32" s="90" t="s">
        <v>667</v>
      </c>
      <c r="D32" s="102" t="s">
        <v>57</v>
      </c>
      <c r="E32" s="91">
        <v>44535</v>
      </c>
      <c r="F32" s="90" t="s">
        <v>71</v>
      </c>
      <c r="G32" s="91">
        <v>44541</v>
      </c>
      <c r="H32" s="90" t="s">
        <v>635</v>
      </c>
      <c r="I32" s="90">
        <v>53</v>
      </c>
      <c r="J32" s="90">
        <v>28</v>
      </c>
      <c r="K32" s="90">
        <v>22</v>
      </c>
      <c r="L32" s="90">
        <v>1</v>
      </c>
      <c r="M32" s="92">
        <v>8.1620000000000008</v>
      </c>
      <c r="N32" s="104">
        <v>8.1620000000000008</v>
      </c>
      <c r="O32" s="57">
        <v>7000</v>
      </c>
      <c r="P32" s="58">
        <f t="shared" si="0"/>
        <v>57134.000000000007</v>
      </c>
    </row>
    <row r="33" spans="1:16" ht="26.25" customHeight="1" x14ac:dyDescent="0.2">
      <c r="A33" s="100"/>
      <c r="B33" s="100"/>
      <c r="C33" s="90" t="s">
        <v>668</v>
      </c>
      <c r="D33" s="102" t="s">
        <v>57</v>
      </c>
      <c r="E33" s="91">
        <v>44535</v>
      </c>
      <c r="F33" s="90" t="s">
        <v>71</v>
      </c>
      <c r="G33" s="91">
        <v>44541</v>
      </c>
      <c r="H33" s="90" t="s">
        <v>635</v>
      </c>
      <c r="I33" s="90">
        <v>86</v>
      </c>
      <c r="J33" s="90">
        <v>90</v>
      </c>
      <c r="K33" s="90">
        <v>43</v>
      </c>
      <c r="L33" s="90">
        <v>45</v>
      </c>
      <c r="M33" s="92">
        <v>83.204999999999998</v>
      </c>
      <c r="N33" s="104">
        <v>83.204999999999998</v>
      </c>
      <c r="O33" s="57">
        <v>7000</v>
      </c>
      <c r="P33" s="58">
        <f t="shared" si="0"/>
        <v>582435</v>
      </c>
    </row>
    <row r="34" spans="1:16" ht="22.5" customHeight="1" x14ac:dyDescent="0.2">
      <c r="A34" s="159" t="s">
        <v>30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1"/>
      <c r="M34" s="71">
        <f>SUBTOTAL(109,Table22457891011234567891011121314[KG VOLUME])</f>
        <v>920.12425000000019</v>
      </c>
      <c r="N34" s="61">
        <f>SUM(N3:N33)</f>
        <v>955.35500000000036</v>
      </c>
      <c r="O34" s="162">
        <f>SUM(P3:P33)</f>
        <v>6687485</v>
      </c>
      <c r="P34" s="163"/>
    </row>
    <row r="35" spans="1:16" ht="18" customHeight="1" x14ac:dyDescent="0.2">
      <c r="A35" s="78"/>
      <c r="B35" s="49" t="s">
        <v>42</v>
      </c>
      <c r="C35" s="48"/>
      <c r="D35" s="50" t="s">
        <v>43</v>
      </c>
      <c r="E35" s="78"/>
      <c r="F35" s="78"/>
      <c r="G35" s="78"/>
      <c r="H35" s="78"/>
      <c r="I35" s="78"/>
      <c r="J35" s="78"/>
      <c r="K35" s="78"/>
      <c r="L35" s="78"/>
      <c r="M35" s="79"/>
      <c r="N35" s="80" t="s">
        <v>52</v>
      </c>
      <c r="O35" s="81"/>
      <c r="P35" s="81">
        <v>0</v>
      </c>
    </row>
    <row r="36" spans="1:16" ht="18" customHeight="1" thickBot="1" x14ac:dyDescent="0.25">
      <c r="A36" s="78"/>
      <c r="B36" s="49"/>
      <c r="C36" s="48"/>
      <c r="D36" s="50"/>
      <c r="E36" s="78"/>
      <c r="F36" s="78"/>
      <c r="G36" s="78"/>
      <c r="H36" s="78"/>
      <c r="I36" s="78"/>
      <c r="J36" s="78"/>
      <c r="K36" s="78"/>
      <c r="L36" s="78"/>
      <c r="M36" s="79"/>
      <c r="N36" s="82" t="s">
        <v>53</v>
      </c>
      <c r="O36" s="83"/>
      <c r="P36" s="83">
        <f>O34-P35</f>
        <v>6687485</v>
      </c>
    </row>
    <row r="37" spans="1:16" ht="18" customHeight="1" x14ac:dyDescent="0.2">
      <c r="A37" s="10"/>
      <c r="H37" s="56"/>
      <c r="N37" s="55" t="s">
        <v>31</v>
      </c>
      <c r="P37" s="62">
        <f>P36*1%</f>
        <v>66874.850000000006</v>
      </c>
    </row>
    <row r="38" spans="1:16" ht="18" customHeight="1" thickBot="1" x14ac:dyDescent="0.25">
      <c r="A38" s="10"/>
      <c r="H38" s="56"/>
      <c r="N38" s="55" t="s">
        <v>54</v>
      </c>
      <c r="P38" s="64">
        <f>P36*2%</f>
        <v>133749.70000000001</v>
      </c>
    </row>
    <row r="39" spans="1:16" ht="18" customHeight="1" x14ac:dyDescent="0.2">
      <c r="A39" s="10"/>
      <c r="H39" s="56"/>
      <c r="N39" s="59" t="s">
        <v>32</v>
      </c>
      <c r="O39" s="60"/>
      <c r="P39" s="63">
        <f>P36+P37-P38</f>
        <v>6620610.1499999994</v>
      </c>
    </row>
    <row r="41" spans="1:16" x14ac:dyDescent="0.2">
      <c r="A41" s="10"/>
      <c r="H41" s="56"/>
      <c r="P41" s="64"/>
    </row>
    <row r="42" spans="1:16" x14ac:dyDescent="0.2">
      <c r="A42" s="10"/>
      <c r="H42" s="56"/>
      <c r="O42" s="51"/>
      <c r="P42" s="6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</sheetData>
  <mergeCells count="2">
    <mergeCell ref="A34:L34"/>
    <mergeCell ref="O34:P34"/>
  </mergeCells>
  <conditionalFormatting sqref="C3:C33">
    <cfRule type="duplicateValues" dxfId="1393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4"/>
  <sheetViews>
    <sheetView zoomScale="110" zoomScaleNormal="110" workbookViewId="0">
      <pane xSplit="3" ySplit="2" topLeftCell="D138" activePane="bottomRight" state="frozen"/>
      <selection activeCell="H12" sqref="H12"/>
      <selection pane="topRight" activeCell="H12" sqref="H12"/>
      <selection pane="bottomLeft" activeCell="H12" sqref="H12"/>
      <selection pane="bottomRight" activeCell="N143" sqref="N3:N143"/>
    </sheetView>
  </sheetViews>
  <sheetFormatPr defaultRowHeight="15" x14ac:dyDescent="0.2"/>
  <cols>
    <col min="1" max="1" width="8" style="4" customWidth="1"/>
    <col min="2" max="2" width="21.28515625" style="2" customWidth="1"/>
    <col min="3" max="3" width="15.8554687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405819</v>
      </c>
      <c r="B3" s="99" t="s">
        <v>669</v>
      </c>
      <c r="C3" s="90" t="s">
        <v>670</v>
      </c>
      <c r="D3" s="102" t="s">
        <v>57</v>
      </c>
      <c r="E3" s="91">
        <v>44535</v>
      </c>
      <c r="F3" s="90" t="s">
        <v>71</v>
      </c>
      <c r="G3" s="91">
        <v>44541</v>
      </c>
      <c r="H3" s="90" t="s">
        <v>635</v>
      </c>
      <c r="I3" s="90">
        <v>78</v>
      </c>
      <c r="J3" s="90">
        <v>78</v>
      </c>
      <c r="K3" s="90">
        <v>6</v>
      </c>
      <c r="L3" s="90">
        <v>3</v>
      </c>
      <c r="M3" s="92">
        <v>9.1259999999999994</v>
      </c>
      <c r="N3" s="104">
        <v>9.1259999999999994</v>
      </c>
      <c r="O3" s="57">
        <v>7000</v>
      </c>
      <c r="P3" s="58">
        <f t="shared" ref="P3:P66" si="0">N3*O3</f>
        <v>63881.999999999993</v>
      </c>
    </row>
    <row r="4" spans="1:16" ht="26.25" customHeight="1" x14ac:dyDescent="0.2">
      <c r="A4" s="100"/>
      <c r="B4" s="100"/>
      <c r="C4" s="90" t="s">
        <v>671</v>
      </c>
      <c r="D4" s="102" t="s">
        <v>57</v>
      </c>
      <c r="E4" s="91">
        <v>44535</v>
      </c>
      <c r="F4" s="90" t="s">
        <v>71</v>
      </c>
      <c r="G4" s="91">
        <v>44541</v>
      </c>
      <c r="H4" s="90" t="s">
        <v>635</v>
      </c>
      <c r="I4" s="90">
        <v>56</v>
      </c>
      <c r="J4" s="90">
        <v>46</v>
      </c>
      <c r="K4" s="90">
        <v>32</v>
      </c>
      <c r="L4" s="90">
        <v>7</v>
      </c>
      <c r="M4" s="92">
        <v>20.608000000000001</v>
      </c>
      <c r="N4" s="104">
        <v>20.608000000000001</v>
      </c>
      <c r="O4" s="57">
        <v>7000</v>
      </c>
      <c r="P4" s="58">
        <f t="shared" si="0"/>
        <v>144256</v>
      </c>
    </row>
    <row r="5" spans="1:16" ht="26.25" customHeight="1" x14ac:dyDescent="0.2">
      <c r="A5" s="100"/>
      <c r="B5" s="100"/>
      <c r="C5" s="15" t="s">
        <v>672</v>
      </c>
      <c r="D5" s="70" t="s">
        <v>57</v>
      </c>
      <c r="E5" s="12">
        <v>44535</v>
      </c>
      <c r="F5" s="1" t="s">
        <v>71</v>
      </c>
      <c r="G5" s="12">
        <v>44541</v>
      </c>
      <c r="H5" s="125" t="s">
        <v>635</v>
      </c>
      <c r="I5" s="15">
        <v>118</v>
      </c>
      <c r="J5" s="15">
        <v>68</v>
      </c>
      <c r="K5" s="15">
        <v>41</v>
      </c>
      <c r="L5" s="15">
        <v>38</v>
      </c>
      <c r="M5" s="73">
        <v>82.245999999999995</v>
      </c>
      <c r="N5" s="104">
        <v>82.245999999999995</v>
      </c>
      <c r="O5" s="57">
        <v>7000</v>
      </c>
      <c r="P5" s="58">
        <f t="shared" si="0"/>
        <v>575722</v>
      </c>
    </row>
    <row r="6" spans="1:16" ht="26.25" customHeight="1" x14ac:dyDescent="0.2">
      <c r="A6" s="100"/>
      <c r="B6" s="100"/>
      <c r="C6" s="15" t="s">
        <v>673</v>
      </c>
      <c r="D6" s="70" t="s">
        <v>57</v>
      </c>
      <c r="E6" s="12">
        <v>44535</v>
      </c>
      <c r="F6" s="1" t="s">
        <v>71</v>
      </c>
      <c r="G6" s="12">
        <v>44541</v>
      </c>
      <c r="H6" s="125" t="s">
        <v>635</v>
      </c>
      <c r="I6" s="15">
        <v>60</v>
      </c>
      <c r="J6" s="15">
        <v>61</v>
      </c>
      <c r="K6" s="15">
        <v>22</v>
      </c>
      <c r="L6" s="15">
        <v>16</v>
      </c>
      <c r="M6" s="73">
        <v>20.13</v>
      </c>
      <c r="N6" s="104">
        <v>20.13</v>
      </c>
      <c r="O6" s="57">
        <v>7000</v>
      </c>
      <c r="P6" s="58">
        <f t="shared" si="0"/>
        <v>140910</v>
      </c>
    </row>
    <row r="7" spans="1:16" ht="26.25" customHeight="1" x14ac:dyDescent="0.2">
      <c r="A7" s="100"/>
      <c r="B7" s="100"/>
      <c r="C7" s="15" t="s">
        <v>674</v>
      </c>
      <c r="D7" s="70" t="s">
        <v>57</v>
      </c>
      <c r="E7" s="12">
        <v>44535</v>
      </c>
      <c r="F7" s="1" t="s">
        <v>71</v>
      </c>
      <c r="G7" s="12">
        <v>44541</v>
      </c>
      <c r="H7" s="125" t="s">
        <v>635</v>
      </c>
      <c r="I7" s="15">
        <v>98</v>
      </c>
      <c r="J7" s="15">
        <v>57</v>
      </c>
      <c r="K7" s="15">
        <v>36</v>
      </c>
      <c r="L7" s="15">
        <v>28</v>
      </c>
      <c r="M7" s="73">
        <v>50.274000000000001</v>
      </c>
      <c r="N7" s="104">
        <v>50.274000000000001</v>
      </c>
      <c r="O7" s="57">
        <v>7000</v>
      </c>
      <c r="P7" s="58">
        <f t="shared" si="0"/>
        <v>351918</v>
      </c>
    </row>
    <row r="8" spans="1:16" ht="26.25" customHeight="1" x14ac:dyDescent="0.2">
      <c r="A8" s="100"/>
      <c r="B8" s="100"/>
      <c r="C8" s="15" t="s">
        <v>675</v>
      </c>
      <c r="D8" s="70" t="s">
        <v>57</v>
      </c>
      <c r="E8" s="12">
        <v>44535</v>
      </c>
      <c r="F8" s="1" t="s">
        <v>71</v>
      </c>
      <c r="G8" s="12">
        <v>44541</v>
      </c>
      <c r="H8" s="125" t="s">
        <v>635</v>
      </c>
      <c r="I8" s="15">
        <v>61</v>
      </c>
      <c r="J8" s="15">
        <v>61</v>
      </c>
      <c r="K8" s="15">
        <v>15</v>
      </c>
      <c r="L8" s="15">
        <v>8</v>
      </c>
      <c r="M8" s="73">
        <v>13.953749999999999</v>
      </c>
      <c r="N8" s="104">
        <v>13.953749999999999</v>
      </c>
      <c r="O8" s="57">
        <v>7000</v>
      </c>
      <c r="P8" s="58">
        <f t="shared" si="0"/>
        <v>97676.25</v>
      </c>
    </row>
    <row r="9" spans="1:16" ht="26.25" customHeight="1" x14ac:dyDescent="0.2">
      <c r="A9" s="100"/>
      <c r="B9" s="100"/>
      <c r="C9" s="15" t="s">
        <v>676</v>
      </c>
      <c r="D9" s="70" t="s">
        <v>57</v>
      </c>
      <c r="E9" s="12">
        <v>44535</v>
      </c>
      <c r="F9" s="1" t="s">
        <v>71</v>
      </c>
      <c r="G9" s="12">
        <v>44541</v>
      </c>
      <c r="H9" s="125" t="s">
        <v>635</v>
      </c>
      <c r="I9" s="15">
        <v>72</v>
      </c>
      <c r="J9" s="15">
        <v>60</v>
      </c>
      <c r="K9" s="15">
        <v>24</v>
      </c>
      <c r="L9" s="15">
        <v>10</v>
      </c>
      <c r="M9" s="73">
        <v>25.92</v>
      </c>
      <c r="N9" s="104">
        <v>25.92</v>
      </c>
      <c r="O9" s="57">
        <v>7000</v>
      </c>
      <c r="P9" s="58">
        <f t="shared" si="0"/>
        <v>181440</v>
      </c>
    </row>
    <row r="10" spans="1:16" ht="26.25" customHeight="1" x14ac:dyDescent="0.2">
      <c r="A10" s="100"/>
      <c r="B10" s="100"/>
      <c r="C10" s="15" t="s">
        <v>677</v>
      </c>
      <c r="D10" s="70" t="s">
        <v>57</v>
      </c>
      <c r="E10" s="12">
        <v>44535</v>
      </c>
      <c r="F10" s="1" t="s">
        <v>71</v>
      </c>
      <c r="G10" s="12">
        <v>44541</v>
      </c>
      <c r="H10" s="125" t="s">
        <v>635</v>
      </c>
      <c r="I10" s="15">
        <v>51</v>
      </c>
      <c r="J10" s="15">
        <v>25</v>
      </c>
      <c r="K10" s="15">
        <v>16</v>
      </c>
      <c r="L10" s="15">
        <v>2</v>
      </c>
      <c r="M10" s="73">
        <v>5.0999999999999996</v>
      </c>
      <c r="N10" s="104">
        <v>5.0999999999999996</v>
      </c>
      <c r="O10" s="57">
        <v>7000</v>
      </c>
      <c r="P10" s="58">
        <f t="shared" si="0"/>
        <v>35700</v>
      </c>
    </row>
    <row r="11" spans="1:16" ht="26.25" customHeight="1" x14ac:dyDescent="0.2">
      <c r="A11" s="100"/>
      <c r="B11" s="100"/>
      <c r="C11" s="15" t="s">
        <v>678</v>
      </c>
      <c r="D11" s="70" t="s">
        <v>57</v>
      </c>
      <c r="E11" s="12">
        <v>44535</v>
      </c>
      <c r="F11" s="1" t="s">
        <v>71</v>
      </c>
      <c r="G11" s="12">
        <v>44541</v>
      </c>
      <c r="H11" s="125" t="s">
        <v>635</v>
      </c>
      <c r="I11" s="15">
        <v>90</v>
      </c>
      <c r="J11" s="15">
        <v>62</v>
      </c>
      <c r="K11" s="15">
        <v>31</v>
      </c>
      <c r="L11" s="15">
        <v>27</v>
      </c>
      <c r="M11" s="73">
        <v>43.244999999999997</v>
      </c>
      <c r="N11" s="104">
        <v>43.244999999999997</v>
      </c>
      <c r="O11" s="57">
        <v>7000</v>
      </c>
      <c r="P11" s="58">
        <f t="shared" si="0"/>
        <v>302715</v>
      </c>
    </row>
    <row r="12" spans="1:16" ht="26.25" customHeight="1" x14ac:dyDescent="0.2">
      <c r="A12" s="100"/>
      <c r="B12" s="100"/>
      <c r="C12" s="15" t="s">
        <v>679</v>
      </c>
      <c r="D12" s="70" t="s">
        <v>57</v>
      </c>
      <c r="E12" s="12">
        <v>44535</v>
      </c>
      <c r="F12" s="1" t="s">
        <v>71</v>
      </c>
      <c r="G12" s="12">
        <v>44541</v>
      </c>
      <c r="H12" s="125" t="s">
        <v>635</v>
      </c>
      <c r="I12" s="15">
        <v>81</v>
      </c>
      <c r="J12" s="15">
        <v>63</v>
      </c>
      <c r="K12" s="15">
        <v>28</v>
      </c>
      <c r="L12" s="15">
        <v>19</v>
      </c>
      <c r="M12" s="73">
        <v>35.720999999999997</v>
      </c>
      <c r="N12" s="104">
        <v>35.720999999999997</v>
      </c>
      <c r="O12" s="57">
        <v>7000</v>
      </c>
      <c r="P12" s="58">
        <f t="shared" si="0"/>
        <v>250046.99999999997</v>
      </c>
    </row>
    <row r="13" spans="1:16" ht="26.25" customHeight="1" x14ac:dyDescent="0.2">
      <c r="A13" s="100"/>
      <c r="B13" s="100"/>
      <c r="C13" s="15" t="s">
        <v>680</v>
      </c>
      <c r="D13" s="70" t="s">
        <v>57</v>
      </c>
      <c r="E13" s="12">
        <v>44535</v>
      </c>
      <c r="F13" s="1" t="s">
        <v>71</v>
      </c>
      <c r="G13" s="12">
        <v>44541</v>
      </c>
      <c r="H13" s="125" t="s">
        <v>635</v>
      </c>
      <c r="I13" s="15">
        <v>81</v>
      </c>
      <c r="J13" s="15">
        <v>62</v>
      </c>
      <c r="K13" s="15">
        <v>23</v>
      </c>
      <c r="L13" s="15">
        <v>12</v>
      </c>
      <c r="M13" s="73">
        <v>28.8765</v>
      </c>
      <c r="N13" s="104">
        <v>28.8765</v>
      </c>
      <c r="O13" s="57">
        <v>7000</v>
      </c>
      <c r="P13" s="58">
        <f t="shared" si="0"/>
        <v>202135.5</v>
      </c>
    </row>
    <row r="14" spans="1:16" ht="26.25" customHeight="1" x14ac:dyDescent="0.2">
      <c r="A14" s="100"/>
      <c r="B14" s="100"/>
      <c r="C14" s="15" t="s">
        <v>681</v>
      </c>
      <c r="D14" s="70" t="s">
        <v>57</v>
      </c>
      <c r="E14" s="12">
        <v>44535</v>
      </c>
      <c r="F14" s="1" t="s">
        <v>71</v>
      </c>
      <c r="G14" s="12">
        <v>44541</v>
      </c>
      <c r="H14" s="125" t="s">
        <v>635</v>
      </c>
      <c r="I14" s="15">
        <v>58</v>
      </c>
      <c r="J14" s="15">
        <v>31</v>
      </c>
      <c r="K14" s="15">
        <v>15</v>
      </c>
      <c r="L14" s="15">
        <v>3</v>
      </c>
      <c r="M14" s="73">
        <v>6.7424999999999997</v>
      </c>
      <c r="N14" s="104">
        <v>6.7424999999999997</v>
      </c>
      <c r="O14" s="57">
        <v>7000</v>
      </c>
      <c r="P14" s="58">
        <f t="shared" si="0"/>
        <v>47197.5</v>
      </c>
    </row>
    <row r="15" spans="1:16" ht="26.25" customHeight="1" x14ac:dyDescent="0.2">
      <c r="A15" s="100"/>
      <c r="B15" s="100"/>
      <c r="C15" s="15" t="s">
        <v>682</v>
      </c>
      <c r="D15" s="70" t="s">
        <v>57</v>
      </c>
      <c r="E15" s="12">
        <v>44535</v>
      </c>
      <c r="F15" s="1" t="s">
        <v>71</v>
      </c>
      <c r="G15" s="12">
        <v>44541</v>
      </c>
      <c r="H15" s="125" t="s">
        <v>635</v>
      </c>
      <c r="I15" s="15">
        <v>100</v>
      </c>
      <c r="J15" s="15">
        <v>56</v>
      </c>
      <c r="K15" s="15">
        <v>25</v>
      </c>
      <c r="L15" s="15">
        <v>18</v>
      </c>
      <c r="M15" s="73">
        <v>35</v>
      </c>
      <c r="N15" s="104">
        <v>35</v>
      </c>
      <c r="O15" s="57">
        <v>7000</v>
      </c>
      <c r="P15" s="58">
        <f t="shared" si="0"/>
        <v>245000</v>
      </c>
    </row>
    <row r="16" spans="1:16" ht="26.25" customHeight="1" x14ac:dyDescent="0.2">
      <c r="A16" s="100"/>
      <c r="B16" s="100"/>
      <c r="C16" s="15" t="s">
        <v>683</v>
      </c>
      <c r="D16" s="70" t="s">
        <v>57</v>
      </c>
      <c r="E16" s="12">
        <v>44535</v>
      </c>
      <c r="F16" s="1" t="s">
        <v>71</v>
      </c>
      <c r="G16" s="12">
        <v>44541</v>
      </c>
      <c r="H16" s="125" t="s">
        <v>635</v>
      </c>
      <c r="I16" s="15">
        <v>93</v>
      </c>
      <c r="J16" s="15">
        <v>62</v>
      </c>
      <c r="K16" s="15">
        <v>28</v>
      </c>
      <c r="L16" s="15">
        <v>39</v>
      </c>
      <c r="M16" s="73">
        <v>40.362000000000002</v>
      </c>
      <c r="N16" s="104">
        <v>41</v>
      </c>
      <c r="O16" s="57">
        <v>7000</v>
      </c>
      <c r="P16" s="58">
        <f t="shared" si="0"/>
        <v>287000</v>
      </c>
    </row>
    <row r="17" spans="1:16" ht="26.25" customHeight="1" x14ac:dyDescent="0.2">
      <c r="A17" s="100"/>
      <c r="B17" s="100"/>
      <c r="C17" s="15" t="s">
        <v>684</v>
      </c>
      <c r="D17" s="70" t="s">
        <v>57</v>
      </c>
      <c r="E17" s="12">
        <v>44535</v>
      </c>
      <c r="F17" s="1" t="s">
        <v>71</v>
      </c>
      <c r="G17" s="12">
        <v>44541</v>
      </c>
      <c r="H17" s="125" t="s">
        <v>635</v>
      </c>
      <c r="I17" s="15">
        <v>101</v>
      </c>
      <c r="J17" s="15">
        <v>58</v>
      </c>
      <c r="K17" s="15">
        <v>36</v>
      </c>
      <c r="L17" s="15">
        <v>30</v>
      </c>
      <c r="M17" s="73">
        <v>52.722000000000001</v>
      </c>
      <c r="N17" s="104">
        <v>52.722000000000001</v>
      </c>
      <c r="O17" s="57">
        <v>7000</v>
      </c>
      <c r="P17" s="58">
        <f t="shared" si="0"/>
        <v>369054</v>
      </c>
    </row>
    <row r="18" spans="1:16" ht="26.25" customHeight="1" x14ac:dyDescent="0.2">
      <c r="A18" s="100"/>
      <c r="B18" s="100"/>
      <c r="C18" s="15" t="s">
        <v>685</v>
      </c>
      <c r="D18" s="70" t="s">
        <v>57</v>
      </c>
      <c r="E18" s="12">
        <v>44535</v>
      </c>
      <c r="F18" s="1" t="s">
        <v>71</v>
      </c>
      <c r="G18" s="12">
        <v>44541</v>
      </c>
      <c r="H18" s="125" t="s">
        <v>635</v>
      </c>
      <c r="I18" s="15">
        <v>44</v>
      </c>
      <c r="J18" s="15">
        <v>31</v>
      </c>
      <c r="K18" s="15">
        <v>22</v>
      </c>
      <c r="L18" s="15">
        <v>6</v>
      </c>
      <c r="M18" s="73">
        <v>7.5019999999999998</v>
      </c>
      <c r="N18" s="104">
        <v>9</v>
      </c>
      <c r="O18" s="57">
        <v>7000</v>
      </c>
      <c r="P18" s="58">
        <f t="shared" si="0"/>
        <v>63000</v>
      </c>
    </row>
    <row r="19" spans="1:16" ht="26.25" customHeight="1" x14ac:dyDescent="0.2">
      <c r="A19" s="100"/>
      <c r="B19" s="100"/>
      <c r="C19" s="15" t="s">
        <v>686</v>
      </c>
      <c r="D19" s="70" t="s">
        <v>57</v>
      </c>
      <c r="E19" s="12">
        <v>44535</v>
      </c>
      <c r="F19" s="1" t="s">
        <v>71</v>
      </c>
      <c r="G19" s="12">
        <v>44541</v>
      </c>
      <c r="H19" s="125" t="s">
        <v>635</v>
      </c>
      <c r="I19" s="15">
        <v>102</v>
      </c>
      <c r="J19" s="15">
        <v>31</v>
      </c>
      <c r="K19" s="15">
        <v>20</v>
      </c>
      <c r="L19" s="15">
        <v>5</v>
      </c>
      <c r="M19" s="73">
        <v>15.81</v>
      </c>
      <c r="N19" s="104">
        <v>15.81</v>
      </c>
      <c r="O19" s="57">
        <v>7000</v>
      </c>
      <c r="P19" s="58">
        <f t="shared" si="0"/>
        <v>110670</v>
      </c>
    </row>
    <row r="20" spans="1:16" ht="26.25" customHeight="1" x14ac:dyDescent="0.2">
      <c r="A20" s="100"/>
      <c r="B20" s="100"/>
      <c r="C20" s="15" t="s">
        <v>687</v>
      </c>
      <c r="D20" s="70" t="s">
        <v>57</v>
      </c>
      <c r="E20" s="12">
        <v>44535</v>
      </c>
      <c r="F20" s="1" t="s">
        <v>71</v>
      </c>
      <c r="G20" s="12">
        <v>44541</v>
      </c>
      <c r="H20" s="125" t="s">
        <v>635</v>
      </c>
      <c r="I20" s="15">
        <v>144</v>
      </c>
      <c r="J20" s="15">
        <v>42</v>
      </c>
      <c r="K20" s="15">
        <v>22</v>
      </c>
      <c r="L20" s="15">
        <v>9</v>
      </c>
      <c r="M20" s="73">
        <v>33.264000000000003</v>
      </c>
      <c r="N20" s="104">
        <v>33.264000000000003</v>
      </c>
      <c r="O20" s="57">
        <v>7000</v>
      </c>
      <c r="P20" s="58">
        <f t="shared" si="0"/>
        <v>232848.00000000003</v>
      </c>
    </row>
    <row r="21" spans="1:16" ht="26.25" customHeight="1" x14ac:dyDescent="0.2">
      <c r="A21" s="100"/>
      <c r="B21" s="100"/>
      <c r="C21" s="15" t="s">
        <v>688</v>
      </c>
      <c r="D21" s="70" t="s">
        <v>57</v>
      </c>
      <c r="E21" s="12">
        <v>44535</v>
      </c>
      <c r="F21" s="1" t="s">
        <v>71</v>
      </c>
      <c r="G21" s="12">
        <v>44541</v>
      </c>
      <c r="H21" s="125" t="s">
        <v>635</v>
      </c>
      <c r="I21" s="15">
        <v>110</v>
      </c>
      <c r="J21" s="15">
        <v>31</v>
      </c>
      <c r="K21" s="15">
        <v>31</v>
      </c>
      <c r="L21" s="15">
        <v>3</v>
      </c>
      <c r="M21" s="73">
        <v>26.427499999999998</v>
      </c>
      <c r="N21" s="104">
        <v>27</v>
      </c>
      <c r="O21" s="57">
        <v>7000</v>
      </c>
      <c r="P21" s="58">
        <f t="shared" si="0"/>
        <v>189000</v>
      </c>
    </row>
    <row r="22" spans="1:16" ht="26.25" customHeight="1" x14ac:dyDescent="0.2">
      <c r="A22" s="100"/>
      <c r="B22" s="100"/>
      <c r="C22" s="15" t="s">
        <v>689</v>
      </c>
      <c r="D22" s="70" t="s">
        <v>57</v>
      </c>
      <c r="E22" s="12">
        <v>44535</v>
      </c>
      <c r="F22" s="1" t="s">
        <v>71</v>
      </c>
      <c r="G22" s="12">
        <v>44541</v>
      </c>
      <c r="H22" s="125" t="s">
        <v>635</v>
      </c>
      <c r="I22" s="15">
        <v>76</v>
      </c>
      <c r="J22" s="15">
        <v>55</v>
      </c>
      <c r="K22" s="15">
        <v>23</v>
      </c>
      <c r="L22" s="15">
        <v>13</v>
      </c>
      <c r="M22" s="73">
        <v>24.035</v>
      </c>
      <c r="N22" s="104">
        <v>24.035</v>
      </c>
      <c r="O22" s="57">
        <v>7000</v>
      </c>
      <c r="P22" s="58">
        <f t="shared" si="0"/>
        <v>168245</v>
      </c>
    </row>
    <row r="23" spans="1:16" ht="26.25" customHeight="1" x14ac:dyDescent="0.2">
      <c r="A23" s="100"/>
      <c r="B23" s="100"/>
      <c r="C23" s="15" t="s">
        <v>690</v>
      </c>
      <c r="D23" s="70" t="s">
        <v>57</v>
      </c>
      <c r="E23" s="12">
        <v>44535</v>
      </c>
      <c r="F23" s="1" t="s">
        <v>71</v>
      </c>
      <c r="G23" s="12">
        <v>44541</v>
      </c>
      <c r="H23" s="125" t="s">
        <v>635</v>
      </c>
      <c r="I23" s="15">
        <v>68</v>
      </c>
      <c r="J23" s="15">
        <v>53</v>
      </c>
      <c r="K23" s="15">
        <v>24</v>
      </c>
      <c r="L23" s="15">
        <v>10</v>
      </c>
      <c r="M23" s="73">
        <v>21.623999999999999</v>
      </c>
      <c r="N23" s="104">
        <v>21.623999999999999</v>
      </c>
      <c r="O23" s="57">
        <v>7000</v>
      </c>
      <c r="P23" s="58">
        <f t="shared" si="0"/>
        <v>151368</v>
      </c>
    </row>
    <row r="24" spans="1:16" ht="26.25" customHeight="1" x14ac:dyDescent="0.2">
      <c r="A24" s="100"/>
      <c r="B24" s="100"/>
      <c r="C24" s="15" t="s">
        <v>691</v>
      </c>
      <c r="D24" s="70" t="s">
        <v>57</v>
      </c>
      <c r="E24" s="12">
        <v>44535</v>
      </c>
      <c r="F24" s="1" t="s">
        <v>71</v>
      </c>
      <c r="G24" s="12">
        <v>44541</v>
      </c>
      <c r="H24" s="125" t="s">
        <v>635</v>
      </c>
      <c r="I24" s="15">
        <v>63</v>
      </c>
      <c r="J24" s="15">
        <v>51</v>
      </c>
      <c r="K24" s="15">
        <v>26</v>
      </c>
      <c r="L24" s="15">
        <v>11</v>
      </c>
      <c r="M24" s="73">
        <v>20.884499999999999</v>
      </c>
      <c r="N24" s="104">
        <v>20.884499999999999</v>
      </c>
      <c r="O24" s="57">
        <v>7000</v>
      </c>
      <c r="P24" s="58">
        <f t="shared" si="0"/>
        <v>146191.5</v>
      </c>
    </row>
    <row r="25" spans="1:16" ht="26.25" customHeight="1" x14ac:dyDescent="0.2">
      <c r="A25" s="100"/>
      <c r="B25" s="100"/>
      <c r="C25" s="15" t="s">
        <v>692</v>
      </c>
      <c r="D25" s="70" t="s">
        <v>57</v>
      </c>
      <c r="E25" s="12">
        <v>44535</v>
      </c>
      <c r="F25" s="1" t="s">
        <v>71</v>
      </c>
      <c r="G25" s="12">
        <v>44541</v>
      </c>
      <c r="H25" s="125" t="s">
        <v>635</v>
      </c>
      <c r="I25" s="15">
        <v>74</v>
      </c>
      <c r="J25" s="15">
        <v>53</v>
      </c>
      <c r="K25" s="15">
        <v>31</v>
      </c>
      <c r="L25" s="15">
        <v>14</v>
      </c>
      <c r="M25" s="73">
        <v>30.395499999999998</v>
      </c>
      <c r="N25" s="104">
        <v>31</v>
      </c>
      <c r="O25" s="57">
        <v>7000</v>
      </c>
      <c r="P25" s="58">
        <f t="shared" si="0"/>
        <v>217000</v>
      </c>
    </row>
    <row r="26" spans="1:16" ht="26.25" customHeight="1" x14ac:dyDescent="0.2">
      <c r="A26" s="100"/>
      <c r="B26" s="100"/>
      <c r="C26" s="15" t="s">
        <v>693</v>
      </c>
      <c r="D26" s="70" t="s">
        <v>57</v>
      </c>
      <c r="E26" s="12">
        <v>44535</v>
      </c>
      <c r="F26" s="1" t="s">
        <v>71</v>
      </c>
      <c r="G26" s="12">
        <v>44541</v>
      </c>
      <c r="H26" s="125" t="s">
        <v>635</v>
      </c>
      <c r="I26" s="15">
        <v>86</v>
      </c>
      <c r="J26" s="15">
        <v>52</v>
      </c>
      <c r="K26" s="15">
        <v>23</v>
      </c>
      <c r="L26" s="15">
        <v>14</v>
      </c>
      <c r="M26" s="73">
        <v>25.713999999999999</v>
      </c>
      <c r="N26" s="104">
        <v>25.713999999999999</v>
      </c>
      <c r="O26" s="57">
        <v>7000</v>
      </c>
      <c r="P26" s="58">
        <f t="shared" si="0"/>
        <v>179998</v>
      </c>
    </row>
    <row r="27" spans="1:16" ht="26.25" customHeight="1" x14ac:dyDescent="0.2">
      <c r="A27" s="100"/>
      <c r="B27" s="100"/>
      <c r="C27" s="15" t="s">
        <v>694</v>
      </c>
      <c r="D27" s="70" t="s">
        <v>57</v>
      </c>
      <c r="E27" s="12">
        <v>44535</v>
      </c>
      <c r="F27" s="1" t="s">
        <v>71</v>
      </c>
      <c r="G27" s="12">
        <v>44541</v>
      </c>
      <c r="H27" s="125" t="s">
        <v>635</v>
      </c>
      <c r="I27" s="15">
        <v>61</v>
      </c>
      <c r="J27" s="15">
        <v>40</v>
      </c>
      <c r="K27" s="15">
        <v>12</v>
      </c>
      <c r="L27" s="15">
        <v>3</v>
      </c>
      <c r="M27" s="73">
        <v>7.32</v>
      </c>
      <c r="N27" s="104">
        <v>8</v>
      </c>
      <c r="O27" s="57">
        <v>7000</v>
      </c>
      <c r="P27" s="58">
        <f t="shared" si="0"/>
        <v>56000</v>
      </c>
    </row>
    <row r="28" spans="1:16" ht="26.25" customHeight="1" x14ac:dyDescent="0.2">
      <c r="A28" s="100"/>
      <c r="B28" s="100"/>
      <c r="C28" s="15" t="s">
        <v>695</v>
      </c>
      <c r="D28" s="70" t="s">
        <v>57</v>
      </c>
      <c r="E28" s="12">
        <v>44535</v>
      </c>
      <c r="F28" s="1" t="s">
        <v>71</v>
      </c>
      <c r="G28" s="12">
        <v>44541</v>
      </c>
      <c r="H28" s="125" t="s">
        <v>635</v>
      </c>
      <c r="I28" s="15">
        <v>104</v>
      </c>
      <c r="J28" s="15">
        <v>64</v>
      </c>
      <c r="K28" s="15">
        <v>27</v>
      </c>
      <c r="L28" s="15">
        <v>23</v>
      </c>
      <c r="M28" s="73">
        <v>44.927999999999997</v>
      </c>
      <c r="N28" s="104">
        <v>44.927999999999997</v>
      </c>
      <c r="O28" s="57">
        <v>7000</v>
      </c>
      <c r="P28" s="58">
        <f t="shared" si="0"/>
        <v>314496</v>
      </c>
    </row>
    <row r="29" spans="1:16" ht="26.25" customHeight="1" x14ac:dyDescent="0.2">
      <c r="A29" s="100"/>
      <c r="B29" s="100"/>
      <c r="C29" s="15" t="s">
        <v>696</v>
      </c>
      <c r="D29" s="70" t="s">
        <v>57</v>
      </c>
      <c r="E29" s="12">
        <v>44535</v>
      </c>
      <c r="F29" s="1" t="s">
        <v>71</v>
      </c>
      <c r="G29" s="12">
        <v>44541</v>
      </c>
      <c r="H29" s="125" t="s">
        <v>635</v>
      </c>
      <c r="I29" s="15">
        <v>104</v>
      </c>
      <c r="J29" s="15">
        <v>64</v>
      </c>
      <c r="K29" s="15">
        <v>27</v>
      </c>
      <c r="L29" s="15">
        <v>9</v>
      </c>
      <c r="M29" s="73">
        <v>44.927999999999997</v>
      </c>
      <c r="N29" s="104">
        <v>44.927999999999997</v>
      </c>
      <c r="O29" s="57">
        <v>7000</v>
      </c>
      <c r="P29" s="58">
        <f t="shared" si="0"/>
        <v>314496</v>
      </c>
    </row>
    <row r="30" spans="1:16" ht="26.25" customHeight="1" x14ac:dyDescent="0.2">
      <c r="A30" s="100"/>
      <c r="B30" s="100"/>
      <c r="C30" s="15" t="s">
        <v>697</v>
      </c>
      <c r="D30" s="70" t="s">
        <v>57</v>
      </c>
      <c r="E30" s="12">
        <v>44535</v>
      </c>
      <c r="F30" s="1" t="s">
        <v>71</v>
      </c>
      <c r="G30" s="12">
        <v>44541</v>
      </c>
      <c r="H30" s="125" t="s">
        <v>635</v>
      </c>
      <c r="I30" s="15">
        <v>104</v>
      </c>
      <c r="J30" s="15">
        <v>64</v>
      </c>
      <c r="K30" s="15">
        <v>27</v>
      </c>
      <c r="L30" s="15">
        <v>9</v>
      </c>
      <c r="M30" s="73">
        <v>44.927999999999997</v>
      </c>
      <c r="N30" s="104">
        <v>44.927999999999997</v>
      </c>
      <c r="O30" s="57">
        <v>7000</v>
      </c>
      <c r="P30" s="58">
        <f t="shared" si="0"/>
        <v>314496</v>
      </c>
    </row>
    <row r="31" spans="1:16" ht="26.25" customHeight="1" x14ac:dyDescent="0.2">
      <c r="A31" s="100"/>
      <c r="B31" s="100"/>
      <c r="C31" s="15" t="s">
        <v>698</v>
      </c>
      <c r="D31" s="70" t="s">
        <v>57</v>
      </c>
      <c r="E31" s="12">
        <v>44535</v>
      </c>
      <c r="F31" s="1" t="s">
        <v>71</v>
      </c>
      <c r="G31" s="12">
        <v>44541</v>
      </c>
      <c r="H31" s="125" t="s">
        <v>635</v>
      </c>
      <c r="I31" s="15">
        <v>74</v>
      </c>
      <c r="J31" s="15">
        <v>44</v>
      </c>
      <c r="K31" s="15">
        <v>24</v>
      </c>
      <c r="L31" s="15">
        <v>16</v>
      </c>
      <c r="M31" s="73">
        <v>19.536000000000001</v>
      </c>
      <c r="N31" s="104">
        <v>19.536000000000001</v>
      </c>
      <c r="O31" s="57">
        <v>7000</v>
      </c>
      <c r="P31" s="58">
        <f t="shared" si="0"/>
        <v>136752</v>
      </c>
    </row>
    <row r="32" spans="1:16" ht="26.25" customHeight="1" x14ac:dyDescent="0.2">
      <c r="A32" s="100"/>
      <c r="B32" s="100"/>
      <c r="C32" s="15" t="s">
        <v>699</v>
      </c>
      <c r="D32" s="70" t="s">
        <v>57</v>
      </c>
      <c r="E32" s="12">
        <v>44535</v>
      </c>
      <c r="F32" s="1" t="s">
        <v>71</v>
      </c>
      <c r="G32" s="12">
        <v>44541</v>
      </c>
      <c r="H32" s="125" t="s">
        <v>635</v>
      </c>
      <c r="I32" s="15">
        <v>55</v>
      </c>
      <c r="J32" s="15">
        <v>38</v>
      </c>
      <c r="K32" s="15">
        <v>12</v>
      </c>
      <c r="L32" s="15">
        <v>3</v>
      </c>
      <c r="M32" s="73">
        <v>6.27</v>
      </c>
      <c r="N32" s="104">
        <v>6.27</v>
      </c>
      <c r="O32" s="57">
        <v>7000</v>
      </c>
      <c r="P32" s="58">
        <f t="shared" si="0"/>
        <v>43890</v>
      </c>
    </row>
    <row r="33" spans="1:16" ht="26.25" customHeight="1" x14ac:dyDescent="0.2">
      <c r="A33" s="100"/>
      <c r="B33" s="100"/>
      <c r="C33" s="15" t="s">
        <v>700</v>
      </c>
      <c r="D33" s="70" t="s">
        <v>57</v>
      </c>
      <c r="E33" s="12">
        <v>44535</v>
      </c>
      <c r="F33" s="1" t="s">
        <v>71</v>
      </c>
      <c r="G33" s="12">
        <v>44541</v>
      </c>
      <c r="H33" s="125" t="s">
        <v>635</v>
      </c>
      <c r="I33" s="15">
        <v>122</v>
      </c>
      <c r="J33" s="15">
        <v>13</v>
      </c>
      <c r="K33" s="15">
        <v>10</v>
      </c>
      <c r="L33" s="15">
        <v>1</v>
      </c>
      <c r="M33" s="73">
        <v>3.9649999999999999</v>
      </c>
      <c r="N33" s="104">
        <v>3.9649999999999999</v>
      </c>
      <c r="O33" s="57">
        <v>7000</v>
      </c>
      <c r="P33" s="58">
        <f t="shared" si="0"/>
        <v>27755</v>
      </c>
    </row>
    <row r="34" spans="1:16" ht="26.25" customHeight="1" x14ac:dyDescent="0.2">
      <c r="A34" s="100"/>
      <c r="B34" s="100"/>
      <c r="C34" s="15" t="s">
        <v>701</v>
      </c>
      <c r="D34" s="70" t="s">
        <v>57</v>
      </c>
      <c r="E34" s="12">
        <v>44535</v>
      </c>
      <c r="F34" s="1" t="s">
        <v>71</v>
      </c>
      <c r="G34" s="12">
        <v>44541</v>
      </c>
      <c r="H34" s="125" t="s">
        <v>635</v>
      </c>
      <c r="I34" s="15">
        <v>78</v>
      </c>
      <c r="J34" s="15">
        <v>45</v>
      </c>
      <c r="K34" s="15">
        <v>15</v>
      </c>
      <c r="L34" s="15">
        <v>8</v>
      </c>
      <c r="M34" s="73">
        <v>13.1625</v>
      </c>
      <c r="N34" s="104">
        <v>13.1625</v>
      </c>
      <c r="O34" s="57">
        <v>7000</v>
      </c>
      <c r="P34" s="58">
        <f t="shared" si="0"/>
        <v>92137.5</v>
      </c>
    </row>
    <row r="35" spans="1:16" ht="26.25" customHeight="1" x14ac:dyDescent="0.2">
      <c r="A35" s="100"/>
      <c r="B35" s="100"/>
      <c r="C35" s="15" t="s">
        <v>702</v>
      </c>
      <c r="D35" s="70" t="s">
        <v>57</v>
      </c>
      <c r="E35" s="12">
        <v>44535</v>
      </c>
      <c r="F35" s="1" t="s">
        <v>71</v>
      </c>
      <c r="G35" s="12">
        <v>44541</v>
      </c>
      <c r="H35" s="125" t="s">
        <v>635</v>
      </c>
      <c r="I35" s="15">
        <v>64</v>
      </c>
      <c r="J35" s="15">
        <v>41</v>
      </c>
      <c r="K35" s="15">
        <v>23</v>
      </c>
      <c r="L35" s="15">
        <v>6</v>
      </c>
      <c r="M35" s="73">
        <v>15.087999999999999</v>
      </c>
      <c r="N35" s="104">
        <v>15.087999999999999</v>
      </c>
      <c r="O35" s="57">
        <v>7000</v>
      </c>
      <c r="P35" s="58">
        <f t="shared" si="0"/>
        <v>105616</v>
      </c>
    </row>
    <row r="36" spans="1:16" ht="26.25" customHeight="1" x14ac:dyDescent="0.2">
      <c r="A36" s="100"/>
      <c r="B36" s="100"/>
      <c r="C36" s="15" t="s">
        <v>703</v>
      </c>
      <c r="D36" s="70" t="s">
        <v>57</v>
      </c>
      <c r="E36" s="12">
        <v>44535</v>
      </c>
      <c r="F36" s="1" t="s">
        <v>71</v>
      </c>
      <c r="G36" s="12">
        <v>44541</v>
      </c>
      <c r="H36" s="125" t="s">
        <v>635</v>
      </c>
      <c r="I36" s="15">
        <v>94</v>
      </c>
      <c r="J36" s="15">
        <v>61</v>
      </c>
      <c r="K36" s="15">
        <v>36</v>
      </c>
      <c r="L36" s="15">
        <v>22</v>
      </c>
      <c r="M36" s="73">
        <v>51.606000000000002</v>
      </c>
      <c r="N36" s="104">
        <v>51.606000000000002</v>
      </c>
      <c r="O36" s="57">
        <v>7000</v>
      </c>
      <c r="P36" s="58">
        <f t="shared" si="0"/>
        <v>361242</v>
      </c>
    </row>
    <row r="37" spans="1:16" ht="26.25" customHeight="1" x14ac:dyDescent="0.2">
      <c r="A37" s="100"/>
      <c r="B37" s="100"/>
      <c r="C37" s="15" t="s">
        <v>704</v>
      </c>
      <c r="D37" s="70" t="s">
        <v>57</v>
      </c>
      <c r="E37" s="12">
        <v>44535</v>
      </c>
      <c r="F37" s="1" t="s">
        <v>71</v>
      </c>
      <c r="G37" s="12">
        <v>44541</v>
      </c>
      <c r="H37" s="125" t="s">
        <v>635</v>
      </c>
      <c r="I37" s="15">
        <v>71</v>
      </c>
      <c r="J37" s="15">
        <v>53</v>
      </c>
      <c r="K37" s="15">
        <v>23</v>
      </c>
      <c r="L37" s="15">
        <v>16</v>
      </c>
      <c r="M37" s="73">
        <v>21.637250000000002</v>
      </c>
      <c r="N37" s="104">
        <v>21.637250000000002</v>
      </c>
      <c r="O37" s="57">
        <v>7000</v>
      </c>
      <c r="P37" s="58">
        <f t="shared" si="0"/>
        <v>151460.75</v>
      </c>
    </row>
    <row r="38" spans="1:16" ht="26.25" customHeight="1" x14ac:dyDescent="0.2">
      <c r="A38" s="100"/>
      <c r="B38" s="100"/>
      <c r="C38" s="15" t="s">
        <v>705</v>
      </c>
      <c r="D38" s="70" t="s">
        <v>57</v>
      </c>
      <c r="E38" s="12">
        <v>44535</v>
      </c>
      <c r="F38" s="1" t="s">
        <v>71</v>
      </c>
      <c r="G38" s="12">
        <v>44541</v>
      </c>
      <c r="H38" s="125" t="s">
        <v>635</v>
      </c>
      <c r="I38" s="15">
        <v>89</v>
      </c>
      <c r="J38" s="15">
        <v>63</v>
      </c>
      <c r="K38" s="15">
        <v>36</v>
      </c>
      <c r="L38" s="15">
        <v>25</v>
      </c>
      <c r="M38" s="73">
        <v>50.463000000000001</v>
      </c>
      <c r="N38" s="104">
        <v>51</v>
      </c>
      <c r="O38" s="57">
        <v>7000</v>
      </c>
      <c r="P38" s="58">
        <f t="shared" si="0"/>
        <v>357000</v>
      </c>
    </row>
    <row r="39" spans="1:16" ht="26.25" customHeight="1" x14ac:dyDescent="0.2">
      <c r="A39" s="100"/>
      <c r="B39" s="100"/>
      <c r="C39" s="15" t="s">
        <v>706</v>
      </c>
      <c r="D39" s="70" t="s">
        <v>57</v>
      </c>
      <c r="E39" s="12">
        <v>44535</v>
      </c>
      <c r="F39" s="1" t="s">
        <v>71</v>
      </c>
      <c r="G39" s="12">
        <v>44541</v>
      </c>
      <c r="H39" s="125" t="s">
        <v>635</v>
      </c>
      <c r="I39" s="15">
        <v>95</v>
      </c>
      <c r="J39" s="15">
        <v>64</v>
      </c>
      <c r="K39" s="15">
        <v>31</v>
      </c>
      <c r="L39" s="15">
        <v>21</v>
      </c>
      <c r="M39" s="73">
        <v>47.12</v>
      </c>
      <c r="N39" s="104">
        <v>47.12</v>
      </c>
      <c r="O39" s="57">
        <v>7000</v>
      </c>
      <c r="P39" s="58">
        <f t="shared" si="0"/>
        <v>329840</v>
      </c>
    </row>
    <row r="40" spans="1:16" ht="26.25" customHeight="1" x14ac:dyDescent="0.2">
      <c r="A40" s="100"/>
      <c r="B40" s="100"/>
      <c r="C40" s="15" t="s">
        <v>707</v>
      </c>
      <c r="D40" s="70" t="s">
        <v>57</v>
      </c>
      <c r="E40" s="12">
        <v>44535</v>
      </c>
      <c r="F40" s="1" t="s">
        <v>71</v>
      </c>
      <c r="G40" s="12">
        <v>44541</v>
      </c>
      <c r="H40" s="125" t="s">
        <v>635</v>
      </c>
      <c r="I40" s="15">
        <v>64</v>
      </c>
      <c r="J40" s="15">
        <v>57</v>
      </c>
      <c r="K40" s="15">
        <v>18</v>
      </c>
      <c r="L40" s="15">
        <v>9</v>
      </c>
      <c r="M40" s="73">
        <v>16.416</v>
      </c>
      <c r="N40" s="104">
        <v>17</v>
      </c>
      <c r="O40" s="57">
        <v>7000</v>
      </c>
      <c r="P40" s="58">
        <f t="shared" si="0"/>
        <v>119000</v>
      </c>
    </row>
    <row r="41" spans="1:16" ht="26.25" customHeight="1" x14ac:dyDescent="0.2">
      <c r="A41" s="100"/>
      <c r="B41" s="100"/>
      <c r="C41" s="15" t="s">
        <v>708</v>
      </c>
      <c r="D41" s="70" t="s">
        <v>57</v>
      </c>
      <c r="E41" s="12">
        <v>44535</v>
      </c>
      <c r="F41" s="1" t="s">
        <v>71</v>
      </c>
      <c r="G41" s="12">
        <v>44541</v>
      </c>
      <c r="H41" s="125" t="s">
        <v>635</v>
      </c>
      <c r="I41" s="15">
        <v>95</v>
      </c>
      <c r="J41" s="15">
        <v>58</v>
      </c>
      <c r="K41" s="15">
        <v>23</v>
      </c>
      <c r="L41" s="15">
        <v>16</v>
      </c>
      <c r="M41" s="73">
        <v>31.682500000000001</v>
      </c>
      <c r="N41" s="104">
        <v>31.682500000000001</v>
      </c>
      <c r="O41" s="57">
        <v>7000</v>
      </c>
      <c r="P41" s="58">
        <f t="shared" si="0"/>
        <v>221777.5</v>
      </c>
    </row>
    <row r="42" spans="1:16" ht="26.25" customHeight="1" x14ac:dyDescent="0.2">
      <c r="A42" s="100"/>
      <c r="B42" s="100"/>
      <c r="C42" s="15" t="s">
        <v>709</v>
      </c>
      <c r="D42" s="70" t="s">
        <v>57</v>
      </c>
      <c r="E42" s="12">
        <v>44535</v>
      </c>
      <c r="F42" s="1" t="s">
        <v>71</v>
      </c>
      <c r="G42" s="12">
        <v>44541</v>
      </c>
      <c r="H42" s="125" t="s">
        <v>635</v>
      </c>
      <c r="I42" s="15">
        <v>71</v>
      </c>
      <c r="J42" s="15">
        <v>52</v>
      </c>
      <c r="K42" s="15">
        <v>28</v>
      </c>
      <c r="L42" s="15">
        <v>10</v>
      </c>
      <c r="M42" s="73">
        <v>25.844000000000001</v>
      </c>
      <c r="N42" s="104">
        <v>25.844000000000001</v>
      </c>
      <c r="O42" s="57">
        <v>7000</v>
      </c>
      <c r="P42" s="58">
        <f t="shared" si="0"/>
        <v>180908</v>
      </c>
    </row>
    <row r="43" spans="1:16" ht="26.25" customHeight="1" x14ac:dyDescent="0.2">
      <c r="A43" s="100"/>
      <c r="B43" s="100"/>
      <c r="C43" s="15" t="s">
        <v>710</v>
      </c>
      <c r="D43" s="70" t="s">
        <v>57</v>
      </c>
      <c r="E43" s="12">
        <v>44535</v>
      </c>
      <c r="F43" s="1" t="s">
        <v>71</v>
      </c>
      <c r="G43" s="12">
        <v>44541</v>
      </c>
      <c r="H43" s="125" t="s">
        <v>635</v>
      </c>
      <c r="I43" s="15">
        <v>61</v>
      </c>
      <c r="J43" s="15">
        <v>45</v>
      </c>
      <c r="K43" s="15">
        <v>35</v>
      </c>
      <c r="L43" s="15">
        <v>17</v>
      </c>
      <c r="M43" s="73">
        <v>24.018750000000001</v>
      </c>
      <c r="N43" s="104">
        <v>24.018750000000001</v>
      </c>
      <c r="O43" s="57">
        <v>7000</v>
      </c>
      <c r="P43" s="58">
        <f t="shared" si="0"/>
        <v>168131.25</v>
      </c>
    </row>
    <row r="44" spans="1:16" ht="26.25" customHeight="1" x14ac:dyDescent="0.2">
      <c r="A44" s="100"/>
      <c r="B44" s="100"/>
      <c r="C44" s="15" t="s">
        <v>711</v>
      </c>
      <c r="D44" s="70" t="s">
        <v>57</v>
      </c>
      <c r="E44" s="12">
        <v>44535</v>
      </c>
      <c r="F44" s="1" t="s">
        <v>71</v>
      </c>
      <c r="G44" s="12">
        <v>44541</v>
      </c>
      <c r="H44" s="125" t="s">
        <v>635</v>
      </c>
      <c r="I44" s="15">
        <v>51</v>
      </c>
      <c r="J44" s="15">
        <v>33</v>
      </c>
      <c r="K44" s="15">
        <v>11</v>
      </c>
      <c r="L44" s="15">
        <v>4</v>
      </c>
      <c r="M44" s="73">
        <v>4.6282500000000004</v>
      </c>
      <c r="N44" s="104">
        <v>4.6282500000000004</v>
      </c>
      <c r="O44" s="57">
        <v>7000</v>
      </c>
      <c r="P44" s="58">
        <f t="shared" si="0"/>
        <v>32397.750000000004</v>
      </c>
    </row>
    <row r="45" spans="1:16" ht="26.25" customHeight="1" x14ac:dyDescent="0.2">
      <c r="A45" s="100"/>
      <c r="B45" s="100"/>
      <c r="C45" s="15" t="s">
        <v>712</v>
      </c>
      <c r="D45" s="70" t="s">
        <v>57</v>
      </c>
      <c r="E45" s="12">
        <v>44535</v>
      </c>
      <c r="F45" s="1" t="s">
        <v>71</v>
      </c>
      <c r="G45" s="12">
        <v>44541</v>
      </c>
      <c r="H45" s="125" t="s">
        <v>635</v>
      </c>
      <c r="I45" s="15">
        <v>75</v>
      </c>
      <c r="J45" s="15">
        <v>52</v>
      </c>
      <c r="K45" s="15">
        <v>17</v>
      </c>
      <c r="L45" s="15">
        <v>7</v>
      </c>
      <c r="M45" s="73">
        <v>16.574999999999999</v>
      </c>
      <c r="N45" s="104">
        <v>16.574999999999999</v>
      </c>
      <c r="O45" s="57">
        <v>7000</v>
      </c>
      <c r="P45" s="58">
        <f t="shared" si="0"/>
        <v>116025</v>
      </c>
    </row>
    <row r="46" spans="1:16" ht="26.25" customHeight="1" x14ac:dyDescent="0.2">
      <c r="A46" s="100"/>
      <c r="B46" s="100"/>
      <c r="C46" s="15" t="s">
        <v>713</v>
      </c>
      <c r="D46" s="70" t="s">
        <v>57</v>
      </c>
      <c r="E46" s="12">
        <v>44535</v>
      </c>
      <c r="F46" s="1" t="s">
        <v>71</v>
      </c>
      <c r="G46" s="12">
        <v>44541</v>
      </c>
      <c r="H46" s="125" t="s">
        <v>635</v>
      </c>
      <c r="I46" s="15">
        <v>20</v>
      </c>
      <c r="J46" s="15">
        <v>11</v>
      </c>
      <c r="K46" s="15">
        <v>8</v>
      </c>
      <c r="L46" s="15">
        <v>1</v>
      </c>
      <c r="M46" s="73">
        <v>0.44</v>
      </c>
      <c r="N46" s="104">
        <v>2</v>
      </c>
      <c r="O46" s="57">
        <v>7000</v>
      </c>
      <c r="P46" s="58">
        <f t="shared" si="0"/>
        <v>14000</v>
      </c>
    </row>
    <row r="47" spans="1:16" ht="26.25" customHeight="1" x14ac:dyDescent="0.2">
      <c r="A47" s="100"/>
      <c r="B47" s="100"/>
      <c r="C47" s="15" t="s">
        <v>714</v>
      </c>
      <c r="D47" s="70" t="s">
        <v>57</v>
      </c>
      <c r="E47" s="12">
        <v>44535</v>
      </c>
      <c r="F47" s="1" t="s">
        <v>71</v>
      </c>
      <c r="G47" s="12">
        <v>44541</v>
      </c>
      <c r="H47" s="125" t="s">
        <v>635</v>
      </c>
      <c r="I47" s="15">
        <v>134</v>
      </c>
      <c r="J47" s="15">
        <v>54</v>
      </c>
      <c r="K47" s="15">
        <v>41</v>
      </c>
      <c r="L47" s="15">
        <v>16</v>
      </c>
      <c r="M47" s="73">
        <v>74.168999999999997</v>
      </c>
      <c r="N47" s="104">
        <v>74.168999999999997</v>
      </c>
      <c r="O47" s="57">
        <v>7000</v>
      </c>
      <c r="P47" s="58">
        <f t="shared" si="0"/>
        <v>519183</v>
      </c>
    </row>
    <row r="48" spans="1:16" ht="26.25" customHeight="1" x14ac:dyDescent="0.2">
      <c r="A48" s="100"/>
      <c r="B48" s="100"/>
      <c r="C48" s="15" t="s">
        <v>715</v>
      </c>
      <c r="D48" s="70" t="s">
        <v>57</v>
      </c>
      <c r="E48" s="12">
        <v>44535</v>
      </c>
      <c r="F48" s="1" t="s">
        <v>71</v>
      </c>
      <c r="G48" s="12">
        <v>44541</v>
      </c>
      <c r="H48" s="125" t="s">
        <v>635</v>
      </c>
      <c r="I48" s="15">
        <v>61</v>
      </c>
      <c r="J48" s="15">
        <v>52</v>
      </c>
      <c r="K48" s="15">
        <v>22</v>
      </c>
      <c r="L48" s="15">
        <v>9</v>
      </c>
      <c r="M48" s="73">
        <v>17.446000000000002</v>
      </c>
      <c r="N48" s="104">
        <v>18</v>
      </c>
      <c r="O48" s="57">
        <v>7000</v>
      </c>
      <c r="P48" s="58">
        <f t="shared" si="0"/>
        <v>126000</v>
      </c>
    </row>
    <row r="49" spans="1:16" ht="26.25" customHeight="1" x14ac:dyDescent="0.2">
      <c r="A49" s="100"/>
      <c r="B49" s="100"/>
      <c r="C49" s="15" t="s">
        <v>716</v>
      </c>
      <c r="D49" s="70" t="s">
        <v>57</v>
      </c>
      <c r="E49" s="12">
        <v>44535</v>
      </c>
      <c r="F49" s="1" t="s">
        <v>71</v>
      </c>
      <c r="G49" s="12">
        <v>44541</v>
      </c>
      <c r="H49" s="125" t="s">
        <v>635</v>
      </c>
      <c r="I49" s="15">
        <v>61</v>
      </c>
      <c r="J49" s="15">
        <v>50</v>
      </c>
      <c r="K49" s="15">
        <v>30</v>
      </c>
      <c r="L49" s="15">
        <v>4</v>
      </c>
      <c r="M49" s="73">
        <v>22.875</v>
      </c>
      <c r="N49" s="104">
        <v>22.875</v>
      </c>
      <c r="O49" s="57">
        <v>7000</v>
      </c>
      <c r="P49" s="58">
        <f t="shared" si="0"/>
        <v>160125</v>
      </c>
    </row>
    <row r="50" spans="1:16" ht="26.25" customHeight="1" x14ac:dyDescent="0.2">
      <c r="A50" s="100"/>
      <c r="B50" s="100"/>
      <c r="C50" s="15" t="s">
        <v>717</v>
      </c>
      <c r="D50" s="70" t="s">
        <v>57</v>
      </c>
      <c r="E50" s="12">
        <v>44535</v>
      </c>
      <c r="F50" s="1" t="s">
        <v>71</v>
      </c>
      <c r="G50" s="12">
        <v>44541</v>
      </c>
      <c r="H50" s="125" t="s">
        <v>635</v>
      </c>
      <c r="I50" s="15">
        <v>66</v>
      </c>
      <c r="J50" s="15">
        <v>53</v>
      </c>
      <c r="K50" s="15">
        <v>20</v>
      </c>
      <c r="L50" s="15">
        <v>7</v>
      </c>
      <c r="M50" s="73">
        <v>17.489999999999998</v>
      </c>
      <c r="N50" s="104">
        <v>18</v>
      </c>
      <c r="O50" s="57">
        <v>7000</v>
      </c>
      <c r="P50" s="58">
        <f t="shared" si="0"/>
        <v>126000</v>
      </c>
    </row>
    <row r="51" spans="1:16" ht="26.25" customHeight="1" x14ac:dyDescent="0.2">
      <c r="A51" s="100"/>
      <c r="B51" s="100"/>
      <c r="C51" s="15" t="s">
        <v>718</v>
      </c>
      <c r="D51" s="70" t="s">
        <v>57</v>
      </c>
      <c r="E51" s="12">
        <v>44535</v>
      </c>
      <c r="F51" s="1" t="s">
        <v>71</v>
      </c>
      <c r="G51" s="12">
        <v>44541</v>
      </c>
      <c r="H51" s="125" t="s">
        <v>635</v>
      </c>
      <c r="I51" s="15">
        <v>97</v>
      </c>
      <c r="J51" s="15">
        <v>64</v>
      </c>
      <c r="K51" s="15">
        <v>32</v>
      </c>
      <c r="L51" s="15">
        <v>22</v>
      </c>
      <c r="M51" s="73">
        <v>49.664000000000001</v>
      </c>
      <c r="N51" s="104">
        <v>49.664000000000001</v>
      </c>
      <c r="O51" s="57">
        <v>7000</v>
      </c>
      <c r="P51" s="58">
        <f t="shared" si="0"/>
        <v>347648</v>
      </c>
    </row>
    <row r="52" spans="1:16" ht="26.25" customHeight="1" x14ac:dyDescent="0.2">
      <c r="A52" s="100"/>
      <c r="B52" s="100"/>
      <c r="C52" s="15" t="s">
        <v>719</v>
      </c>
      <c r="D52" s="70" t="s">
        <v>57</v>
      </c>
      <c r="E52" s="12">
        <v>44535</v>
      </c>
      <c r="F52" s="1" t="s">
        <v>71</v>
      </c>
      <c r="G52" s="12">
        <v>44541</v>
      </c>
      <c r="H52" s="125" t="s">
        <v>635</v>
      </c>
      <c r="I52" s="15">
        <v>57</v>
      </c>
      <c r="J52" s="15">
        <v>55</v>
      </c>
      <c r="K52" s="15">
        <v>18</v>
      </c>
      <c r="L52" s="15">
        <v>9</v>
      </c>
      <c r="M52" s="73">
        <v>14.1075</v>
      </c>
      <c r="N52" s="104">
        <v>14.1075</v>
      </c>
      <c r="O52" s="57">
        <v>7000</v>
      </c>
      <c r="P52" s="58">
        <f t="shared" si="0"/>
        <v>98752.5</v>
      </c>
    </row>
    <row r="53" spans="1:16" ht="26.25" customHeight="1" x14ac:dyDescent="0.2">
      <c r="A53" s="100"/>
      <c r="B53" s="100"/>
      <c r="C53" s="15" t="s">
        <v>720</v>
      </c>
      <c r="D53" s="70" t="s">
        <v>57</v>
      </c>
      <c r="E53" s="12">
        <v>44535</v>
      </c>
      <c r="F53" s="1" t="s">
        <v>71</v>
      </c>
      <c r="G53" s="12">
        <v>44541</v>
      </c>
      <c r="H53" s="125" t="s">
        <v>635</v>
      </c>
      <c r="I53" s="15">
        <v>54</v>
      </c>
      <c r="J53" s="15">
        <v>25</v>
      </c>
      <c r="K53" s="15">
        <v>14</v>
      </c>
      <c r="L53" s="15">
        <v>4</v>
      </c>
      <c r="M53" s="73">
        <v>4.7249999999999996</v>
      </c>
      <c r="N53" s="104">
        <v>4.7249999999999996</v>
      </c>
      <c r="O53" s="57">
        <v>7000</v>
      </c>
      <c r="P53" s="58">
        <f t="shared" si="0"/>
        <v>33075</v>
      </c>
    </row>
    <row r="54" spans="1:16" ht="26.25" customHeight="1" x14ac:dyDescent="0.2">
      <c r="A54" s="100"/>
      <c r="B54" s="100"/>
      <c r="C54" s="15" t="s">
        <v>721</v>
      </c>
      <c r="D54" s="70" t="s">
        <v>57</v>
      </c>
      <c r="E54" s="12">
        <v>44535</v>
      </c>
      <c r="F54" s="1" t="s">
        <v>71</v>
      </c>
      <c r="G54" s="12">
        <v>44541</v>
      </c>
      <c r="H54" s="125" t="s">
        <v>635</v>
      </c>
      <c r="I54" s="15">
        <v>91</v>
      </c>
      <c r="J54" s="15">
        <v>54</v>
      </c>
      <c r="K54" s="15">
        <v>30</v>
      </c>
      <c r="L54" s="15">
        <v>15</v>
      </c>
      <c r="M54" s="73">
        <v>36.854999999999997</v>
      </c>
      <c r="N54" s="104">
        <v>36.854999999999997</v>
      </c>
      <c r="O54" s="57">
        <v>7000</v>
      </c>
      <c r="P54" s="58">
        <f t="shared" si="0"/>
        <v>257984.99999999997</v>
      </c>
    </row>
    <row r="55" spans="1:16" ht="26.25" customHeight="1" x14ac:dyDescent="0.2">
      <c r="A55" s="100"/>
      <c r="B55" s="100"/>
      <c r="C55" s="15" t="s">
        <v>722</v>
      </c>
      <c r="D55" s="70" t="s">
        <v>57</v>
      </c>
      <c r="E55" s="12">
        <v>44535</v>
      </c>
      <c r="F55" s="1" t="s">
        <v>71</v>
      </c>
      <c r="G55" s="12">
        <v>44541</v>
      </c>
      <c r="H55" s="125" t="s">
        <v>635</v>
      </c>
      <c r="I55" s="15">
        <v>82</v>
      </c>
      <c r="J55" s="15">
        <v>57</v>
      </c>
      <c r="K55" s="15">
        <v>24</v>
      </c>
      <c r="L55" s="15">
        <v>9</v>
      </c>
      <c r="M55" s="73">
        <v>28.044</v>
      </c>
      <c r="N55" s="104">
        <v>28.044</v>
      </c>
      <c r="O55" s="57">
        <v>7000</v>
      </c>
      <c r="P55" s="58">
        <f t="shared" si="0"/>
        <v>196308</v>
      </c>
    </row>
    <row r="56" spans="1:16" ht="26.25" customHeight="1" x14ac:dyDescent="0.2">
      <c r="A56" s="100"/>
      <c r="B56" s="100"/>
      <c r="C56" s="15" t="s">
        <v>723</v>
      </c>
      <c r="D56" s="70" t="s">
        <v>57</v>
      </c>
      <c r="E56" s="12">
        <v>44535</v>
      </c>
      <c r="F56" s="1" t="s">
        <v>71</v>
      </c>
      <c r="G56" s="12">
        <v>44541</v>
      </c>
      <c r="H56" s="125" t="s">
        <v>635</v>
      </c>
      <c r="I56" s="15">
        <v>58</v>
      </c>
      <c r="J56" s="15">
        <v>58</v>
      </c>
      <c r="K56" s="15">
        <v>10</v>
      </c>
      <c r="L56" s="15">
        <v>2</v>
      </c>
      <c r="M56" s="73">
        <v>8.41</v>
      </c>
      <c r="N56" s="104">
        <v>9</v>
      </c>
      <c r="O56" s="57">
        <v>7000</v>
      </c>
      <c r="P56" s="58">
        <f t="shared" si="0"/>
        <v>63000</v>
      </c>
    </row>
    <row r="57" spans="1:16" ht="26.25" customHeight="1" x14ac:dyDescent="0.2">
      <c r="A57" s="100"/>
      <c r="B57" s="100"/>
      <c r="C57" s="15" t="s">
        <v>724</v>
      </c>
      <c r="D57" s="70" t="s">
        <v>57</v>
      </c>
      <c r="E57" s="12">
        <v>44535</v>
      </c>
      <c r="F57" s="1" t="s">
        <v>71</v>
      </c>
      <c r="G57" s="12">
        <v>44541</v>
      </c>
      <c r="H57" s="125" t="s">
        <v>635</v>
      </c>
      <c r="I57" s="15">
        <v>41</v>
      </c>
      <c r="J57" s="15">
        <v>21</v>
      </c>
      <c r="K57" s="15">
        <v>16</v>
      </c>
      <c r="L57" s="15">
        <v>3</v>
      </c>
      <c r="M57" s="73">
        <v>3.444</v>
      </c>
      <c r="N57" s="104">
        <v>4</v>
      </c>
      <c r="O57" s="57">
        <v>7000</v>
      </c>
      <c r="P57" s="58">
        <f t="shared" si="0"/>
        <v>28000</v>
      </c>
    </row>
    <row r="58" spans="1:16" ht="26.25" customHeight="1" x14ac:dyDescent="0.2">
      <c r="A58" s="100"/>
      <c r="B58" s="100"/>
      <c r="C58" s="15" t="s">
        <v>725</v>
      </c>
      <c r="D58" s="70" t="s">
        <v>57</v>
      </c>
      <c r="E58" s="12">
        <v>44535</v>
      </c>
      <c r="F58" s="1" t="s">
        <v>71</v>
      </c>
      <c r="G58" s="12">
        <v>44541</v>
      </c>
      <c r="H58" s="125" t="s">
        <v>635</v>
      </c>
      <c r="I58" s="15">
        <v>50</v>
      </c>
      <c r="J58" s="15">
        <v>35</v>
      </c>
      <c r="K58" s="15">
        <v>18</v>
      </c>
      <c r="L58" s="15">
        <v>3</v>
      </c>
      <c r="M58" s="73">
        <v>7.875</v>
      </c>
      <c r="N58" s="104">
        <v>7.875</v>
      </c>
      <c r="O58" s="57">
        <v>7000</v>
      </c>
      <c r="P58" s="58">
        <f t="shared" si="0"/>
        <v>55125</v>
      </c>
    </row>
    <row r="59" spans="1:16" ht="26.25" customHeight="1" x14ac:dyDescent="0.2">
      <c r="A59" s="100"/>
      <c r="B59" s="100"/>
      <c r="C59" s="15" t="s">
        <v>726</v>
      </c>
      <c r="D59" s="70" t="s">
        <v>57</v>
      </c>
      <c r="E59" s="12">
        <v>44535</v>
      </c>
      <c r="F59" s="1" t="s">
        <v>71</v>
      </c>
      <c r="G59" s="12">
        <v>44541</v>
      </c>
      <c r="H59" s="125" t="s">
        <v>635</v>
      </c>
      <c r="I59" s="15">
        <v>86</v>
      </c>
      <c r="J59" s="15">
        <v>57</v>
      </c>
      <c r="K59" s="15">
        <v>42</v>
      </c>
      <c r="L59" s="15">
        <v>20</v>
      </c>
      <c r="M59" s="73">
        <v>51.470999999999997</v>
      </c>
      <c r="N59" s="104">
        <v>52</v>
      </c>
      <c r="O59" s="57">
        <v>7000</v>
      </c>
      <c r="P59" s="58">
        <f t="shared" si="0"/>
        <v>364000</v>
      </c>
    </row>
    <row r="60" spans="1:16" ht="26.25" customHeight="1" x14ac:dyDescent="0.2">
      <c r="A60" s="100"/>
      <c r="B60" s="100"/>
      <c r="C60" s="15" t="s">
        <v>727</v>
      </c>
      <c r="D60" s="70" t="s">
        <v>57</v>
      </c>
      <c r="E60" s="12">
        <v>44535</v>
      </c>
      <c r="F60" s="1" t="s">
        <v>71</v>
      </c>
      <c r="G60" s="12">
        <v>44541</v>
      </c>
      <c r="H60" s="125" t="s">
        <v>635</v>
      </c>
      <c r="I60" s="15">
        <v>95</v>
      </c>
      <c r="J60" s="15">
        <v>65</v>
      </c>
      <c r="K60" s="15">
        <v>27</v>
      </c>
      <c r="L60" s="15">
        <v>22</v>
      </c>
      <c r="M60" s="73">
        <v>41.681249999999999</v>
      </c>
      <c r="N60" s="104">
        <v>41.681249999999999</v>
      </c>
      <c r="O60" s="57">
        <v>7000</v>
      </c>
      <c r="P60" s="58">
        <f t="shared" si="0"/>
        <v>291768.75</v>
      </c>
    </row>
    <row r="61" spans="1:16" ht="26.25" customHeight="1" x14ac:dyDescent="0.2">
      <c r="A61" s="100"/>
      <c r="B61" s="100"/>
      <c r="C61" s="15" t="s">
        <v>728</v>
      </c>
      <c r="D61" s="70" t="s">
        <v>57</v>
      </c>
      <c r="E61" s="12">
        <v>44535</v>
      </c>
      <c r="F61" s="1" t="s">
        <v>71</v>
      </c>
      <c r="G61" s="12">
        <v>44541</v>
      </c>
      <c r="H61" s="125" t="s">
        <v>635</v>
      </c>
      <c r="I61" s="15">
        <v>91</v>
      </c>
      <c r="J61" s="15">
        <v>54</v>
      </c>
      <c r="K61" s="15">
        <v>32</v>
      </c>
      <c r="L61" s="15">
        <v>18</v>
      </c>
      <c r="M61" s="73">
        <v>39.311999999999998</v>
      </c>
      <c r="N61" s="104">
        <v>40</v>
      </c>
      <c r="O61" s="57">
        <v>7000</v>
      </c>
      <c r="P61" s="58">
        <f t="shared" si="0"/>
        <v>280000</v>
      </c>
    </row>
    <row r="62" spans="1:16" ht="26.25" customHeight="1" x14ac:dyDescent="0.2">
      <c r="A62" s="100"/>
      <c r="B62" s="100"/>
      <c r="C62" s="15" t="s">
        <v>729</v>
      </c>
      <c r="D62" s="70" t="s">
        <v>57</v>
      </c>
      <c r="E62" s="12">
        <v>44535</v>
      </c>
      <c r="F62" s="1" t="s">
        <v>71</v>
      </c>
      <c r="G62" s="12">
        <v>44541</v>
      </c>
      <c r="H62" s="125" t="s">
        <v>635</v>
      </c>
      <c r="I62" s="15">
        <v>70</v>
      </c>
      <c r="J62" s="15">
        <v>62</v>
      </c>
      <c r="K62" s="15">
        <v>18</v>
      </c>
      <c r="L62" s="15">
        <v>11</v>
      </c>
      <c r="M62" s="73">
        <v>19.53</v>
      </c>
      <c r="N62" s="104">
        <v>19.53</v>
      </c>
      <c r="O62" s="57">
        <v>7000</v>
      </c>
      <c r="P62" s="58">
        <f t="shared" si="0"/>
        <v>136710</v>
      </c>
    </row>
    <row r="63" spans="1:16" ht="26.25" customHeight="1" x14ac:dyDescent="0.2">
      <c r="A63" s="100"/>
      <c r="B63" s="100"/>
      <c r="C63" s="15" t="s">
        <v>730</v>
      </c>
      <c r="D63" s="70" t="s">
        <v>57</v>
      </c>
      <c r="E63" s="12">
        <v>44535</v>
      </c>
      <c r="F63" s="1" t="s">
        <v>71</v>
      </c>
      <c r="G63" s="12">
        <v>44541</v>
      </c>
      <c r="H63" s="125" t="s">
        <v>635</v>
      </c>
      <c r="I63" s="15">
        <v>99</v>
      </c>
      <c r="J63" s="15">
        <v>57</v>
      </c>
      <c r="K63" s="15">
        <v>30</v>
      </c>
      <c r="L63" s="15">
        <v>29</v>
      </c>
      <c r="M63" s="73">
        <v>42.322499999999998</v>
      </c>
      <c r="N63" s="104">
        <v>43</v>
      </c>
      <c r="O63" s="57">
        <v>7000</v>
      </c>
      <c r="P63" s="58">
        <f t="shared" si="0"/>
        <v>301000</v>
      </c>
    </row>
    <row r="64" spans="1:16" ht="26.25" customHeight="1" x14ac:dyDescent="0.2">
      <c r="A64" s="100"/>
      <c r="B64" s="100"/>
      <c r="C64" s="15" t="s">
        <v>731</v>
      </c>
      <c r="D64" s="70" t="s">
        <v>57</v>
      </c>
      <c r="E64" s="12">
        <v>44535</v>
      </c>
      <c r="F64" s="1" t="s">
        <v>71</v>
      </c>
      <c r="G64" s="12">
        <v>44541</v>
      </c>
      <c r="H64" s="125" t="s">
        <v>635</v>
      </c>
      <c r="I64" s="15">
        <v>104</v>
      </c>
      <c r="J64" s="15">
        <v>58</v>
      </c>
      <c r="K64" s="15">
        <v>21</v>
      </c>
      <c r="L64" s="15">
        <v>37</v>
      </c>
      <c r="M64" s="73">
        <v>31.667999999999999</v>
      </c>
      <c r="N64" s="104">
        <v>37</v>
      </c>
      <c r="O64" s="57">
        <v>7000</v>
      </c>
      <c r="P64" s="58">
        <f t="shared" si="0"/>
        <v>259000</v>
      </c>
    </row>
    <row r="65" spans="1:16" ht="26.25" customHeight="1" x14ac:dyDescent="0.2">
      <c r="A65" s="100"/>
      <c r="B65" s="100"/>
      <c r="C65" s="15" t="s">
        <v>732</v>
      </c>
      <c r="D65" s="70" t="s">
        <v>57</v>
      </c>
      <c r="E65" s="12">
        <v>44535</v>
      </c>
      <c r="F65" s="1" t="s">
        <v>71</v>
      </c>
      <c r="G65" s="12">
        <v>44541</v>
      </c>
      <c r="H65" s="125" t="s">
        <v>635</v>
      </c>
      <c r="I65" s="15">
        <v>87</v>
      </c>
      <c r="J65" s="15">
        <v>62</v>
      </c>
      <c r="K65" s="15">
        <v>31</v>
      </c>
      <c r="L65" s="15">
        <v>24</v>
      </c>
      <c r="M65" s="73">
        <v>41.8035</v>
      </c>
      <c r="N65" s="104">
        <v>41.8035</v>
      </c>
      <c r="O65" s="57">
        <v>7000</v>
      </c>
      <c r="P65" s="58">
        <f t="shared" si="0"/>
        <v>292624.5</v>
      </c>
    </row>
    <row r="66" spans="1:16" ht="26.25" customHeight="1" x14ac:dyDescent="0.2">
      <c r="A66" s="100"/>
      <c r="B66" s="100"/>
      <c r="C66" s="15" t="s">
        <v>733</v>
      </c>
      <c r="D66" s="70" t="s">
        <v>57</v>
      </c>
      <c r="E66" s="12">
        <v>44535</v>
      </c>
      <c r="F66" s="1" t="s">
        <v>71</v>
      </c>
      <c r="G66" s="12">
        <v>44541</v>
      </c>
      <c r="H66" s="125" t="s">
        <v>635</v>
      </c>
      <c r="I66" s="15">
        <v>98</v>
      </c>
      <c r="J66" s="15">
        <v>67</v>
      </c>
      <c r="K66" s="15">
        <v>35</v>
      </c>
      <c r="L66" s="15">
        <v>40</v>
      </c>
      <c r="M66" s="73">
        <v>57.452500000000001</v>
      </c>
      <c r="N66" s="104">
        <v>58</v>
      </c>
      <c r="O66" s="57">
        <v>7000</v>
      </c>
      <c r="P66" s="58">
        <f t="shared" si="0"/>
        <v>406000</v>
      </c>
    </row>
    <row r="67" spans="1:16" ht="26.25" customHeight="1" x14ac:dyDescent="0.2">
      <c r="A67" s="100"/>
      <c r="B67" s="100"/>
      <c r="C67" s="15" t="s">
        <v>734</v>
      </c>
      <c r="D67" s="70" t="s">
        <v>57</v>
      </c>
      <c r="E67" s="12">
        <v>44535</v>
      </c>
      <c r="F67" s="1" t="s">
        <v>71</v>
      </c>
      <c r="G67" s="12">
        <v>44541</v>
      </c>
      <c r="H67" s="125" t="s">
        <v>635</v>
      </c>
      <c r="I67" s="15">
        <v>75</v>
      </c>
      <c r="J67" s="15">
        <v>63</v>
      </c>
      <c r="K67" s="15">
        <v>24</v>
      </c>
      <c r="L67" s="15">
        <v>21</v>
      </c>
      <c r="M67" s="73">
        <v>28.35</v>
      </c>
      <c r="N67" s="104">
        <v>29</v>
      </c>
      <c r="O67" s="57">
        <v>7000</v>
      </c>
      <c r="P67" s="58">
        <f t="shared" ref="P67:P130" si="1">N67*O67</f>
        <v>203000</v>
      </c>
    </row>
    <row r="68" spans="1:16" ht="26.25" customHeight="1" x14ac:dyDescent="0.2">
      <c r="A68" s="100"/>
      <c r="B68" s="100"/>
      <c r="C68" s="15" t="s">
        <v>735</v>
      </c>
      <c r="D68" s="70" t="s">
        <v>57</v>
      </c>
      <c r="E68" s="12">
        <v>44535</v>
      </c>
      <c r="F68" s="1" t="s">
        <v>71</v>
      </c>
      <c r="G68" s="12">
        <v>44541</v>
      </c>
      <c r="H68" s="125" t="s">
        <v>635</v>
      </c>
      <c r="I68" s="15">
        <v>64</v>
      </c>
      <c r="J68" s="15">
        <v>41</v>
      </c>
      <c r="K68" s="15">
        <v>25</v>
      </c>
      <c r="L68" s="15">
        <v>1</v>
      </c>
      <c r="M68" s="73">
        <v>16.399999999999999</v>
      </c>
      <c r="N68" s="104">
        <v>17</v>
      </c>
      <c r="O68" s="57">
        <v>7000</v>
      </c>
      <c r="P68" s="58">
        <f t="shared" si="1"/>
        <v>119000</v>
      </c>
    </row>
    <row r="69" spans="1:16" ht="26.25" customHeight="1" x14ac:dyDescent="0.2">
      <c r="A69" s="100"/>
      <c r="B69" s="100"/>
      <c r="C69" s="15" t="s">
        <v>736</v>
      </c>
      <c r="D69" s="70" t="s">
        <v>57</v>
      </c>
      <c r="E69" s="12">
        <v>44535</v>
      </c>
      <c r="F69" s="1" t="s">
        <v>71</v>
      </c>
      <c r="G69" s="12">
        <v>44541</v>
      </c>
      <c r="H69" s="125" t="s">
        <v>635</v>
      </c>
      <c r="I69" s="15">
        <v>64</v>
      </c>
      <c r="J69" s="15">
        <v>42</v>
      </c>
      <c r="K69" s="15">
        <v>41</v>
      </c>
      <c r="L69" s="15">
        <v>29</v>
      </c>
      <c r="M69" s="73">
        <v>27.552</v>
      </c>
      <c r="N69" s="104">
        <v>29</v>
      </c>
      <c r="O69" s="57">
        <v>7000</v>
      </c>
      <c r="P69" s="58">
        <f t="shared" si="1"/>
        <v>203000</v>
      </c>
    </row>
    <row r="70" spans="1:16" ht="26.25" customHeight="1" x14ac:dyDescent="0.2">
      <c r="A70" s="100"/>
      <c r="B70" s="100"/>
      <c r="C70" s="15" t="s">
        <v>737</v>
      </c>
      <c r="D70" s="70" t="s">
        <v>57</v>
      </c>
      <c r="E70" s="12">
        <v>44535</v>
      </c>
      <c r="F70" s="1" t="s">
        <v>71</v>
      </c>
      <c r="G70" s="12">
        <v>44541</v>
      </c>
      <c r="H70" s="125" t="s">
        <v>635</v>
      </c>
      <c r="I70" s="15">
        <v>97</v>
      </c>
      <c r="J70" s="15">
        <v>55</v>
      </c>
      <c r="K70" s="15">
        <v>35</v>
      </c>
      <c r="L70" s="15">
        <v>29</v>
      </c>
      <c r="M70" s="73">
        <v>46.681249999999999</v>
      </c>
      <c r="N70" s="104">
        <v>46.681249999999999</v>
      </c>
      <c r="O70" s="57">
        <v>7000</v>
      </c>
      <c r="P70" s="58">
        <f t="shared" si="1"/>
        <v>326768.75</v>
      </c>
    </row>
    <row r="71" spans="1:16" ht="26.25" customHeight="1" x14ac:dyDescent="0.2">
      <c r="A71" s="100"/>
      <c r="B71" s="100"/>
      <c r="C71" s="15" t="s">
        <v>738</v>
      </c>
      <c r="D71" s="70" t="s">
        <v>57</v>
      </c>
      <c r="E71" s="12">
        <v>44535</v>
      </c>
      <c r="F71" s="1" t="s">
        <v>71</v>
      </c>
      <c r="G71" s="12">
        <v>44541</v>
      </c>
      <c r="H71" s="125" t="s">
        <v>635</v>
      </c>
      <c r="I71" s="15">
        <v>51</v>
      </c>
      <c r="J71" s="15">
        <v>51</v>
      </c>
      <c r="K71" s="15">
        <v>58</v>
      </c>
      <c r="L71" s="15">
        <v>27</v>
      </c>
      <c r="M71" s="73">
        <v>37.714500000000001</v>
      </c>
      <c r="N71" s="104">
        <v>37.714500000000001</v>
      </c>
      <c r="O71" s="57">
        <v>7000</v>
      </c>
      <c r="P71" s="58">
        <f t="shared" si="1"/>
        <v>264001.5</v>
      </c>
    </row>
    <row r="72" spans="1:16" ht="26.25" customHeight="1" x14ac:dyDescent="0.2">
      <c r="A72" s="100"/>
      <c r="B72" s="100"/>
      <c r="C72" s="15" t="s">
        <v>739</v>
      </c>
      <c r="D72" s="70" t="s">
        <v>57</v>
      </c>
      <c r="E72" s="12">
        <v>44535</v>
      </c>
      <c r="F72" s="1" t="s">
        <v>71</v>
      </c>
      <c r="G72" s="12">
        <v>44541</v>
      </c>
      <c r="H72" s="125" t="s">
        <v>635</v>
      </c>
      <c r="I72" s="15">
        <v>75</v>
      </c>
      <c r="J72" s="15">
        <v>21</v>
      </c>
      <c r="K72" s="15">
        <v>21</v>
      </c>
      <c r="L72" s="15">
        <v>10</v>
      </c>
      <c r="M72" s="73">
        <v>8.2687500000000007</v>
      </c>
      <c r="N72" s="104">
        <v>10</v>
      </c>
      <c r="O72" s="57">
        <v>7000</v>
      </c>
      <c r="P72" s="58">
        <f t="shared" si="1"/>
        <v>70000</v>
      </c>
    </row>
    <row r="73" spans="1:16" ht="26.25" customHeight="1" x14ac:dyDescent="0.2">
      <c r="A73" s="100"/>
      <c r="B73" s="100"/>
      <c r="C73" s="15" t="s">
        <v>740</v>
      </c>
      <c r="D73" s="70" t="s">
        <v>57</v>
      </c>
      <c r="E73" s="12">
        <v>44535</v>
      </c>
      <c r="F73" s="1" t="s">
        <v>71</v>
      </c>
      <c r="G73" s="12">
        <v>44541</v>
      </c>
      <c r="H73" s="125" t="s">
        <v>635</v>
      </c>
      <c r="I73" s="15">
        <v>280</v>
      </c>
      <c r="J73" s="15">
        <v>11</v>
      </c>
      <c r="K73" s="15">
        <v>11</v>
      </c>
      <c r="L73" s="15">
        <v>7</v>
      </c>
      <c r="M73" s="73">
        <v>8.4700000000000006</v>
      </c>
      <c r="N73" s="104">
        <v>9</v>
      </c>
      <c r="O73" s="57">
        <v>7000</v>
      </c>
      <c r="P73" s="58">
        <f t="shared" si="1"/>
        <v>63000</v>
      </c>
    </row>
    <row r="74" spans="1:16" ht="26.25" customHeight="1" x14ac:dyDescent="0.2">
      <c r="A74" s="100"/>
      <c r="B74" s="100"/>
      <c r="C74" s="15" t="s">
        <v>741</v>
      </c>
      <c r="D74" s="70" t="s">
        <v>57</v>
      </c>
      <c r="E74" s="12">
        <v>44535</v>
      </c>
      <c r="F74" s="1" t="s">
        <v>71</v>
      </c>
      <c r="G74" s="12">
        <v>44541</v>
      </c>
      <c r="H74" s="125" t="s">
        <v>635</v>
      </c>
      <c r="I74" s="15">
        <v>41</v>
      </c>
      <c r="J74" s="15">
        <v>32</v>
      </c>
      <c r="K74" s="15">
        <v>16</v>
      </c>
      <c r="L74" s="15">
        <v>3</v>
      </c>
      <c r="M74" s="73">
        <v>5.2480000000000002</v>
      </c>
      <c r="N74" s="104">
        <v>5.2480000000000002</v>
      </c>
      <c r="O74" s="57">
        <v>7000</v>
      </c>
      <c r="P74" s="58">
        <f t="shared" si="1"/>
        <v>36736</v>
      </c>
    </row>
    <row r="75" spans="1:16" ht="26.25" customHeight="1" x14ac:dyDescent="0.2">
      <c r="A75" s="100"/>
      <c r="B75" s="100"/>
      <c r="C75" s="15" t="s">
        <v>742</v>
      </c>
      <c r="D75" s="70" t="s">
        <v>57</v>
      </c>
      <c r="E75" s="12">
        <v>44535</v>
      </c>
      <c r="F75" s="1" t="s">
        <v>71</v>
      </c>
      <c r="G75" s="12">
        <v>44541</v>
      </c>
      <c r="H75" s="125" t="s">
        <v>635</v>
      </c>
      <c r="I75" s="15">
        <v>55</v>
      </c>
      <c r="J75" s="15">
        <v>35</v>
      </c>
      <c r="K75" s="15">
        <v>28</v>
      </c>
      <c r="L75" s="15">
        <v>7</v>
      </c>
      <c r="M75" s="73">
        <v>13.475</v>
      </c>
      <c r="N75" s="104">
        <v>14</v>
      </c>
      <c r="O75" s="57">
        <v>7000</v>
      </c>
      <c r="P75" s="58">
        <f t="shared" si="1"/>
        <v>98000</v>
      </c>
    </row>
    <row r="76" spans="1:16" ht="26.25" customHeight="1" x14ac:dyDescent="0.2">
      <c r="A76" s="100"/>
      <c r="B76" s="100"/>
      <c r="C76" s="15" t="s">
        <v>743</v>
      </c>
      <c r="D76" s="70" t="s">
        <v>57</v>
      </c>
      <c r="E76" s="12">
        <v>44535</v>
      </c>
      <c r="F76" s="1" t="s">
        <v>71</v>
      </c>
      <c r="G76" s="12">
        <v>44541</v>
      </c>
      <c r="H76" s="125" t="s">
        <v>635</v>
      </c>
      <c r="I76" s="15">
        <v>44</v>
      </c>
      <c r="J76" s="15">
        <v>31</v>
      </c>
      <c r="K76" s="15">
        <v>15</v>
      </c>
      <c r="L76" s="15">
        <v>6</v>
      </c>
      <c r="M76" s="73">
        <v>5.1150000000000002</v>
      </c>
      <c r="N76" s="104">
        <v>6</v>
      </c>
      <c r="O76" s="57">
        <v>7000</v>
      </c>
      <c r="P76" s="58">
        <f t="shared" si="1"/>
        <v>42000</v>
      </c>
    </row>
    <row r="77" spans="1:16" ht="26.25" customHeight="1" x14ac:dyDescent="0.2">
      <c r="A77" s="100"/>
      <c r="B77" s="100"/>
      <c r="C77" s="15" t="s">
        <v>744</v>
      </c>
      <c r="D77" s="70" t="s">
        <v>57</v>
      </c>
      <c r="E77" s="12">
        <v>44535</v>
      </c>
      <c r="F77" s="1" t="s">
        <v>71</v>
      </c>
      <c r="G77" s="12">
        <v>44541</v>
      </c>
      <c r="H77" s="125" t="s">
        <v>635</v>
      </c>
      <c r="I77" s="15">
        <v>92</v>
      </c>
      <c r="J77" s="15">
        <v>43</v>
      </c>
      <c r="K77" s="15">
        <v>24</v>
      </c>
      <c r="L77" s="15">
        <v>7</v>
      </c>
      <c r="M77" s="73">
        <v>23.736000000000001</v>
      </c>
      <c r="N77" s="104">
        <v>23.736000000000001</v>
      </c>
      <c r="O77" s="57">
        <v>7000</v>
      </c>
      <c r="P77" s="58">
        <f t="shared" si="1"/>
        <v>166152</v>
      </c>
    </row>
    <row r="78" spans="1:16" ht="26.25" customHeight="1" x14ac:dyDescent="0.2">
      <c r="A78" s="100"/>
      <c r="B78" s="100"/>
      <c r="C78" s="15" t="s">
        <v>745</v>
      </c>
      <c r="D78" s="70" t="s">
        <v>57</v>
      </c>
      <c r="E78" s="12">
        <v>44535</v>
      </c>
      <c r="F78" s="1" t="s">
        <v>71</v>
      </c>
      <c r="G78" s="12">
        <v>44541</v>
      </c>
      <c r="H78" s="125" t="s">
        <v>635</v>
      </c>
      <c r="I78" s="15">
        <v>62</v>
      </c>
      <c r="J78" s="15">
        <v>43</v>
      </c>
      <c r="K78" s="15">
        <v>23</v>
      </c>
      <c r="L78" s="15">
        <v>1</v>
      </c>
      <c r="M78" s="73">
        <v>15.329499999999999</v>
      </c>
      <c r="N78" s="104">
        <v>16</v>
      </c>
      <c r="O78" s="57">
        <v>7000</v>
      </c>
      <c r="P78" s="58">
        <f t="shared" si="1"/>
        <v>112000</v>
      </c>
    </row>
    <row r="79" spans="1:16" ht="26.25" customHeight="1" x14ac:dyDescent="0.2">
      <c r="A79" s="100"/>
      <c r="B79" s="100"/>
      <c r="C79" s="15" t="s">
        <v>746</v>
      </c>
      <c r="D79" s="70" t="s">
        <v>57</v>
      </c>
      <c r="E79" s="12">
        <v>44535</v>
      </c>
      <c r="F79" s="1" t="s">
        <v>71</v>
      </c>
      <c r="G79" s="12">
        <v>44541</v>
      </c>
      <c r="H79" s="125" t="s">
        <v>635</v>
      </c>
      <c r="I79" s="15">
        <v>70</v>
      </c>
      <c r="J79" s="15">
        <v>41</v>
      </c>
      <c r="K79" s="15">
        <v>22</v>
      </c>
      <c r="L79" s="15">
        <v>5</v>
      </c>
      <c r="M79" s="73">
        <v>15.785</v>
      </c>
      <c r="N79" s="104">
        <v>15.785</v>
      </c>
      <c r="O79" s="57">
        <v>7000</v>
      </c>
      <c r="P79" s="58">
        <f t="shared" si="1"/>
        <v>110495</v>
      </c>
    </row>
    <row r="80" spans="1:16" ht="26.25" customHeight="1" x14ac:dyDescent="0.2">
      <c r="A80" s="100"/>
      <c r="B80" s="100"/>
      <c r="C80" s="15" t="s">
        <v>747</v>
      </c>
      <c r="D80" s="70" t="s">
        <v>57</v>
      </c>
      <c r="E80" s="12">
        <v>44535</v>
      </c>
      <c r="F80" s="1" t="s">
        <v>71</v>
      </c>
      <c r="G80" s="12">
        <v>44541</v>
      </c>
      <c r="H80" s="125" t="s">
        <v>635</v>
      </c>
      <c r="I80" s="15">
        <v>41</v>
      </c>
      <c r="J80" s="15">
        <v>38</v>
      </c>
      <c r="K80" s="15">
        <v>38</v>
      </c>
      <c r="L80" s="15">
        <v>6</v>
      </c>
      <c r="M80" s="73">
        <v>14.801</v>
      </c>
      <c r="N80" s="104">
        <v>14.801</v>
      </c>
      <c r="O80" s="57">
        <v>7000</v>
      </c>
      <c r="P80" s="58">
        <f t="shared" si="1"/>
        <v>103607</v>
      </c>
    </row>
    <row r="81" spans="1:16" ht="26.25" customHeight="1" x14ac:dyDescent="0.2">
      <c r="A81" s="100"/>
      <c r="B81" s="100"/>
      <c r="C81" s="15" t="s">
        <v>748</v>
      </c>
      <c r="D81" s="70" t="s">
        <v>57</v>
      </c>
      <c r="E81" s="12">
        <v>44535</v>
      </c>
      <c r="F81" s="1" t="s">
        <v>71</v>
      </c>
      <c r="G81" s="12">
        <v>44541</v>
      </c>
      <c r="H81" s="125" t="s">
        <v>635</v>
      </c>
      <c r="I81" s="15">
        <v>32</v>
      </c>
      <c r="J81" s="15">
        <v>32</v>
      </c>
      <c r="K81" s="15">
        <v>25</v>
      </c>
      <c r="L81" s="15">
        <v>18</v>
      </c>
      <c r="M81" s="73">
        <v>6.4</v>
      </c>
      <c r="N81" s="104">
        <v>19</v>
      </c>
      <c r="O81" s="57">
        <v>7000</v>
      </c>
      <c r="P81" s="58">
        <f t="shared" si="1"/>
        <v>133000</v>
      </c>
    </row>
    <row r="82" spans="1:16" ht="26.25" customHeight="1" x14ac:dyDescent="0.2">
      <c r="A82" s="100"/>
      <c r="B82" s="100"/>
      <c r="C82" s="15" t="s">
        <v>749</v>
      </c>
      <c r="D82" s="70" t="s">
        <v>57</v>
      </c>
      <c r="E82" s="12">
        <v>44535</v>
      </c>
      <c r="F82" s="1" t="s">
        <v>71</v>
      </c>
      <c r="G82" s="12">
        <v>44541</v>
      </c>
      <c r="H82" s="125" t="s">
        <v>635</v>
      </c>
      <c r="I82" s="15">
        <v>58</v>
      </c>
      <c r="J82" s="15">
        <v>32</v>
      </c>
      <c r="K82" s="15">
        <v>35</v>
      </c>
      <c r="L82" s="15">
        <v>18</v>
      </c>
      <c r="M82" s="73">
        <v>16.239999999999998</v>
      </c>
      <c r="N82" s="104">
        <v>18</v>
      </c>
      <c r="O82" s="57">
        <v>7000</v>
      </c>
      <c r="P82" s="58">
        <f t="shared" si="1"/>
        <v>126000</v>
      </c>
    </row>
    <row r="83" spans="1:16" ht="26.25" customHeight="1" x14ac:dyDescent="0.2">
      <c r="A83" s="100"/>
      <c r="B83" s="100"/>
      <c r="C83" s="15" t="s">
        <v>750</v>
      </c>
      <c r="D83" s="70" t="s">
        <v>57</v>
      </c>
      <c r="E83" s="12">
        <v>44535</v>
      </c>
      <c r="F83" s="1" t="s">
        <v>71</v>
      </c>
      <c r="G83" s="12">
        <v>44541</v>
      </c>
      <c r="H83" s="125" t="s">
        <v>635</v>
      </c>
      <c r="I83" s="15">
        <v>44</v>
      </c>
      <c r="J83" s="15">
        <v>31</v>
      </c>
      <c r="K83" s="15">
        <v>32</v>
      </c>
      <c r="L83" s="15">
        <v>1</v>
      </c>
      <c r="M83" s="73">
        <v>10.912000000000001</v>
      </c>
      <c r="N83" s="104">
        <v>10.912000000000001</v>
      </c>
      <c r="O83" s="57">
        <v>7000</v>
      </c>
      <c r="P83" s="58">
        <f t="shared" si="1"/>
        <v>76384</v>
      </c>
    </row>
    <row r="84" spans="1:16" ht="26.25" customHeight="1" x14ac:dyDescent="0.2">
      <c r="A84" s="100"/>
      <c r="B84" s="100"/>
      <c r="C84" s="15" t="s">
        <v>751</v>
      </c>
      <c r="D84" s="70" t="s">
        <v>57</v>
      </c>
      <c r="E84" s="12">
        <v>44535</v>
      </c>
      <c r="F84" s="1" t="s">
        <v>71</v>
      </c>
      <c r="G84" s="12">
        <v>44541</v>
      </c>
      <c r="H84" s="125" t="s">
        <v>635</v>
      </c>
      <c r="I84" s="15">
        <v>28</v>
      </c>
      <c r="J84" s="15">
        <v>28</v>
      </c>
      <c r="K84" s="15">
        <v>31</v>
      </c>
      <c r="L84" s="15">
        <v>4</v>
      </c>
      <c r="M84" s="73">
        <v>6.0759999999999996</v>
      </c>
      <c r="N84" s="104">
        <v>6.0759999999999996</v>
      </c>
      <c r="O84" s="57">
        <v>7000</v>
      </c>
      <c r="P84" s="58">
        <f t="shared" si="1"/>
        <v>42532</v>
      </c>
    </row>
    <row r="85" spans="1:16" ht="26.25" customHeight="1" x14ac:dyDescent="0.2">
      <c r="A85" s="100"/>
      <c r="B85" s="100"/>
      <c r="C85" s="15" t="s">
        <v>752</v>
      </c>
      <c r="D85" s="70" t="s">
        <v>57</v>
      </c>
      <c r="E85" s="12">
        <v>44535</v>
      </c>
      <c r="F85" s="1" t="s">
        <v>71</v>
      </c>
      <c r="G85" s="12">
        <v>44541</v>
      </c>
      <c r="H85" s="125" t="s">
        <v>635</v>
      </c>
      <c r="I85" s="15">
        <v>64</v>
      </c>
      <c r="J85" s="15">
        <v>31</v>
      </c>
      <c r="K85" s="15">
        <v>10</v>
      </c>
      <c r="L85" s="15">
        <v>2</v>
      </c>
      <c r="M85" s="73">
        <v>4.96</v>
      </c>
      <c r="N85" s="104">
        <v>4.96</v>
      </c>
      <c r="O85" s="57">
        <v>7000</v>
      </c>
      <c r="P85" s="58">
        <f t="shared" si="1"/>
        <v>34720</v>
      </c>
    </row>
    <row r="86" spans="1:16" ht="26.25" customHeight="1" x14ac:dyDescent="0.2">
      <c r="A86" s="100"/>
      <c r="B86" s="100"/>
      <c r="C86" s="15" t="s">
        <v>753</v>
      </c>
      <c r="D86" s="70" t="s">
        <v>57</v>
      </c>
      <c r="E86" s="12">
        <v>44535</v>
      </c>
      <c r="F86" s="1" t="s">
        <v>71</v>
      </c>
      <c r="G86" s="12">
        <v>44541</v>
      </c>
      <c r="H86" s="125" t="s">
        <v>635</v>
      </c>
      <c r="I86" s="15">
        <v>70</v>
      </c>
      <c r="J86" s="15">
        <v>45</v>
      </c>
      <c r="K86" s="15">
        <v>44</v>
      </c>
      <c r="L86" s="15">
        <v>12</v>
      </c>
      <c r="M86" s="73">
        <v>34.65</v>
      </c>
      <c r="N86" s="104">
        <v>34.65</v>
      </c>
      <c r="O86" s="57">
        <v>7000</v>
      </c>
      <c r="P86" s="58">
        <f t="shared" si="1"/>
        <v>242550</v>
      </c>
    </row>
    <row r="87" spans="1:16" ht="26.25" customHeight="1" x14ac:dyDescent="0.2">
      <c r="A87" s="100"/>
      <c r="B87" s="100"/>
      <c r="C87" s="15" t="s">
        <v>754</v>
      </c>
      <c r="D87" s="70" t="s">
        <v>57</v>
      </c>
      <c r="E87" s="12">
        <v>44535</v>
      </c>
      <c r="F87" s="1" t="s">
        <v>71</v>
      </c>
      <c r="G87" s="12">
        <v>44541</v>
      </c>
      <c r="H87" s="125" t="s">
        <v>635</v>
      </c>
      <c r="I87" s="15">
        <v>42</v>
      </c>
      <c r="J87" s="15">
        <v>32</v>
      </c>
      <c r="K87" s="15">
        <v>32</v>
      </c>
      <c r="L87" s="15">
        <v>23</v>
      </c>
      <c r="M87" s="73">
        <v>10.752000000000001</v>
      </c>
      <c r="N87" s="104">
        <v>23</v>
      </c>
      <c r="O87" s="57">
        <v>7000</v>
      </c>
      <c r="P87" s="58">
        <f t="shared" si="1"/>
        <v>161000</v>
      </c>
    </row>
    <row r="88" spans="1:16" ht="26.25" customHeight="1" x14ac:dyDescent="0.2">
      <c r="A88" s="100"/>
      <c r="B88" s="100"/>
      <c r="C88" s="15" t="s">
        <v>755</v>
      </c>
      <c r="D88" s="70" t="s">
        <v>57</v>
      </c>
      <c r="E88" s="12">
        <v>44535</v>
      </c>
      <c r="F88" s="1" t="s">
        <v>71</v>
      </c>
      <c r="G88" s="12">
        <v>44541</v>
      </c>
      <c r="H88" s="125" t="s">
        <v>635</v>
      </c>
      <c r="I88" s="15">
        <v>56</v>
      </c>
      <c r="J88" s="15">
        <v>42</v>
      </c>
      <c r="K88" s="15">
        <v>15</v>
      </c>
      <c r="L88" s="15">
        <v>5</v>
      </c>
      <c r="M88" s="73">
        <v>8.82</v>
      </c>
      <c r="N88" s="104">
        <v>8.82</v>
      </c>
      <c r="O88" s="57">
        <v>7000</v>
      </c>
      <c r="P88" s="58">
        <f t="shared" si="1"/>
        <v>61740</v>
      </c>
    </row>
    <row r="89" spans="1:16" ht="26.25" customHeight="1" x14ac:dyDescent="0.2">
      <c r="A89" s="100"/>
      <c r="B89" s="100"/>
      <c r="C89" s="15" t="s">
        <v>756</v>
      </c>
      <c r="D89" s="70" t="s">
        <v>57</v>
      </c>
      <c r="E89" s="12">
        <v>44535</v>
      </c>
      <c r="F89" s="1" t="s">
        <v>71</v>
      </c>
      <c r="G89" s="12">
        <v>44541</v>
      </c>
      <c r="H89" s="125" t="s">
        <v>635</v>
      </c>
      <c r="I89" s="15">
        <v>44</v>
      </c>
      <c r="J89" s="15">
        <v>32</v>
      </c>
      <c r="K89" s="15">
        <v>31</v>
      </c>
      <c r="L89" s="15">
        <v>1</v>
      </c>
      <c r="M89" s="73">
        <v>10.912000000000001</v>
      </c>
      <c r="N89" s="104">
        <v>10.912000000000001</v>
      </c>
      <c r="O89" s="57">
        <v>7000</v>
      </c>
      <c r="P89" s="58">
        <f t="shared" si="1"/>
        <v>76384</v>
      </c>
    </row>
    <row r="90" spans="1:16" ht="26.25" customHeight="1" x14ac:dyDescent="0.2">
      <c r="A90" s="100"/>
      <c r="B90" s="100"/>
      <c r="C90" s="15" t="s">
        <v>757</v>
      </c>
      <c r="D90" s="70" t="s">
        <v>57</v>
      </c>
      <c r="E90" s="12">
        <v>44535</v>
      </c>
      <c r="F90" s="1" t="s">
        <v>71</v>
      </c>
      <c r="G90" s="12">
        <v>44541</v>
      </c>
      <c r="H90" s="125" t="s">
        <v>635</v>
      </c>
      <c r="I90" s="15">
        <v>65</v>
      </c>
      <c r="J90" s="15">
        <v>35</v>
      </c>
      <c r="K90" s="15">
        <v>35</v>
      </c>
      <c r="L90" s="15">
        <v>9</v>
      </c>
      <c r="M90" s="73">
        <v>19.90625</v>
      </c>
      <c r="N90" s="104">
        <v>19.90625</v>
      </c>
      <c r="O90" s="57">
        <v>7000</v>
      </c>
      <c r="P90" s="58">
        <f t="shared" si="1"/>
        <v>139343.75</v>
      </c>
    </row>
    <row r="91" spans="1:16" ht="26.25" customHeight="1" x14ac:dyDescent="0.2">
      <c r="A91" s="100"/>
      <c r="B91" s="100"/>
      <c r="C91" s="15" t="s">
        <v>758</v>
      </c>
      <c r="D91" s="70" t="s">
        <v>57</v>
      </c>
      <c r="E91" s="12">
        <v>44535</v>
      </c>
      <c r="F91" s="1" t="s">
        <v>71</v>
      </c>
      <c r="G91" s="12">
        <v>44541</v>
      </c>
      <c r="H91" s="125" t="s">
        <v>635</v>
      </c>
      <c r="I91" s="15">
        <v>40</v>
      </c>
      <c r="J91" s="15">
        <v>31</v>
      </c>
      <c r="K91" s="15">
        <v>26</v>
      </c>
      <c r="L91" s="15">
        <v>2</v>
      </c>
      <c r="M91" s="73">
        <v>8.06</v>
      </c>
      <c r="N91" s="104">
        <v>8.06</v>
      </c>
      <c r="O91" s="57">
        <v>7000</v>
      </c>
      <c r="P91" s="58">
        <f t="shared" si="1"/>
        <v>56420</v>
      </c>
    </row>
    <row r="92" spans="1:16" ht="26.25" customHeight="1" x14ac:dyDescent="0.2">
      <c r="A92" s="100"/>
      <c r="B92" s="100"/>
      <c r="C92" s="15" t="s">
        <v>759</v>
      </c>
      <c r="D92" s="70" t="s">
        <v>57</v>
      </c>
      <c r="E92" s="12">
        <v>44535</v>
      </c>
      <c r="F92" s="1" t="s">
        <v>71</v>
      </c>
      <c r="G92" s="12">
        <v>44541</v>
      </c>
      <c r="H92" s="125" t="s">
        <v>635</v>
      </c>
      <c r="I92" s="15">
        <v>75</v>
      </c>
      <c r="J92" s="15">
        <v>33</v>
      </c>
      <c r="K92" s="15">
        <v>26</v>
      </c>
      <c r="L92" s="15">
        <v>5</v>
      </c>
      <c r="M92" s="73">
        <v>16.087499999999999</v>
      </c>
      <c r="N92" s="104">
        <v>16.087499999999999</v>
      </c>
      <c r="O92" s="57">
        <v>7000</v>
      </c>
      <c r="P92" s="58">
        <f t="shared" si="1"/>
        <v>112612.49999999999</v>
      </c>
    </row>
    <row r="93" spans="1:16" ht="26.25" customHeight="1" x14ac:dyDescent="0.2">
      <c r="A93" s="100"/>
      <c r="B93" s="100"/>
      <c r="C93" s="15" t="s">
        <v>760</v>
      </c>
      <c r="D93" s="70" t="s">
        <v>57</v>
      </c>
      <c r="E93" s="12">
        <v>44535</v>
      </c>
      <c r="F93" s="1" t="s">
        <v>71</v>
      </c>
      <c r="G93" s="12">
        <v>44541</v>
      </c>
      <c r="H93" s="125" t="s">
        <v>635</v>
      </c>
      <c r="I93" s="15">
        <v>67</v>
      </c>
      <c r="J93" s="15">
        <v>40</v>
      </c>
      <c r="K93" s="15">
        <v>32</v>
      </c>
      <c r="L93" s="15">
        <v>19</v>
      </c>
      <c r="M93" s="73">
        <v>21.44</v>
      </c>
      <c r="N93" s="104">
        <v>22</v>
      </c>
      <c r="O93" s="57">
        <v>7000</v>
      </c>
      <c r="P93" s="58">
        <f t="shared" si="1"/>
        <v>154000</v>
      </c>
    </row>
    <row r="94" spans="1:16" ht="26.25" customHeight="1" x14ac:dyDescent="0.2">
      <c r="A94" s="100"/>
      <c r="B94" s="100"/>
      <c r="C94" s="15" t="s">
        <v>761</v>
      </c>
      <c r="D94" s="70" t="s">
        <v>57</v>
      </c>
      <c r="E94" s="12">
        <v>44535</v>
      </c>
      <c r="F94" s="1" t="s">
        <v>71</v>
      </c>
      <c r="G94" s="12">
        <v>44541</v>
      </c>
      <c r="H94" s="125" t="s">
        <v>635</v>
      </c>
      <c r="I94" s="15">
        <v>45</v>
      </c>
      <c r="J94" s="15">
        <v>35</v>
      </c>
      <c r="K94" s="15">
        <v>35</v>
      </c>
      <c r="L94" s="15">
        <v>5</v>
      </c>
      <c r="M94" s="73">
        <v>13.78125</v>
      </c>
      <c r="N94" s="104">
        <v>13.78125</v>
      </c>
      <c r="O94" s="57">
        <v>7000</v>
      </c>
      <c r="P94" s="58">
        <f t="shared" si="1"/>
        <v>96468.75</v>
      </c>
    </row>
    <row r="95" spans="1:16" ht="26.25" customHeight="1" x14ac:dyDescent="0.2">
      <c r="A95" s="100"/>
      <c r="B95" s="100"/>
      <c r="C95" s="15" t="s">
        <v>762</v>
      </c>
      <c r="D95" s="70" t="s">
        <v>57</v>
      </c>
      <c r="E95" s="12">
        <v>44535</v>
      </c>
      <c r="F95" s="1" t="s">
        <v>71</v>
      </c>
      <c r="G95" s="12">
        <v>44541</v>
      </c>
      <c r="H95" s="125" t="s">
        <v>635</v>
      </c>
      <c r="I95" s="15">
        <v>61</v>
      </c>
      <c r="J95" s="15">
        <v>50</v>
      </c>
      <c r="K95" s="15">
        <v>34</v>
      </c>
      <c r="L95" s="15">
        <v>13</v>
      </c>
      <c r="M95" s="73">
        <v>25.925000000000001</v>
      </c>
      <c r="N95" s="104">
        <v>25.925000000000001</v>
      </c>
      <c r="O95" s="57">
        <v>7000</v>
      </c>
      <c r="P95" s="58">
        <f t="shared" si="1"/>
        <v>181475</v>
      </c>
    </row>
    <row r="96" spans="1:16" ht="26.25" customHeight="1" x14ac:dyDescent="0.2">
      <c r="A96" s="100"/>
      <c r="B96" s="100"/>
      <c r="C96" s="15" t="s">
        <v>763</v>
      </c>
      <c r="D96" s="70" t="s">
        <v>57</v>
      </c>
      <c r="E96" s="12">
        <v>44535</v>
      </c>
      <c r="F96" s="1" t="s">
        <v>71</v>
      </c>
      <c r="G96" s="12">
        <v>44541</v>
      </c>
      <c r="H96" s="125" t="s">
        <v>635</v>
      </c>
      <c r="I96" s="15">
        <v>28</v>
      </c>
      <c r="J96" s="15">
        <v>24</v>
      </c>
      <c r="K96" s="15">
        <v>20</v>
      </c>
      <c r="L96" s="15">
        <v>13</v>
      </c>
      <c r="M96" s="73">
        <v>3.36</v>
      </c>
      <c r="N96" s="104">
        <v>14</v>
      </c>
      <c r="O96" s="57">
        <v>7000</v>
      </c>
      <c r="P96" s="58">
        <f t="shared" si="1"/>
        <v>98000</v>
      </c>
    </row>
    <row r="97" spans="1:16" ht="26.25" customHeight="1" x14ac:dyDescent="0.2">
      <c r="A97" s="100"/>
      <c r="B97" s="100"/>
      <c r="C97" s="15" t="s">
        <v>764</v>
      </c>
      <c r="D97" s="70" t="s">
        <v>57</v>
      </c>
      <c r="E97" s="12">
        <v>44535</v>
      </c>
      <c r="F97" s="1" t="s">
        <v>71</v>
      </c>
      <c r="G97" s="12">
        <v>44541</v>
      </c>
      <c r="H97" s="125" t="s">
        <v>635</v>
      </c>
      <c r="I97" s="15">
        <v>70</v>
      </c>
      <c r="J97" s="15">
        <v>41</v>
      </c>
      <c r="K97" s="15">
        <v>28</v>
      </c>
      <c r="L97" s="15">
        <v>13</v>
      </c>
      <c r="M97" s="73">
        <v>20.09</v>
      </c>
      <c r="N97" s="104">
        <v>20.09</v>
      </c>
      <c r="O97" s="57">
        <v>7000</v>
      </c>
      <c r="P97" s="58">
        <f t="shared" si="1"/>
        <v>140630</v>
      </c>
    </row>
    <row r="98" spans="1:16" ht="26.25" customHeight="1" x14ac:dyDescent="0.2">
      <c r="A98" s="100"/>
      <c r="B98" s="100"/>
      <c r="C98" s="15" t="s">
        <v>765</v>
      </c>
      <c r="D98" s="70" t="s">
        <v>57</v>
      </c>
      <c r="E98" s="12">
        <v>44535</v>
      </c>
      <c r="F98" s="1" t="s">
        <v>71</v>
      </c>
      <c r="G98" s="12">
        <v>44541</v>
      </c>
      <c r="H98" s="125" t="s">
        <v>635</v>
      </c>
      <c r="I98" s="15">
        <v>45</v>
      </c>
      <c r="J98" s="15">
        <v>38</v>
      </c>
      <c r="K98" s="15">
        <v>21</v>
      </c>
      <c r="L98" s="15">
        <v>7</v>
      </c>
      <c r="M98" s="73">
        <v>8.9774999999999991</v>
      </c>
      <c r="N98" s="104">
        <v>8.9774999999999991</v>
      </c>
      <c r="O98" s="57">
        <v>7000</v>
      </c>
      <c r="P98" s="58">
        <f t="shared" si="1"/>
        <v>62842.499999999993</v>
      </c>
    </row>
    <row r="99" spans="1:16" ht="26.25" customHeight="1" x14ac:dyDescent="0.2">
      <c r="A99" s="100"/>
      <c r="B99" s="100"/>
      <c r="C99" s="15" t="s">
        <v>766</v>
      </c>
      <c r="D99" s="70" t="s">
        <v>57</v>
      </c>
      <c r="E99" s="12">
        <v>44535</v>
      </c>
      <c r="F99" s="1" t="s">
        <v>71</v>
      </c>
      <c r="G99" s="12">
        <v>44541</v>
      </c>
      <c r="H99" s="125" t="s">
        <v>635</v>
      </c>
      <c r="I99" s="15">
        <v>48</v>
      </c>
      <c r="J99" s="15">
        <v>41</v>
      </c>
      <c r="K99" s="15">
        <v>38</v>
      </c>
      <c r="L99" s="15">
        <v>14</v>
      </c>
      <c r="M99" s="73">
        <v>18.696000000000002</v>
      </c>
      <c r="N99" s="104">
        <v>18.696000000000002</v>
      </c>
      <c r="O99" s="57">
        <v>7000</v>
      </c>
      <c r="P99" s="58">
        <f t="shared" si="1"/>
        <v>130872.00000000001</v>
      </c>
    </row>
    <row r="100" spans="1:16" ht="26.25" customHeight="1" x14ac:dyDescent="0.2">
      <c r="A100" s="100"/>
      <c r="B100" s="100"/>
      <c r="C100" s="15" t="s">
        <v>767</v>
      </c>
      <c r="D100" s="70" t="s">
        <v>57</v>
      </c>
      <c r="E100" s="12">
        <v>44535</v>
      </c>
      <c r="F100" s="1" t="s">
        <v>71</v>
      </c>
      <c r="G100" s="12">
        <v>44541</v>
      </c>
      <c r="H100" s="125" t="s">
        <v>635</v>
      </c>
      <c r="I100" s="15">
        <v>89</v>
      </c>
      <c r="J100" s="15">
        <v>26</v>
      </c>
      <c r="K100" s="15">
        <v>12</v>
      </c>
      <c r="L100" s="15">
        <v>6</v>
      </c>
      <c r="M100" s="73">
        <v>6.9420000000000002</v>
      </c>
      <c r="N100" s="104">
        <v>6.9420000000000002</v>
      </c>
      <c r="O100" s="57">
        <v>7000</v>
      </c>
      <c r="P100" s="58">
        <f t="shared" si="1"/>
        <v>48594</v>
      </c>
    </row>
    <row r="101" spans="1:16" ht="26.25" customHeight="1" x14ac:dyDescent="0.2">
      <c r="A101" s="100"/>
      <c r="B101" s="100"/>
      <c r="C101" s="15" t="s">
        <v>768</v>
      </c>
      <c r="D101" s="70" t="s">
        <v>57</v>
      </c>
      <c r="E101" s="12">
        <v>44535</v>
      </c>
      <c r="F101" s="1" t="s">
        <v>71</v>
      </c>
      <c r="G101" s="12">
        <v>44541</v>
      </c>
      <c r="H101" s="125" t="s">
        <v>635</v>
      </c>
      <c r="I101" s="15">
        <v>68</v>
      </c>
      <c r="J101" s="15">
        <v>51</v>
      </c>
      <c r="K101" s="15">
        <v>32</v>
      </c>
      <c r="L101" s="15">
        <v>16</v>
      </c>
      <c r="M101" s="73">
        <v>27.744</v>
      </c>
      <c r="N101" s="104">
        <v>27.744</v>
      </c>
      <c r="O101" s="57">
        <v>7000</v>
      </c>
      <c r="P101" s="58">
        <f t="shared" si="1"/>
        <v>194208</v>
      </c>
    </row>
    <row r="102" spans="1:16" ht="26.25" customHeight="1" x14ac:dyDescent="0.2">
      <c r="A102" s="100"/>
      <c r="B102" s="100"/>
      <c r="C102" s="15" t="s">
        <v>769</v>
      </c>
      <c r="D102" s="70" t="s">
        <v>57</v>
      </c>
      <c r="E102" s="12">
        <v>44535</v>
      </c>
      <c r="F102" s="1" t="s">
        <v>71</v>
      </c>
      <c r="G102" s="12">
        <v>44541</v>
      </c>
      <c r="H102" s="125" t="s">
        <v>635</v>
      </c>
      <c r="I102" s="15">
        <v>65</v>
      </c>
      <c r="J102" s="15">
        <v>55</v>
      </c>
      <c r="K102" s="15">
        <v>35</v>
      </c>
      <c r="L102" s="15">
        <v>8</v>
      </c>
      <c r="M102" s="73">
        <v>31.28125</v>
      </c>
      <c r="N102" s="104">
        <v>31.28125</v>
      </c>
      <c r="O102" s="57">
        <v>7000</v>
      </c>
      <c r="P102" s="58">
        <f t="shared" si="1"/>
        <v>218968.75</v>
      </c>
    </row>
    <row r="103" spans="1:16" ht="26.25" customHeight="1" x14ac:dyDescent="0.2">
      <c r="A103" s="100"/>
      <c r="B103" s="100"/>
      <c r="C103" s="15" t="s">
        <v>770</v>
      </c>
      <c r="D103" s="70" t="s">
        <v>57</v>
      </c>
      <c r="E103" s="12">
        <v>44535</v>
      </c>
      <c r="F103" s="1" t="s">
        <v>71</v>
      </c>
      <c r="G103" s="12">
        <v>44541</v>
      </c>
      <c r="H103" s="125" t="s">
        <v>635</v>
      </c>
      <c r="I103" s="15">
        <v>81</v>
      </c>
      <c r="J103" s="15">
        <v>22</v>
      </c>
      <c r="K103" s="15">
        <v>20</v>
      </c>
      <c r="L103" s="15">
        <v>2</v>
      </c>
      <c r="M103" s="73">
        <v>8.91</v>
      </c>
      <c r="N103" s="104">
        <v>8.91</v>
      </c>
      <c r="O103" s="57">
        <v>7000</v>
      </c>
      <c r="P103" s="58">
        <f t="shared" si="1"/>
        <v>62370</v>
      </c>
    </row>
    <row r="104" spans="1:16" ht="26.25" customHeight="1" x14ac:dyDescent="0.2">
      <c r="A104" s="100"/>
      <c r="B104" s="100"/>
      <c r="C104" s="15" t="s">
        <v>771</v>
      </c>
      <c r="D104" s="70" t="s">
        <v>57</v>
      </c>
      <c r="E104" s="12">
        <v>44535</v>
      </c>
      <c r="F104" s="1" t="s">
        <v>71</v>
      </c>
      <c r="G104" s="12">
        <v>44541</v>
      </c>
      <c r="H104" s="125" t="s">
        <v>635</v>
      </c>
      <c r="I104" s="15">
        <v>46</v>
      </c>
      <c r="J104" s="15">
        <v>28</v>
      </c>
      <c r="K104" s="15">
        <v>25</v>
      </c>
      <c r="L104" s="15">
        <v>2</v>
      </c>
      <c r="M104" s="73">
        <v>8.0500000000000007</v>
      </c>
      <c r="N104" s="104">
        <v>8.0500000000000007</v>
      </c>
      <c r="O104" s="57">
        <v>7000</v>
      </c>
      <c r="P104" s="58">
        <f t="shared" si="1"/>
        <v>56350.000000000007</v>
      </c>
    </row>
    <row r="105" spans="1:16" ht="26.25" customHeight="1" x14ac:dyDescent="0.2">
      <c r="A105" s="100"/>
      <c r="B105" s="100"/>
      <c r="C105" s="15" t="s">
        <v>772</v>
      </c>
      <c r="D105" s="70" t="s">
        <v>57</v>
      </c>
      <c r="E105" s="12">
        <v>44535</v>
      </c>
      <c r="F105" s="1" t="s">
        <v>71</v>
      </c>
      <c r="G105" s="12">
        <v>44541</v>
      </c>
      <c r="H105" s="125" t="s">
        <v>635</v>
      </c>
      <c r="I105" s="15">
        <v>86</v>
      </c>
      <c r="J105" s="15">
        <v>52</v>
      </c>
      <c r="K105" s="15">
        <v>50</v>
      </c>
      <c r="L105" s="15">
        <v>10</v>
      </c>
      <c r="M105" s="73">
        <v>55.9</v>
      </c>
      <c r="N105" s="104">
        <v>55.9</v>
      </c>
      <c r="O105" s="57">
        <v>7000</v>
      </c>
      <c r="P105" s="58">
        <f t="shared" si="1"/>
        <v>391300</v>
      </c>
    </row>
    <row r="106" spans="1:16" ht="26.25" customHeight="1" x14ac:dyDescent="0.2">
      <c r="A106" s="100"/>
      <c r="B106" s="100"/>
      <c r="C106" s="15" t="s">
        <v>773</v>
      </c>
      <c r="D106" s="70" t="s">
        <v>57</v>
      </c>
      <c r="E106" s="12">
        <v>44535</v>
      </c>
      <c r="F106" s="1" t="s">
        <v>71</v>
      </c>
      <c r="G106" s="12">
        <v>44541</v>
      </c>
      <c r="H106" s="125" t="s">
        <v>635</v>
      </c>
      <c r="I106" s="15">
        <v>50</v>
      </c>
      <c r="J106" s="15">
        <v>38</v>
      </c>
      <c r="K106" s="15">
        <v>26</v>
      </c>
      <c r="L106" s="15">
        <v>2</v>
      </c>
      <c r="M106" s="73">
        <v>12.35</v>
      </c>
      <c r="N106" s="104">
        <v>13</v>
      </c>
      <c r="O106" s="57">
        <v>7000</v>
      </c>
      <c r="P106" s="58">
        <f t="shared" si="1"/>
        <v>91000</v>
      </c>
    </row>
    <row r="107" spans="1:16" ht="26.25" customHeight="1" x14ac:dyDescent="0.2">
      <c r="A107" s="100"/>
      <c r="B107" s="100"/>
      <c r="C107" s="15" t="s">
        <v>774</v>
      </c>
      <c r="D107" s="70" t="s">
        <v>57</v>
      </c>
      <c r="E107" s="12">
        <v>44535</v>
      </c>
      <c r="F107" s="1" t="s">
        <v>71</v>
      </c>
      <c r="G107" s="12">
        <v>44541</v>
      </c>
      <c r="H107" s="125" t="s">
        <v>635</v>
      </c>
      <c r="I107" s="15">
        <v>155</v>
      </c>
      <c r="J107" s="15">
        <v>24</v>
      </c>
      <c r="K107" s="15">
        <v>23</v>
      </c>
      <c r="L107" s="15">
        <v>12</v>
      </c>
      <c r="M107" s="73">
        <v>21.39</v>
      </c>
      <c r="N107" s="104">
        <v>22</v>
      </c>
      <c r="O107" s="57">
        <v>7000</v>
      </c>
      <c r="P107" s="58">
        <f t="shared" si="1"/>
        <v>154000</v>
      </c>
    </row>
    <row r="108" spans="1:16" ht="26.25" customHeight="1" x14ac:dyDescent="0.2">
      <c r="A108" s="100"/>
      <c r="B108" s="100"/>
      <c r="C108" s="15" t="s">
        <v>775</v>
      </c>
      <c r="D108" s="70" t="s">
        <v>57</v>
      </c>
      <c r="E108" s="12">
        <v>44535</v>
      </c>
      <c r="F108" s="1" t="s">
        <v>71</v>
      </c>
      <c r="G108" s="12">
        <v>44541</v>
      </c>
      <c r="H108" s="125" t="s">
        <v>635</v>
      </c>
      <c r="I108" s="15">
        <v>58</v>
      </c>
      <c r="J108" s="15">
        <v>27</v>
      </c>
      <c r="K108" s="15">
        <v>27</v>
      </c>
      <c r="L108" s="15">
        <v>5</v>
      </c>
      <c r="M108" s="73">
        <v>10.570499999999999</v>
      </c>
      <c r="N108" s="104">
        <v>10.570499999999999</v>
      </c>
      <c r="O108" s="57">
        <v>7000</v>
      </c>
      <c r="P108" s="58">
        <f t="shared" si="1"/>
        <v>73993.5</v>
      </c>
    </row>
    <row r="109" spans="1:16" ht="26.25" customHeight="1" x14ac:dyDescent="0.2">
      <c r="A109" s="100"/>
      <c r="B109" s="100"/>
      <c r="C109" s="15" t="s">
        <v>776</v>
      </c>
      <c r="D109" s="70" t="s">
        <v>57</v>
      </c>
      <c r="E109" s="12">
        <v>44535</v>
      </c>
      <c r="F109" s="1" t="s">
        <v>71</v>
      </c>
      <c r="G109" s="12">
        <v>44541</v>
      </c>
      <c r="H109" s="125" t="s">
        <v>635</v>
      </c>
      <c r="I109" s="15">
        <v>95</v>
      </c>
      <c r="J109" s="15">
        <v>15</v>
      </c>
      <c r="K109" s="15">
        <v>8</v>
      </c>
      <c r="L109" s="15">
        <v>2</v>
      </c>
      <c r="M109" s="73">
        <v>2.85</v>
      </c>
      <c r="N109" s="104">
        <v>2.85</v>
      </c>
      <c r="O109" s="57">
        <v>7000</v>
      </c>
      <c r="P109" s="58">
        <f t="shared" si="1"/>
        <v>19950</v>
      </c>
    </row>
    <row r="110" spans="1:16" ht="26.25" customHeight="1" x14ac:dyDescent="0.2">
      <c r="A110" s="100"/>
      <c r="B110" s="100"/>
      <c r="C110" s="15" t="s">
        <v>777</v>
      </c>
      <c r="D110" s="70" t="s">
        <v>57</v>
      </c>
      <c r="E110" s="12">
        <v>44535</v>
      </c>
      <c r="F110" s="1" t="s">
        <v>71</v>
      </c>
      <c r="G110" s="12">
        <v>44541</v>
      </c>
      <c r="H110" s="125" t="s">
        <v>635</v>
      </c>
      <c r="I110" s="15">
        <v>106</v>
      </c>
      <c r="J110" s="15">
        <v>12</v>
      </c>
      <c r="K110" s="15">
        <v>7</v>
      </c>
      <c r="L110" s="15">
        <v>3</v>
      </c>
      <c r="M110" s="73">
        <v>2.226</v>
      </c>
      <c r="N110" s="104">
        <v>3</v>
      </c>
      <c r="O110" s="57">
        <v>7000</v>
      </c>
      <c r="P110" s="58">
        <f t="shared" si="1"/>
        <v>21000</v>
      </c>
    </row>
    <row r="111" spans="1:16" ht="26.25" customHeight="1" x14ac:dyDescent="0.2">
      <c r="A111" s="100"/>
      <c r="B111" s="100"/>
      <c r="C111" s="15" t="s">
        <v>778</v>
      </c>
      <c r="D111" s="70" t="s">
        <v>57</v>
      </c>
      <c r="E111" s="12">
        <v>44535</v>
      </c>
      <c r="F111" s="1" t="s">
        <v>71</v>
      </c>
      <c r="G111" s="12">
        <v>44541</v>
      </c>
      <c r="H111" s="125" t="s">
        <v>635</v>
      </c>
      <c r="I111" s="15">
        <v>45</v>
      </c>
      <c r="J111" s="15">
        <v>34</v>
      </c>
      <c r="K111" s="15">
        <v>24</v>
      </c>
      <c r="L111" s="15">
        <v>3</v>
      </c>
      <c r="M111" s="73">
        <v>9.18</v>
      </c>
      <c r="N111" s="104">
        <v>9.18</v>
      </c>
      <c r="O111" s="57">
        <v>7000</v>
      </c>
      <c r="P111" s="58">
        <f t="shared" si="1"/>
        <v>64260</v>
      </c>
    </row>
    <row r="112" spans="1:16" ht="26.25" customHeight="1" x14ac:dyDescent="0.2">
      <c r="A112" s="100"/>
      <c r="B112" s="100"/>
      <c r="C112" s="15" t="s">
        <v>779</v>
      </c>
      <c r="D112" s="70" t="s">
        <v>57</v>
      </c>
      <c r="E112" s="12">
        <v>44535</v>
      </c>
      <c r="F112" s="1" t="s">
        <v>71</v>
      </c>
      <c r="G112" s="12">
        <v>44541</v>
      </c>
      <c r="H112" s="125" t="s">
        <v>635</v>
      </c>
      <c r="I112" s="15">
        <v>51</v>
      </c>
      <c r="J112" s="15">
        <v>51</v>
      </c>
      <c r="K112" s="15">
        <v>27</v>
      </c>
      <c r="L112" s="15">
        <v>13</v>
      </c>
      <c r="M112" s="73">
        <v>17.556750000000001</v>
      </c>
      <c r="N112" s="104">
        <v>17.556750000000001</v>
      </c>
      <c r="O112" s="57">
        <v>7000</v>
      </c>
      <c r="P112" s="58">
        <f t="shared" si="1"/>
        <v>122897.25</v>
      </c>
    </row>
    <row r="113" spans="1:16" ht="26.25" customHeight="1" x14ac:dyDescent="0.2">
      <c r="A113" s="100"/>
      <c r="B113" s="100"/>
      <c r="C113" s="15" t="s">
        <v>780</v>
      </c>
      <c r="D113" s="70" t="s">
        <v>57</v>
      </c>
      <c r="E113" s="12">
        <v>44535</v>
      </c>
      <c r="F113" s="1" t="s">
        <v>71</v>
      </c>
      <c r="G113" s="12">
        <v>44541</v>
      </c>
      <c r="H113" s="125" t="s">
        <v>635</v>
      </c>
      <c r="I113" s="15">
        <v>138</v>
      </c>
      <c r="J113" s="15">
        <v>24</v>
      </c>
      <c r="K113" s="15">
        <v>22</v>
      </c>
      <c r="L113" s="15">
        <v>8</v>
      </c>
      <c r="M113" s="73">
        <v>18.216000000000001</v>
      </c>
      <c r="N113" s="104">
        <v>18.216000000000001</v>
      </c>
      <c r="O113" s="57">
        <v>7000</v>
      </c>
      <c r="P113" s="58">
        <f t="shared" si="1"/>
        <v>127512.00000000001</v>
      </c>
    </row>
    <row r="114" spans="1:16" ht="26.25" customHeight="1" x14ac:dyDescent="0.2">
      <c r="A114" s="100"/>
      <c r="B114" s="100"/>
      <c r="C114" s="15" t="s">
        <v>781</v>
      </c>
      <c r="D114" s="70" t="s">
        <v>57</v>
      </c>
      <c r="E114" s="12">
        <v>44535</v>
      </c>
      <c r="F114" s="1" t="s">
        <v>71</v>
      </c>
      <c r="G114" s="12">
        <v>44541</v>
      </c>
      <c r="H114" s="125" t="s">
        <v>635</v>
      </c>
      <c r="I114" s="15">
        <v>62</v>
      </c>
      <c r="J114" s="15">
        <v>46</v>
      </c>
      <c r="K114" s="15">
        <v>4</v>
      </c>
      <c r="L114" s="15">
        <v>1</v>
      </c>
      <c r="M114" s="73">
        <v>2.8519999999999999</v>
      </c>
      <c r="N114" s="104">
        <v>2.8519999999999999</v>
      </c>
      <c r="O114" s="57">
        <v>7000</v>
      </c>
      <c r="P114" s="58">
        <f t="shared" si="1"/>
        <v>19964</v>
      </c>
    </row>
    <row r="115" spans="1:16" ht="26.25" customHeight="1" x14ac:dyDescent="0.2">
      <c r="A115" s="100"/>
      <c r="B115" s="100"/>
      <c r="C115" s="15" t="s">
        <v>782</v>
      </c>
      <c r="D115" s="70" t="s">
        <v>57</v>
      </c>
      <c r="E115" s="12">
        <v>44535</v>
      </c>
      <c r="F115" s="1" t="s">
        <v>71</v>
      </c>
      <c r="G115" s="12">
        <v>44541</v>
      </c>
      <c r="H115" s="125" t="s">
        <v>635</v>
      </c>
      <c r="I115" s="15">
        <v>44</v>
      </c>
      <c r="J115" s="15">
        <v>33</v>
      </c>
      <c r="K115" s="15">
        <v>21</v>
      </c>
      <c r="L115" s="15">
        <v>5</v>
      </c>
      <c r="M115" s="73">
        <v>7.6230000000000002</v>
      </c>
      <c r="N115" s="104">
        <v>7.6230000000000002</v>
      </c>
      <c r="O115" s="57">
        <v>7000</v>
      </c>
      <c r="P115" s="58">
        <f t="shared" si="1"/>
        <v>53361</v>
      </c>
    </row>
    <row r="116" spans="1:16" ht="26.25" customHeight="1" x14ac:dyDescent="0.2">
      <c r="A116" s="100"/>
      <c r="B116" s="100"/>
      <c r="C116" s="15" t="s">
        <v>783</v>
      </c>
      <c r="D116" s="70" t="s">
        <v>57</v>
      </c>
      <c r="E116" s="12">
        <v>44535</v>
      </c>
      <c r="F116" s="1" t="s">
        <v>71</v>
      </c>
      <c r="G116" s="12">
        <v>44541</v>
      </c>
      <c r="H116" s="125" t="s">
        <v>635</v>
      </c>
      <c r="I116" s="15">
        <v>44</v>
      </c>
      <c r="J116" s="15">
        <v>31</v>
      </c>
      <c r="K116" s="15">
        <v>31</v>
      </c>
      <c r="L116" s="15">
        <v>1</v>
      </c>
      <c r="M116" s="73">
        <v>10.571</v>
      </c>
      <c r="N116" s="104">
        <v>10.571</v>
      </c>
      <c r="O116" s="57">
        <v>7000</v>
      </c>
      <c r="P116" s="58">
        <f t="shared" si="1"/>
        <v>73997</v>
      </c>
    </row>
    <row r="117" spans="1:16" ht="26.25" customHeight="1" x14ac:dyDescent="0.2">
      <c r="A117" s="100"/>
      <c r="B117" s="100"/>
      <c r="C117" s="15" t="s">
        <v>784</v>
      </c>
      <c r="D117" s="70" t="s">
        <v>57</v>
      </c>
      <c r="E117" s="12">
        <v>44535</v>
      </c>
      <c r="F117" s="1" t="s">
        <v>71</v>
      </c>
      <c r="G117" s="12">
        <v>44541</v>
      </c>
      <c r="H117" s="125" t="s">
        <v>635</v>
      </c>
      <c r="I117" s="15">
        <v>52</v>
      </c>
      <c r="J117" s="15">
        <v>38</v>
      </c>
      <c r="K117" s="15">
        <v>21</v>
      </c>
      <c r="L117" s="15">
        <v>13</v>
      </c>
      <c r="M117" s="73">
        <v>10.374000000000001</v>
      </c>
      <c r="N117" s="104">
        <v>14</v>
      </c>
      <c r="O117" s="57">
        <v>7000</v>
      </c>
      <c r="P117" s="58">
        <f t="shared" si="1"/>
        <v>98000</v>
      </c>
    </row>
    <row r="118" spans="1:16" ht="26.25" customHeight="1" x14ac:dyDescent="0.2">
      <c r="A118" s="100"/>
      <c r="B118" s="100"/>
      <c r="C118" s="15" t="s">
        <v>785</v>
      </c>
      <c r="D118" s="70" t="s">
        <v>57</v>
      </c>
      <c r="E118" s="12">
        <v>44535</v>
      </c>
      <c r="F118" s="1" t="s">
        <v>71</v>
      </c>
      <c r="G118" s="12">
        <v>44541</v>
      </c>
      <c r="H118" s="125" t="s">
        <v>635</v>
      </c>
      <c r="I118" s="15">
        <v>101</v>
      </c>
      <c r="J118" s="15">
        <v>36</v>
      </c>
      <c r="K118" s="15">
        <v>22</v>
      </c>
      <c r="L118" s="15">
        <v>9</v>
      </c>
      <c r="M118" s="73">
        <v>19.998000000000001</v>
      </c>
      <c r="N118" s="104">
        <v>19.998000000000001</v>
      </c>
      <c r="O118" s="57">
        <v>7000</v>
      </c>
      <c r="P118" s="58">
        <f t="shared" si="1"/>
        <v>139986</v>
      </c>
    </row>
    <row r="119" spans="1:16" ht="26.25" customHeight="1" x14ac:dyDescent="0.2">
      <c r="A119" s="100"/>
      <c r="B119" s="100"/>
      <c r="C119" s="15" t="s">
        <v>786</v>
      </c>
      <c r="D119" s="70" t="s">
        <v>57</v>
      </c>
      <c r="E119" s="12">
        <v>44535</v>
      </c>
      <c r="F119" s="1" t="s">
        <v>71</v>
      </c>
      <c r="G119" s="12">
        <v>44541</v>
      </c>
      <c r="H119" s="125" t="s">
        <v>635</v>
      </c>
      <c r="I119" s="15">
        <v>110</v>
      </c>
      <c r="J119" s="15">
        <v>27</v>
      </c>
      <c r="K119" s="15">
        <v>22</v>
      </c>
      <c r="L119" s="15">
        <v>8</v>
      </c>
      <c r="M119" s="73">
        <v>16.335000000000001</v>
      </c>
      <c r="N119" s="104">
        <v>17</v>
      </c>
      <c r="O119" s="57">
        <v>7000</v>
      </c>
      <c r="P119" s="58">
        <f t="shared" si="1"/>
        <v>119000</v>
      </c>
    </row>
    <row r="120" spans="1:16" ht="26.25" customHeight="1" x14ac:dyDescent="0.2">
      <c r="A120" s="100"/>
      <c r="B120" s="101"/>
      <c r="C120" s="15" t="s">
        <v>787</v>
      </c>
      <c r="D120" s="70" t="s">
        <v>57</v>
      </c>
      <c r="E120" s="12">
        <v>44535</v>
      </c>
      <c r="F120" s="1" t="s">
        <v>71</v>
      </c>
      <c r="G120" s="12">
        <v>44541</v>
      </c>
      <c r="H120" s="125" t="s">
        <v>635</v>
      </c>
      <c r="I120" s="15">
        <v>62</v>
      </c>
      <c r="J120" s="15">
        <v>44</v>
      </c>
      <c r="K120" s="15">
        <v>22</v>
      </c>
      <c r="L120" s="15">
        <v>10</v>
      </c>
      <c r="M120" s="73">
        <v>15.004</v>
      </c>
      <c r="N120" s="104">
        <v>15.004</v>
      </c>
      <c r="O120" s="57">
        <v>7000</v>
      </c>
      <c r="P120" s="58">
        <f t="shared" si="1"/>
        <v>105028</v>
      </c>
    </row>
    <row r="121" spans="1:16" ht="26.25" customHeight="1" x14ac:dyDescent="0.2">
      <c r="A121" s="100"/>
      <c r="B121" s="90" t="s">
        <v>788</v>
      </c>
      <c r="C121" s="15" t="s">
        <v>789</v>
      </c>
      <c r="D121" s="70" t="s">
        <v>57</v>
      </c>
      <c r="E121" s="12">
        <v>44535</v>
      </c>
      <c r="F121" s="1" t="s">
        <v>71</v>
      </c>
      <c r="G121" s="12">
        <v>44541</v>
      </c>
      <c r="H121" s="125" t="s">
        <v>635</v>
      </c>
      <c r="I121" s="15">
        <v>70</v>
      </c>
      <c r="J121" s="15">
        <v>42</v>
      </c>
      <c r="K121" s="15">
        <v>15</v>
      </c>
      <c r="L121" s="15">
        <v>6</v>
      </c>
      <c r="M121" s="73">
        <v>11.025</v>
      </c>
      <c r="N121" s="104">
        <v>11.025</v>
      </c>
      <c r="O121" s="57">
        <v>7000</v>
      </c>
      <c r="P121" s="58">
        <f t="shared" si="1"/>
        <v>77175</v>
      </c>
    </row>
    <row r="122" spans="1:16" ht="26.25" customHeight="1" x14ac:dyDescent="0.2">
      <c r="A122" s="100"/>
      <c r="B122" s="100" t="s">
        <v>790</v>
      </c>
      <c r="C122" s="15" t="s">
        <v>791</v>
      </c>
      <c r="D122" s="70" t="s">
        <v>57</v>
      </c>
      <c r="E122" s="12">
        <v>44535</v>
      </c>
      <c r="F122" s="1" t="s">
        <v>71</v>
      </c>
      <c r="G122" s="12">
        <v>44541</v>
      </c>
      <c r="H122" s="125" t="s">
        <v>635</v>
      </c>
      <c r="I122" s="15">
        <v>33</v>
      </c>
      <c r="J122" s="15">
        <v>22</v>
      </c>
      <c r="K122" s="15">
        <v>14</v>
      </c>
      <c r="L122" s="15">
        <v>5</v>
      </c>
      <c r="M122" s="73">
        <v>2.5409999999999999</v>
      </c>
      <c r="N122" s="104">
        <v>5</v>
      </c>
      <c r="O122" s="57">
        <v>7000</v>
      </c>
      <c r="P122" s="58">
        <f t="shared" si="1"/>
        <v>35000</v>
      </c>
    </row>
    <row r="123" spans="1:16" ht="26.25" customHeight="1" x14ac:dyDescent="0.2">
      <c r="A123" s="100"/>
      <c r="B123" s="100"/>
      <c r="C123" s="15" t="s">
        <v>792</v>
      </c>
      <c r="D123" s="70" t="s">
        <v>57</v>
      </c>
      <c r="E123" s="12">
        <v>44535</v>
      </c>
      <c r="F123" s="1" t="s">
        <v>71</v>
      </c>
      <c r="G123" s="12">
        <v>44541</v>
      </c>
      <c r="H123" s="125" t="s">
        <v>635</v>
      </c>
      <c r="I123" s="15">
        <v>44</v>
      </c>
      <c r="J123" s="15">
        <v>34</v>
      </c>
      <c r="K123" s="15">
        <v>28</v>
      </c>
      <c r="L123" s="15">
        <v>9</v>
      </c>
      <c r="M123" s="73">
        <v>10.472</v>
      </c>
      <c r="N123" s="104">
        <v>11</v>
      </c>
      <c r="O123" s="57">
        <v>7000</v>
      </c>
      <c r="P123" s="58">
        <f t="shared" si="1"/>
        <v>77000</v>
      </c>
    </row>
    <row r="124" spans="1:16" ht="26.25" customHeight="1" x14ac:dyDescent="0.2">
      <c r="A124" s="100"/>
      <c r="B124" s="100"/>
      <c r="C124" s="15" t="s">
        <v>793</v>
      </c>
      <c r="D124" s="70" t="s">
        <v>57</v>
      </c>
      <c r="E124" s="12">
        <v>44535</v>
      </c>
      <c r="F124" s="1" t="s">
        <v>71</v>
      </c>
      <c r="G124" s="12">
        <v>44541</v>
      </c>
      <c r="H124" s="125" t="s">
        <v>635</v>
      </c>
      <c r="I124" s="15">
        <v>33</v>
      </c>
      <c r="J124" s="15">
        <v>22</v>
      </c>
      <c r="K124" s="15">
        <v>18</v>
      </c>
      <c r="L124" s="15">
        <v>8</v>
      </c>
      <c r="M124" s="73">
        <v>3.2669999999999999</v>
      </c>
      <c r="N124" s="104">
        <v>8</v>
      </c>
      <c r="O124" s="57">
        <v>7000</v>
      </c>
      <c r="P124" s="58">
        <f t="shared" si="1"/>
        <v>56000</v>
      </c>
    </row>
    <row r="125" spans="1:16" ht="26.25" customHeight="1" x14ac:dyDescent="0.2">
      <c r="A125" s="100"/>
      <c r="B125" s="100"/>
      <c r="C125" s="15" t="s">
        <v>794</v>
      </c>
      <c r="D125" s="70" t="s">
        <v>57</v>
      </c>
      <c r="E125" s="12">
        <v>44535</v>
      </c>
      <c r="F125" s="1" t="s">
        <v>71</v>
      </c>
      <c r="G125" s="12">
        <v>44541</v>
      </c>
      <c r="H125" s="125" t="s">
        <v>635</v>
      </c>
      <c r="I125" s="15">
        <v>33</v>
      </c>
      <c r="J125" s="15">
        <v>22</v>
      </c>
      <c r="K125" s="15">
        <v>18</v>
      </c>
      <c r="L125" s="15">
        <v>8</v>
      </c>
      <c r="M125" s="73">
        <v>3.2669999999999999</v>
      </c>
      <c r="N125" s="104">
        <v>8</v>
      </c>
      <c r="O125" s="57">
        <v>7000</v>
      </c>
      <c r="P125" s="58">
        <f t="shared" si="1"/>
        <v>56000</v>
      </c>
    </row>
    <row r="126" spans="1:16" ht="26.25" customHeight="1" x14ac:dyDescent="0.2">
      <c r="A126" s="100"/>
      <c r="B126" s="100"/>
      <c r="C126" s="15" t="s">
        <v>795</v>
      </c>
      <c r="D126" s="70" t="s">
        <v>57</v>
      </c>
      <c r="E126" s="12">
        <v>44535</v>
      </c>
      <c r="F126" s="1" t="s">
        <v>71</v>
      </c>
      <c r="G126" s="12">
        <v>44541</v>
      </c>
      <c r="H126" s="125" t="s">
        <v>635</v>
      </c>
      <c r="I126" s="15">
        <v>33</v>
      </c>
      <c r="J126" s="15">
        <v>22</v>
      </c>
      <c r="K126" s="15">
        <v>18</v>
      </c>
      <c r="L126" s="15">
        <v>8</v>
      </c>
      <c r="M126" s="73">
        <v>3.2669999999999999</v>
      </c>
      <c r="N126" s="104">
        <v>8</v>
      </c>
      <c r="O126" s="57">
        <v>7000</v>
      </c>
      <c r="P126" s="58">
        <f t="shared" si="1"/>
        <v>56000</v>
      </c>
    </row>
    <row r="127" spans="1:16" ht="26.25" customHeight="1" x14ac:dyDescent="0.2">
      <c r="A127" s="100"/>
      <c r="B127" s="100"/>
      <c r="C127" s="15" t="s">
        <v>796</v>
      </c>
      <c r="D127" s="70" t="s">
        <v>57</v>
      </c>
      <c r="E127" s="12">
        <v>44535</v>
      </c>
      <c r="F127" s="1" t="s">
        <v>71</v>
      </c>
      <c r="G127" s="12">
        <v>44541</v>
      </c>
      <c r="H127" s="125" t="s">
        <v>635</v>
      </c>
      <c r="I127" s="15">
        <v>35</v>
      </c>
      <c r="J127" s="15">
        <v>35</v>
      </c>
      <c r="K127" s="15">
        <v>18</v>
      </c>
      <c r="L127" s="15">
        <v>12</v>
      </c>
      <c r="M127" s="73">
        <v>5.5125000000000002</v>
      </c>
      <c r="N127" s="104">
        <v>12</v>
      </c>
      <c r="O127" s="57">
        <v>7000</v>
      </c>
      <c r="P127" s="58">
        <f t="shared" si="1"/>
        <v>84000</v>
      </c>
    </row>
    <row r="128" spans="1:16" ht="26.25" customHeight="1" x14ac:dyDescent="0.2">
      <c r="A128" s="100"/>
      <c r="B128" s="100"/>
      <c r="C128" s="15" t="s">
        <v>797</v>
      </c>
      <c r="D128" s="70" t="s">
        <v>57</v>
      </c>
      <c r="E128" s="12">
        <v>44535</v>
      </c>
      <c r="F128" s="1" t="s">
        <v>71</v>
      </c>
      <c r="G128" s="12">
        <v>44541</v>
      </c>
      <c r="H128" s="125" t="s">
        <v>635</v>
      </c>
      <c r="I128" s="15">
        <v>51</v>
      </c>
      <c r="J128" s="15">
        <v>41</v>
      </c>
      <c r="K128" s="15">
        <v>91</v>
      </c>
      <c r="L128" s="15">
        <v>8</v>
      </c>
      <c r="M128" s="73">
        <v>47.570250000000001</v>
      </c>
      <c r="N128" s="104">
        <v>47.570250000000001</v>
      </c>
      <c r="O128" s="57">
        <v>7000</v>
      </c>
      <c r="P128" s="58">
        <f t="shared" si="1"/>
        <v>332991.75</v>
      </c>
    </row>
    <row r="129" spans="1:16" ht="26.25" customHeight="1" x14ac:dyDescent="0.2">
      <c r="A129" s="100"/>
      <c r="B129" s="100"/>
      <c r="C129" s="15" t="s">
        <v>798</v>
      </c>
      <c r="D129" s="70" t="s">
        <v>57</v>
      </c>
      <c r="E129" s="12">
        <v>44535</v>
      </c>
      <c r="F129" s="1" t="s">
        <v>71</v>
      </c>
      <c r="G129" s="12">
        <v>44541</v>
      </c>
      <c r="H129" s="125" t="s">
        <v>635</v>
      </c>
      <c r="I129" s="15">
        <v>33</v>
      </c>
      <c r="J129" s="15">
        <v>22</v>
      </c>
      <c r="K129" s="15">
        <v>18</v>
      </c>
      <c r="L129" s="15">
        <v>8</v>
      </c>
      <c r="M129" s="73">
        <v>3.2669999999999999</v>
      </c>
      <c r="N129" s="104">
        <v>8</v>
      </c>
      <c r="O129" s="57">
        <v>7000</v>
      </c>
      <c r="P129" s="58">
        <f t="shared" si="1"/>
        <v>56000</v>
      </c>
    </row>
    <row r="130" spans="1:16" ht="26.25" customHeight="1" x14ac:dyDescent="0.2">
      <c r="A130" s="100"/>
      <c r="B130" s="100"/>
      <c r="C130" s="15" t="s">
        <v>799</v>
      </c>
      <c r="D130" s="70" t="s">
        <v>57</v>
      </c>
      <c r="E130" s="12">
        <v>44535</v>
      </c>
      <c r="F130" s="1" t="s">
        <v>71</v>
      </c>
      <c r="G130" s="12">
        <v>44541</v>
      </c>
      <c r="H130" s="125" t="s">
        <v>635</v>
      </c>
      <c r="I130" s="15">
        <v>33</v>
      </c>
      <c r="J130" s="15">
        <v>22</v>
      </c>
      <c r="K130" s="15">
        <v>18</v>
      </c>
      <c r="L130" s="15">
        <v>8</v>
      </c>
      <c r="M130" s="73">
        <v>3.2669999999999999</v>
      </c>
      <c r="N130" s="104">
        <v>8</v>
      </c>
      <c r="O130" s="57">
        <v>7000</v>
      </c>
      <c r="P130" s="58">
        <f t="shared" si="1"/>
        <v>56000</v>
      </c>
    </row>
    <row r="131" spans="1:16" ht="26.25" customHeight="1" x14ac:dyDescent="0.2">
      <c r="A131" s="100"/>
      <c r="B131" s="100"/>
      <c r="C131" s="15" t="s">
        <v>800</v>
      </c>
      <c r="D131" s="70" t="s">
        <v>57</v>
      </c>
      <c r="E131" s="12">
        <v>44535</v>
      </c>
      <c r="F131" s="1" t="s">
        <v>71</v>
      </c>
      <c r="G131" s="12">
        <v>44541</v>
      </c>
      <c r="H131" s="125" t="s">
        <v>635</v>
      </c>
      <c r="I131" s="15">
        <v>33</v>
      </c>
      <c r="J131" s="15">
        <v>22</v>
      </c>
      <c r="K131" s="15">
        <v>18</v>
      </c>
      <c r="L131" s="15">
        <v>8</v>
      </c>
      <c r="M131" s="73">
        <v>3.2669999999999999</v>
      </c>
      <c r="N131" s="104">
        <v>8</v>
      </c>
      <c r="O131" s="57">
        <v>7000</v>
      </c>
      <c r="P131" s="58">
        <f t="shared" ref="P131:P143" si="2">N131*O131</f>
        <v>56000</v>
      </c>
    </row>
    <row r="132" spans="1:16" ht="26.25" customHeight="1" x14ac:dyDescent="0.2">
      <c r="A132" s="100"/>
      <c r="B132" s="100"/>
      <c r="C132" s="15" t="s">
        <v>801</v>
      </c>
      <c r="D132" s="70" t="s">
        <v>57</v>
      </c>
      <c r="E132" s="12">
        <v>44535</v>
      </c>
      <c r="F132" s="1" t="s">
        <v>71</v>
      </c>
      <c r="G132" s="12">
        <v>44541</v>
      </c>
      <c r="H132" s="125" t="s">
        <v>635</v>
      </c>
      <c r="I132" s="15">
        <v>33</v>
      </c>
      <c r="J132" s="15">
        <v>22</v>
      </c>
      <c r="K132" s="15">
        <v>18</v>
      </c>
      <c r="L132" s="15">
        <v>8</v>
      </c>
      <c r="M132" s="73">
        <v>3.2669999999999999</v>
      </c>
      <c r="N132" s="104">
        <v>8</v>
      </c>
      <c r="O132" s="57">
        <v>7000</v>
      </c>
      <c r="P132" s="58">
        <f t="shared" si="2"/>
        <v>56000</v>
      </c>
    </row>
    <row r="133" spans="1:16" ht="26.25" customHeight="1" x14ac:dyDescent="0.2">
      <c r="A133" s="100"/>
      <c r="B133" s="100"/>
      <c r="C133" s="15" t="s">
        <v>802</v>
      </c>
      <c r="D133" s="70" t="s">
        <v>57</v>
      </c>
      <c r="E133" s="12">
        <v>44535</v>
      </c>
      <c r="F133" s="1" t="s">
        <v>71</v>
      </c>
      <c r="G133" s="12">
        <v>44541</v>
      </c>
      <c r="H133" s="125" t="s">
        <v>635</v>
      </c>
      <c r="I133" s="15">
        <v>33</v>
      </c>
      <c r="J133" s="15">
        <v>22</v>
      </c>
      <c r="K133" s="15">
        <v>18</v>
      </c>
      <c r="L133" s="15">
        <v>8</v>
      </c>
      <c r="M133" s="73">
        <v>3.2669999999999999</v>
      </c>
      <c r="N133" s="104">
        <v>8</v>
      </c>
      <c r="O133" s="57">
        <v>7000</v>
      </c>
      <c r="P133" s="58">
        <f t="shared" si="2"/>
        <v>56000</v>
      </c>
    </row>
    <row r="134" spans="1:16" ht="26.25" customHeight="1" x14ac:dyDescent="0.2">
      <c r="A134" s="100"/>
      <c r="B134" s="100"/>
      <c r="C134" s="15" t="s">
        <v>803</v>
      </c>
      <c r="D134" s="70" t="s">
        <v>57</v>
      </c>
      <c r="E134" s="12">
        <v>44535</v>
      </c>
      <c r="F134" s="1" t="s">
        <v>71</v>
      </c>
      <c r="G134" s="12">
        <v>44541</v>
      </c>
      <c r="H134" s="125" t="s">
        <v>635</v>
      </c>
      <c r="I134" s="15">
        <v>33</v>
      </c>
      <c r="J134" s="15">
        <v>22</v>
      </c>
      <c r="K134" s="15">
        <v>18</v>
      </c>
      <c r="L134" s="15">
        <v>8</v>
      </c>
      <c r="M134" s="73">
        <v>3.2669999999999999</v>
      </c>
      <c r="N134" s="104">
        <v>8</v>
      </c>
      <c r="O134" s="57">
        <v>7000</v>
      </c>
      <c r="P134" s="58">
        <f t="shared" si="2"/>
        <v>56000</v>
      </c>
    </row>
    <row r="135" spans="1:16" ht="26.25" customHeight="1" x14ac:dyDescent="0.2">
      <c r="A135" s="100"/>
      <c r="B135" s="100"/>
      <c r="C135" s="15" t="s">
        <v>804</v>
      </c>
      <c r="D135" s="70" t="s">
        <v>57</v>
      </c>
      <c r="E135" s="12">
        <v>44535</v>
      </c>
      <c r="F135" s="1" t="s">
        <v>71</v>
      </c>
      <c r="G135" s="12">
        <v>44541</v>
      </c>
      <c r="H135" s="125" t="s">
        <v>635</v>
      </c>
      <c r="I135" s="15">
        <v>33</v>
      </c>
      <c r="J135" s="15">
        <v>22</v>
      </c>
      <c r="K135" s="15">
        <v>18</v>
      </c>
      <c r="L135" s="15">
        <v>8</v>
      </c>
      <c r="M135" s="73">
        <v>3.2669999999999999</v>
      </c>
      <c r="N135" s="104">
        <v>8</v>
      </c>
      <c r="O135" s="57">
        <v>7000</v>
      </c>
      <c r="P135" s="58">
        <f t="shared" si="2"/>
        <v>56000</v>
      </c>
    </row>
    <row r="136" spans="1:16" ht="26.25" customHeight="1" x14ac:dyDescent="0.2">
      <c r="A136" s="100"/>
      <c r="B136" s="100"/>
      <c r="C136" s="15" t="s">
        <v>805</v>
      </c>
      <c r="D136" s="70" t="s">
        <v>57</v>
      </c>
      <c r="E136" s="12">
        <v>44535</v>
      </c>
      <c r="F136" s="1" t="s">
        <v>71</v>
      </c>
      <c r="G136" s="12">
        <v>44541</v>
      </c>
      <c r="H136" s="125" t="s">
        <v>635</v>
      </c>
      <c r="I136" s="15">
        <v>33</v>
      </c>
      <c r="J136" s="15">
        <v>22</v>
      </c>
      <c r="K136" s="15">
        <v>18</v>
      </c>
      <c r="L136" s="15">
        <v>8</v>
      </c>
      <c r="M136" s="73">
        <v>3.2669999999999999</v>
      </c>
      <c r="N136" s="104">
        <v>8</v>
      </c>
      <c r="O136" s="57">
        <v>7000</v>
      </c>
      <c r="P136" s="58">
        <f t="shared" si="2"/>
        <v>56000</v>
      </c>
    </row>
    <row r="137" spans="1:16" ht="26.25" customHeight="1" x14ac:dyDescent="0.2">
      <c r="A137" s="100"/>
      <c r="B137" s="100"/>
      <c r="C137" s="15" t="s">
        <v>806</v>
      </c>
      <c r="D137" s="70" t="s">
        <v>57</v>
      </c>
      <c r="E137" s="12">
        <v>44535</v>
      </c>
      <c r="F137" s="1" t="s">
        <v>71</v>
      </c>
      <c r="G137" s="12">
        <v>44541</v>
      </c>
      <c r="H137" s="125" t="s">
        <v>635</v>
      </c>
      <c r="I137" s="15">
        <v>35</v>
      </c>
      <c r="J137" s="15">
        <v>35</v>
      </c>
      <c r="K137" s="15">
        <v>18</v>
      </c>
      <c r="L137" s="15">
        <v>12</v>
      </c>
      <c r="M137" s="73">
        <v>5.5125000000000002</v>
      </c>
      <c r="N137" s="104">
        <v>12</v>
      </c>
      <c r="O137" s="57">
        <v>7000</v>
      </c>
      <c r="P137" s="58">
        <f t="shared" si="2"/>
        <v>84000</v>
      </c>
    </row>
    <row r="138" spans="1:16" ht="26.25" customHeight="1" x14ac:dyDescent="0.2">
      <c r="A138" s="100"/>
      <c r="B138" s="100"/>
      <c r="C138" s="15" t="s">
        <v>807</v>
      </c>
      <c r="D138" s="70" t="s">
        <v>57</v>
      </c>
      <c r="E138" s="12">
        <v>44535</v>
      </c>
      <c r="F138" s="1" t="s">
        <v>71</v>
      </c>
      <c r="G138" s="12">
        <v>44541</v>
      </c>
      <c r="H138" s="125" t="s">
        <v>635</v>
      </c>
      <c r="I138" s="15">
        <v>44</v>
      </c>
      <c r="J138" s="15">
        <v>34</v>
      </c>
      <c r="K138" s="15">
        <v>29</v>
      </c>
      <c r="L138" s="15">
        <v>9</v>
      </c>
      <c r="M138" s="73">
        <v>10.846</v>
      </c>
      <c r="N138" s="104">
        <v>10.846</v>
      </c>
      <c r="O138" s="57">
        <v>7000</v>
      </c>
      <c r="P138" s="58">
        <f t="shared" si="2"/>
        <v>75922</v>
      </c>
    </row>
    <row r="139" spans="1:16" ht="26.25" customHeight="1" x14ac:dyDescent="0.2">
      <c r="A139" s="100"/>
      <c r="B139" s="100"/>
      <c r="C139" s="15" t="s">
        <v>808</v>
      </c>
      <c r="D139" s="70" t="s">
        <v>57</v>
      </c>
      <c r="E139" s="12">
        <v>44535</v>
      </c>
      <c r="F139" s="1" t="s">
        <v>71</v>
      </c>
      <c r="G139" s="12">
        <v>44541</v>
      </c>
      <c r="H139" s="125" t="s">
        <v>635</v>
      </c>
      <c r="I139" s="15">
        <v>36</v>
      </c>
      <c r="J139" s="15">
        <v>34</v>
      </c>
      <c r="K139" s="15">
        <v>12</v>
      </c>
      <c r="L139" s="15">
        <v>10</v>
      </c>
      <c r="M139" s="73">
        <v>3.6720000000000002</v>
      </c>
      <c r="N139" s="104">
        <v>10</v>
      </c>
      <c r="O139" s="57">
        <v>7000</v>
      </c>
      <c r="P139" s="58">
        <f t="shared" si="2"/>
        <v>70000</v>
      </c>
    </row>
    <row r="140" spans="1:16" ht="26.25" customHeight="1" x14ac:dyDescent="0.2">
      <c r="A140" s="100"/>
      <c r="B140" s="100"/>
      <c r="C140" s="15" t="s">
        <v>809</v>
      </c>
      <c r="D140" s="70" t="s">
        <v>57</v>
      </c>
      <c r="E140" s="12">
        <v>44535</v>
      </c>
      <c r="F140" s="1" t="s">
        <v>71</v>
      </c>
      <c r="G140" s="12">
        <v>44541</v>
      </c>
      <c r="H140" s="125" t="s">
        <v>635</v>
      </c>
      <c r="I140" s="15">
        <v>36</v>
      </c>
      <c r="J140" s="15">
        <v>34</v>
      </c>
      <c r="K140" s="15">
        <v>12</v>
      </c>
      <c r="L140" s="15">
        <v>10</v>
      </c>
      <c r="M140" s="73">
        <v>3.6720000000000002</v>
      </c>
      <c r="N140" s="104">
        <v>10</v>
      </c>
      <c r="O140" s="57">
        <v>7000</v>
      </c>
      <c r="P140" s="58">
        <f t="shared" si="2"/>
        <v>70000</v>
      </c>
    </row>
    <row r="141" spans="1:16" ht="26.25" customHeight="1" x14ac:dyDescent="0.2">
      <c r="A141" s="100"/>
      <c r="B141" s="100"/>
      <c r="C141" s="15" t="s">
        <v>810</v>
      </c>
      <c r="D141" s="70" t="s">
        <v>57</v>
      </c>
      <c r="E141" s="12">
        <v>44535</v>
      </c>
      <c r="F141" s="1" t="s">
        <v>71</v>
      </c>
      <c r="G141" s="12">
        <v>44541</v>
      </c>
      <c r="H141" s="125" t="s">
        <v>635</v>
      </c>
      <c r="I141" s="15">
        <v>36</v>
      </c>
      <c r="J141" s="15">
        <v>34</v>
      </c>
      <c r="K141" s="15">
        <v>12</v>
      </c>
      <c r="L141" s="15">
        <v>10</v>
      </c>
      <c r="M141" s="73">
        <v>3.6720000000000002</v>
      </c>
      <c r="N141" s="104">
        <v>10</v>
      </c>
      <c r="O141" s="57">
        <v>7000</v>
      </c>
      <c r="P141" s="58">
        <f t="shared" si="2"/>
        <v>70000</v>
      </c>
    </row>
    <row r="142" spans="1:16" ht="26.25" customHeight="1" x14ac:dyDescent="0.2">
      <c r="A142" s="100"/>
      <c r="B142" s="100"/>
      <c r="C142" s="15" t="s">
        <v>811</v>
      </c>
      <c r="D142" s="70" t="s">
        <v>57</v>
      </c>
      <c r="E142" s="12">
        <v>44535</v>
      </c>
      <c r="F142" s="1" t="s">
        <v>71</v>
      </c>
      <c r="G142" s="12">
        <v>44541</v>
      </c>
      <c r="H142" s="125" t="s">
        <v>635</v>
      </c>
      <c r="I142" s="15">
        <v>36</v>
      </c>
      <c r="J142" s="15">
        <v>34</v>
      </c>
      <c r="K142" s="15">
        <v>12</v>
      </c>
      <c r="L142" s="15">
        <v>10</v>
      </c>
      <c r="M142" s="73">
        <v>3.6720000000000002</v>
      </c>
      <c r="N142" s="104">
        <v>10</v>
      </c>
      <c r="O142" s="57">
        <v>7000</v>
      </c>
      <c r="P142" s="58">
        <f t="shared" si="2"/>
        <v>70000</v>
      </c>
    </row>
    <row r="143" spans="1:16" ht="26.25" customHeight="1" x14ac:dyDescent="0.2">
      <c r="A143" s="100"/>
      <c r="B143" s="100"/>
      <c r="C143" s="15" t="s">
        <v>812</v>
      </c>
      <c r="D143" s="70" t="s">
        <v>57</v>
      </c>
      <c r="E143" s="12">
        <v>44535</v>
      </c>
      <c r="F143" s="1" t="s">
        <v>71</v>
      </c>
      <c r="G143" s="12">
        <v>44541</v>
      </c>
      <c r="H143" s="125" t="s">
        <v>635</v>
      </c>
      <c r="I143" s="15">
        <v>53</v>
      </c>
      <c r="J143" s="15">
        <v>36</v>
      </c>
      <c r="K143" s="15">
        <v>18</v>
      </c>
      <c r="L143" s="15">
        <v>10</v>
      </c>
      <c r="M143" s="73">
        <v>8.5860000000000003</v>
      </c>
      <c r="N143" s="104">
        <v>10</v>
      </c>
      <c r="O143" s="57">
        <v>7000</v>
      </c>
      <c r="P143" s="58">
        <f t="shared" si="2"/>
        <v>70000</v>
      </c>
    </row>
    <row r="144" spans="1:16" ht="22.5" customHeight="1" x14ac:dyDescent="0.2">
      <c r="A144" s="159" t="s">
        <v>30</v>
      </c>
      <c r="B144" s="160"/>
      <c r="C144" s="160"/>
      <c r="D144" s="160"/>
      <c r="E144" s="160"/>
      <c r="F144" s="160"/>
      <c r="G144" s="160"/>
      <c r="H144" s="160"/>
      <c r="I144" s="160"/>
      <c r="J144" s="160"/>
      <c r="K144" s="160"/>
      <c r="L144" s="161"/>
      <c r="M144" s="71">
        <f>SUBTOTAL(109,Table2245789101123456789101112131415[KG VOLUME])</f>
        <v>2778.1699999999978</v>
      </c>
      <c r="N144" s="61">
        <f>SUM(N3:N143)</f>
        <v>2940.7517500000004</v>
      </c>
      <c r="O144" s="162">
        <f>SUM(P3:P143)</f>
        <v>20585262.25</v>
      </c>
      <c r="P144" s="163"/>
    </row>
    <row r="145" spans="1:16" ht="18" customHeight="1" x14ac:dyDescent="0.2">
      <c r="A145" s="78"/>
      <c r="B145" s="49" t="s">
        <v>42</v>
      </c>
      <c r="C145" s="48"/>
      <c r="D145" s="50" t="s">
        <v>43</v>
      </c>
      <c r="E145" s="78"/>
      <c r="F145" s="78"/>
      <c r="G145" s="78"/>
      <c r="H145" s="78"/>
      <c r="I145" s="78"/>
      <c r="J145" s="78"/>
      <c r="K145" s="78"/>
      <c r="L145" s="78"/>
      <c r="M145" s="79"/>
      <c r="N145" s="80" t="s">
        <v>52</v>
      </c>
      <c r="O145" s="81"/>
      <c r="P145" s="81">
        <v>0</v>
      </c>
    </row>
    <row r="146" spans="1:16" ht="18" customHeight="1" thickBot="1" x14ac:dyDescent="0.25">
      <c r="A146" s="78"/>
      <c r="B146" s="49"/>
      <c r="C146" s="48"/>
      <c r="D146" s="50"/>
      <c r="E146" s="78"/>
      <c r="F146" s="78"/>
      <c r="G146" s="78"/>
      <c r="H146" s="78"/>
      <c r="I146" s="78"/>
      <c r="J146" s="78"/>
      <c r="K146" s="78"/>
      <c r="L146" s="78"/>
      <c r="M146" s="79"/>
      <c r="N146" s="82" t="s">
        <v>53</v>
      </c>
      <c r="O146" s="83"/>
      <c r="P146" s="83">
        <f>O144-P145</f>
        <v>20585262.25</v>
      </c>
    </row>
    <row r="147" spans="1:16" ht="18" customHeight="1" x14ac:dyDescent="0.2">
      <c r="A147" s="10"/>
      <c r="H147" s="56"/>
      <c r="N147" s="55" t="s">
        <v>31</v>
      </c>
      <c r="P147" s="62">
        <f>P146*1%</f>
        <v>205852.6225</v>
      </c>
    </row>
    <row r="148" spans="1:16" ht="18" customHeight="1" thickBot="1" x14ac:dyDescent="0.25">
      <c r="A148" s="10"/>
      <c r="H148" s="56"/>
      <c r="N148" s="55" t="s">
        <v>54</v>
      </c>
      <c r="P148" s="64">
        <f>P146*2%</f>
        <v>411705.245</v>
      </c>
    </row>
    <row r="149" spans="1:16" ht="18" customHeight="1" x14ac:dyDescent="0.2">
      <c r="A149" s="10"/>
      <c r="H149" s="56"/>
      <c r="N149" s="59" t="s">
        <v>32</v>
      </c>
      <c r="O149" s="60"/>
      <c r="P149" s="63">
        <f>P146+P147-P148</f>
        <v>20379409.627499998</v>
      </c>
    </row>
    <row r="151" spans="1:16" x14ac:dyDescent="0.2">
      <c r="A151" s="10"/>
      <c r="H151" s="56"/>
      <c r="P151" s="64"/>
    </row>
    <row r="152" spans="1:16" x14ac:dyDescent="0.2">
      <c r="A152" s="10"/>
      <c r="H152" s="56"/>
      <c r="O152" s="51"/>
      <c r="P152" s="64"/>
    </row>
    <row r="153" spans="1:16" s="3" customFormat="1" x14ac:dyDescent="0.25">
      <c r="A153" s="10"/>
      <c r="B153" s="2"/>
      <c r="C153" s="2"/>
      <c r="E153" s="11"/>
      <c r="H153" s="56"/>
      <c r="N153" s="14"/>
      <c r="O153" s="14"/>
      <c r="P153" s="14"/>
    </row>
    <row r="154" spans="1:16" s="3" customFormat="1" x14ac:dyDescent="0.25">
      <c r="A154" s="10"/>
      <c r="B154" s="2"/>
      <c r="C154" s="2"/>
      <c r="E154" s="11"/>
      <c r="H154" s="56"/>
      <c r="N154" s="14"/>
      <c r="O154" s="14"/>
      <c r="P154" s="14"/>
    </row>
    <row r="155" spans="1:16" s="3" customFormat="1" x14ac:dyDescent="0.25">
      <c r="A155" s="10"/>
      <c r="B155" s="2"/>
      <c r="C155" s="2"/>
      <c r="E155" s="11"/>
      <c r="H155" s="56"/>
      <c r="N155" s="14"/>
      <c r="O155" s="14"/>
      <c r="P155" s="14"/>
    </row>
    <row r="156" spans="1:16" s="3" customFormat="1" x14ac:dyDescent="0.25">
      <c r="A156" s="10"/>
      <c r="B156" s="2"/>
      <c r="C156" s="2"/>
      <c r="E156" s="11"/>
      <c r="H156" s="56"/>
      <c r="N156" s="14"/>
      <c r="O156" s="14"/>
      <c r="P156" s="14"/>
    </row>
    <row r="157" spans="1:16" s="3" customFormat="1" x14ac:dyDescent="0.25">
      <c r="A157" s="10"/>
      <c r="B157" s="2"/>
      <c r="C157" s="2"/>
      <c r="E157" s="11"/>
      <c r="H157" s="56"/>
      <c r="N157" s="14"/>
      <c r="O157" s="14"/>
      <c r="P157" s="14"/>
    </row>
    <row r="158" spans="1:16" s="3" customFormat="1" x14ac:dyDescent="0.25">
      <c r="A158" s="10"/>
      <c r="B158" s="2"/>
      <c r="C158" s="2"/>
      <c r="E158" s="11"/>
      <c r="H158" s="56"/>
      <c r="N158" s="14"/>
      <c r="O158" s="14"/>
      <c r="P158" s="1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  <row r="160" spans="1:16" s="3" customFormat="1" x14ac:dyDescent="0.25">
      <c r="A160" s="10"/>
      <c r="B160" s="2"/>
      <c r="C160" s="2"/>
      <c r="E160" s="11"/>
      <c r="H160" s="56"/>
      <c r="N160" s="14"/>
      <c r="O160" s="14"/>
      <c r="P160" s="14"/>
    </row>
    <row r="161" spans="1:16" s="3" customFormat="1" x14ac:dyDescent="0.25">
      <c r="A161" s="10"/>
      <c r="B161" s="2"/>
      <c r="C161" s="2"/>
      <c r="E161" s="11"/>
      <c r="H161" s="56"/>
      <c r="N161" s="14"/>
      <c r="O161" s="14"/>
      <c r="P161" s="14"/>
    </row>
    <row r="162" spans="1:16" s="3" customFormat="1" x14ac:dyDescent="0.25">
      <c r="A162" s="10"/>
      <c r="B162" s="2"/>
      <c r="C162" s="2"/>
      <c r="E162" s="11"/>
      <c r="H162" s="56"/>
      <c r="N162" s="14"/>
      <c r="O162" s="14"/>
      <c r="P162" s="14"/>
    </row>
    <row r="163" spans="1:16" s="3" customFormat="1" x14ac:dyDescent="0.25">
      <c r="A163" s="10"/>
      <c r="B163" s="2"/>
      <c r="C163" s="2"/>
      <c r="E163" s="11"/>
      <c r="H163" s="56"/>
      <c r="N163" s="14"/>
      <c r="O163" s="14"/>
      <c r="P163" s="14"/>
    </row>
    <row r="164" spans="1:16" s="3" customFormat="1" x14ac:dyDescent="0.25">
      <c r="A164" s="10"/>
      <c r="B164" s="2"/>
      <c r="C164" s="2"/>
      <c r="E164" s="11"/>
      <c r="H164" s="56"/>
      <c r="N164" s="14"/>
      <c r="O164" s="14"/>
      <c r="P164" s="14"/>
    </row>
  </sheetData>
  <mergeCells count="2">
    <mergeCell ref="A144:L144"/>
    <mergeCell ref="O144:P144"/>
  </mergeCells>
  <conditionalFormatting sqref="C3:C143">
    <cfRule type="duplicateValues" dxfId="1377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6" activePane="bottomRight" state="frozen"/>
      <selection activeCell="H12" sqref="H12"/>
      <selection pane="topRight" activeCell="H12" sqref="H12"/>
      <selection pane="bottomLeft" activeCell="H12" sqref="H12"/>
      <selection pane="bottomRight" activeCell="I13" sqref="I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403960</v>
      </c>
      <c r="B3" s="99" t="s">
        <v>813</v>
      </c>
      <c r="C3" s="10" t="s">
        <v>814</v>
      </c>
      <c r="D3" s="102" t="s">
        <v>57</v>
      </c>
      <c r="E3" s="91">
        <v>44536</v>
      </c>
      <c r="F3" s="90" t="s">
        <v>71</v>
      </c>
      <c r="G3" s="91">
        <v>44541</v>
      </c>
      <c r="H3" s="90" t="s">
        <v>635</v>
      </c>
      <c r="I3" s="90">
        <v>48</v>
      </c>
      <c r="J3" s="90">
        <v>35</v>
      </c>
      <c r="K3" s="90">
        <v>26</v>
      </c>
      <c r="L3" s="90">
        <v>4</v>
      </c>
      <c r="M3" s="92">
        <v>10.92</v>
      </c>
      <c r="N3" s="104">
        <v>10.92</v>
      </c>
      <c r="O3" s="57">
        <v>7000</v>
      </c>
      <c r="P3" s="58">
        <f t="shared" ref="P3:P11" si="0">N3*O3</f>
        <v>76440</v>
      </c>
    </row>
    <row r="4" spans="1:16" ht="26.25" customHeight="1" x14ac:dyDescent="0.2">
      <c r="A4" s="100"/>
      <c r="B4" s="100"/>
      <c r="C4" s="65" t="s">
        <v>815</v>
      </c>
      <c r="D4" s="70" t="s">
        <v>57</v>
      </c>
      <c r="E4" s="12">
        <v>44536</v>
      </c>
      <c r="F4" s="1" t="s">
        <v>71</v>
      </c>
      <c r="G4" s="12">
        <v>44541</v>
      </c>
      <c r="H4" s="132" t="s">
        <v>635</v>
      </c>
      <c r="I4" s="15">
        <v>59</v>
      </c>
      <c r="J4" s="15">
        <v>46</v>
      </c>
      <c r="K4" s="15">
        <v>12</v>
      </c>
      <c r="L4" s="15">
        <v>2</v>
      </c>
      <c r="M4" s="73">
        <v>8.1419999999999995</v>
      </c>
      <c r="N4" s="104">
        <v>8.1419999999999995</v>
      </c>
      <c r="O4" s="57">
        <v>7000</v>
      </c>
      <c r="P4" s="58">
        <f t="shared" si="0"/>
        <v>56993.999999999993</v>
      </c>
    </row>
    <row r="5" spans="1:16" ht="26.25" customHeight="1" x14ac:dyDescent="0.2">
      <c r="A5" s="100"/>
      <c r="B5" s="100"/>
      <c r="C5" s="65" t="s">
        <v>816</v>
      </c>
      <c r="D5" s="70" t="s">
        <v>57</v>
      </c>
      <c r="E5" s="12">
        <v>44536</v>
      </c>
      <c r="F5" s="1" t="s">
        <v>71</v>
      </c>
      <c r="G5" s="12">
        <v>44541</v>
      </c>
      <c r="H5" s="132" t="s">
        <v>635</v>
      </c>
      <c r="I5" s="15">
        <v>47</v>
      </c>
      <c r="J5" s="15">
        <v>35</v>
      </c>
      <c r="K5" s="15">
        <v>14</v>
      </c>
      <c r="L5" s="15">
        <v>2</v>
      </c>
      <c r="M5" s="73">
        <v>5.7575000000000003</v>
      </c>
      <c r="N5" s="104">
        <v>5.7575000000000003</v>
      </c>
      <c r="O5" s="57">
        <v>7000</v>
      </c>
      <c r="P5" s="58">
        <f t="shared" si="0"/>
        <v>40302.5</v>
      </c>
    </row>
    <row r="6" spans="1:16" ht="26.25" customHeight="1" x14ac:dyDescent="0.2">
      <c r="A6" s="100"/>
      <c r="B6" s="100"/>
      <c r="C6" s="65" t="s">
        <v>817</v>
      </c>
      <c r="D6" s="70" t="s">
        <v>57</v>
      </c>
      <c r="E6" s="12">
        <v>44536</v>
      </c>
      <c r="F6" s="1" t="s">
        <v>71</v>
      </c>
      <c r="G6" s="12">
        <v>44541</v>
      </c>
      <c r="H6" s="132" t="s">
        <v>635</v>
      </c>
      <c r="I6" s="15">
        <v>42</v>
      </c>
      <c r="J6" s="15">
        <v>31</v>
      </c>
      <c r="K6" s="15">
        <v>11</v>
      </c>
      <c r="L6" s="15">
        <v>2</v>
      </c>
      <c r="M6" s="73">
        <v>3.5804999999999998</v>
      </c>
      <c r="N6" s="104">
        <v>3.5804999999999998</v>
      </c>
      <c r="O6" s="57">
        <v>7000</v>
      </c>
      <c r="P6" s="58">
        <f t="shared" si="0"/>
        <v>25063.5</v>
      </c>
    </row>
    <row r="7" spans="1:16" ht="26.25" customHeight="1" x14ac:dyDescent="0.2">
      <c r="A7" s="100"/>
      <c r="B7" s="100"/>
      <c r="C7" s="65" t="s">
        <v>818</v>
      </c>
      <c r="D7" s="70" t="s">
        <v>57</v>
      </c>
      <c r="E7" s="12">
        <v>44536</v>
      </c>
      <c r="F7" s="1" t="s">
        <v>71</v>
      </c>
      <c r="G7" s="12">
        <v>44541</v>
      </c>
      <c r="H7" s="132" t="s">
        <v>635</v>
      </c>
      <c r="I7" s="15">
        <v>41</v>
      </c>
      <c r="J7" s="15">
        <v>37</v>
      </c>
      <c r="K7" s="15">
        <v>12</v>
      </c>
      <c r="L7" s="15">
        <v>2</v>
      </c>
      <c r="M7" s="73">
        <v>4.5510000000000002</v>
      </c>
      <c r="N7" s="104">
        <v>4.5510000000000002</v>
      </c>
      <c r="O7" s="57">
        <v>7000</v>
      </c>
      <c r="P7" s="58">
        <f t="shared" si="0"/>
        <v>31857</v>
      </c>
    </row>
    <row r="8" spans="1:16" ht="26.25" customHeight="1" x14ac:dyDescent="0.2">
      <c r="A8" s="100"/>
      <c r="B8" s="100"/>
      <c r="C8" s="65" t="s">
        <v>819</v>
      </c>
      <c r="D8" s="70" t="s">
        <v>57</v>
      </c>
      <c r="E8" s="12">
        <v>44536</v>
      </c>
      <c r="F8" s="1" t="s">
        <v>71</v>
      </c>
      <c r="G8" s="12">
        <v>44541</v>
      </c>
      <c r="H8" s="132" t="s">
        <v>635</v>
      </c>
      <c r="I8" s="15">
        <v>36</v>
      </c>
      <c r="J8" s="15">
        <v>15</v>
      </c>
      <c r="K8" s="15">
        <v>10</v>
      </c>
      <c r="L8" s="15">
        <v>1</v>
      </c>
      <c r="M8" s="73">
        <v>1.35</v>
      </c>
      <c r="N8" s="104">
        <v>2</v>
      </c>
      <c r="O8" s="57">
        <v>7000</v>
      </c>
      <c r="P8" s="58">
        <f t="shared" si="0"/>
        <v>14000</v>
      </c>
    </row>
    <row r="9" spans="1:16" ht="26.25" customHeight="1" x14ac:dyDescent="0.2">
      <c r="A9" s="100"/>
      <c r="B9" s="100"/>
      <c r="C9" s="65" t="s">
        <v>820</v>
      </c>
      <c r="D9" s="70" t="s">
        <v>57</v>
      </c>
      <c r="E9" s="12">
        <v>44536</v>
      </c>
      <c r="F9" s="1" t="s">
        <v>71</v>
      </c>
      <c r="G9" s="12">
        <v>44541</v>
      </c>
      <c r="H9" s="132" t="s">
        <v>635</v>
      </c>
      <c r="I9" s="15">
        <v>28</v>
      </c>
      <c r="J9" s="15">
        <v>21</v>
      </c>
      <c r="K9" s="15">
        <v>9</v>
      </c>
      <c r="L9" s="15">
        <v>1</v>
      </c>
      <c r="M9" s="73">
        <v>1.323</v>
      </c>
      <c r="N9" s="104">
        <v>2</v>
      </c>
      <c r="O9" s="57">
        <v>7000</v>
      </c>
      <c r="P9" s="58">
        <f t="shared" si="0"/>
        <v>14000</v>
      </c>
    </row>
    <row r="10" spans="1:16" ht="26.25" customHeight="1" x14ac:dyDescent="0.2">
      <c r="A10" s="100"/>
      <c r="B10" s="100"/>
      <c r="C10" s="65" t="s">
        <v>821</v>
      </c>
      <c r="D10" s="70" t="s">
        <v>57</v>
      </c>
      <c r="E10" s="12">
        <v>44536</v>
      </c>
      <c r="F10" s="1" t="s">
        <v>71</v>
      </c>
      <c r="G10" s="12">
        <v>44541</v>
      </c>
      <c r="H10" s="132" t="s">
        <v>635</v>
      </c>
      <c r="I10" s="15">
        <v>31</v>
      </c>
      <c r="J10" s="15">
        <v>26</v>
      </c>
      <c r="K10" s="15">
        <v>21</v>
      </c>
      <c r="L10" s="15">
        <v>3</v>
      </c>
      <c r="M10" s="73">
        <v>4.2314999999999996</v>
      </c>
      <c r="N10" s="104">
        <v>4.2314999999999996</v>
      </c>
      <c r="O10" s="57">
        <v>7000</v>
      </c>
      <c r="P10" s="58">
        <f t="shared" si="0"/>
        <v>29620.499999999996</v>
      </c>
    </row>
    <row r="11" spans="1:16" ht="26.25" customHeight="1" x14ac:dyDescent="0.2">
      <c r="A11" s="100"/>
      <c r="B11" s="100"/>
      <c r="C11" s="65" t="s">
        <v>822</v>
      </c>
      <c r="D11" s="70" t="s">
        <v>57</v>
      </c>
      <c r="E11" s="12">
        <v>44536</v>
      </c>
      <c r="F11" s="1" t="s">
        <v>71</v>
      </c>
      <c r="G11" s="12">
        <v>44541</v>
      </c>
      <c r="H11" s="132" t="s">
        <v>635</v>
      </c>
      <c r="I11" s="15">
        <v>72</v>
      </c>
      <c r="J11" s="15">
        <v>54</v>
      </c>
      <c r="K11" s="15">
        <v>62</v>
      </c>
      <c r="L11" s="15">
        <v>7</v>
      </c>
      <c r="M11" s="73">
        <v>60.264000000000003</v>
      </c>
      <c r="N11" s="104">
        <v>60.264000000000003</v>
      </c>
      <c r="O11" s="57">
        <v>7000</v>
      </c>
      <c r="P11" s="58">
        <f t="shared" si="0"/>
        <v>421848</v>
      </c>
    </row>
    <row r="12" spans="1:16" ht="22.5" customHeight="1" x14ac:dyDescent="0.2">
      <c r="A12" s="159" t="s">
        <v>30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1"/>
      <c r="M12" s="71">
        <f>SUBTOTAL(109,Table224578910112345678910111213141516[KG VOLUME])</f>
        <v>100.1195</v>
      </c>
      <c r="N12" s="61">
        <f>SUM(N3:N11)</f>
        <v>101.4465</v>
      </c>
      <c r="O12" s="162">
        <f>SUM(P3:P11)</f>
        <v>710125.5</v>
      </c>
      <c r="P12" s="163"/>
    </row>
    <row r="13" spans="1:16" ht="18" customHeight="1" x14ac:dyDescent="0.2">
      <c r="A13" s="78"/>
      <c r="B13" s="49" t="s">
        <v>42</v>
      </c>
      <c r="C13" s="48"/>
      <c r="D13" s="50" t="s">
        <v>43</v>
      </c>
      <c r="E13" s="78"/>
      <c r="F13" s="78"/>
      <c r="G13" s="78"/>
      <c r="H13" s="78"/>
      <c r="I13" s="78"/>
      <c r="J13" s="78"/>
      <c r="K13" s="78"/>
      <c r="L13" s="78"/>
      <c r="M13" s="79"/>
      <c r="N13" s="80" t="s">
        <v>52</v>
      </c>
      <c r="O13" s="81"/>
      <c r="P13" s="81">
        <v>0</v>
      </c>
    </row>
    <row r="14" spans="1:16" ht="18" customHeight="1" thickBot="1" x14ac:dyDescent="0.25">
      <c r="A14" s="78"/>
      <c r="B14" s="49"/>
      <c r="C14" s="48"/>
      <c r="D14" s="50"/>
      <c r="E14" s="78"/>
      <c r="F14" s="78"/>
      <c r="G14" s="78"/>
      <c r="H14" s="78"/>
      <c r="I14" s="78"/>
      <c r="J14" s="78"/>
      <c r="K14" s="78"/>
      <c r="L14" s="78"/>
      <c r="M14" s="79"/>
      <c r="N14" s="82" t="s">
        <v>53</v>
      </c>
      <c r="O14" s="83"/>
      <c r="P14" s="83">
        <f>O12-P13</f>
        <v>710125.5</v>
      </c>
    </row>
    <row r="15" spans="1:16" ht="18" customHeight="1" x14ac:dyDescent="0.2">
      <c r="A15" s="10"/>
      <c r="H15" s="56"/>
      <c r="N15" s="55" t="s">
        <v>31</v>
      </c>
      <c r="P15" s="62">
        <f>P14*1%</f>
        <v>7101.2550000000001</v>
      </c>
    </row>
    <row r="16" spans="1:16" ht="18" customHeight="1" thickBot="1" x14ac:dyDescent="0.25">
      <c r="A16" s="10"/>
      <c r="H16" s="56"/>
      <c r="N16" s="55" t="s">
        <v>54</v>
      </c>
      <c r="P16" s="64">
        <f>P14*2%</f>
        <v>14202.51</v>
      </c>
    </row>
    <row r="17" spans="1:16" ht="18" customHeight="1" x14ac:dyDescent="0.2">
      <c r="A17" s="10"/>
      <c r="H17" s="56"/>
      <c r="N17" s="59" t="s">
        <v>32</v>
      </c>
      <c r="O17" s="60"/>
      <c r="P17" s="63">
        <f>P14+P15-P16</f>
        <v>703024.245</v>
      </c>
    </row>
    <row r="19" spans="1:16" x14ac:dyDescent="0.2">
      <c r="A19" s="10"/>
      <c r="H19" s="56"/>
      <c r="P19" s="64"/>
    </row>
    <row r="20" spans="1:16" x14ac:dyDescent="0.2">
      <c r="A20" s="10"/>
      <c r="H20" s="56"/>
      <c r="O20" s="51"/>
      <c r="P20" s="64"/>
    </row>
    <row r="21" spans="1:16" s="3" customFormat="1" x14ac:dyDescent="0.25">
      <c r="A21" s="10"/>
      <c r="B21" s="2"/>
      <c r="C21" s="2"/>
      <c r="E21" s="11"/>
      <c r="H21" s="56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6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6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6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</sheetData>
  <mergeCells count="2">
    <mergeCell ref="A12:L12"/>
    <mergeCell ref="O12:P12"/>
  </mergeCells>
  <conditionalFormatting sqref="C3:C11">
    <cfRule type="duplicateValues" dxfId="1361" priority="33"/>
    <cfRule type="duplicateValues" dxfId="1360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7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N46" sqref="N3:N4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9" style="3" customWidth="1"/>
    <col min="5" max="5" width="8.42578125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405825</v>
      </c>
      <c r="B3" s="99" t="s">
        <v>823</v>
      </c>
      <c r="C3" s="1" t="s">
        <v>824</v>
      </c>
      <c r="D3" s="102" t="s">
        <v>57</v>
      </c>
      <c r="E3" s="91">
        <v>44536</v>
      </c>
      <c r="F3" s="90" t="s">
        <v>71</v>
      </c>
      <c r="G3" s="91">
        <v>44541</v>
      </c>
      <c r="H3" s="90" t="s">
        <v>635</v>
      </c>
      <c r="I3" s="90">
        <v>55</v>
      </c>
      <c r="J3" s="90">
        <v>44</v>
      </c>
      <c r="K3" s="90">
        <v>46</v>
      </c>
      <c r="L3" s="90">
        <v>15</v>
      </c>
      <c r="M3" s="92">
        <v>27.83</v>
      </c>
      <c r="N3" s="104">
        <v>27.83</v>
      </c>
      <c r="O3" s="57">
        <v>7000</v>
      </c>
      <c r="P3" s="58">
        <f t="shared" ref="P3:P46" si="0">N3*O3</f>
        <v>194810</v>
      </c>
    </row>
    <row r="4" spans="1:16" ht="26.25" customHeight="1" x14ac:dyDescent="0.2">
      <c r="A4" s="100"/>
      <c r="B4" s="100"/>
      <c r="C4" s="110" t="s">
        <v>825</v>
      </c>
      <c r="D4" s="102" t="s">
        <v>57</v>
      </c>
      <c r="E4" s="91">
        <v>44536</v>
      </c>
      <c r="F4" s="90" t="s">
        <v>71</v>
      </c>
      <c r="G4" s="91">
        <v>44541</v>
      </c>
      <c r="H4" s="90" t="s">
        <v>635</v>
      </c>
      <c r="I4" s="90">
        <v>64</v>
      </c>
      <c r="J4" s="90">
        <v>46</v>
      </c>
      <c r="K4" s="90">
        <v>27</v>
      </c>
      <c r="L4" s="90">
        <v>15</v>
      </c>
      <c r="M4" s="92">
        <v>19.872</v>
      </c>
      <c r="N4" s="104">
        <v>19.872</v>
      </c>
      <c r="O4" s="57">
        <v>7000</v>
      </c>
      <c r="P4" s="58">
        <f t="shared" si="0"/>
        <v>139104</v>
      </c>
    </row>
    <row r="5" spans="1:16" ht="26.25" customHeight="1" x14ac:dyDescent="0.2">
      <c r="A5" s="100"/>
      <c r="B5" s="100"/>
      <c r="C5" s="1" t="s">
        <v>826</v>
      </c>
      <c r="D5" s="102" t="s">
        <v>57</v>
      </c>
      <c r="E5" s="91">
        <v>44536</v>
      </c>
      <c r="F5" s="90" t="s">
        <v>71</v>
      </c>
      <c r="G5" s="91">
        <v>44541</v>
      </c>
      <c r="H5" s="90" t="s">
        <v>635</v>
      </c>
      <c r="I5" s="90">
        <v>44</v>
      </c>
      <c r="J5" s="90">
        <v>34</v>
      </c>
      <c r="K5" s="90">
        <v>31</v>
      </c>
      <c r="L5" s="90">
        <v>6</v>
      </c>
      <c r="M5" s="92">
        <v>11.593999999999999</v>
      </c>
      <c r="N5" s="104">
        <v>11.593999999999999</v>
      </c>
      <c r="O5" s="57">
        <v>7000</v>
      </c>
      <c r="P5" s="58">
        <f t="shared" si="0"/>
        <v>81158</v>
      </c>
    </row>
    <row r="6" spans="1:16" ht="26.25" customHeight="1" x14ac:dyDescent="0.2">
      <c r="A6" s="100"/>
      <c r="B6" s="100"/>
      <c r="C6" s="1" t="s">
        <v>827</v>
      </c>
      <c r="D6" s="102" t="s">
        <v>57</v>
      </c>
      <c r="E6" s="91">
        <v>44536</v>
      </c>
      <c r="F6" s="90" t="s">
        <v>71</v>
      </c>
      <c r="G6" s="91">
        <v>44541</v>
      </c>
      <c r="H6" s="90" t="s">
        <v>635</v>
      </c>
      <c r="I6" s="90">
        <v>80</v>
      </c>
      <c r="J6" s="90">
        <v>67</v>
      </c>
      <c r="K6" s="90">
        <v>22</v>
      </c>
      <c r="L6" s="90">
        <v>11</v>
      </c>
      <c r="M6" s="92">
        <v>29.48</v>
      </c>
      <c r="N6" s="104">
        <v>30</v>
      </c>
      <c r="O6" s="57">
        <v>7000</v>
      </c>
      <c r="P6" s="58">
        <f t="shared" si="0"/>
        <v>210000</v>
      </c>
    </row>
    <row r="7" spans="1:16" ht="26.25" customHeight="1" x14ac:dyDescent="0.2">
      <c r="A7" s="100"/>
      <c r="B7" s="100"/>
      <c r="C7" s="15" t="s">
        <v>828</v>
      </c>
      <c r="D7" s="70" t="s">
        <v>57</v>
      </c>
      <c r="E7" s="12">
        <v>44536</v>
      </c>
      <c r="F7" s="1" t="s">
        <v>71</v>
      </c>
      <c r="G7" s="12">
        <v>44541</v>
      </c>
      <c r="H7" s="125" t="s">
        <v>635</v>
      </c>
      <c r="I7" s="15">
        <v>58</v>
      </c>
      <c r="J7" s="15">
        <v>25</v>
      </c>
      <c r="K7" s="15">
        <v>15</v>
      </c>
      <c r="L7" s="15">
        <v>23</v>
      </c>
      <c r="M7" s="73">
        <v>5.4375</v>
      </c>
      <c r="N7" s="104">
        <v>24</v>
      </c>
      <c r="O7" s="57">
        <v>7000</v>
      </c>
      <c r="P7" s="58">
        <f t="shared" si="0"/>
        <v>168000</v>
      </c>
    </row>
    <row r="8" spans="1:16" ht="26.25" customHeight="1" x14ac:dyDescent="0.2">
      <c r="A8" s="100"/>
      <c r="B8" s="100"/>
      <c r="C8" s="15" t="s">
        <v>829</v>
      </c>
      <c r="D8" s="70" t="s">
        <v>57</v>
      </c>
      <c r="E8" s="12">
        <v>44536</v>
      </c>
      <c r="F8" s="1" t="s">
        <v>71</v>
      </c>
      <c r="G8" s="12">
        <v>44541</v>
      </c>
      <c r="H8" s="125" t="s">
        <v>635</v>
      </c>
      <c r="I8" s="15">
        <v>88</v>
      </c>
      <c r="J8" s="15">
        <v>63</v>
      </c>
      <c r="K8" s="15">
        <v>26</v>
      </c>
      <c r="L8" s="15">
        <v>19</v>
      </c>
      <c r="M8" s="73">
        <v>36.036000000000001</v>
      </c>
      <c r="N8" s="104">
        <v>36.036000000000001</v>
      </c>
      <c r="O8" s="57">
        <v>7000</v>
      </c>
      <c r="P8" s="58">
        <f t="shared" si="0"/>
        <v>252252</v>
      </c>
    </row>
    <row r="9" spans="1:16" ht="26.25" customHeight="1" x14ac:dyDescent="0.2">
      <c r="A9" s="100"/>
      <c r="B9" s="100"/>
      <c r="C9" s="15" t="s">
        <v>830</v>
      </c>
      <c r="D9" s="70" t="s">
        <v>57</v>
      </c>
      <c r="E9" s="12">
        <v>44536</v>
      </c>
      <c r="F9" s="1" t="s">
        <v>71</v>
      </c>
      <c r="G9" s="12">
        <v>44541</v>
      </c>
      <c r="H9" s="125" t="s">
        <v>635</v>
      </c>
      <c r="I9" s="15">
        <v>97</v>
      </c>
      <c r="J9" s="15">
        <v>55</v>
      </c>
      <c r="K9" s="15">
        <v>71</v>
      </c>
      <c r="L9" s="15">
        <v>61</v>
      </c>
      <c r="M9" s="73">
        <v>94.696250000000006</v>
      </c>
      <c r="N9" s="104">
        <v>94.696250000000006</v>
      </c>
      <c r="O9" s="57">
        <v>7000</v>
      </c>
      <c r="P9" s="58">
        <f t="shared" si="0"/>
        <v>662873.75</v>
      </c>
    </row>
    <row r="10" spans="1:16" ht="26.25" customHeight="1" x14ac:dyDescent="0.2">
      <c r="A10" s="100"/>
      <c r="B10" s="100"/>
      <c r="C10" s="15" t="s">
        <v>831</v>
      </c>
      <c r="D10" s="70" t="s">
        <v>57</v>
      </c>
      <c r="E10" s="12">
        <v>44536</v>
      </c>
      <c r="F10" s="1" t="s">
        <v>71</v>
      </c>
      <c r="G10" s="12">
        <v>44541</v>
      </c>
      <c r="H10" s="125" t="s">
        <v>635</v>
      </c>
      <c r="I10" s="15">
        <v>94</v>
      </c>
      <c r="J10" s="15">
        <v>50</v>
      </c>
      <c r="K10" s="15">
        <v>41</v>
      </c>
      <c r="L10" s="15">
        <v>23</v>
      </c>
      <c r="M10" s="73">
        <v>48.174999999999997</v>
      </c>
      <c r="N10" s="104">
        <v>48.174999999999997</v>
      </c>
      <c r="O10" s="57">
        <v>7000</v>
      </c>
      <c r="P10" s="58">
        <f t="shared" si="0"/>
        <v>337225</v>
      </c>
    </row>
    <row r="11" spans="1:16" ht="26.25" customHeight="1" x14ac:dyDescent="0.2">
      <c r="A11" s="100"/>
      <c r="B11" s="100"/>
      <c r="C11" s="15" t="s">
        <v>832</v>
      </c>
      <c r="D11" s="70" t="s">
        <v>57</v>
      </c>
      <c r="E11" s="12">
        <v>44536</v>
      </c>
      <c r="F11" s="1" t="s">
        <v>71</v>
      </c>
      <c r="G11" s="12">
        <v>44541</v>
      </c>
      <c r="H11" s="125" t="s">
        <v>635</v>
      </c>
      <c r="I11" s="15">
        <v>90</v>
      </c>
      <c r="J11" s="15">
        <v>50</v>
      </c>
      <c r="K11" s="15">
        <v>41</v>
      </c>
      <c r="L11" s="15">
        <v>26</v>
      </c>
      <c r="M11" s="73">
        <v>46.125</v>
      </c>
      <c r="N11" s="104">
        <v>46.125</v>
      </c>
      <c r="O11" s="57">
        <v>7000</v>
      </c>
      <c r="P11" s="58">
        <f t="shared" si="0"/>
        <v>322875</v>
      </c>
    </row>
    <row r="12" spans="1:16" ht="26.25" customHeight="1" x14ac:dyDescent="0.2">
      <c r="A12" s="100"/>
      <c r="B12" s="100"/>
      <c r="C12" s="15" t="s">
        <v>833</v>
      </c>
      <c r="D12" s="70" t="s">
        <v>57</v>
      </c>
      <c r="E12" s="12">
        <v>44536</v>
      </c>
      <c r="F12" s="1" t="s">
        <v>71</v>
      </c>
      <c r="G12" s="12">
        <v>44541</v>
      </c>
      <c r="H12" s="125" t="s">
        <v>635</v>
      </c>
      <c r="I12" s="15">
        <v>86</v>
      </c>
      <c r="J12" s="15">
        <v>44</v>
      </c>
      <c r="K12" s="15">
        <v>31</v>
      </c>
      <c r="L12" s="15">
        <v>26</v>
      </c>
      <c r="M12" s="73">
        <v>29.326000000000001</v>
      </c>
      <c r="N12" s="104">
        <v>30</v>
      </c>
      <c r="O12" s="57">
        <v>7000</v>
      </c>
      <c r="P12" s="58">
        <f t="shared" si="0"/>
        <v>210000</v>
      </c>
    </row>
    <row r="13" spans="1:16" ht="26.25" customHeight="1" x14ac:dyDescent="0.2">
      <c r="A13" s="100"/>
      <c r="B13" s="100"/>
      <c r="C13" s="15" t="s">
        <v>834</v>
      </c>
      <c r="D13" s="70" t="s">
        <v>57</v>
      </c>
      <c r="E13" s="12">
        <v>44536</v>
      </c>
      <c r="F13" s="1" t="s">
        <v>71</v>
      </c>
      <c r="G13" s="12">
        <v>44541</v>
      </c>
      <c r="H13" s="125" t="s">
        <v>635</v>
      </c>
      <c r="I13" s="15">
        <v>42</v>
      </c>
      <c r="J13" s="15">
        <v>35</v>
      </c>
      <c r="K13" s="15">
        <v>13</v>
      </c>
      <c r="L13" s="15">
        <v>5</v>
      </c>
      <c r="M13" s="73">
        <v>4.7774999999999999</v>
      </c>
      <c r="N13" s="104">
        <v>5</v>
      </c>
      <c r="O13" s="57">
        <v>7000</v>
      </c>
      <c r="P13" s="58">
        <f t="shared" si="0"/>
        <v>35000</v>
      </c>
    </row>
    <row r="14" spans="1:16" ht="26.25" customHeight="1" x14ac:dyDescent="0.2">
      <c r="A14" s="100"/>
      <c r="B14" s="100"/>
      <c r="C14" s="15" t="s">
        <v>835</v>
      </c>
      <c r="D14" s="70" t="s">
        <v>57</v>
      </c>
      <c r="E14" s="12">
        <v>44536</v>
      </c>
      <c r="F14" s="1" t="s">
        <v>71</v>
      </c>
      <c r="G14" s="12">
        <v>44541</v>
      </c>
      <c r="H14" s="125" t="s">
        <v>635</v>
      </c>
      <c r="I14" s="15">
        <v>94</v>
      </c>
      <c r="J14" s="15">
        <v>63</v>
      </c>
      <c r="K14" s="15">
        <v>29</v>
      </c>
      <c r="L14" s="15">
        <v>19</v>
      </c>
      <c r="M14" s="73">
        <v>42.9345</v>
      </c>
      <c r="N14" s="104">
        <v>42.9345</v>
      </c>
      <c r="O14" s="57">
        <v>7000</v>
      </c>
      <c r="P14" s="58">
        <f t="shared" si="0"/>
        <v>300541.5</v>
      </c>
    </row>
    <row r="15" spans="1:16" ht="26.25" customHeight="1" x14ac:dyDescent="0.2">
      <c r="A15" s="100"/>
      <c r="B15" s="100"/>
      <c r="C15" s="15" t="s">
        <v>836</v>
      </c>
      <c r="D15" s="70" t="s">
        <v>57</v>
      </c>
      <c r="E15" s="12">
        <v>44536</v>
      </c>
      <c r="F15" s="1" t="s">
        <v>71</v>
      </c>
      <c r="G15" s="12">
        <v>44541</v>
      </c>
      <c r="H15" s="125" t="s">
        <v>635</v>
      </c>
      <c r="I15" s="15">
        <v>23</v>
      </c>
      <c r="J15" s="15">
        <v>20</v>
      </c>
      <c r="K15" s="15">
        <v>21</v>
      </c>
      <c r="L15" s="15">
        <v>4</v>
      </c>
      <c r="M15" s="73">
        <v>2.415</v>
      </c>
      <c r="N15" s="104">
        <v>5</v>
      </c>
      <c r="O15" s="57">
        <v>7000</v>
      </c>
      <c r="P15" s="58">
        <f t="shared" si="0"/>
        <v>35000</v>
      </c>
    </row>
    <row r="16" spans="1:16" ht="26.25" customHeight="1" x14ac:dyDescent="0.2">
      <c r="A16" s="100"/>
      <c r="B16" s="100"/>
      <c r="C16" s="15" t="s">
        <v>837</v>
      </c>
      <c r="D16" s="70" t="s">
        <v>57</v>
      </c>
      <c r="E16" s="12">
        <v>44536</v>
      </c>
      <c r="F16" s="1" t="s">
        <v>71</v>
      </c>
      <c r="G16" s="12">
        <v>44541</v>
      </c>
      <c r="H16" s="125" t="s">
        <v>635</v>
      </c>
      <c r="I16" s="15">
        <v>55</v>
      </c>
      <c r="J16" s="15">
        <v>54</v>
      </c>
      <c r="K16" s="15">
        <v>14</v>
      </c>
      <c r="L16" s="15">
        <v>4</v>
      </c>
      <c r="M16" s="73">
        <v>10.395</v>
      </c>
      <c r="N16" s="104">
        <v>11</v>
      </c>
      <c r="O16" s="57">
        <v>7000</v>
      </c>
      <c r="P16" s="58">
        <f t="shared" si="0"/>
        <v>77000</v>
      </c>
    </row>
    <row r="17" spans="1:16" ht="26.25" customHeight="1" x14ac:dyDescent="0.2">
      <c r="A17" s="100"/>
      <c r="B17" s="100"/>
      <c r="C17" s="15" t="s">
        <v>838</v>
      </c>
      <c r="D17" s="70" t="s">
        <v>57</v>
      </c>
      <c r="E17" s="12">
        <v>44536</v>
      </c>
      <c r="F17" s="1" t="s">
        <v>71</v>
      </c>
      <c r="G17" s="12">
        <v>44541</v>
      </c>
      <c r="H17" s="125" t="s">
        <v>635</v>
      </c>
      <c r="I17" s="15">
        <v>121</v>
      </c>
      <c r="J17" s="15">
        <v>53</v>
      </c>
      <c r="K17" s="15">
        <v>24</v>
      </c>
      <c r="L17" s="15">
        <v>15</v>
      </c>
      <c r="M17" s="73">
        <v>38.478000000000002</v>
      </c>
      <c r="N17" s="104">
        <v>39</v>
      </c>
      <c r="O17" s="57">
        <v>7000</v>
      </c>
      <c r="P17" s="58">
        <f t="shared" si="0"/>
        <v>273000</v>
      </c>
    </row>
    <row r="18" spans="1:16" ht="26.25" customHeight="1" x14ac:dyDescent="0.2">
      <c r="A18" s="100"/>
      <c r="B18" s="100"/>
      <c r="C18" s="15" t="s">
        <v>839</v>
      </c>
      <c r="D18" s="70" t="s">
        <v>57</v>
      </c>
      <c r="E18" s="12">
        <v>44536</v>
      </c>
      <c r="F18" s="1" t="s">
        <v>71</v>
      </c>
      <c r="G18" s="12">
        <v>44541</v>
      </c>
      <c r="H18" s="125" t="s">
        <v>635</v>
      </c>
      <c r="I18" s="15">
        <v>66</v>
      </c>
      <c r="J18" s="15">
        <v>51</v>
      </c>
      <c r="K18" s="15">
        <v>12</v>
      </c>
      <c r="L18" s="15">
        <v>7</v>
      </c>
      <c r="M18" s="73">
        <v>10.098000000000001</v>
      </c>
      <c r="N18" s="104">
        <v>10.098000000000001</v>
      </c>
      <c r="O18" s="57">
        <v>7000</v>
      </c>
      <c r="P18" s="58">
        <f t="shared" si="0"/>
        <v>70686</v>
      </c>
    </row>
    <row r="19" spans="1:16" ht="26.25" customHeight="1" x14ac:dyDescent="0.2">
      <c r="A19" s="100"/>
      <c r="B19" s="100"/>
      <c r="C19" s="15" t="s">
        <v>840</v>
      </c>
      <c r="D19" s="70" t="s">
        <v>57</v>
      </c>
      <c r="E19" s="12">
        <v>44536</v>
      </c>
      <c r="F19" s="1" t="s">
        <v>71</v>
      </c>
      <c r="G19" s="12">
        <v>44541</v>
      </c>
      <c r="H19" s="125" t="s">
        <v>635</v>
      </c>
      <c r="I19" s="15">
        <v>71</v>
      </c>
      <c r="J19" s="15">
        <v>45</v>
      </c>
      <c r="K19" s="15">
        <v>22</v>
      </c>
      <c r="L19" s="15">
        <v>9</v>
      </c>
      <c r="M19" s="73">
        <v>17.572500000000002</v>
      </c>
      <c r="N19" s="104">
        <v>17.572500000000002</v>
      </c>
      <c r="O19" s="57">
        <v>7000</v>
      </c>
      <c r="P19" s="58">
        <f t="shared" si="0"/>
        <v>123007.50000000001</v>
      </c>
    </row>
    <row r="20" spans="1:16" ht="26.25" customHeight="1" x14ac:dyDescent="0.2">
      <c r="A20" s="100"/>
      <c r="B20" s="100"/>
      <c r="C20" s="15" t="s">
        <v>841</v>
      </c>
      <c r="D20" s="70" t="s">
        <v>57</v>
      </c>
      <c r="E20" s="12">
        <v>44536</v>
      </c>
      <c r="F20" s="1" t="s">
        <v>71</v>
      </c>
      <c r="G20" s="12">
        <v>44541</v>
      </c>
      <c r="H20" s="125" t="s">
        <v>635</v>
      </c>
      <c r="I20" s="15">
        <v>104</v>
      </c>
      <c r="J20" s="15">
        <v>59</v>
      </c>
      <c r="K20" s="15">
        <v>38</v>
      </c>
      <c r="L20" s="15">
        <v>22</v>
      </c>
      <c r="M20" s="73">
        <v>58.292000000000002</v>
      </c>
      <c r="N20" s="104">
        <v>58.292000000000002</v>
      </c>
      <c r="O20" s="57">
        <v>7000</v>
      </c>
      <c r="P20" s="58">
        <f t="shared" si="0"/>
        <v>408044</v>
      </c>
    </row>
    <row r="21" spans="1:16" ht="26.25" customHeight="1" x14ac:dyDescent="0.2">
      <c r="A21" s="100"/>
      <c r="B21" s="100"/>
      <c r="C21" s="15" t="s">
        <v>842</v>
      </c>
      <c r="D21" s="70" t="s">
        <v>57</v>
      </c>
      <c r="E21" s="12">
        <v>44536</v>
      </c>
      <c r="F21" s="1" t="s">
        <v>71</v>
      </c>
      <c r="G21" s="12">
        <v>44541</v>
      </c>
      <c r="H21" s="125" t="s">
        <v>635</v>
      </c>
      <c r="I21" s="15">
        <v>129</v>
      </c>
      <c r="J21" s="15">
        <v>34</v>
      </c>
      <c r="K21" s="15">
        <v>22</v>
      </c>
      <c r="L21" s="15">
        <v>15</v>
      </c>
      <c r="M21" s="73">
        <v>24.123000000000001</v>
      </c>
      <c r="N21" s="104">
        <v>24.123000000000001</v>
      </c>
      <c r="O21" s="57">
        <v>7000</v>
      </c>
      <c r="P21" s="58">
        <f t="shared" si="0"/>
        <v>168861</v>
      </c>
    </row>
    <row r="22" spans="1:16" ht="26.25" customHeight="1" x14ac:dyDescent="0.2">
      <c r="A22" s="100"/>
      <c r="B22" s="100"/>
      <c r="C22" s="15" t="s">
        <v>843</v>
      </c>
      <c r="D22" s="70" t="s">
        <v>57</v>
      </c>
      <c r="E22" s="12">
        <v>44536</v>
      </c>
      <c r="F22" s="1" t="s">
        <v>71</v>
      </c>
      <c r="G22" s="12">
        <v>44541</v>
      </c>
      <c r="H22" s="125" t="s">
        <v>635</v>
      </c>
      <c r="I22" s="15">
        <v>40</v>
      </c>
      <c r="J22" s="15">
        <v>34</v>
      </c>
      <c r="K22" s="15">
        <v>22</v>
      </c>
      <c r="L22" s="15">
        <v>6</v>
      </c>
      <c r="M22" s="73">
        <v>7.48</v>
      </c>
      <c r="N22" s="104">
        <v>8</v>
      </c>
      <c r="O22" s="57">
        <v>7000</v>
      </c>
      <c r="P22" s="58">
        <f t="shared" si="0"/>
        <v>56000</v>
      </c>
    </row>
    <row r="23" spans="1:16" ht="26.25" customHeight="1" x14ac:dyDescent="0.2">
      <c r="A23" s="100"/>
      <c r="B23" s="100"/>
      <c r="C23" s="15" t="s">
        <v>844</v>
      </c>
      <c r="D23" s="70" t="s">
        <v>57</v>
      </c>
      <c r="E23" s="12">
        <v>44536</v>
      </c>
      <c r="F23" s="1" t="s">
        <v>71</v>
      </c>
      <c r="G23" s="12">
        <v>44541</v>
      </c>
      <c r="H23" s="125" t="s">
        <v>635</v>
      </c>
      <c r="I23" s="15">
        <v>44</v>
      </c>
      <c r="J23" s="15">
        <v>32</v>
      </c>
      <c r="K23" s="15">
        <v>22</v>
      </c>
      <c r="L23" s="15">
        <v>3</v>
      </c>
      <c r="M23" s="73">
        <v>7.7439999999999998</v>
      </c>
      <c r="N23" s="104">
        <v>7.7439999999999998</v>
      </c>
      <c r="O23" s="57">
        <v>7000</v>
      </c>
      <c r="P23" s="58">
        <f t="shared" si="0"/>
        <v>54208</v>
      </c>
    </row>
    <row r="24" spans="1:16" ht="26.25" customHeight="1" x14ac:dyDescent="0.2">
      <c r="A24" s="100"/>
      <c r="B24" s="100"/>
      <c r="C24" s="15" t="s">
        <v>845</v>
      </c>
      <c r="D24" s="70" t="s">
        <v>57</v>
      </c>
      <c r="E24" s="12">
        <v>44536</v>
      </c>
      <c r="F24" s="1" t="s">
        <v>71</v>
      </c>
      <c r="G24" s="12">
        <v>44541</v>
      </c>
      <c r="H24" s="125" t="s">
        <v>635</v>
      </c>
      <c r="I24" s="15">
        <v>94</v>
      </c>
      <c r="J24" s="15">
        <v>58</v>
      </c>
      <c r="K24" s="15">
        <v>35</v>
      </c>
      <c r="L24" s="15">
        <v>17</v>
      </c>
      <c r="M24" s="73">
        <v>47.704999999999998</v>
      </c>
      <c r="N24" s="104">
        <v>47.704999999999998</v>
      </c>
      <c r="O24" s="57">
        <v>7000</v>
      </c>
      <c r="P24" s="58">
        <f t="shared" si="0"/>
        <v>333935</v>
      </c>
    </row>
    <row r="25" spans="1:16" ht="26.25" customHeight="1" x14ac:dyDescent="0.2">
      <c r="A25" s="100"/>
      <c r="B25" s="100"/>
      <c r="C25" s="15" t="s">
        <v>846</v>
      </c>
      <c r="D25" s="70" t="s">
        <v>57</v>
      </c>
      <c r="E25" s="12">
        <v>44536</v>
      </c>
      <c r="F25" s="1" t="s">
        <v>71</v>
      </c>
      <c r="G25" s="12">
        <v>44541</v>
      </c>
      <c r="H25" s="125" t="s">
        <v>635</v>
      </c>
      <c r="I25" s="15">
        <v>106</v>
      </c>
      <c r="J25" s="15">
        <v>23</v>
      </c>
      <c r="K25" s="15">
        <v>18</v>
      </c>
      <c r="L25" s="15">
        <v>8</v>
      </c>
      <c r="M25" s="73">
        <v>10.971</v>
      </c>
      <c r="N25" s="104">
        <v>10.971</v>
      </c>
      <c r="O25" s="57">
        <v>7000</v>
      </c>
      <c r="P25" s="58">
        <f t="shared" si="0"/>
        <v>76797</v>
      </c>
    </row>
    <row r="26" spans="1:16" ht="26.25" customHeight="1" x14ac:dyDescent="0.2">
      <c r="A26" s="100"/>
      <c r="B26" s="100"/>
      <c r="C26" s="15" t="s">
        <v>847</v>
      </c>
      <c r="D26" s="70" t="s">
        <v>57</v>
      </c>
      <c r="E26" s="12">
        <v>44536</v>
      </c>
      <c r="F26" s="1" t="s">
        <v>71</v>
      </c>
      <c r="G26" s="12">
        <v>44541</v>
      </c>
      <c r="H26" s="125" t="s">
        <v>635</v>
      </c>
      <c r="I26" s="15">
        <v>41</v>
      </c>
      <c r="J26" s="15">
        <v>30</v>
      </c>
      <c r="K26" s="15">
        <v>22</v>
      </c>
      <c r="L26" s="15">
        <v>2</v>
      </c>
      <c r="M26" s="73">
        <v>6.7649999999999997</v>
      </c>
      <c r="N26" s="104">
        <v>6.7649999999999997</v>
      </c>
      <c r="O26" s="57">
        <v>7000</v>
      </c>
      <c r="P26" s="58">
        <f t="shared" si="0"/>
        <v>47355</v>
      </c>
    </row>
    <row r="27" spans="1:16" ht="26.25" customHeight="1" x14ac:dyDescent="0.2">
      <c r="A27" s="100"/>
      <c r="B27" s="100"/>
      <c r="C27" s="15" t="s">
        <v>848</v>
      </c>
      <c r="D27" s="70" t="s">
        <v>57</v>
      </c>
      <c r="E27" s="12">
        <v>44536</v>
      </c>
      <c r="F27" s="1" t="s">
        <v>71</v>
      </c>
      <c r="G27" s="12">
        <v>44541</v>
      </c>
      <c r="H27" s="125" t="s">
        <v>635</v>
      </c>
      <c r="I27" s="15">
        <v>65</v>
      </c>
      <c r="J27" s="15">
        <v>38</v>
      </c>
      <c r="K27" s="15">
        <v>24</v>
      </c>
      <c r="L27" s="15">
        <v>7</v>
      </c>
      <c r="M27" s="73">
        <v>14.82</v>
      </c>
      <c r="N27" s="104">
        <v>14.82</v>
      </c>
      <c r="O27" s="57">
        <v>7000</v>
      </c>
      <c r="P27" s="58">
        <f t="shared" si="0"/>
        <v>103740</v>
      </c>
    </row>
    <row r="28" spans="1:16" ht="26.25" customHeight="1" x14ac:dyDescent="0.2">
      <c r="A28" s="100"/>
      <c r="B28" s="100"/>
      <c r="C28" s="15" t="s">
        <v>849</v>
      </c>
      <c r="D28" s="70" t="s">
        <v>57</v>
      </c>
      <c r="E28" s="12">
        <v>44536</v>
      </c>
      <c r="F28" s="1" t="s">
        <v>71</v>
      </c>
      <c r="G28" s="12">
        <v>44541</v>
      </c>
      <c r="H28" s="125" t="s">
        <v>635</v>
      </c>
      <c r="I28" s="15">
        <v>34</v>
      </c>
      <c r="J28" s="15">
        <v>30</v>
      </c>
      <c r="K28" s="15">
        <v>28</v>
      </c>
      <c r="L28" s="15">
        <v>7</v>
      </c>
      <c r="M28" s="73">
        <v>7.14</v>
      </c>
      <c r="N28" s="104">
        <v>7.14</v>
      </c>
      <c r="O28" s="57">
        <v>7000</v>
      </c>
      <c r="P28" s="58">
        <f t="shared" si="0"/>
        <v>49980</v>
      </c>
    </row>
    <row r="29" spans="1:16" ht="26.25" customHeight="1" x14ac:dyDescent="0.2">
      <c r="A29" s="100"/>
      <c r="B29" s="100"/>
      <c r="C29" s="15" t="s">
        <v>850</v>
      </c>
      <c r="D29" s="70" t="s">
        <v>57</v>
      </c>
      <c r="E29" s="12">
        <v>44536</v>
      </c>
      <c r="F29" s="1" t="s">
        <v>71</v>
      </c>
      <c r="G29" s="12">
        <v>44541</v>
      </c>
      <c r="H29" s="125" t="s">
        <v>635</v>
      </c>
      <c r="I29" s="15">
        <v>38</v>
      </c>
      <c r="J29" s="15">
        <v>38</v>
      </c>
      <c r="K29" s="15">
        <v>26</v>
      </c>
      <c r="L29" s="15">
        <v>12</v>
      </c>
      <c r="M29" s="73">
        <v>9.3859999999999992</v>
      </c>
      <c r="N29" s="104">
        <v>13</v>
      </c>
      <c r="O29" s="57">
        <v>7000</v>
      </c>
      <c r="P29" s="58">
        <f t="shared" si="0"/>
        <v>91000</v>
      </c>
    </row>
    <row r="30" spans="1:16" ht="26.25" customHeight="1" x14ac:dyDescent="0.2">
      <c r="A30" s="100"/>
      <c r="B30" s="100"/>
      <c r="C30" s="15" t="s">
        <v>851</v>
      </c>
      <c r="D30" s="70" t="s">
        <v>57</v>
      </c>
      <c r="E30" s="12">
        <v>44536</v>
      </c>
      <c r="F30" s="1" t="s">
        <v>71</v>
      </c>
      <c r="G30" s="12">
        <v>44541</v>
      </c>
      <c r="H30" s="125" t="s">
        <v>635</v>
      </c>
      <c r="I30" s="15">
        <v>35</v>
      </c>
      <c r="J30" s="15">
        <v>28</v>
      </c>
      <c r="K30" s="15">
        <v>12</v>
      </c>
      <c r="L30" s="15">
        <v>7</v>
      </c>
      <c r="M30" s="73">
        <v>2.94</v>
      </c>
      <c r="N30" s="104">
        <v>7</v>
      </c>
      <c r="O30" s="57">
        <v>7000</v>
      </c>
      <c r="P30" s="58">
        <f t="shared" si="0"/>
        <v>49000</v>
      </c>
    </row>
    <row r="31" spans="1:16" ht="26.25" customHeight="1" x14ac:dyDescent="0.2">
      <c r="A31" s="100"/>
      <c r="B31" s="100"/>
      <c r="C31" s="15" t="s">
        <v>852</v>
      </c>
      <c r="D31" s="70" t="s">
        <v>57</v>
      </c>
      <c r="E31" s="12">
        <v>44536</v>
      </c>
      <c r="F31" s="1" t="s">
        <v>71</v>
      </c>
      <c r="G31" s="12">
        <v>44541</v>
      </c>
      <c r="H31" s="125" t="s">
        <v>635</v>
      </c>
      <c r="I31" s="15">
        <v>56</v>
      </c>
      <c r="J31" s="15">
        <v>42</v>
      </c>
      <c r="K31" s="15">
        <v>30</v>
      </c>
      <c r="L31" s="15">
        <v>15</v>
      </c>
      <c r="M31" s="73">
        <v>17.64</v>
      </c>
      <c r="N31" s="104">
        <v>17.64</v>
      </c>
      <c r="O31" s="57">
        <v>7000</v>
      </c>
      <c r="P31" s="58">
        <f t="shared" si="0"/>
        <v>123480</v>
      </c>
    </row>
    <row r="32" spans="1:16" ht="26.25" customHeight="1" x14ac:dyDescent="0.2">
      <c r="A32" s="100"/>
      <c r="B32" s="100"/>
      <c r="C32" s="15" t="s">
        <v>853</v>
      </c>
      <c r="D32" s="70" t="s">
        <v>57</v>
      </c>
      <c r="E32" s="12">
        <v>44536</v>
      </c>
      <c r="F32" s="1" t="s">
        <v>71</v>
      </c>
      <c r="G32" s="12">
        <v>44541</v>
      </c>
      <c r="H32" s="125" t="s">
        <v>635</v>
      </c>
      <c r="I32" s="15">
        <v>38</v>
      </c>
      <c r="J32" s="15">
        <v>32</v>
      </c>
      <c r="K32" s="15">
        <v>10</v>
      </c>
      <c r="L32" s="15">
        <v>1</v>
      </c>
      <c r="M32" s="73">
        <v>3.04</v>
      </c>
      <c r="N32" s="104">
        <v>3.04</v>
      </c>
      <c r="O32" s="57">
        <v>7000</v>
      </c>
      <c r="P32" s="58">
        <f t="shared" si="0"/>
        <v>21280</v>
      </c>
    </row>
    <row r="33" spans="1:16" ht="26.25" customHeight="1" x14ac:dyDescent="0.2">
      <c r="A33" s="100"/>
      <c r="B33" s="100"/>
      <c r="C33" s="15" t="s">
        <v>854</v>
      </c>
      <c r="D33" s="70" t="s">
        <v>57</v>
      </c>
      <c r="E33" s="12">
        <v>44536</v>
      </c>
      <c r="F33" s="1" t="s">
        <v>71</v>
      </c>
      <c r="G33" s="12">
        <v>44541</v>
      </c>
      <c r="H33" s="125" t="s">
        <v>635</v>
      </c>
      <c r="I33" s="15">
        <v>35</v>
      </c>
      <c r="J33" s="15">
        <v>32</v>
      </c>
      <c r="K33" s="15">
        <v>12</v>
      </c>
      <c r="L33" s="15">
        <v>3</v>
      </c>
      <c r="M33" s="73">
        <v>3.36</v>
      </c>
      <c r="N33" s="104">
        <v>4</v>
      </c>
      <c r="O33" s="57">
        <v>7000</v>
      </c>
      <c r="P33" s="58">
        <f t="shared" si="0"/>
        <v>28000</v>
      </c>
    </row>
    <row r="34" spans="1:16" ht="26.25" customHeight="1" x14ac:dyDescent="0.2">
      <c r="A34" s="100"/>
      <c r="B34" s="100"/>
      <c r="C34" s="15" t="s">
        <v>855</v>
      </c>
      <c r="D34" s="70" t="s">
        <v>57</v>
      </c>
      <c r="E34" s="12">
        <v>44536</v>
      </c>
      <c r="F34" s="1" t="s">
        <v>71</v>
      </c>
      <c r="G34" s="12">
        <v>44541</v>
      </c>
      <c r="H34" s="125" t="s">
        <v>635</v>
      </c>
      <c r="I34" s="15">
        <v>84</v>
      </c>
      <c r="J34" s="15">
        <v>38</v>
      </c>
      <c r="K34" s="15">
        <v>12</v>
      </c>
      <c r="L34" s="15">
        <v>2</v>
      </c>
      <c r="M34" s="73">
        <v>9.5760000000000005</v>
      </c>
      <c r="N34" s="104">
        <v>9.5760000000000005</v>
      </c>
      <c r="O34" s="57">
        <v>7000</v>
      </c>
      <c r="P34" s="58">
        <f t="shared" si="0"/>
        <v>67032</v>
      </c>
    </row>
    <row r="35" spans="1:16" ht="26.25" customHeight="1" x14ac:dyDescent="0.2">
      <c r="A35" s="100"/>
      <c r="B35" s="100"/>
      <c r="C35" s="15" t="s">
        <v>856</v>
      </c>
      <c r="D35" s="70" t="s">
        <v>57</v>
      </c>
      <c r="E35" s="12">
        <v>44536</v>
      </c>
      <c r="F35" s="1" t="s">
        <v>71</v>
      </c>
      <c r="G35" s="12">
        <v>44541</v>
      </c>
      <c r="H35" s="125" t="s">
        <v>635</v>
      </c>
      <c r="I35" s="15">
        <v>50</v>
      </c>
      <c r="J35" s="15">
        <v>35</v>
      </c>
      <c r="K35" s="15">
        <v>11</v>
      </c>
      <c r="L35" s="15">
        <v>3</v>
      </c>
      <c r="M35" s="73">
        <v>4.8125</v>
      </c>
      <c r="N35" s="104">
        <v>4.8125</v>
      </c>
      <c r="O35" s="57">
        <v>7000</v>
      </c>
      <c r="P35" s="58">
        <f t="shared" si="0"/>
        <v>33687.5</v>
      </c>
    </row>
    <row r="36" spans="1:16" ht="26.25" customHeight="1" x14ac:dyDescent="0.2">
      <c r="A36" s="100"/>
      <c r="B36" s="100"/>
      <c r="C36" s="15" t="s">
        <v>857</v>
      </c>
      <c r="D36" s="70" t="s">
        <v>57</v>
      </c>
      <c r="E36" s="12">
        <v>44536</v>
      </c>
      <c r="F36" s="1" t="s">
        <v>71</v>
      </c>
      <c r="G36" s="12">
        <v>44541</v>
      </c>
      <c r="H36" s="125" t="s">
        <v>635</v>
      </c>
      <c r="I36" s="15">
        <v>70</v>
      </c>
      <c r="J36" s="15">
        <v>52</v>
      </c>
      <c r="K36" s="15">
        <v>11</v>
      </c>
      <c r="L36" s="15">
        <v>6</v>
      </c>
      <c r="M36" s="73">
        <v>10.01</v>
      </c>
      <c r="N36" s="104">
        <v>10.01</v>
      </c>
      <c r="O36" s="57">
        <v>7000</v>
      </c>
      <c r="P36" s="58">
        <f t="shared" si="0"/>
        <v>70070</v>
      </c>
    </row>
    <row r="37" spans="1:16" ht="26.25" customHeight="1" x14ac:dyDescent="0.2">
      <c r="A37" s="100"/>
      <c r="B37" s="100"/>
      <c r="C37" s="15" t="s">
        <v>858</v>
      </c>
      <c r="D37" s="70" t="s">
        <v>57</v>
      </c>
      <c r="E37" s="12">
        <v>44536</v>
      </c>
      <c r="F37" s="1" t="s">
        <v>71</v>
      </c>
      <c r="G37" s="12">
        <v>44541</v>
      </c>
      <c r="H37" s="125" t="s">
        <v>635</v>
      </c>
      <c r="I37" s="15">
        <v>32</v>
      </c>
      <c r="J37" s="15">
        <v>28</v>
      </c>
      <c r="K37" s="15">
        <v>12</v>
      </c>
      <c r="L37" s="15">
        <v>2</v>
      </c>
      <c r="M37" s="73">
        <v>2.6880000000000002</v>
      </c>
      <c r="N37" s="104">
        <v>2.6880000000000002</v>
      </c>
      <c r="O37" s="57">
        <v>7000</v>
      </c>
      <c r="P37" s="58">
        <f t="shared" si="0"/>
        <v>18816</v>
      </c>
    </row>
    <row r="38" spans="1:16" ht="26.25" customHeight="1" x14ac:dyDescent="0.2">
      <c r="A38" s="100"/>
      <c r="B38" s="100"/>
      <c r="C38" s="15" t="s">
        <v>859</v>
      </c>
      <c r="D38" s="70" t="s">
        <v>57</v>
      </c>
      <c r="E38" s="12">
        <v>44536</v>
      </c>
      <c r="F38" s="1" t="s">
        <v>71</v>
      </c>
      <c r="G38" s="12">
        <v>44541</v>
      </c>
      <c r="H38" s="125" t="s">
        <v>635</v>
      </c>
      <c r="I38" s="15">
        <v>42</v>
      </c>
      <c r="J38" s="15">
        <v>36</v>
      </c>
      <c r="K38" s="15">
        <v>31</v>
      </c>
      <c r="L38" s="15">
        <v>9</v>
      </c>
      <c r="M38" s="73">
        <v>11.718</v>
      </c>
      <c r="N38" s="104">
        <v>11.718</v>
      </c>
      <c r="O38" s="57">
        <v>7000</v>
      </c>
      <c r="P38" s="58">
        <f t="shared" si="0"/>
        <v>82026</v>
      </c>
    </row>
    <row r="39" spans="1:16" ht="26.25" customHeight="1" x14ac:dyDescent="0.2">
      <c r="A39" s="100"/>
      <c r="B39" s="100"/>
      <c r="C39" s="15" t="s">
        <v>860</v>
      </c>
      <c r="D39" s="70" t="s">
        <v>57</v>
      </c>
      <c r="E39" s="12">
        <v>44536</v>
      </c>
      <c r="F39" s="1" t="s">
        <v>71</v>
      </c>
      <c r="G39" s="12">
        <v>44541</v>
      </c>
      <c r="H39" s="125" t="s">
        <v>635</v>
      </c>
      <c r="I39" s="15">
        <v>42</v>
      </c>
      <c r="J39" s="15">
        <v>32</v>
      </c>
      <c r="K39" s="15">
        <v>9</v>
      </c>
      <c r="L39" s="15">
        <v>2</v>
      </c>
      <c r="M39" s="73">
        <v>3.024</v>
      </c>
      <c r="N39" s="104">
        <v>3.024</v>
      </c>
      <c r="O39" s="57">
        <v>7000</v>
      </c>
      <c r="P39" s="58">
        <f t="shared" si="0"/>
        <v>21168</v>
      </c>
    </row>
    <row r="40" spans="1:16" ht="26.25" customHeight="1" x14ac:dyDescent="0.2">
      <c r="A40" s="100"/>
      <c r="B40" s="101"/>
      <c r="C40" s="15" t="s">
        <v>861</v>
      </c>
      <c r="D40" s="70" t="s">
        <v>57</v>
      </c>
      <c r="E40" s="12">
        <v>44536</v>
      </c>
      <c r="F40" s="1" t="s">
        <v>71</v>
      </c>
      <c r="G40" s="12">
        <v>44541</v>
      </c>
      <c r="H40" s="125" t="s">
        <v>635</v>
      </c>
      <c r="I40" s="15">
        <v>33</v>
      </c>
      <c r="J40" s="15">
        <v>25</v>
      </c>
      <c r="K40" s="15">
        <v>20</v>
      </c>
      <c r="L40" s="15">
        <v>3</v>
      </c>
      <c r="M40" s="73">
        <v>4.125</v>
      </c>
      <c r="N40" s="104">
        <v>4.125</v>
      </c>
      <c r="O40" s="57">
        <v>7000</v>
      </c>
      <c r="P40" s="58">
        <f t="shared" si="0"/>
        <v>28875</v>
      </c>
    </row>
    <row r="41" spans="1:16" ht="26.25" customHeight="1" x14ac:dyDescent="0.2">
      <c r="A41" s="100"/>
      <c r="B41" s="100" t="s">
        <v>862</v>
      </c>
      <c r="C41" s="15" t="s">
        <v>863</v>
      </c>
      <c r="D41" s="70" t="s">
        <v>57</v>
      </c>
      <c r="E41" s="12">
        <v>44536</v>
      </c>
      <c r="F41" s="1" t="s">
        <v>71</v>
      </c>
      <c r="G41" s="12">
        <v>44541</v>
      </c>
      <c r="H41" s="125" t="s">
        <v>635</v>
      </c>
      <c r="I41" s="15">
        <v>56</v>
      </c>
      <c r="J41" s="15">
        <v>31</v>
      </c>
      <c r="K41" s="15">
        <v>16</v>
      </c>
      <c r="L41" s="15">
        <v>3</v>
      </c>
      <c r="M41" s="73">
        <v>6.944</v>
      </c>
      <c r="N41" s="104">
        <v>6.944</v>
      </c>
      <c r="O41" s="57">
        <v>7000</v>
      </c>
      <c r="P41" s="58">
        <f t="shared" si="0"/>
        <v>48608</v>
      </c>
    </row>
    <row r="42" spans="1:16" ht="26.25" customHeight="1" x14ac:dyDescent="0.2">
      <c r="A42" s="100"/>
      <c r="B42" s="100"/>
      <c r="C42" s="15" t="s">
        <v>864</v>
      </c>
      <c r="D42" s="70" t="s">
        <v>57</v>
      </c>
      <c r="E42" s="12">
        <v>44536</v>
      </c>
      <c r="F42" s="1" t="s">
        <v>71</v>
      </c>
      <c r="G42" s="12">
        <v>44541</v>
      </c>
      <c r="H42" s="125" t="s">
        <v>635</v>
      </c>
      <c r="I42" s="15">
        <v>30</v>
      </c>
      <c r="J42" s="15">
        <v>10</v>
      </c>
      <c r="K42" s="15">
        <v>10</v>
      </c>
      <c r="L42" s="15">
        <v>1</v>
      </c>
      <c r="M42" s="73">
        <v>0.75</v>
      </c>
      <c r="N42" s="104">
        <v>1</v>
      </c>
      <c r="O42" s="57">
        <v>7000</v>
      </c>
      <c r="P42" s="58">
        <f t="shared" si="0"/>
        <v>7000</v>
      </c>
    </row>
    <row r="43" spans="1:16" ht="26.25" customHeight="1" x14ac:dyDescent="0.2">
      <c r="A43" s="100"/>
      <c r="B43" s="101"/>
      <c r="C43" s="15" t="s">
        <v>865</v>
      </c>
      <c r="D43" s="70" t="s">
        <v>57</v>
      </c>
      <c r="E43" s="12">
        <v>44536</v>
      </c>
      <c r="F43" s="1" t="s">
        <v>71</v>
      </c>
      <c r="G43" s="12">
        <v>44541</v>
      </c>
      <c r="H43" s="125" t="s">
        <v>635</v>
      </c>
      <c r="I43" s="15">
        <v>39</v>
      </c>
      <c r="J43" s="15">
        <v>21</v>
      </c>
      <c r="K43" s="15">
        <v>11</v>
      </c>
      <c r="L43" s="15">
        <v>2</v>
      </c>
      <c r="M43" s="73">
        <v>2.2522500000000001</v>
      </c>
      <c r="N43" s="104">
        <v>2.2522500000000001</v>
      </c>
      <c r="O43" s="57">
        <v>7000</v>
      </c>
      <c r="P43" s="58">
        <f t="shared" si="0"/>
        <v>15765.75</v>
      </c>
    </row>
    <row r="44" spans="1:16" ht="26.25" customHeight="1" x14ac:dyDescent="0.2">
      <c r="A44" s="100"/>
      <c r="B44" s="100" t="s">
        <v>866</v>
      </c>
      <c r="C44" s="15" t="s">
        <v>867</v>
      </c>
      <c r="D44" s="70" t="s">
        <v>57</v>
      </c>
      <c r="E44" s="12">
        <v>44536</v>
      </c>
      <c r="F44" s="1" t="s">
        <v>71</v>
      </c>
      <c r="G44" s="12">
        <v>44541</v>
      </c>
      <c r="H44" s="125" t="s">
        <v>635</v>
      </c>
      <c r="I44" s="15">
        <v>85</v>
      </c>
      <c r="J44" s="15">
        <v>59</v>
      </c>
      <c r="K44" s="15">
        <v>31</v>
      </c>
      <c r="L44" s="15">
        <v>14</v>
      </c>
      <c r="M44" s="73">
        <v>38.866250000000001</v>
      </c>
      <c r="N44" s="104">
        <v>38.866250000000001</v>
      </c>
      <c r="O44" s="57">
        <v>7000</v>
      </c>
      <c r="P44" s="58">
        <f t="shared" si="0"/>
        <v>272063.75</v>
      </c>
    </row>
    <row r="45" spans="1:16" ht="26.25" customHeight="1" x14ac:dyDescent="0.2">
      <c r="A45" s="100"/>
      <c r="B45" s="100"/>
      <c r="C45" s="15" t="s">
        <v>868</v>
      </c>
      <c r="D45" s="70" t="s">
        <v>57</v>
      </c>
      <c r="E45" s="12">
        <v>44536</v>
      </c>
      <c r="F45" s="1" t="s">
        <v>71</v>
      </c>
      <c r="G45" s="12">
        <v>44541</v>
      </c>
      <c r="H45" s="125" t="s">
        <v>635</v>
      </c>
      <c r="I45" s="15">
        <v>102</v>
      </c>
      <c r="J45" s="15">
        <v>58</v>
      </c>
      <c r="K45" s="15">
        <v>21</v>
      </c>
      <c r="L45" s="15">
        <v>21</v>
      </c>
      <c r="M45" s="73">
        <v>31.059000000000001</v>
      </c>
      <c r="N45" s="104">
        <v>31.059000000000001</v>
      </c>
      <c r="O45" s="57">
        <v>7000</v>
      </c>
      <c r="P45" s="58">
        <f t="shared" si="0"/>
        <v>217413</v>
      </c>
    </row>
    <row r="46" spans="1:16" ht="26.25" customHeight="1" x14ac:dyDescent="0.2">
      <c r="A46" s="100"/>
      <c r="B46" s="100"/>
      <c r="C46" s="15" t="s">
        <v>869</v>
      </c>
      <c r="D46" s="70" t="s">
        <v>57</v>
      </c>
      <c r="E46" s="12">
        <v>44536</v>
      </c>
      <c r="F46" s="1" t="s">
        <v>71</v>
      </c>
      <c r="G46" s="12">
        <v>44541</v>
      </c>
      <c r="H46" s="125" t="s">
        <v>635</v>
      </c>
      <c r="I46" s="15">
        <v>84</v>
      </c>
      <c r="J46" s="15">
        <v>42</v>
      </c>
      <c r="K46" s="15">
        <v>38</v>
      </c>
      <c r="L46" s="15">
        <v>6</v>
      </c>
      <c r="M46" s="73">
        <v>33.515999999999998</v>
      </c>
      <c r="N46" s="104">
        <v>33.515999999999998</v>
      </c>
      <c r="O46" s="57">
        <v>7000</v>
      </c>
      <c r="P46" s="58">
        <f t="shared" si="0"/>
        <v>234612</v>
      </c>
    </row>
    <row r="47" spans="1:16" ht="22.5" customHeight="1" x14ac:dyDescent="0.2">
      <c r="A47" s="159" t="s">
        <v>30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1"/>
      <c r="M47" s="71">
        <f>SUBTOTAL(109,Table22457891011234567891011121314151617[KG VOLUME])</f>
        <v>855.98925000000008</v>
      </c>
      <c r="N47" s="61">
        <f>SUM(N3:N46)</f>
        <v>888.76425000000006</v>
      </c>
      <c r="O47" s="162">
        <f>SUM(P3:P46)</f>
        <v>6221349.75</v>
      </c>
      <c r="P47" s="163"/>
    </row>
    <row r="48" spans="1:16" ht="18" customHeight="1" x14ac:dyDescent="0.2">
      <c r="A48" s="78"/>
      <c r="B48" s="49" t="s">
        <v>42</v>
      </c>
      <c r="C48" s="48"/>
      <c r="D48" s="50" t="s">
        <v>43</v>
      </c>
      <c r="E48" s="78"/>
      <c r="F48" s="78"/>
      <c r="G48" s="78"/>
      <c r="H48" s="78"/>
      <c r="I48" s="78"/>
      <c r="J48" s="78"/>
      <c r="K48" s="78"/>
      <c r="L48" s="78"/>
      <c r="M48" s="79"/>
      <c r="N48" s="80" t="s">
        <v>52</v>
      </c>
      <c r="O48" s="81"/>
      <c r="P48" s="81">
        <v>0</v>
      </c>
    </row>
    <row r="49" spans="1:16" ht="18" customHeight="1" thickBot="1" x14ac:dyDescent="0.25">
      <c r="A49" s="78"/>
      <c r="B49" s="49"/>
      <c r="C49" s="48"/>
      <c r="D49" s="50"/>
      <c r="E49" s="78"/>
      <c r="F49" s="78"/>
      <c r="G49" s="78"/>
      <c r="H49" s="78"/>
      <c r="I49" s="78"/>
      <c r="J49" s="78"/>
      <c r="K49" s="78"/>
      <c r="L49" s="78"/>
      <c r="M49" s="79"/>
      <c r="N49" s="82" t="s">
        <v>53</v>
      </c>
      <c r="O49" s="83"/>
      <c r="P49" s="83">
        <f>O47-P48</f>
        <v>6221349.75</v>
      </c>
    </row>
    <row r="50" spans="1:16" ht="18" customHeight="1" x14ac:dyDescent="0.2">
      <c r="A50" s="10"/>
      <c r="H50" s="56"/>
      <c r="N50" s="55" t="s">
        <v>31</v>
      </c>
      <c r="P50" s="62">
        <f>P49*1%</f>
        <v>62213.497499999998</v>
      </c>
    </row>
    <row r="51" spans="1:16" ht="18" customHeight="1" thickBot="1" x14ac:dyDescent="0.25">
      <c r="A51" s="10"/>
      <c r="H51" s="56"/>
      <c r="N51" s="55" t="s">
        <v>54</v>
      </c>
      <c r="P51" s="64">
        <f>P49*2%</f>
        <v>124426.995</v>
      </c>
    </row>
    <row r="52" spans="1:16" ht="18" customHeight="1" x14ac:dyDescent="0.2">
      <c r="A52" s="10"/>
      <c r="H52" s="56"/>
      <c r="N52" s="59" t="s">
        <v>32</v>
      </c>
      <c r="O52" s="60"/>
      <c r="P52" s="63">
        <f>P49+P50-P51</f>
        <v>6159136.2524999995</v>
      </c>
    </row>
    <row r="54" spans="1:16" x14ac:dyDescent="0.2">
      <c r="A54" s="10"/>
      <c r="H54" s="56"/>
      <c r="P54" s="64"/>
    </row>
    <row r="55" spans="1:16" x14ac:dyDescent="0.2">
      <c r="A55" s="10"/>
      <c r="H55" s="56"/>
      <c r="O55" s="51"/>
      <c r="P55" s="6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6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6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6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6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6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6"/>
      <c r="N67" s="14"/>
      <c r="O67" s="14"/>
      <c r="P67" s="14"/>
    </row>
  </sheetData>
  <mergeCells count="2">
    <mergeCell ref="A47:L47"/>
    <mergeCell ref="O47:P47"/>
  </mergeCells>
  <conditionalFormatting sqref="C3:C46">
    <cfRule type="duplicateValues" dxfId="1344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27" activePane="bottomRight" state="frozen"/>
      <selection activeCell="H12" sqref="H12"/>
      <selection pane="topRight" activeCell="H12" sqref="H12"/>
      <selection pane="bottomLeft" activeCell="H12" sqref="H12"/>
      <selection pane="bottomRight" activeCell="N33" sqref="N3:N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5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404048</v>
      </c>
      <c r="B3" s="99" t="s">
        <v>870</v>
      </c>
      <c r="C3" s="105" t="s">
        <v>871</v>
      </c>
      <c r="D3" s="102" t="s">
        <v>57</v>
      </c>
      <c r="E3" s="91">
        <v>44537</v>
      </c>
      <c r="F3" s="102" t="s">
        <v>71</v>
      </c>
      <c r="G3" s="91">
        <v>44543</v>
      </c>
      <c r="H3" s="102" t="s">
        <v>903</v>
      </c>
      <c r="I3" s="90">
        <v>98</v>
      </c>
      <c r="J3" s="90">
        <v>60</v>
      </c>
      <c r="K3" s="90">
        <v>38</v>
      </c>
      <c r="L3" s="90">
        <v>34</v>
      </c>
      <c r="M3" s="92">
        <v>55.86</v>
      </c>
      <c r="N3" s="104">
        <v>55.86</v>
      </c>
      <c r="O3" s="57">
        <v>7000</v>
      </c>
      <c r="P3" s="58">
        <f t="shared" ref="P3:P33" si="0">N3*O3</f>
        <v>391020</v>
      </c>
    </row>
    <row r="4" spans="1:16" ht="26.25" customHeight="1" x14ac:dyDescent="0.2">
      <c r="A4" s="100"/>
      <c r="B4" s="100"/>
      <c r="C4" s="65" t="s">
        <v>872</v>
      </c>
      <c r="D4" s="70" t="s">
        <v>57</v>
      </c>
      <c r="E4" s="12">
        <v>44537</v>
      </c>
      <c r="F4" s="68" t="s">
        <v>71</v>
      </c>
      <c r="G4" s="12">
        <v>44543</v>
      </c>
      <c r="H4" s="133" t="s">
        <v>903</v>
      </c>
      <c r="I4" s="15">
        <v>90</v>
      </c>
      <c r="J4" s="15">
        <v>58</v>
      </c>
      <c r="K4" s="15">
        <v>20</v>
      </c>
      <c r="L4" s="15">
        <v>8</v>
      </c>
      <c r="M4" s="126">
        <v>26.1</v>
      </c>
      <c r="N4" s="104">
        <v>26.1</v>
      </c>
      <c r="O4" s="57">
        <v>7000</v>
      </c>
      <c r="P4" s="58">
        <f t="shared" si="0"/>
        <v>182700</v>
      </c>
    </row>
    <row r="5" spans="1:16" ht="26.25" customHeight="1" x14ac:dyDescent="0.2">
      <c r="A5" s="100"/>
      <c r="B5" s="100"/>
      <c r="C5" s="65" t="s">
        <v>873</v>
      </c>
      <c r="D5" s="70" t="s">
        <v>57</v>
      </c>
      <c r="E5" s="12">
        <v>44537</v>
      </c>
      <c r="F5" s="68" t="s">
        <v>71</v>
      </c>
      <c r="G5" s="12">
        <v>44543</v>
      </c>
      <c r="H5" s="133" t="s">
        <v>903</v>
      </c>
      <c r="I5" s="15">
        <v>70</v>
      </c>
      <c r="J5" s="15">
        <v>58</v>
      </c>
      <c r="K5" s="15">
        <v>18</v>
      </c>
      <c r="L5" s="15">
        <v>8</v>
      </c>
      <c r="M5" s="126">
        <v>18.27</v>
      </c>
      <c r="N5" s="104">
        <v>18.27</v>
      </c>
      <c r="O5" s="57">
        <v>7000</v>
      </c>
      <c r="P5" s="58">
        <f t="shared" si="0"/>
        <v>127890</v>
      </c>
    </row>
    <row r="6" spans="1:16" ht="26.25" customHeight="1" x14ac:dyDescent="0.2">
      <c r="A6" s="100"/>
      <c r="B6" s="100"/>
      <c r="C6" s="65" t="s">
        <v>874</v>
      </c>
      <c r="D6" s="70" t="s">
        <v>57</v>
      </c>
      <c r="E6" s="12">
        <v>44537</v>
      </c>
      <c r="F6" s="68" t="s">
        <v>71</v>
      </c>
      <c r="G6" s="12">
        <v>44543</v>
      </c>
      <c r="H6" s="133" t="s">
        <v>903</v>
      </c>
      <c r="I6" s="15">
        <v>35</v>
      </c>
      <c r="J6" s="15">
        <v>50</v>
      </c>
      <c r="K6" s="15">
        <v>20</v>
      </c>
      <c r="L6" s="15">
        <v>3</v>
      </c>
      <c r="M6" s="126">
        <v>8.75</v>
      </c>
      <c r="N6" s="104">
        <v>8.75</v>
      </c>
      <c r="O6" s="57">
        <v>7000</v>
      </c>
      <c r="P6" s="58">
        <f t="shared" si="0"/>
        <v>61250</v>
      </c>
    </row>
    <row r="7" spans="1:16" ht="26.25" customHeight="1" x14ac:dyDescent="0.2">
      <c r="A7" s="100"/>
      <c r="B7" s="100"/>
      <c r="C7" s="65" t="s">
        <v>875</v>
      </c>
      <c r="D7" s="70" t="s">
        <v>57</v>
      </c>
      <c r="E7" s="12">
        <v>44537</v>
      </c>
      <c r="F7" s="68" t="s">
        <v>71</v>
      </c>
      <c r="G7" s="12">
        <v>44543</v>
      </c>
      <c r="H7" s="133" t="s">
        <v>903</v>
      </c>
      <c r="I7" s="15">
        <v>45</v>
      </c>
      <c r="J7" s="15">
        <v>33</v>
      </c>
      <c r="K7" s="15">
        <v>20</v>
      </c>
      <c r="L7" s="15">
        <v>2</v>
      </c>
      <c r="M7" s="126">
        <v>7.4249999999999998</v>
      </c>
      <c r="N7" s="104">
        <v>8</v>
      </c>
      <c r="O7" s="57">
        <v>7000</v>
      </c>
      <c r="P7" s="58">
        <f t="shared" si="0"/>
        <v>56000</v>
      </c>
    </row>
    <row r="8" spans="1:16" ht="26.25" customHeight="1" x14ac:dyDescent="0.2">
      <c r="A8" s="100"/>
      <c r="B8" s="100"/>
      <c r="C8" s="65" t="s">
        <v>876</v>
      </c>
      <c r="D8" s="70" t="s">
        <v>57</v>
      </c>
      <c r="E8" s="12">
        <v>44537</v>
      </c>
      <c r="F8" s="68" t="s">
        <v>71</v>
      </c>
      <c r="G8" s="12">
        <v>44543</v>
      </c>
      <c r="H8" s="133" t="s">
        <v>903</v>
      </c>
      <c r="I8" s="15">
        <v>80</v>
      </c>
      <c r="J8" s="15">
        <v>60</v>
      </c>
      <c r="K8" s="15">
        <v>20</v>
      </c>
      <c r="L8" s="15">
        <v>5</v>
      </c>
      <c r="M8" s="126">
        <v>24</v>
      </c>
      <c r="N8" s="104">
        <v>24</v>
      </c>
      <c r="O8" s="57">
        <v>7000</v>
      </c>
      <c r="P8" s="58">
        <f t="shared" si="0"/>
        <v>168000</v>
      </c>
    </row>
    <row r="9" spans="1:16" ht="26.25" customHeight="1" x14ac:dyDescent="0.2">
      <c r="A9" s="100"/>
      <c r="B9" s="100"/>
      <c r="C9" s="65" t="s">
        <v>877</v>
      </c>
      <c r="D9" s="70" t="s">
        <v>57</v>
      </c>
      <c r="E9" s="12">
        <v>44537</v>
      </c>
      <c r="F9" s="68" t="s">
        <v>71</v>
      </c>
      <c r="G9" s="12">
        <v>44543</v>
      </c>
      <c r="H9" s="133" t="s">
        <v>903</v>
      </c>
      <c r="I9" s="15">
        <v>18</v>
      </c>
      <c r="J9" s="15">
        <v>15</v>
      </c>
      <c r="K9" s="15">
        <v>74</v>
      </c>
      <c r="L9" s="15">
        <v>1</v>
      </c>
      <c r="M9" s="126">
        <v>4.9950000000000001</v>
      </c>
      <c r="N9" s="104">
        <v>4.9950000000000001</v>
      </c>
      <c r="O9" s="57">
        <v>7000</v>
      </c>
      <c r="P9" s="58">
        <f t="shared" si="0"/>
        <v>34965</v>
      </c>
    </row>
    <row r="10" spans="1:16" ht="26.25" customHeight="1" x14ac:dyDescent="0.2">
      <c r="A10" s="100"/>
      <c r="B10" s="100"/>
      <c r="C10" s="65" t="s">
        <v>878</v>
      </c>
      <c r="D10" s="70" t="s">
        <v>57</v>
      </c>
      <c r="E10" s="12">
        <v>44537</v>
      </c>
      <c r="F10" s="68" t="s">
        <v>71</v>
      </c>
      <c r="G10" s="12">
        <v>44543</v>
      </c>
      <c r="H10" s="133" t="s">
        <v>903</v>
      </c>
      <c r="I10" s="15">
        <v>105</v>
      </c>
      <c r="J10" s="15">
        <v>68</v>
      </c>
      <c r="K10" s="15">
        <v>23</v>
      </c>
      <c r="L10" s="15">
        <v>35</v>
      </c>
      <c r="M10" s="126">
        <v>41.055</v>
      </c>
      <c r="N10" s="104">
        <v>41.055</v>
      </c>
      <c r="O10" s="57">
        <v>7000</v>
      </c>
      <c r="P10" s="58">
        <f t="shared" si="0"/>
        <v>287385</v>
      </c>
    </row>
    <row r="11" spans="1:16" ht="26.25" customHeight="1" x14ac:dyDescent="0.2">
      <c r="A11" s="100"/>
      <c r="B11" s="100"/>
      <c r="C11" s="65" t="s">
        <v>879</v>
      </c>
      <c r="D11" s="70" t="s">
        <v>57</v>
      </c>
      <c r="E11" s="12">
        <v>44537</v>
      </c>
      <c r="F11" s="68" t="s">
        <v>71</v>
      </c>
      <c r="G11" s="12">
        <v>44543</v>
      </c>
      <c r="H11" s="133" t="s">
        <v>903</v>
      </c>
      <c r="I11" s="15">
        <v>90</v>
      </c>
      <c r="J11" s="15">
        <v>60</v>
      </c>
      <c r="K11" s="15">
        <v>32</v>
      </c>
      <c r="L11" s="15">
        <v>18</v>
      </c>
      <c r="M11" s="126">
        <v>43.2</v>
      </c>
      <c r="N11" s="104">
        <v>43.2</v>
      </c>
      <c r="O11" s="57">
        <v>7000</v>
      </c>
      <c r="P11" s="58">
        <f t="shared" si="0"/>
        <v>302400</v>
      </c>
    </row>
    <row r="12" spans="1:16" ht="26.25" customHeight="1" x14ac:dyDescent="0.2">
      <c r="A12" s="100"/>
      <c r="B12" s="100"/>
      <c r="C12" s="65" t="s">
        <v>880</v>
      </c>
      <c r="D12" s="70" t="s">
        <v>57</v>
      </c>
      <c r="E12" s="12">
        <v>44537</v>
      </c>
      <c r="F12" s="68" t="s">
        <v>71</v>
      </c>
      <c r="G12" s="12">
        <v>44543</v>
      </c>
      <c r="H12" s="133" t="s">
        <v>903</v>
      </c>
      <c r="I12" s="15">
        <v>48</v>
      </c>
      <c r="J12" s="15">
        <v>48</v>
      </c>
      <c r="K12" s="15">
        <v>18</v>
      </c>
      <c r="L12" s="15">
        <v>7</v>
      </c>
      <c r="M12" s="126">
        <v>10.368</v>
      </c>
      <c r="N12" s="104">
        <v>11</v>
      </c>
      <c r="O12" s="57">
        <v>7000</v>
      </c>
      <c r="P12" s="58">
        <f t="shared" si="0"/>
        <v>77000</v>
      </c>
    </row>
    <row r="13" spans="1:16" ht="26.25" customHeight="1" x14ac:dyDescent="0.2">
      <c r="A13" s="100"/>
      <c r="B13" s="100"/>
      <c r="C13" s="65" t="s">
        <v>881</v>
      </c>
      <c r="D13" s="70" t="s">
        <v>57</v>
      </c>
      <c r="E13" s="12">
        <v>44537</v>
      </c>
      <c r="F13" s="68" t="s">
        <v>71</v>
      </c>
      <c r="G13" s="12">
        <v>44543</v>
      </c>
      <c r="H13" s="133" t="s">
        <v>903</v>
      </c>
      <c r="I13" s="15">
        <v>65</v>
      </c>
      <c r="J13" s="15">
        <v>48</v>
      </c>
      <c r="K13" s="15">
        <v>18</v>
      </c>
      <c r="L13" s="15">
        <v>4</v>
      </c>
      <c r="M13" s="126">
        <v>14.04</v>
      </c>
      <c r="N13" s="104">
        <v>14.04</v>
      </c>
      <c r="O13" s="57">
        <v>7000</v>
      </c>
      <c r="P13" s="58">
        <f t="shared" si="0"/>
        <v>98280</v>
      </c>
    </row>
    <row r="14" spans="1:16" ht="26.25" customHeight="1" x14ac:dyDescent="0.2">
      <c r="A14" s="100"/>
      <c r="B14" s="100"/>
      <c r="C14" s="65" t="s">
        <v>882</v>
      </c>
      <c r="D14" s="70" t="s">
        <v>57</v>
      </c>
      <c r="E14" s="12">
        <v>44537</v>
      </c>
      <c r="F14" s="68" t="s">
        <v>71</v>
      </c>
      <c r="G14" s="12">
        <v>44543</v>
      </c>
      <c r="H14" s="133" t="s">
        <v>903</v>
      </c>
      <c r="I14" s="15">
        <v>55</v>
      </c>
      <c r="J14" s="15">
        <v>33</v>
      </c>
      <c r="K14" s="15">
        <v>20</v>
      </c>
      <c r="L14" s="15">
        <v>4</v>
      </c>
      <c r="M14" s="126">
        <v>9.0749999999999993</v>
      </c>
      <c r="N14" s="104">
        <v>9.0749999999999993</v>
      </c>
      <c r="O14" s="57">
        <v>7000</v>
      </c>
      <c r="P14" s="58">
        <f t="shared" si="0"/>
        <v>63524.999999999993</v>
      </c>
    </row>
    <row r="15" spans="1:16" ht="26.25" customHeight="1" x14ac:dyDescent="0.2">
      <c r="A15" s="100"/>
      <c r="B15" s="100"/>
      <c r="C15" s="65" t="s">
        <v>883</v>
      </c>
      <c r="D15" s="70" t="s">
        <v>57</v>
      </c>
      <c r="E15" s="12">
        <v>44537</v>
      </c>
      <c r="F15" s="68" t="s">
        <v>71</v>
      </c>
      <c r="G15" s="12">
        <v>44543</v>
      </c>
      <c r="H15" s="133" t="s">
        <v>903</v>
      </c>
      <c r="I15" s="15">
        <v>27</v>
      </c>
      <c r="J15" s="15">
        <v>8</v>
      </c>
      <c r="K15" s="15">
        <v>10</v>
      </c>
      <c r="L15" s="15">
        <v>1</v>
      </c>
      <c r="M15" s="126">
        <v>0.54</v>
      </c>
      <c r="N15" s="104">
        <v>1</v>
      </c>
      <c r="O15" s="57">
        <v>7000</v>
      </c>
      <c r="P15" s="58">
        <f t="shared" si="0"/>
        <v>7000</v>
      </c>
    </row>
    <row r="16" spans="1:16" ht="26.25" customHeight="1" x14ac:dyDescent="0.2">
      <c r="A16" s="100"/>
      <c r="B16" s="100"/>
      <c r="C16" s="65" t="s">
        <v>884</v>
      </c>
      <c r="D16" s="70" t="s">
        <v>57</v>
      </c>
      <c r="E16" s="12">
        <v>44537</v>
      </c>
      <c r="F16" s="68" t="s">
        <v>71</v>
      </c>
      <c r="G16" s="12">
        <v>44543</v>
      </c>
      <c r="H16" s="133" t="s">
        <v>903</v>
      </c>
      <c r="I16" s="15">
        <v>100</v>
      </c>
      <c r="J16" s="15">
        <v>44</v>
      </c>
      <c r="K16" s="15">
        <v>12</v>
      </c>
      <c r="L16" s="15">
        <v>4</v>
      </c>
      <c r="M16" s="126">
        <v>13.2</v>
      </c>
      <c r="N16" s="104">
        <v>13.2</v>
      </c>
      <c r="O16" s="57">
        <v>7000</v>
      </c>
      <c r="P16" s="58">
        <f t="shared" si="0"/>
        <v>92400</v>
      </c>
    </row>
    <row r="17" spans="1:16" ht="26.25" customHeight="1" x14ac:dyDescent="0.2">
      <c r="A17" s="100"/>
      <c r="B17" s="100"/>
      <c r="C17" s="65" t="s">
        <v>885</v>
      </c>
      <c r="D17" s="70" t="s">
        <v>57</v>
      </c>
      <c r="E17" s="12">
        <v>44537</v>
      </c>
      <c r="F17" s="68" t="s">
        <v>71</v>
      </c>
      <c r="G17" s="12">
        <v>44543</v>
      </c>
      <c r="H17" s="133" t="s">
        <v>903</v>
      </c>
      <c r="I17" s="15">
        <v>75</v>
      </c>
      <c r="J17" s="15">
        <v>60</v>
      </c>
      <c r="K17" s="15">
        <v>32</v>
      </c>
      <c r="L17" s="15">
        <v>10</v>
      </c>
      <c r="M17" s="126">
        <v>36</v>
      </c>
      <c r="N17" s="104">
        <v>36</v>
      </c>
      <c r="O17" s="57">
        <v>7000</v>
      </c>
      <c r="P17" s="58">
        <f t="shared" si="0"/>
        <v>252000</v>
      </c>
    </row>
    <row r="18" spans="1:16" ht="26.25" customHeight="1" x14ac:dyDescent="0.2">
      <c r="A18" s="100"/>
      <c r="B18" s="100"/>
      <c r="C18" s="65" t="s">
        <v>886</v>
      </c>
      <c r="D18" s="70" t="s">
        <v>57</v>
      </c>
      <c r="E18" s="12">
        <v>44537</v>
      </c>
      <c r="F18" s="68" t="s">
        <v>71</v>
      </c>
      <c r="G18" s="12">
        <v>44543</v>
      </c>
      <c r="H18" s="133" t="s">
        <v>903</v>
      </c>
      <c r="I18" s="15">
        <v>90</v>
      </c>
      <c r="J18" s="15">
        <v>35</v>
      </c>
      <c r="K18" s="15">
        <v>28</v>
      </c>
      <c r="L18" s="15">
        <v>6</v>
      </c>
      <c r="M18" s="126">
        <v>22.05</v>
      </c>
      <c r="N18" s="104">
        <v>22.05</v>
      </c>
      <c r="O18" s="57">
        <v>7000</v>
      </c>
      <c r="P18" s="58">
        <f t="shared" si="0"/>
        <v>154350</v>
      </c>
    </row>
    <row r="19" spans="1:16" ht="26.25" customHeight="1" x14ac:dyDescent="0.2">
      <c r="A19" s="100"/>
      <c r="B19" s="100"/>
      <c r="C19" s="65" t="s">
        <v>887</v>
      </c>
      <c r="D19" s="70" t="s">
        <v>57</v>
      </c>
      <c r="E19" s="12">
        <v>44537</v>
      </c>
      <c r="F19" s="68" t="s">
        <v>71</v>
      </c>
      <c r="G19" s="12">
        <v>44543</v>
      </c>
      <c r="H19" s="133" t="s">
        <v>903</v>
      </c>
      <c r="I19" s="15">
        <v>28</v>
      </c>
      <c r="J19" s="15">
        <v>24</v>
      </c>
      <c r="K19" s="15">
        <v>7</v>
      </c>
      <c r="L19" s="15">
        <v>1</v>
      </c>
      <c r="M19" s="126">
        <v>1.1759999999999999</v>
      </c>
      <c r="N19" s="104">
        <v>1.1759999999999999</v>
      </c>
      <c r="O19" s="57">
        <v>7000</v>
      </c>
      <c r="P19" s="58">
        <f t="shared" si="0"/>
        <v>8232</v>
      </c>
    </row>
    <row r="20" spans="1:16" ht="26.25" customHeight="1" x14ac:dyDescent="0.2">
      <c r="A20" s="100"/>
      <c r="B20" s="100"/>
      <c r="C20" s="65" t="s">
        <v>888</v>
      </c>
      <c r="D20" s="70" t="s">
        <v>57</v>
      </c>
      <c r="E20" s="12">
        <v>44537</v>
      </c>
      <c r="F20" s="68" t="s">
        <v>71</v>
      </c>
      <c r="G20" s="12">
        <v>44543</v>
      </c>
      <c r="H20" s="133" t="s">
        <v>903</v>
      </c>
      <c r="I20" s="15">
        <v>68</v>
      </c>
      <c r="J20" s="15">
        <v>54</v>
      </c>
      <c r="K20" s="15">
        <v>28</v>
      </c>
      <c r="L20" s="15">
        <v>9</v>
      </c>
      <c r="M20" s="126">
        <v>25.704000000000001</v>
      </c>
      <c r="N20" s="104">
        <v>25.704000000000001</v>
      </c>
      <c r="O20" s="57">
        <v>7000</v>
      </c>
      <c r="P20" s="58">
        <f t="shared" si="0"/>
        <v>179928</v>
      </c>
    </row>
    <row r="21" spans="1:16" ht="26.25" customHeight="1" x14ac:dyDescent="0.2">
      <c r="A21" s="100"/>
      <c r="B21" s="100"/>
      <c r="C21" s="65" t="s">
        <v>889</v>
      </c>
      <c r="D21" s="70" t="s">
        <v>57</v>
      </c>
      <c r="E21" s="12">
        <v>44537</v>
      </c>
      <c r="F21" s="68" t="s">
        <v>71</v>
      </c>
      <c r="G21" s="12">
        <v>44543</v>
      </c>
      <c r="H21" s="133" t="s">
        <v>903</v>
      </c>
      <c r="I21" s="15">
        <v>100</v>
      </c>
      <c r="J21" s="15">
        <v>60</v>
      </c>
      <c r="K21" s="15">
        <v>30</v>
      </c>
      <c r="L21" s="15">
        <v>13</v>
      </c>
      <c r="M21" s="126">
        <v>45</v>
      </c>
      <c r="N21" s="104">
        <v>45</v>
      </c>
      <c r="O21" s="57">
        <v>7000</v>
      </c>
      <c r="P21" s="58">
        <f t="shared" si="0"/>
        <v>315000</v>
      </c>
    </row>
    <row r="22" spans="1:16" ht="26.25" customHeight="1" x14ac:dyDescent="0.2">
      <c r="A22" s="100"/>
      <c r="B22" s="100"/>
      <c r="C22" s="65" t="s">
        <v>890</v>
      </c>
      <c r="D22" s="70" t="s">
        <v>57</v>
      </c>
      <c r="E22" s="12">
        <v>44537</v>
      </c>
      <c r="F22" s="68" t="s">
        <v>71</v>
      </c>
      <c r="G22" s="12">
        <v>44543</v>
      </c>
      <c r="H22" s="133" t="s">
        <v>903</v>
      </c>
      <c r="I22" s="15">
        <v>27</v>
      </c>
      <c r="J22" s="15">
        <v>48</v>
      </c>
      <c r="K22" s="15">
        <v>7</v>
      </c>
      <c r="L22" s="15">
        <v>3</v>
      </c>
      <c r="M22" s="126">
        <v>2.2679999999999998</v>
      </c>
      <c r="N22" s="104">
        <v>3</v>
      </c>
      <c r="O22" s="57">
        <v>7000</v>
      </c>
      <c r="P22" s="58">
        <f t="shared" si="0"/>
        <v>21000</v>
      </c>
    </row>
    <row r="23" spans="1:16" ht="26.25" customHeight="1" x14ac:dyDescent="0.2">
      <c r="A23" s="100"/>
      <c r="B23" s="100"/>
      <c r="C23" s="65" t="s">
        <v>891</v>
      </c>
      <c r="D23" s="70" t="s">
        <v>57</v>
      </c>
      <c r="E23" s="12">
        <v>44537</v>
      </c>
      <c r="F23" s="68" t="s">
        <v>71</v>
      </c>
      <c r="G23" s="12">
        <v>44543</v>
      </c>
      <c r="H23" s="133" t="s">
        <v>903</v>
      </c>
      <c r="I23" s="15">
        <v>47</v>
      </c>
      <c r="J23" s="15">
        <v>30</v>
      </c>
      <c r="K23" s="15">
        <v>35</v>
      </c>
      <c r="L23" s="15">
        <v>11</v>
      </c>
      <c r="M23" s="126">
        <v>12.3375</v>
      </c>
      <c r="N23" s="104">
        <v>13</v>
      </c>
      <c r="O23" s="57">
        <v>7000</v>
      </c>
      <c r="P23" s="58">
        <f t="shared" si="0"/>
        <v>91000</v>
      </c>
    </row>
    <row r="24" spans="1:16" ht="26.25" customHeight="1" x14ac:dyDescent="0.2">
      <c r="A24" s="100"/>
      <c r="B24" s="100"/>
      <c r="C24" s="65" t="s">
        <v>892</v>
      </c>
      <c r="D24" s="70" t="s">
        <v>57</v>
      </c>
      <c r="E24" s="12">
        <v>44537</v>
      </c>
      <c r="F24" s="68" t="s">
        <v>71</v>
      </c>
      <c r="G24" s="12">
        <v>44543</v>
      </c>
      <c r="H24" s="133" t="s">
        <v>903</v>
      </c>
      <c r="I24" s="15">
        <v>42</v>
      </c>
      <c r="J24" s="15">
        <v>34</v>
      </c>
      <c r="K24" s="15">
        <v>37</v>
      </c>
      <c r="L24" s="15">
        <v>11</v>
      </c>
      <c r="M24" s="126">
        <v>13.209</v>
      </c>
      <c r="N24" s="104">
        <v>13.209</v>
      </c>
      <c r="O24" s="57">
        <v>7000</v>
      </c>
      <c r="P24" s="58">
        <f t="shared" si="0"/>
        <v>92463</v>
      </c>
    </row>
    <row r="25" spans="1:16" ht="26.25" customHeight="1" x14ac:dyDescent="0.2">
      <c r="A25" s="100"/>
      <c r="B25" s="100"/>
      <c r="C25" s="65" t="s">
        <v>893</v>
      </c>
      <c r="D25" s="70" t="s">
        <v>57</v>
      </c>
      <c r="E25" s="12">
        <v>44537</v>
      </c>
      <c r="F25" s="68" t="s">
        <v>71</v>
      </c>
      <c r="G25" s="12">
        <v>44543</v>
      </c>
      <c r="H25" s="133" t="s">
        <v>903</v>
      </c>
      <c r="I25" s="15">
        <v>80</v>
      </c>
      <c r="J25" s="15">
        <v>45</v>
      </c>
      <c r="K25" s="15">
        <v>40</v>
      </c>
      <c r="L25" s="15">
        <v>8</v>
      </c>
      <c r="M25" s="126">
        <v>36</v>
      </c>
      <c r="N25" s="104">
        <v>36</v>
      </c>
      <c r="O25" s="57">
        <v>7000</v>
      </c>
      <c r="P25" s="58">
        <f t="shared" si="0"/>
        <v>252000</v>
      </c>
    </row>
    <row r="26" spans="1:16" ht="26.25" customHeight="1" x14ac:dyDescent="0.2">
      <c r="A26" s="100"/>
      <c r="B26" s="100"/>
      <c r="C26" s="65" t="s">
        <v>894</v>
      </c>
      <c r="D26" s="70" t="s">
        <v>57</v>
      </c>
      <c r="E26" s="12">
        <v>44537</v>
      </c>
      <c r="F26" s="68" t="s">
        <v>71</v>
      </c>
      <c r="G26" s="12">
        <v>44543</v>
      </c>
      <c r="H26" s="133" t="s">
        <v>903</v>
      </c>
      <c r="I26" s="15">
        <v>10</v>
      </c>
      <c r="J26" s="15">
        <v>58</v>
      </c>
      <c r="K26" s="15">
        <v>18</v>
      </c>
      <c r="L26" s="15">
        <v>7</v>
      </c>
      <c r="M26" s="126">
        <v>2.61</v>
      </c>
      <c r="N26" s="104">
        <v>7</v>
      </c>
      <c r="O26" s="57">
        <v>7000</v>
      </c>
      <c r="P26" s="58">
        <f t="shared" si="0"/>
        <v>49000</v>
      </c>
    </row>
    <row r="27" spans="1:16" ht="26.25" customHeight="1" x14ac:dyDescent="0.2">
      <c r="A27" s="100"/>
      <c r="B27" s="100"/>
      <c r="C27" s="65" t="s">
        <v>895</v>
      </c>
      <c r="D27" s="70" t="s">
        <v>57</v>
      </c>
      <c r="E27" s="12">
        <v>44537</v>
      </c>
      <c r="F27" s="68" t="s">
        <v>71</v>
      </c>
      <c r="G27" s="12">
        <v>44543</v>
      </c>
      <c r="H27" s="133" t="s">
        <v>903</v>
      </c>
      <c r="I27" s="15">
        <v>38</v>
      </c>
      <c r="J27" s="15">
        <v>10</v>
      </c>
      <c r="K27" s="15">
        <v>24</v>
      </c>
      <c r="L27" s="15">
        <v>3</v>
      </c>
      <c r="M27" s="126">
        <v>2.2799999999999998</v>
      </c>
      <c r="N27" s="104">
        <v>3</v>
      </c>
      <c r="O27" s="57">
        <v>7000</v>
      </c>
      <c r="P27" s="58">
        <f t="shared" si="0"/>
        <v>21000</v>
      </c>
    </row>
    <row r="28" spans="1:16" ht="26.25" customHeight="1" x14ac:dyDescent="0.2">
      <c r="A28" s="100"/>
      <c r="B28" s="100"/>
      <c r="C28" s="65" t="s">
        <v>896</v>
      </c>
      <c r="D28" s="70" t="s">
        <v>57</v>
      </c>
      <c r="E28" s="12">
        <v>44537</v>
      </c>
      <c r="F28" s="68" t="s">
        <v>71</v>
      </c>
      <c r="G28" s="12">
        <v>44543</v>
      </c>
      <c r="H28" s="133" t="s">
        <v>903</v>
      </c>
      <c r="I28" s="15">
        <v>112</v>
      </c>
      <c r="J28" s="15">
        <v>56</v>
      </c>
      <c r="K28" s="15">
        <v>10</v>
      </c>
      <c r="L28" s="15">
        <v>12</v>
      </c>
      <c r="M28" s="126">
        <v>15.68</v>
      </c>
      <c r="N28" s="104">
        <v>15.68</v>
      </c>
      <c r="O28" s="57">
        <v>7000</v>
      </c>
      <c r="P28" s="58">
        <f t="shared" si="0"/>
        <v>109760</v>
      </c>
    </row>
    <row r="29" spans="1:16" ht="26.25" customHeight="1" x14ac:dyDescent="0.2">
      <c r="A29" s="100"/>
      <c r="B29" s="100"/>
      <c r="C29" s="65" t="s">
        <v>897</v>
      </c>
      <c r="D29" s="70" t="s">
        <v>57</v>
      </c>
      <c r="E29" s="12">
        <v>44537</v>
      </c>
      <c r="F29" s="68" t="s">
        <v>71</v>
      </c>
      <c r="G29" s="12">
        <v>44543</v>
      </c>
      <c r="H29" s="133" t="s">
        <v>903</v>
      </c>
      <c r="I29" s="15">
        <v>30</v>
      </c>
      <c r="J29" s="15">
        <v>15</v>
      </c>
      <c r="K29" s="15">
        <v>13</v>
      </c>
      <c r="L29" s="15">
        <v>1</v>
      </c>
      <c r="M29" s="126">
        <v>1.4624999999999999</v>
      </c>
      <c r="N29" s="104">
        <v>2</v>
      </c>
      <c r="O29" s="57">
        <v>7000</v>
      </c>
      <c r="P29" s="58">
        <f t="shared" si="0"/>
        <v>14000</v>
      </c>
    </row>
    <row r="30" spans="1:16" ht="26.25" customHeight="1" x14ac:dyDescent="0.2">
      <c r="A30" s="100"/>
      <c r="B30" s="100"/>
      <c r="C30" s="65" t="s">
        <v>898</v>
      </c>
      <c r="D30" s="70" t="s">
        <v>57</v>
      </c>
      <c r="E30" s="12">
        <v>44537</v>
      </c>
      <c r="F30" s="68" t="s">
        <v>71</v>
      </c>
      <c r="G30" s="12">
        <v>44543</v>
      </c>
      <c r="H30" s="133" t="s">
        <v>903</v>
      </c>
      <c r="I30" s="15">
        <v>40</v>
      </c>
      <c r="J30" s="15">
        <v>30</v>
      </c>
      <c r="K30" s="15">
        <v>28</v>
      </c>
      <c r="L30" s="15">
        <v>7</v>
      </c>
      <c r="M30" s="126">
        <v>8.4</v>
      </c>
      <c r="N30" s="104">
        <v>9</v>
      </c>
      <c r="O30" s="57">
        <v>7000</v>
      </c>
      <c r="P30" s="58">
        <f t="shared" si="0"/>
        <v>63000</v>
      </c>
    </row>
    <row r="31" spans="1:16" ht="26.25" customHeight="1" x14ac:dyDescent="0.2">
      <c r="A31" s="100"/>
      <c r="B31" s="100"/>
      <c r="C31" s="65" t="s">
        <v>899</v>
      </c>
      <c r="D31" s="70" t="s">
        <v>57</v>
      </c>
      <c r="E31" s="12">
        <v>44537</v>
      </c>
      <c r="F31" s="68" t="s">
        <v>71</v>
      </c>
      <c r="G31" s="12">
        <v>44543</v>
      </c>
      <c r="H31" s="133" t="s">
        <v>903</v>
      </c>
      <c r="I31" s="15">
        <v>58</v>
      </c>
      <c r="J31" s="15">
        <v>37</v>
      </c>
      <c r="K31" s="15">
        <v>60</v>
      </c>
      <c r="L31" s="15">
        <v>22</v>
      </c>
      <c r="M31" s="126">
        <v>32.19</v>
      </c>
      <c r="N31" s="104">
        <v>32.19</v>
      </c>
      <c r="O31" s="57">
        <v>7000</v>
      </c>
      <c r="P31" s="58">
        <f t="shared" si="0"/>
        <v>225329.99999999997</v>
      </c>
    </row>
    <row r="32" spans="1:16" ht="26.25" customHeight="1" x14ac:dyDescent="0.2">
      <c r="A32" s="100"/>
      <c r="B32" s="101"/>
      <c r="C32" s="65" t="s">
        <v>900</v>
      </c>
      <c r="D32" s="70" t="s">
        <v>57</v>
      </c>
      <c r="E32" s="12">
        <v>44537</v>
      </c>
      <c r="F32" s="68" t="s">
        <v>71</v>
      </c>
      <c r="G32" s="12">
        <v>44543</v>
      </c>
      <c r="H32" s="133" t="s">
        <v>903</v>
      </c>
      <c r="I32" s="15">
        <v>48</v>
      </c>
      <c r="J32" s="15">
        <v>38</v>
      </c>
      <c r="K32" s="15">
        <v>28</v>
      </c>
      <c r="L32" s="15">
        <v>11</v>
      </c>
      <c r="M32" s="126">
        <v>12.768000000000001</v>
      </c>
      <c r="N32" s="104">
        <v>12.768000000000001</v>
      </c>
      <c r="O32" s="57">
        <v>7000</v>
      </c>
      <c r="P32" s="58">
        <f t="shared" si="0"/>
        <v>89376</v>
      </c>
    </row>
    <row r="33" spans="1:16" ht="26.25" customHeight="1" x14ac:dyDescent="0.2">
      <c r="A33" s="100"/>
      <c r="B33" s="100" t="s">
        <v>901</v>
      </c>
      <c r="C33" s="65" t="s">
        <v>902</v>
      </c>
      <c r="D33" s="70" t="s">
        <v>57</v>
      </c>
      <c r="E33" s="12">
        <v>44537</v>
      </c>
      <c r="F33" s="68" t="s">
        <v>71</v>
      </c>
      <c r="G33" s="12">
        <v>44543</v>
      </c>
      <c r="H33" s="133" t="s">
        <v>903</v>
      </c>
      <c r="I33" s="15">
        <v>50</v>
      </c>
      <c r="J33" s="15">
        <v>36</v>
      </c>
      <c r="K33" s="15">
        <v>15</v>
      </c>
      <c r="L33" s="15">
        <v>2</v>
      </c>
      <c r="M33" s="126">
        <v>6.75</v>
      </c>
      <c r="N33" s="104">
        <v>6.75</v>
      </c>
      <c r="O33" s="57">
        <v>7000</v>
      </c>
      <c r="P33" s="58">
        <f t="shared" si="0"/>
        <v>47250</v>
      </c>
    </row>
    <row r="34" spans="1:16" ht="22.5" customHeight="1" x14ac:dyDescent="0.2">
      <c r="A34" s="159" t="s">
        <v>30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1"/>
      <c r="M34" s="71">
        <f>SUBTOTAL(109,Table2245789101123456789101112131415161718[KG VOLUME])</f>
        <v>552.76299999999992</v>
      </c>
      <c r="N34" s="61">
        <f>SUM(N3:N33)</f>
        <v>562.07200000000012</v>
      </c>
      <c r="O34" s="162">
        <f>SUM(P3:P33)</f>
        <v>3934504</v>
      </c>
      <c r="P34" s="163"/>
    </row>
    <row r="35" spans="1:16" ht="18" customHeight="1" x14ac:dyDescent="0.2">
      <c r="A35" s="78"/>
      <c r="B35" s="49" t="s">
        <v>42</v>
      </c>
      <c r="C35" s="48"/>
      <c r="D35" s="50" t="s">
        <v>43</v>
      </c>
      <c r="E35" s="78"/>
      <c r="F35" s="78"/>
      <c r="G35" s="78"/>
      <c r="H35" s="78"/>
      <c r="I35" s="78"/>
      <c r="J35" s="78"/>
      <c r="K35" s="78"/>
      <c r="L35" s="78"/>
      <c r="M35" s="79"/>
      <c r="N35" s="80" t="s">
        <v>52</v>
      </c>
      <c r="O35" s="81"/>
      <c r="P35" s="81">
        <v>0</v>
      </c>
    </row>
    <row r="36" spans="1:16" ht="18" customHeight="1" thickBot="1" x14ac:dyDescent="0.25">
      <c r="A36" s="78"/>
      <c r="B36" s="49"/>
      <c r="C36" s="48"/>
      <c r="D36" s="50"/>
      <c r="E36" s="78"/>
      <c r="F36" s="78"/>
      <c r="G36" s="78"/>
      <c r="H36" s="78"/>
      <c r="I36" s="78"/>
      <c r="J36" s="78"/>
      <c r="K36" s="78"/>
      <c r="L36" s="78"/>
      <c r="M36" s="79"/>
      <c r="N36" s="82" t="s">
        <v>53</v>
      </c>
      <c r="O36" s="83"/>
      <c r="P36" s="83">
        <f>O34-P35</f>
        <v>3934504</v>
      </c>
    </row>
    <row r="37" spans="1:16" ht="18" customHeight="1" x14ac:dyDescent="0.2">
      <c r="A37" s="10"/>
      <c r="H37" s="56"/>
      <c r="N37" s="55" t="s">
        <v>31</v>
      </c>
      <c r="P37" s="62">
        <f>P36*1%</f>
        <v>39345.040000000001</v>
      </c>
    </row>
    <row r="38" spans="1:16" ht="18" customHeight="1" thickBot="1" x14ac:dyDescent="0.25">
      <c r="A38" s="10"/>
      <c r="H38" s="56"/>
      <c r="N38" s="55" t="s">
        <v>54</v>
      </c>
      <c r="P38" s="64">
        <f>P36*2%</f>
        <v>78690.080000000002</v>
      </c>
    </row>
    <row r="39" spans="1:16" ht="18" customHeight="1" x14ac:dyDescent="0.2">
      <c r="A39" s="10"/>
      <c r="H39" s="56"/>
      <c r="N39" s="59" t="s">
        <v>32</v>
      </c>
      <c r="O39" s="60"/>
      <c r="P39" s="63">
        <f>P36+P37-P38</f>
        <v>3895158.96</v>
      </c>
    </row>
    <row r="41" spans="1:16" x14ac:dyDescent="0.2">
      <c r="A41" s="10"/>
      <c r="H41" s="56"/>
      <c r="P41" s="64"/>
    </row>
    <row r="42" spans="1:16" x14ac:dyDescent="0.2">
      <c r="A42" s="10"/>
      <c r="H42" s="56"/>
      <c r="O42" s="51"/>
      <c r="P42" s="6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</sheetData>
  <mergeCells count="2">
    <mergeCell ref="A34:L34"/>
    <mergeCell ref="O34:P34"/>
  </mergeCells>
  <conditionalFormatting sqref="B3:B33">
    <cfRule type="duplicateValues" dxfId="1328" priority="36"/>
  </conditionalFormatting>
  <conditionalFormatting sqref="C3:C33">
    <cfRule type="duplicateValues" dxfId="1327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1"/>
  <sheetViews>
    <sheetView zoomScale="110" zoomScaleNormal="110" workbookViewId="0">
      <pane xSplit="3" ySplit="2" topLeftCell="D95" activePane="bottomRight" state="frozen"/>
      <selection activeCell="H12" sqref="H12"/>
      <selection pane="topRight" activeCell="H12" sqref="H12"/>
      <selection pane="bottomLeft" activeCell="H12" sqref="H12"/>
      <selection pane="bottomRight" activeCell="G105" sqref="G105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4.75" customHeight="1" x14ac:dyDescent="0.2">
      <c r="A3" s="99">
        <v>405830</v>
      </c>
      <c r="B3" s="99" t="s">
        <v>904</v>
      </c>
      <c r="C3" s="107" t="s">
        <v>905</v>
      </c>
      <c r="D3" s="102" t="s">
        <v>57</v>
      </c>
      <c r="E3" s="91">
        <v>44537</v>
      </c>
      <c r="F3" s="102" t="s">
        <v>71</v>
      </c>
      <c r="G3" s="91">
        <v>44543</v>
      </c>
      <c r="H3" s="90" t="s">
        <v>903</v>
      </c>
      <c r="I3" s="90">
        <v>60</v>
      </c>
      <c r="J3" s="90">
        <v>34</v>
      </c>
      <c r="K3" s="90">
        <v>30</v>
      </c>
      <c r="L3" s="90">
        <v>14</v>
      </c>
      <c r="M3" s="92">
        <v>15.3</v>
      </c>
      <c r="N3" s="104">
        <v>16</v>
      </c>
      <c r="O3" s="57">
        <v>7000</v>
      </c>
      <c r="P3" s="58">
        <f t="shared" ref="P3:P66" si="0">N3*O3</f>
        <v>112000</v>
      </c>
    </row>
    <row r="4" spans="1:16" ht="24.75" customHeight="1" x14ac:dyDescent="0.2">
      <c r="A4" s="100"/>
      <c r="B4" s="100"/>
      <c r="C4" s="1" t="s">
        <v>906</v>
      </c>
      <c r="D4" s="102" t="s">
        <v>57</v>
      </c>
      <c r="E4" s="91">
        <v>44537</v>
      </c>
      <c r="F4" s="102" t="s">
        <v>71</v>
      </c>
      <c r="G4" s="91">
        <v>44543</v>
      </c>
      <c r="H4" s="90" t="s">
        <v>903</v>
      </c>
      <c r="I4" s="90">
        <v>77</v>
      </c>
      <c r="J4" s="90">
        <v>58</v>
      </c>
      <c r="K4" s="90">
        <v>22</v>
      </c>
      <c r="L4" s="90">
        <v>15</v>
      </c>
      <c r="M4" s="92">
        <v>24.562999999999999</v>
      </c>
      <c r="N4" s="104">
        <v>24.562999999999999</v>
      </c>
      <c r="O4" s="57">
        <v>7000</v>
      </c>
      <c r="P4" s="58">
        <f t="shared" si="0"/>
        <v>171941</v>
      </c>
    </row>
    <row r="5" spans="1:16" ht="24.75" customHeight="1" x14ac:dyDescent="0.2">
      <c r="A5" s="100"/>
      <c r="B5" s="100"/>
      <c r="C5" s="15" t="s">
        <v>907</v>
      </c>
      <c r="D5" s="70" t="s">
        <v>57</v>
      </c>
      <c r="E5" s="12">
        <v>44537</v>
      </c>
      <c r="F5" s="68" t="s">
        <v>71</v>
      </c>
      <c r="G5" s="12">
        <v>44543</v>
      </c>
      <c r="H5" s="125" t="s">
        <v>903</v>
      </c>
      <c r="I5" s="15">
        <v>44</v>
      </c>
      <c r="J5" s="15">
        <v>32</v>
      </c>
      <c r="K5" s="15">
        <v>32</v>
      </c>
      <c r="L5" s="15">
        <v>3</v>
      </c>
      <c r="M5" s="126">
        <v>11.263999999999999</v>
      </c>
      <c r="N5" s="104">
        <v>11.263999999999999</v>
      </c>
      <c r="O5" s="57">
        <v>7000</v>
      </c>
      <c r="P5" s="58">
        <f t="shared" si="0"/>
        <v>78848</v>
      </c>
    </row>
    <row r="6" spans="1:16" ht="24.75" customHeight="1" x14ac:dyDescent="0.2">
      <c r="A6" s="100"/>
      <c r="B6" s="100"/>
      <c r="C6" s="15" t="s">
        <v>908</v>
      </c>
      <c r="D6" s="70" t="s">
        <v>57</v>
      </c>
      <c r="E6" s="12">
        <v>44537</v>
      </c>
      <c r="F6" s="68" t="s">
        <v>71</v>
      </c>
      <c r="G6" s="12">
        <v>44543</v>
      </c>
      <c r="H6" s="125" t="s">
        <v>903</v>
      </c>
      <c r="I6" s="15">
        <v>60</v>
      </c>
      <c r="J6" s="15">
        <v>44</v>
      </c>
      <c r="K6" s="15">
        <v>20</v>
      </c>
      <c r="L6" s="15">
        <v>6</v>
      </c>
      <c r="M6" s="126">
        <v>13.2</v>
      </c>
      <c r="N6" s="104">
        <v>13.2</v>
      </c>
      <c r="O6" s="57">
        <v>7000</v>
      </c>
      <c r="P6" s="58">
        <f t="shared" si="0"/>
        <v>92400</v>
      </c>
    </row>
    <row r="7" spans="1:16" ht="24.75" customHeight="1" x14ac:dyDescent="0.2">
      <c r="A7" s="100"/>
      <c r="B7" s="100"/>
      <c r="C7" s="15" t="s">
        <v>909</v>
      </c>
      <c r="D7" s="70" t="s">
        <v>57</v>
      </c>
      <c r="E7" s="12">
        <v>44537</v>
      </c>
      <c r="F7" s="68" t="s">
        <v>71</v>
      </c>
      <c r="G7" s="12">
        <v>44543</v>
      </c>
      <c r="H7" s="125" t="s">
        <v>903</v>
      </c>
      <c r="I7" s="15">
        <v>90</v>
      </c>
      <c r="J7" s="15">
        <v>57</v>
      </c>
      <c r="K7" s="15">
        <v>30</v>
      </c>
      <c r="L7" s="15">
        <v>26</v>
      </c>
      <c r="M7" s="126">
        <v>38.475000000000001</v>
      </c>
      <c r="N7" s="104">
        <v>39</v>
      </c>
      <c r="O7" s="57">
        <v>7000</v>
      </c>
      <c r="P7" s="58">
        <f t="shared" si="0"/>
        <v>273000</v>
      </c>
    </row>
    <row r="8" spans="1:16" ht="24.75" customHeight="1" x14ac:dyDescent="0.2">
      <c r="A8" s="100"/>
      <c r="B8" s="100"/>
      <c r="C8" s="15" t="s">
        <v>910</v>
      </c>
      <c r="D8" s="70" t="s">
        <v>57</v>
      </c>
      <c r="E8" s="12">
        <v>44537</v>
      </c>
      <c r="F8" s="68" t="s">
        <v>71</v>
      </c>
      <c r="G8" s="12">
        <v>44543</v>
      </c>
      <c r="H8" s="125" t="s">
        <v>903</v>
      </c>
      <c r="I8" s="15">
        <v>74</v>
      </c>
      <c r="J8" s="15">
        <v>58</v>
      </c>
      <c r="K8" s="15">
        <v>20</v>
      </c>
      <c r="L8" s="15">
        <v>6</v>
      </c>
      <c r="M8" s="126">
        <v>21.46</v>
      </c>
      <c r="N8" s="104">
        <v>22</v>
      </c>
      <c r="O8" s="57">
        <v>7000</v>
      </c>
      <c r="P8" s="58">
        <f t="shared" si="0"/>
        <v>154000</v>
      </c>
    </row>
    <row r="9" spans="1:16" ht="24.75" customHeight="1" x14ac:dyDescent="0.2">
      <c r="A9" s="100"/>
      <c r="B9" s="100"/>
      <c r="C9" s="15" t="s">
        <v>911</v>
      </c>
      <c r="D9" s="70" t="s">
        <v>57</v>
      </c>
      <c r="E9" s="12">
        <v>44537</v>
      </c>
      <c r="F9" s="68" t="s">
        <v>71</v>
      </c>
      <c r="G9" s="12">
        <v>44543</v>
      </c>
      <c r="H9" s="125" t="s">
        <v>903</v>
      </c>
      <c r="I9" s="15">
        <v>130</v>
      </c>
      <c r="J9" s="15">
        <v>25</v>
      </c>
      <c r="K9" s="15">
        <v>12</v>
      </c>
      <c r="L9" s="15">
        <v>3</v>
      </c>
      <c r="M9" s="126">
        <v>9.75</v>
      </c>
      <c r="N9" s="104">
        <v>9.75</v>
      </c>
      <c r="O9" s="57">
        <v>7000</v>
      </c>
      <c r="P9" s="58">
        <f t="shared" si="0"/>
        <v>68250</v>
      </c>
    </row>
    <row r="10" spans="1:16" ht="24.75" customHeight="1" x14ac:dyDescent="0.2">
      <c r="A10" s="100"/>
      <c r="B10" s="100"/>
      <c r="C10" s="15" t="s">
        <v>912</v>
      </c>
      <c r="D10" s="70" t="s">
        <v>57</v>
      </c>
      <c r="E10" s="12">
        <v>44537</v>
      </c>
      <c r="F10" s="68" t="s">
        <v>71</v>
      </c>
      <c r="G10" s="12">
        <v>44543</v>
      </c>
      <c r="H10" s="125" t="s">
        <v>903</v>
      </c>
      <c r="I10" s="15">
        <v>64</v>
      </c>
      <c r="J10" s="15">
        <v>40</v>
      </c>
      <c r="K10" s="15">
        <v>22</v>
      </c>
      <c r="L10" s="15">
        <v>5</v>
      </c>
      <c r="M10" s="126">
        <v>14.08</v>
      </c>
      <c r="N10" s="104">
        <v>14.08</v>
      </c>
      <c r="O10" s="57">
        <v>7000</v>
      </c>
      <c r="P10" s="58">
        <f t="shared" si="0"/>
        <v>98560</v>
      </c>
    </row>
    <row r="11" spans="1:16" ht="24.75" customHeight="1" x14ac:dyDescent="0.2">
      <c r="A11" s="100"/>
      <c r="B11" s="100"/>
      <c r="C11" s="15" t="s">
        <v>913</v>
      </c>
      <c r="D11" s="70" t="s">
        <v>57</v>
      </c>
      <c r="E11" s="12">
        <v>44537</v>
      </c>
      <c r="F11" s="68" t="s">
        <v>71</v>
      </c>
      <c r="G11" s="12">
        <v>44543</v>
      </c>
      <c r="H11" s="125" t="s">
        <v>903</v>
      </c>
      <c r="I11" s="15">
        <v>102</v>
      </c>
      <c r="J11" s="15">
        <v>20</v>
      </c>
      <c r="K11" s="15">
        <v>15</v>
      </c>
      <c r="L11" s="15">
        <v>2</v>
      </c>
      <c r="M11" s="126">
        <v>7.65</v>
      </c>
      <c r="N11" s="104">
        <v>7.65</v>
      </c>
      <c r="O11" s="57">
        <v>7000</v>
      </c>
      <c r="P11" s="58">
        <f t="shared" si="0"/>
        <v>53550</v>
      </c>
    </row>
    <row r="12" spans="1:16" ht="24.75" customHeight="1" x14ac:dyDescent="0.2">
      <c r="A12" s="100"/>
      <c r="B12" s="100"/>
      <c r="C12" s="15" t="s">
        <v>914</v>
      </c>
      <c r="D12" s="70" t="s">
        <v>57</v>
      </c>
      <c r="E12" s="12">
        <v>44537</v>
      </c>
      <c r="F12" s="68" t="s">
        <v>71</v>
      </c>
      <c r="G12" s="12">
        <v>44543</v>
      </c>
      <c r="H12" s="125" t="s">
        <v>903</v>
      </c>
      <c r="I12" s="15">
        <v>56</v>
      </c>
      <c r="J12" s="15">
        <v>20</v>
      </c>
      <c r="K12" s="15">
        <v>20</v>
      </c>
      <c r="L12" s="15">
        <v>13</v>
      </c>
      <c r="M12" s="126">
        <v>5.6</v>
      </c>
      <c r="N12" s="104">
        <v>13</v>
      </c>
      <c r="O12" s="57">
        <v>7000</v>
      </c>
      <c r="P12" s="58">
        <f t="shared" si="0"/>
        <v>91000</v>
      </c>
    </row>
    <row r="13" spans="1:16" ht="24.75" customHeight="1" x14ac:dyDescent="0.2">
      <c r="A13" s="100"/>
      <c r="B13" s="100"/>
      <c r="C13" s="15" t="s">
        <v>915</v>
      </c>
      <c r="D13" s="70" t="s">
        <v>57</v>
      </c>
      <c r="E13" s="12">
        <v>44537</v>
      </c>
      <c r="F13" s="68" t="s">
        <v>71</v>
      </c>
      <c r="G13" s="12">
        <v>44543</v>
      </c>
      <c r="H13" s="125" t="s">
        <v>903</v>
      </c>
      <c r="I13" s="15">
        <v>86</v>
      </c>
      <c r="J13" s="15">
        <v>65</v>
      </c>
      <c r="K13" s="15">
        <v>33</v>
      </c>
      <c r="L13" s="15">
        <v>9</v>
      </c>
      <c r="M13" s="126">
        <v>46.1175</v>
      </c>
      <c r="N13" s="104">
        <v>46.1175</v>
      </c>
      <c r="O13" s="57">
        <v>7000</v>
      </c>
      <c r="P13" s="58">
        <f t="shared" si="0"/>
        <v>322822.5</v>
      </c>
    </row>
    <row r="14" spans="1:16" ht="24.75" customHeight="1" x14ac:dyDescent="0.2">
      <c r="A14" s="100"/>
      <c r="B14" s="100"/>
      <c r="C14" s="15" t="s">
        <v>916</v>
      </c>
      <c r="D14" s="70" t="s">
        <v>57</v>
      </c>
      <c r="E14" s="12">
        <v>44537</v>
      </c>
      <c r="F14" s="68" t="s">
        <v>71</v>
      </c>
      <c r="G14" s="12">
        <v>44543</v>
      </c>
      <c r="H14" s="125" t="s">
        <v>903</v>
      </c>
      <c r="I14" s="15">
        <v>16</v>
      </c>
      <c r="J14" s="15">
        <v>49</v>
      </c>
      <c r="K14" s="15">
        <v>40</v>
      </c>
      <c r="L14" s="15">
        <v>26</v>
      </c>
      <c r="M14" s="126">
        <v>7.84</v>
      </c>
      <c r="N14" s="104">
        <v>26</v>
      </c>
      <c r="O14" s="57">
        <v>7000</v>
      </c>
      <c r="P14" s="58">
        <f t="shared" si="0"/>
        <v>182000</v>
      </c>
    </row>
    <row r="15" spans="1:16" ht="24.75" customHeight="1" x14ac:dyDescent="0.2">
      <c r="A15" s="100"/>
      <c r="B15" s="100"/>
      <c r="C15" s="15" t="s">
        <v>917</v>
      </c>
      <c r="D15" s="70" t="s">
        <v>57</v>
      </c>
      <c r="E15" s="12">
        <v>44537</v>
      </c>
      <c r="F15" s="68" t="s">
        <v>71</v>
      </c>
      <c r="G15" s="12">
        <v>44543</v>
      </c>
      <c r="H15" s="125" t="s">
        <v>903</v>
      </c>
      <c r="I15" s="15">
        <v>42</v>
      </c>
      <c r="J15" s="15">
        <v>40</v>
      </c>
      <c r="K15" s="15">
        <v>27</v>
      </c>
      <c r="L15" s="15">
        <v>1</v>
      </c>
      <c r="M15" s="126">
        <v>11.34</v>
      </c>
      <c r="N15" s="104">
        <v>12</v>
      </c>
      <c r="O15" s="57">
        <v>7000</v>
      </c>
      <c r="P15" s="58">
        <f t="shared" si="0"/>
        <v>84000</v>
      </c>
    </row>
    <row r="16" spans="1:16" ht="24.75" customHeight="1" x14ac:dyDescent="0.2">
      <c r="A16" s="100"/>
      <c r="B16" s="100"/>
      <c r="C16" s="15" t="s">
        <v>918</v>
      </c>
      <c r="D16" s="70" t="s">
        <v>57</v>
      </c>
      <c r="E16" s="12">
        <v>44537</v>
      </c>
      <c r="F16" s="68" t="s">
        <v>71</v>
      </c>
      <c r="G16" s="12">
        <v>44543</v>
      </c>
      <c r="H16" s="125" t="s">
        <v>903</v>
      </c>
      <c r="I16" s="15">
        <v>59</v>
      </c>
      <c r="J16" s="15">
        <v>49</v>
      </c>
      <c r="K16" s="15">
        <v>20</v>
      </c>
      <c r="L16" s="15">
        <v>9</v>
      </c>
      <c r="M16" s="126">
        <v>14.455</v>
      </c>
      <c r="N16" s="104">
        <v>15</v>
      </c>
      <c r="O16" s="57">
        <v>7000</v>
      </c>
      <c r="P16" s="58">
        <f t="shared" si="0"/>
        <v>105000</v>
      </c>
    </row>
    <row r="17" spans="1:16" ht="24.75" customHeight="1" x14ac:dyDescent="0.2">
      <c r="A17" s="100"/>
      <c r="B17" s="100"/>
      <c r="C17" s="15" t="s">
        <v>919</v>
      </c>
      <c r="D17" s="70" t="s">
        <v>57</v>
      </c>
      <c r="E17" s="12">
        <v>44537</v>
      </c>
      <c r="F17" s="68" t="s">
        <v>71</v>
      </c>
      <c r="G17" s="12">
        <v>44543</v>
      </c>
      <c r="H17" s="125" t="s">
        <v>903</v>
      </c>
      <c r="I17" s="15">
        <v>84</v>
      </c>
      <c r="J17" s="15">
        <v>62</v>
      </c>
      <c r="K17" s="15">
        <v>6</v>
      </c>
      <c r="L17" s="15">
        <v>4</v>
      </c>
      <c r="M17" s="126">
        <v>7.8120000000000003</v>
      </c>
      <c r="N17" s="104">
        <v>7.8120000000000003</v>
      </c>
      <c r="O17" s="57">
        <v>7000</v>
      </c>
      <c r="P17" s="58">
        <f t="shared" si="0"/>
        <v>54684</v>
      </c>
    </row>
    <row r="18" spans="1:16" ht="24.75" customHeight="1" x14ac:dyDescent="0.2">
      <c r="A18" s="100"/>
      <c r="B18" s="100"/>
      <c r="C18" s="15" t="s">
        <v>920</v>
      </c>
      <c r="D18" s="70" t="s">
        <v>57</v>
      </c>
      <c r="E18" s="12">
        <v>44537</v>
      </c>
      <c r="F18" s="68" t="s">
        <v>71</v>
      </c>
      <c r="G18" s="12">
        <v>44543</v>
      </c>
      <c r="H18" s="125" t="s">
        <v>903</v>
      </c>
      <c r="I18" s="15">
        <v>78</v>
      </c>
      <c r="J18" s="15">
        <v>50</v>
      </c>
      <c r="K18" s="15">
        <v>35</v>
      </c>
      <c r="L18" s="15">
        <v>9</v>
      </c>
      <c r="M18" s="126">
        <v>34.125</v>
      </c>
      <c r="N18" s="104">
        <v>34.125</v>
      </c>
      <c r="O18" s="57">
        <v>7000</v>
      </c>
      <c r="P18" s="58">
        <f t="shared" si="0"/>
        <v>238875</v>
      </c>
    </row>
    <row r="19" spans="1:16" ht="24.75" customHeight="1" x14ac:dyDescent="0.2">
      <c r="A19" s="100"/>
      <c r="B19" s="100"/>
      <c r="C19" s="15" t="s">
        <v>921</v>
      </c>
      <c r="D19" s="70" t="s">
        <v>57</v>
      </c>
      <c r="E19" s="12">
        <v>44537</v>
      </c>
      <c r="F19" s="68" t="s">
        <v>71</v>
      </c>
      <c r="G19" s="12">
        <v>44543</v>
      </c>
      <c r="H19" s="125" t="s">
        <v>903</v>
      </c>
      <c r="I19" s="15">
        <v>70</v>
      </c>
      <c r="J19" s="15">
        <v>65</v>
      </c>
      <c r="K19" s="15">
        <v>24</v>
      </c>
      <c r="L19" s="15">
        <v>7</v>
      </c>
      <c r="M19" s="126">
        <v>27.3</v>
      </c>
      <c r="N19" s="104">
        <v>28</v>
      </c>
      <c r="O19" s="57">
        <v>7000</v>
      </c>
      <c r="P19" s="58">
        <f t="shared" si="0"/>
        <v>196000</v>
      </c>
    </row>
    <row r="20" spans="1:16" ht="24.75" customHeight="1" x14ac:dyDescent="0.2">
      <c r="A20" s="100"/>
      <c r="B20" s="100"/>
      <c r="C20" s="15" t="s">
        <v>922</v>
      </c>
      <c r="D20" s="70" t="s">
        <v>57</v>
      </c>
      <c r="E20" s="12">
        <v>44537</v>
      </c>
      <c r="F20" s="68" t="s">
        <v>71</v>
      </c>
      <c r="G20" s="12">
        <v>44543</v>
      </c>
      <c r="H20" s="125" t="s">
        <v>903</v>
      </c>
      <c r="I20" s="15">
        <v>67</v>
      </c>
      <c r="J20" s="15">
        <v>60</v>
      </c>
      <c r="K20" s="15">
        <v>22</v>
      </c>
      <c r="L20" s="15">
        <v>10</v>
      </c>
      <c r="M20" s="126">
        <v>22.11</v>
      </c>
      <c r="N20" s="104">
        <v>22.11</v>
      </c>
      <c r="O20" s="57">
        <v>7000</v>
      </c>
      <c r="P20" s="58">
        <f t="shared" si="0"/>
        <v>154770</v>
      </c>
    </row>
    <row r="21" spans="1:16" ht="24.75" customHeight="1" x14ac:dyDescent="0.2">
      <c r="A21" s="100"/>
      <c r="B21" s="100"/>
      <c r="C21" s="15" t="s">
        <v>923</v>
      </c>
      <c r="D21" s="70" t="s">
        <v>57</v>
      </c>
      <c r="E21" s="12">
        <v>44537</v>
      </c>
      <c r="F21" s="68" t="s">
        <v>71</v>
      </c>
      <c r="G21" s="12">
        <v>44543</v>
      </c>
      <c r="H21" s="125" t="s">
        <v>903</v>
      </c>
      <c r="I21" s="15">
        <v>40</v>
      </c>
      <c r="J21" s="15">
        <v>40</v>
      </c>
      <c r="K21" s="15">
        <v>24</v>
      </c>
      <c r="L21" s="15">
        <v>7</v>
      </c>
      <c r="M21" s="126">
        <v>9.6</v>
      </c>
      <c r="N21" s="104">
        <v>9.6</v>
      </c>
      <c r="O21" s="57">
        <v>7000</v>
      </c>
      <c r="P21" s="58">
        <f t="shared" si="0"/>
        <v>67200</v>
      </c>
    </row>
    <row r="22" spans="1:16" ht="24.75" customHeight="1" x14ac:dyDescent="0.2">
      <c r="A22" s="100"/>
      <c r="B22" s="100"/>
      <c r="C22" s="15" t="s">
        <v>924</v>
      </c>
      <c r="D22" s="70" t="s">
        <v>57</v>
      </c>
      <c r="E22" s="12">
        <v>44537</v>
      </c>
      <c r="F22" s="68" t="s">
        <v>71</v>
      </c>
      <c r="G22" s="12">
        <v>44543</v>
      </c>
      <c r="H22" s="125" t="s">
        <v>903</v>
      </c>
      <c r="I22" s="15">
        <v>45</v>
      </c>
      <c r="J22" s="15">
        <v>38</v>
      </c>
      <c r="K22" s="15">
        <v>24</v>
      </c>
      <c r="L22" s="15">
        <v>10</v>
      </c>
      <c r="M22" s="126">
        <v>10.26</v>
      </c>
      <c r="N22" s="104">
        <v>10.26</v>
      </c>
      <c r="O22" s="57">
        <v>7000</v>
      </c>
      <c r="P22" s="58">
        <f t="shared" si="0"/>
        <v>71820</v>
      </c>
    </row>
    <row r="23" spans="1:16" ht="24.75" customHeight="1" x14ac:dyDescent="0.2">
      <c r="A23" s="100"/>
      <c r="B23" s="100"/>
      <c r="C23" s="15" t="s">
        <v>925</v>
      </c>
      <c r="D23" s="70" t="s">
        <v>57</v>
      </c>
      <c r="E23" s="12">
        <v>44537</v>
      </c>
      <c r="F23" s="68" t="s">
        <v>71</v>
      </c>
      <c r="G23" s="12">
        <v>44543</v>
      </c>
      <c r="H23" s="125" t="s">
        <v>903</v>
      </c>
      <c r="I23" s="15">
        <v>87</v>
      </c>
      <c r="J23" s="15">
        <v>50</v>
      </c>
      <c r="K23" s="15">
        <v>24</v>
      </c>
      <c r="L23" s="15">
        <v>9</v>
      </c>
      <c r="M23" s="126">
        <v>26.1</v>
      </c>
      <c r="N23" s="104">
        <v>26.1</v>
      </c>
      <c r="O23" s="57">
        <v>7000</v>
      </c>
      <c r="P23" s="58">
        <f t="shared" si="0"/>
        <v>182700</v>
      </c>
    </row>
    <row r="24" spans="1:16" ht="24.75" customHeight="1" x14ac:dyDescent="0.2">
      <c r="A24" s="100"/>
      <c r="B24" s="100"/>
      <c r="C24" s="15" t="s">
        <v>926</v>
      </c>
      <c r="D24" s="70" t="s">
        <v>57</v>
      </c>
      <c r="E24" s="12">
        <v>44537</v>
      </c>
      <c r="F24" s="68" t="s">
        <v>71</v>
      </c>
      <c r="G24" s="12">
        <v>44543</v>
      </c>
      <c r="H24" s="125" t="s">
        <v>903</v>
      </c>
      <c r="I24" s="15">
        <v>89</v>
      </c>
      <c r="J24" s="15">
        <v>42</v>
      </c>
      <c r="K24" s="15">
        <v>22</v>
      </c>
      <c r="L24" s="15">
        <v>7</v>
      </c>
      <c r="M24" s="126">
        <v>20.559000000000001</v>
      </c>
      <c r="N24" s="104">
        <v>20.559000000000001</v>
      </c>
      <c r="O24" s="57">
        <v>7000</v>
      </c>
      <c r="P24" s="58">
        <f t="shared" si="0"/>
        <v>143913</v>
      </c>
    </row>
    <row r="25" spans="1:16" ht="24.75" customHeight="1" x14ac:dyDescent="0.2">
      <c r="A25" s="100"/>
      <c r="B25" s="100"/>
      <c r="C25" s="15" t="s">
        <v>927</v>
      </c>
      <c r="D25" s="70" t="s">
        <v>57</v>
      </c>
      <c r="E25" s="12">
        <v>44537</v>
      </c>
      <c r="F25" s="68" t="s">
        <v>71</v>
      </c>
      <c r="G25" s="12">
        <v>44543</v>
      </c>
      <c r="H25" s="125" t="s">
        <v>903</v>
      </c>
      <c r="I25" s="15">
        <v>50</v>
      </c>
      <c r="J25" s="15">
        <v>42</v>
      </c>
      <c r="K25" s="15">
        <v>22</v>
      </c>
      <c r="L25" s="15">
        <v>3</v>
      </c>
      <c r="M25" s="126">
        <v>11.55</v>
      </c>
      <c r="N25" s="104">
        <v>11.55</v>
      </c>
      <c r="O25" s="57">
        <v>7000</v>
      </c>
      <c r="P25" s="58">
        <f t="shared" si="0"/>
        <v>80850</v>
      </c>
    </row>
    <row r="26" spans="1:16" ht="24.75" customHeight="1" x14ac:dyDescent="0.2">
      <c r="A26" s="100"/>
      <c r="B26" s="100"/>
      <c r="C26" s="15" t="s">
        <v>928</v>
      </c>
      <c r="D26" s="70" t="s">
        <v>57</v>
      </c>
      <c r="E26" s="12">
        <v>44537</v>
      </c>
      <c r="F26" s="68" t="s">
        <v>71</v>
      </c>
      <c r="G26" s="12">
        <v>44543</v>
      </c>
      <c r="H26" s="125" t="s">
        <v>903</v>
      </c>
      <c r="I26" s="15">
        <v>83</v>
      </c>
      <c r="J26" s="15">
        <v>46</v>
      </c>
      <c r="K26" s="15">
        <v>24</v>
      </c>
      <c r="L26" s="15">
        <v>5</v>
      </c>
      <c r="M26" s="126">
        <v>22.908000000000001</v>
      </c>
      <c r="N26" s="104">
        <v>22.908000000000001</v>
      </c>
      <c r="O26" s="57">
        <v>7000</v>
      </c>
      <c r="P26" s="58">
        <f t="shared" si="0"/>
        <v>160356</v>
      </c>
    </row>
    <row r="27" spans="1:16" ht="24.75" customHeight="1" x14ac:dyDescent="0.2">
      <c r="A27" s="100"/>
      <c r="B27" s="100"/>
      <c r="C27" s="15" t="s">
        <v>929</v>
      </c>
      <c r="D27" s="70" t="s">
        <v>57</v>
      </c>
      <c r="E27" s="12">
        <v>44537</v>
      </c>
      <c r="F27" s="68" t="s">
        <v>71</v>
      </c>
      <c r="G27" s="12">
        <v>44543</v>
      </c>
      <c r="H27" s="125" t="s">
        <v>903</v>
      </c>
      <c r="I27" s="15">
        <v>92</v>
      </c>
      <c r="J27" s="15">
        <v>58</v>
      </c>
      <c r="K27" s="15">
        <v>26</v>
      </c>
      <c r="L27" s="15">
        <v>17</v>
      </c>
      <c r="M27" s="126">
        <v>34.683999999999997</v>
      </c>
      <c r="N27" s="104">
        <v>34.683999999999997</v>
      </c>
      <c r="O27" s="57">
        <v>7000</v>
      </c>
      <c r="P27" s="58">
        <f t="shared" si="0"/>
        <v>242787.99999999997</v>
      </c>
    </row>
    <row r="28" spans="1:16" ht="24.75" customHeight="1" x14ac:dyDescent="0.2">
      <c r="A28" s="100"/>
      <c r="B28" s="100"/>
      <c r="C28" s="15" t="s">
        <v>930</v>
      </c>
      <c r="D28" s="70" t="s">
        <v>57</v>
      </c>
      <c r="E28" s="12">
        <v>44537</v>
      </c>
      <c r="F28" s="68" t="s">
        <v>71</v>
      </c>
      <c r="G28" s="12">
        <v>44543</v>
      </c>
      <c r="H28" s="125" t="s">
        <v>903</v>
      </c>
      <c r="I28" s="15">
        <v>90</v>
      </c>
      <c r="J28" s="15">
        <v>55</v>
      </c>
      <c r="K28" s="15">
        <v>30</v>
      </c>
      <c r="L28" s="15">
        <v>18</v>
      </c>
      <c r="M28" s="126">
        <v>37.125</v>
      </c>
      <c r="N28" s="104">
        <v>37.125</v>
      </c>
      <c r="O28" s="57">
        <v>7000</v>
      </c>
      <c r="P28" s="58">
        <f t="shared" si="0"/>
        <v>259875</v>
      </c>
    </row>
    <row r="29" spans="1:16" ht="24.75" customHeight="1" x14ac:dyDescent="0.2">
      <c r="A29" s="100"/>
      <c r="B29" s="100"/>
      <c r="C29" s="15" t="s">
        <v>931</v>
      </c>
      <c r="D29" s="70" t="s">
        <v>57</v>
      </c>
      <c r="E29" s="12">
        <v>44537</v>
      </c>
      <c r="F29" s="68" t="s">
        <v>71</v>
      </c>
      <c r="G29" s="12">
        <v>44543</v>
      </c>
      <c r="H29" s="125" t="s">
        <v>903</v>
      </c>
      <c r="I29" s="15">
        <v>89</v>
      </c>
      <c r="J29" s="15">
        <v>62</v>
      </c>
      <c r="K29" s="15">
        <v>28</v>
      </c>
      <c r="L29" s="15">
        <v>18</v>
      </c>
      <c r="M29" s="126">
        <v>38.625999999999998</v>
      </c>
      <c r="N29" s="104">
        <v>38.625999999999998</v>
      </c>
      <c r="O29" s="57">
        <v>7000</v>
      </c>
      <c r="P29" s="58">
        <f t="shared" si="0"/>
        <v>270382</v>
      </c>
    </row>
    <row r="30" spans="1:16" ht="24.75" customHeight="1" x14ac:dyDescent="0.2">
      <c r="A30" s="100"/>
      <c r="B30" s="100"/>
      <c r="C30" s="15" t="s">
        <v>932</v>
      </c>
      <c r="D30" s="70" t="s">
        <v>57</v>
      </c>
      <c r="E30" s="12">
        <v>44537</v>
      </c>
      <c r="F30" s="68" t="s">
        <v>71</v>
      </c>
      <c r="G30" s="12">
        <v>44543</v>
      </c>
      <c r="H30" s="125" t="s">
        <v>903</v>
      </c>
      <c r="I30" s="15">
        <v>93</v>
      </c>
      <c r="J30" s="15">
        <v>56</v>
      </c>
      <c r="K30" s="15">
        <v>34</v>
      </c>
      <c r="L30" s="15">
        <v>26</v>
      </c>
      <c r="M30" s="126">
        <v>44.268000000000001</v>
      </c>
      <c r="N30" s="104">
        <v>44.268000000000001</v>
      </c>
      <c r="O30" s="57">
        <v>7000</v>
      </c>
      <c r="P30" s="58">
        <f t="shared" si="0"/>
        <v>309876</v>
      </c>
    </row>
    <row r="31" spans="1:16" ht="24.75" customHeight="1" x14ac:dyDescent="0.2">
      <c r="A31" s="100"/>
      <c r="B31" s="100"/>
      <c r="C31" s="15" t="s">
        <v>933</v>
      </c>
      <c r="D31" s="70" t="s">
        <v>57</v>
      </c>
      <c r="E31" s="12">
        <v>44537</v>
      </c>
      <c r="F31" s="68" t="s">
        <v>71</v>
      </c>
      <c r="G31" s="12">
        <v>44543</v>
      </c>
      <c r="H31" s="125" t="s">
        <v>903</v>
      </c>
      <c r="I31" s="15">
        <v>80</v>
      </c>
      <c r="J31" s="15">
        <v>65</v>
      </c>
      <c r="K31" s="15">
        <v>24</v>
      </c>
      <c r="L31" s="15">
        <v>13</v>
      </c>
      <c r="M31" s="126">
        <v>31.2</v>
      </c>
      <c r="N31" s="104">
        <v>31.2</v>
      </c>
      <c r="O31" s="57">
        <v>7000</v>
      </c>
      <c r="P31" s="58">
        <f t="shared" si="0"/>
        <v>218400</v>
      </c>
    </row>
    <row r="32" spans="1:16" ht="24.75" customHeight="1" x14ac:dyDescent="0.2">
      <c r="A32" s="100"/>
      <c r="B32" s="100"/>
      <c r="C32" s="15" t="s">
        <v>934</v>
      </c>
      <c r="D32" s="70" t="s">
        <v>57</v>
      </c>
      <c r="E32" s="12">
        <v>44537</v>
      </c>
      <c r="F32" s="68" t="s">
        <v>71</v>
      </c>
      <c r="G32" s="12">
        <v>44543</v>
      </c>
      <c r="H32" s="125" t="s">
        <v>903</v>
      </c>
      <c r="I32" s="15">
        <v>110</v>
      </c>
      <c r="J32" s="15">
        <v>57</v>
      </c>
      <c r="K32" s="15">
        <v>24</v>
      </c>
      <c r="L32" s="15">
        <v>30</v>
      </c>
      <c r="M32" s="126">
        <v>37.619999999999997</v>
      </c>
      <c r="N32" s="104">
        <v>37.619999999999997</v>
      </c>
      <c r="O32" s="57">
        <v>7000</v>
      </c>
      <c r="P32" s="58">
        <f t="shared" si="0"/>
        <v>263340</v>
      </c>
    </row>
    <row r="33" spans="1:16" ht="24.75" customHeight="1" x14ac:dyDescent="0.2">
      <c r="A33" s="100"/>
      <c r="B33" s="100"/>
      <c r="C33" s="15" t="s">
        <v>935</v>
      </c>
      <c r="D33" s="70" t="s">
        <v>57</v>
      </c>
      <c r="E33" s="12">
        <v>44537</v>
      </c>
      <c r="F33" s="68" t="s">
        <v>71</v>
      </c>
      <c r="G33" s="12">
        <v>44543</v>
      </c>
      <c r="H33" s="125" t="s">
        <v>903</v>
      </c>
      <c r="I33" s="15">
        <v>65</v>
      </c>
      <c r="J33" s="15">
        <v>43</v>
      </c>
      <c r="K33" s="15">
        <v>16</v>
      </c>
      <c r="L33" s="15">
        <v>4</v>
      </c>
      <c r="M33" s="126">
        <v>11.18</v>
      </c>
      <c r="N33" s="104">
        <v>11.18</v>
      </c>
      <c r="O33" s="57">
        <v>7000</v>
      </c>
      <c r="P33" s="58">
        <f t="shared" si="0"/>
        <v>78260</v>
      </c>
    </row>
    <row r="34" spans="1:16" ht="24.75" customHeight="1" x14ac:dyDescent="0.2">
      <c r="A34" s="100"/>
      <c r="B34" s="100"/>
      <c r="C34" s="15" t="s">
        <v>936</v>
      </c>
      <c r="D34" s="70" t="s">
        <v>57</v>
      </c>
      <c r="E34" s="12">
        <v>44537</v>
      </c>
      <c r="F34" s="68" t="s">
        <v>71</v>
      </c>
      <c r="G34" s="12">
        <v>44543</v>
      </c>
      <c r="H34" s="125" t="s">
        <v>903</v>
      </c>
      <c r="I34" s="15">
        <v>96</v>
      </c>
      <c r="J34" s="15">
        <v>57</v>
      </c>
      <c r="K34" s="15">
        <v>32</v>
      </c>
      <c r="L34" s="15">
        <v>16</v>
      </c>
      <c r="M34" s="126">
        <v>43.776000000000003</v>
      </c>
      <c r="N34" s="104">
        <v>43.776000000000003</v>
      </c>
      <c r="O34" s="57">
        <v>7000</v>
      </c>
      <c r="P34" s="58">
        <f t="shared" si="0"/>
        <v>306432</v>
      </c>
    </row>
    <row r="35" spans="1:16" ht="24.75" customHeight="1" x14ac:dyDescent="0.2">
      <c r="A35" s="100"/>
      <c r="B35" s="100"/>
      <c r="C35" s="15" t="s">
        <v>937</v>
      </c>
      <c r="D35" s="70" t="s">
        <v>57</v>
      </c>
      <c r="E35" s="12">
        <v>44537</v>
      </c>
      <c r="F35" s="68" t="s">
        <v>71</v>
      </c>
      <c r="G35" s="12">
        <v>44543</v>
      </c>
      <c r="H35" s="125" t="s">
        <v>903</v>
      </c>
      <c r="I35" s="15">
        <v>85</v>
      </c>
      <c r="J35" s="15">
        <v>35</v>
      </c>
      <c r="K35" s="15">
        <v>34</v>
      </c>
      <c r="L35" s="15">
        <v>19</v>
      </c>
      <c r="M35" s="126">
        <v>25.287500000000001</v>
      </c>
      <c r="N35" s="104">
        <v>25.287500000000001</v>
      </c>
      <c r="O35" s="57">
        <v>7000</v>
      </c>
      <c r="P35" s="58">
        <f t="shared" si="0"/>
        <v>177012.5</v>
      </c>
    </row>
    <row r="36" spans="1:16" ht="24.75" customHeight="1" x14ac:dyDescent="0.2">
      <c r="A36" s="100"/>
      <c r="B36" s="100"/>
      <c r="C36" s="15" t="s">
        <v>938</v>
      </c>
      <c r="D36" s="70" t="s">
        <v>57</v>
      </c>
      <c r="E36" s="12">
        <v>44537</v>
      </c>
      <c r="F36" s="68" t="s">
        <v>71</v>
      </c>
      <c r="G36" s="12">
        <v>44543</v>
      </c>
      <c r="H36" s="125" t="s">
        <v>903</v>
      </c>
      <c r="I36" s="15">
        <v>82</v>
      </c>
      <c r="J36" s="15">
        <v>62</v>
      </c>
      <c r="K36" s="15">
        <v>25</v>
      </c>
      <c r="L36" s="15">
        <v>16</v>
      </c>
      <c r="M36" s="126">
        <v>31.774999999999999</v>
      </c>
      <c r="N36" s="104">
        <v>31.774999999999999</v>
      </c>
      <c r="O36" s="57">
        <v>7000</v>
      </c>
      <c r="P36" s="58">
        <f t="shared" si="0"/>
        <v>222425</v>
      </c>
    </row>
    <row r="37" spans="1:16" ht="24.75" customHeight="1" x14ac:dyDescent="0.2">
      <c r="A37" s="100"/>
      <c r="B37" s="100"/>
      <c r="C37" s="15" t="s">
        <v>939</v>
      </c>
      <c r="D37" s="70" t="s">
        <v>57</v>
      </c>
      <c r="E37" s="12">
        <v>44537</v>
      </c>
      <c r="F37" s="68" t="s">
        <v>71</v>
      </c>
      <c r="G37" s="12">
        <v>44543</v>
      </c>
      <c r="H37" s="125" t="s">
        <v>903</v>
      </c>
      <c r="I37" s="15">
        <v>84</v>
      </c>
      <c r="J37" s="15">
        <v>24</v>
      </c>
      <c r="K37" s="15">
        <v>30</v>
      </c>
      <c r="L37" s="15">
        <v>20</v>
      </c>
      <c r="M37" s="126">
        <v>15.12</v>
      </c>
      <c r="N37" s="104">
        <v>20</v>
      </c>
      <c r="O37" s="57">
        <v>7000</v>
      </c>
      <c r="P37" s="58">
        <f t="shared" si="0"/>
        <v>140000</v>
      </c>
    </row>
    <row r="38" spans="1:16" ht="24.75" customHeight="1" x14ac:dyDescent="0.2">
      <c r="A38" s="100"/>
      <c r="B38" s="100"/>
      <c r="C38" s="15" t="s">
        <v>940</v>
      </c>
      <c r="D38" s="70" t="s">
        <v>57</v>
      </c>
      <c r="E38" s="12">
        <v>44537</v>
      </c>
      <c r="F38" s="68" t="s">
        <v>71</v>
      </c>
      <c r="G38" s="12">
        <v>44543</v>
      </c>
      <c r="H38" s="125" t="s">
        <v>903</v>
      </c>
      <c r="I38" s="15">
        <v>76</v>
      </c>
      <c r="J38" s="15">
        <v>45</v>
      </c>
      <c r="K38" s="15">
        <v>23</v>
      </c>
      <c r="L38" s="15">
        <v>20</v>
      </c>
      <c r="M38" s="126">
        <v>19.664999999999999</v>
      </c>
      <c r="N38" s="104">
        <v>20</v>
      </c>
      <c r="O38" s="57">
        <v>7000</v>
      </c>
      <c r="P38" s="58">
        <f t="shared" si="0"/>
        <v>140000</v>
      </c>
    </row>
    <row r="39" spans="1:16" ht="24.75" customHeight="1" x14ac:dyDescent="0.2">
      <c r="A39" s="100"/>
      <c r="B39" s="100"/>
      <c r="C39" s="15" t="s">
        <v>941</v>
      </c>
      <c r="D39" s="70" t="s">
        <v>57</v>
      </c>
      <c r="E39" s="12">
        <v>44537</v>
      </c>
      <c r="F39" s="68" t="s">
        <v>71</v>
      </c>
      <c r="G39" s="12">
        <v>44543</v>
      </c>
      <c r="H39" s="125" t="s">
        <v>903</v>
      </c>
      <c r="I39" s="15">
        <v>40</v>
      </c>
      <c r="J39" s="15">
        <v>34</v>
      </c>
      <c r="K39" s="15">
        <v>10</v>
      </c>
      <c r="L39" s="15">
        <v>1</v>
      </c>
      <c r="M39" s="126">
        <v>3.4</v>
      </c>
      <c r="N39" s="104">
        <v>4</v>
      </c>
      <c r="O39" s="57">
        <v>7000</v>
      </c>
      <c r="P39" s="58">
        <f t="shared" si="0"/>
        <v>28000</v>
      </c>
    </row>
    <row r="40" spans="1:16" ht="24.75" customHeight="1" x14ac:dyDescent="0.2">
      <c r="A40" s="100"/>
      <c r="B40" s="100"/>
      <c r="C40" s="15" t="s">
        <v>942</v>
      </c>
      <c r="D40" s="70" t="s">
        <v>57</v>
      </c>
      <c r="E40" s="12">
        <v>44537</v>
      </c>
      <c r="F40" s="68" t="s">
        <v>71</v>
      </c>
      <c r="G40" s="12">
        <v>44543</v>
      </c>
      <c r="H40" s="125" t="s">
        <v>903</v>
      </c>
      <c r="I40" s="15">
        <v>60</v>
      </c>
      <c r="J40" s="15">
        <v>42</v>
      </c>
      <c r="K40" s="15">
        <v>10</v>
      </c>
      <c r="L40" s="15">
        <v>6</v>
      </c>
      <c r="M40" s="126">
        <v>6.3</v>
      </c>
      <c r="N40" s="104">
        <v>7</v>
      </c>
      <c r="O40" s="57">
        <v>7000</v>
      </c>
      <c r="P40" s="58">
        <f t="shared" si="0"/>
        <v>49000</v>
      </c>
    </row>
    <row r="41" spans="1:16" ht="24.75" customHeight="1" x14ac:dyDescent="0.2">
      <c r="A41" s="100"/>
      <c r="B41" s="100"/>
      <c r="C41" s="15" t="s">
        <v>943</v>
      </c>
      <c r="D41" s="70" t="s">
        <v>57</v>
      </c>
      <c r="E41" s="12">
        <v>44537</v>
      </c>
      <c r="F41" s="68" t="s">
        <v>71</v>
      </c>
      <c r="G41" s="12">
        <v>44543</v>
      </c>
      <c r="H41" s="125" t="s">
        <v>903</v>
      </c>
      <c r="I41" s="15">
        <v>80</v>
      </c>
      <c r="J41" s="15">
        <v>57</v>
      </c>
      <c r="K41" s="15">
        <v>20</v>
      </c>
      <c r="L41" s="15">
        <v>13</v>
      </c>
      <c r="M41" s="126">
        <v>22.8</v>
      </c>
      <c r="N41" s="104">
        <v>22.8</v>
      </c>
      <c r="O41" s="57">
        <v>7000</v>
      </c>
      <c r="P41" s="58">
        <f t="shared" si="0"/>
        <v>159600</v>
      </c>
    </row>
    <row r="42" spans="1:16" ht="24.75" customHeight="1" x14ac:dyDescent="0.2">
      <c r="A42" s="100"/>
      <c r="B42" s="100"/>
      <c r="C42" s="15" t="s">
        <v>944</v>
      </c>
      <c r="D42" s="70" t="s">
        <v>57</v>
      </c>
      <c r="E42" s="12">
        <v>44537</v>
      </c>
      <c r="F42" s="68" t="s">
        <v>71</v>
      </c>
      <c r="G42" s="12">
        <v>44543</v>
      </c>
      <c r="H42" s="125" t="s">
        <v>903</v>
      </c>
      <c r="I42" s="15">
        <v>78</v>
      </c>
      <c r="J42" s="15">
        <v>58</v>
      </c>
      <c r="K42" s="15">
        <v>16</v>
      </c>
      <c r="L42" s="15">
        <v>5</v>
      </c>
      <c r="M42" s="126">
        <v>18.096</v>
      </c>
      <c r="N42" s="104">
        <v>18.096</v>
      </c>
      <c r="O42" s="57">
        <v>7000</v>
      </c>
      <c r="P42" s="58">
        <f t="shared" si="0"/>
        <v>126672</v>
      </c>
    </row>
    <row r="43" spans="1:16" ht="24.75" customHeight="1" x14ac:dyDescent="0.2">
      <c r="A43" s="100"/>
      <c r="B43" s="100"/>
      <c r="C43" s="15" t="s">
        <v>945</v>
      </c>
      <c r="D43" s="70" t="s">
        <v>57</v>
      </c>
      <c r="E43" s="12">
        <v>44537</v>
      </c>
      <c r="F43" s="68" t="s">
        <v>71</v>
      </c>
      <c r="G43" s="12">
        <v>44543</v>
      </c>
      <c r="H43" s="125" t="s">
        <v>903</v>
      </c>
      <c r="I43" s="15">
        <v>66</v>
      </c>
      <c r="J43" s="15">
        <v>58</v>
      </c>
      <c r="K43" s="15">
        <v>23</v>
      </c>
      <c r="L43" s="15">
        <v>6</v>
      </c>
      <c r="M43" s="126">
        <v>22.010999999999999</v>
      </c>
      <c r="N43" s="104">
        <v>22.010999999999999</v>
      </c>
      <c r="O43" s="57">
        <v>7000</v>
      </c>
      <c r="P43" s="58">
        <f t="shared" si="0"/>
        <v>154077</v>
      </c>
    </row>
    <row r="44" spans="1:16" ht="24.75" customHeight="1" x14ac:dyDescent="0.2">
      <c r="A44" s="100"/>
      <c r="B44" s="100"/>
      <c r="C44" s="15" t="s">
        <v>946</v>
      </c>
      <c r="D44" s="70" t="s">
        <v>57</v>
      </c>
      <c r="E44" s="12">
        <v>44537</v>
      </c>
      <c r="F44" s="68" t="s">
        <v>71</v>
      </c>
      <c r="G44" s="12">
        <v>44543</v>
      </c>
      <c r="H44" s="125" t="s">
        <v>903</v>
      </c>
      <c r="I44" s="15">
        <v>82</v>
      </c>
      <c r="J44" s="15">
        <v>57</v>
      </c>
      <c r="K44" s="15">
        <v>24</v>
      </c>
      <c r="L44" s="15">
        <v>17</v>
      </c>
      <c r="M44" s="126">
        <v>28.044</v>
      </c>
      <c r="N44" s="104">
        <v>28.044</v>
      </c>
      <c r="O44" s="57">
        <v>7000</v>
      </c>
      <c r="P44" s="58">
        <f t="shared" si="0"/>
        <v>196308</v>
      </c>
    </row>
    <row r="45" spans="1:16" ht="24.75" customHeight="1" x14ac:dyDescent="0.2">
      <c r="A45" s="100"/>
      <c r="B45" s="100"/>
      <c r="C45" s="15" t="s">
        <v>947</v>
      </c>
      <c r="D45" s="70" t="s">
        <v>57</v>
      </c>
      <c r="E45" s="12">
        <v>44537</v>
      </c>
      <c r="F45" s="68" t="s">
        <v>71</v>
      </c>
      <c r="G45" s="12">
        <v>44543</v>
      </c>
      <c r="H45" s="125" t="s">
        <v>903</v>
      </c>
      <c r="I45" s="15">
        <v>52</v>
      </c>
      <c r="J45" s="15">
        <v>54</v>
      </c>
      <c r="K45" s="15">
        <v>21</v>
      </c>
      <c r="L45" s="15">
        <v>9</v>
      </c>
      <c r="M45" s="126">
        <v>14.742000000000001</v>
      </c>
      <c r="N45" s="104">
        <v>14.742000000000001</v>
      </c>
      <c r="O45" s="57">
        <v>7000</v>
      </c>
      <c r="P45" s="58">
        <f t="shared" si="0"/>
        <v>103194</v>
      </c>
    </row>
    <row r="46" spans="1:16" ht="24.75" customHeight="1" x14ac:dyDescent="0.2">
      <c r="A46" s="100"/>
      <c r="B46" s="100"/>
      <c r="C46" s="15" t="s">
        <v>948</v>
      </c>
      <c r="D46" s="70" t="s">
        <v>57</v>
      </c>
      <c r="E46" s="12">
        <v>44537</v>
      </c>
      <c r="F46" s="68" t="s">
        <v>71</v>
      </c>
      <c r="G46" s="12">
        <v>44543</v>
      </c>
      <c r="H46" s="125" t="s">
        <v>903</v>
      </c>
      <c r="I46" s="15">
        <v>62</v>
      </c>
      <c r="J46" s="15">
        <v>45</v>
      </c>
      <c r="K46" s="15">
        <v>16</v>
      </c>
      <c r="L46" s="15">
        <v>3</v>
      </c>
      <c r="M46" s="126">
        <v>11.16</v>
      </c>
      <c r="N46" s="104">
        <v>11.16</v>
      </c>
      <c r="O46" s="57">
        <v>7000</v>
      </c>
      <c r="P46" s="58">
        <f t="shared" si="0"/>
        <v>78120</v>
      </c>
    </row>
    <row r="47" spans="1:16" ht="24.75" customHeight="1" x14ac:dyDescent="0.2">
      <c r="A47" s="100"/>
      <c r="B47" s="100"/>
      <c r="C47" s="15" t="s">
        <v>949</v>
      </c>
      <c r="D47" s="70" t="s">
        <v>57</v>
      </c>
      <c r="E47" s="12">
        <v>44537</v>
      </c>
      <c r="F47" s="68" t="s">
        <v>71</v>
      </c>
      <c r="G47" s="12">
        <v>44543</v>
      </c>
      <c r="H47" s="125" t="s">
        <v>903</v>
      </c>
      <c r="I47" s="15">
        <v>67</v>
      </c>
      <c r="J47" s="15">
        <v>60</v>
      </c>
      <c r="K47" s="15">
        <v>38</v>
      </c>
      <c r="L47" s="15">
        <v>10</v>
      </c>
      <c r="M47" s="126">
        <v>38.19</v>
      </c>
      <c r="N47" s="104">
        <v>38.19</v>
      </c>
      <c r="O47" s="57">
        <v>7000</v>
      </c>
      <c r="P47" s="58">
        <f t="shared" si="0"/>
        <v>267330</v>
      </c>
    </row>
    <row r="48" spans="1:16" ht="24.75" customHeight="1" x14ac:dyDescent="0.2">
      <c r="A48" s="100"/>
      <c r="B48" s="100"/>
      <c r="C48" s="15" t="s">
        <v>950</v>
      </c>
      <c r="D48" s="70" t="s">
        <v>57</v>
      </c>
      <c r="E48" s="12">
        <v>44537</v>
      </c>
      <c r="F48" s="68" t="s">
        <v>71</v>
      </c>
      <c r="G48" s="12">
        <v>44543</v>
      </c>
      <c r="H48" s="125" t="s">
        <v>903</v>
      </c>
      <c r="I48" s="15">
        <v>87</v>
      </c>
      <c r="J48" s="15">
        <v>60</v>
      </c>
      <c r="K48" s="15">
        <v>22</v>
      </c>
      <c r="L48" s="15">
        <v>11</v>
      </c>
      <c r="M48" s="126">
        <v>28.71</v>
      </c>
      <c r="N48" s="104">
        <v>28.71</v>
      </c>
      <c r="O48" s="57">
        <v>7000</v>
      </c>
      <c r="P48" s="58">
        <f t="shared" si="0"/>
        <v>200970</v>
      </c>
    </row>
    <row r="49" spans="1:16" ht="24.75" customHeight="1" x14ac:dyDescent="0.2">
      <c r="A49" s="100"/>
      <c r="B49" s="100"/>
      <c r="C49" s="15" t="s">
        <v>951</v>
      </c>
      <c r="D49" s="70" t="s">
        <v>57</v>
      </c>
      <c r="E49" s="12">
        <v>44537</v>
      </c>
      <c r="F49" s="68" t="s">
        <v>71</v>
      </c>
      <c r="G49" s="12">
        <v>44543</v>
      </c>
      <c r="H49" s="125" t="s">
        <v>903</v>
      </c>
      <c r="I49" s="15">
        <v>80</v>
      </c>
      <c r="J49" s="15">
        <v>58</v>
      </c>
      <c r="K49" s="15">
        <v>32</v>
      </c>
      <c r="L49" s="15">
        <v>19</v>
      </c>
      <c r="M49" s="126">
        <v>37.119999999999997</v>
      </c>
      <c r="N49" s="104">
        <v>37.119999999999997</v>
      </c>
      <c r="O49" s="57">
        <v>7000</v>
      </c>
      <c r="P49" s="58">
        <f t="shared" si="0"/>
        <v>259839.99999999997</v>
      </c>
    </row>
    <row r="50" spans="1:16" ht="24.75" customHeight="1" x14ac:dyDescent="0.2">
      <c r="A50" s="100"/>
      <c r="B50" s="100"/>
      <c r="C50" s="15" t="s">
        <v>952</v>
      </c>
      <c r="D50" s="70" t="s">
        <v>57</v>
      </c>
      <c r="E50" s="12">
        <v>44537</v>
      </c>
      <c r="F50" s="68" t="s">
        <v>71</v>
      </c>
      <c r="G50" s="12">
        <v>44543</v>
      </c>
      <c r="H50" s="125" t="s">
        <v>903</v>
      </c>
      <c r="I50" s="15">
        <v>47</v>
      </c>
      <c r="J50" s="15">
        <v>30</v>
      </c>
      <c r="K50" s="15">
        <v>10</v>
      </c>
      <c r="L50" s="15">
        <v>4</v>
      </c>
      <c r="M50" s="126">
        <v>3.5249999999999999</v>
      </c>
      <c r="N50" s="104">
        <v>4</v>
      </c>
      <c r="O50" s="57">
        <v>7000</v>
      </c>
      <c r="P50" s="58">
        <f t="shared" si="0"/>
        <v>28000</v>
      </c>
    </row>
    <row r="51" spans="1:16" ht="24.75" customHeight="1" x14ac:dyDescent="0.2">
      <c r="A51" s="100"/>
      <c r="B51" s="100"/>
      <c r="C51" s="15" t="s">
        <v>953</v>
      </c>
      <c r="D51" s="70" t="s">
        <v>57</v>
      </c>
      <c r="E51" s="12">
        <v>44537</v>
      </c>
      <c r="F51" s="68" t="s">
        <v>71</v>
      </c>
      <c r="G51" s="12">
        <v>44543</v>
      </c>
      <c r="H51" s="125" t="s">
        <v>903</v>
      </c>
      <c r="I51" s="15">
        <v>35</v>
      </c>
      <c r="J51" s="15">
        <v>30</v>
      </c>
      <c r="K51" s="15">
        <v>11</v>
      </c>
      <c r="L51" s="15">
        <v>5</v>
      </c>
      <c r="M51" s="126">
        <v>2.8875000000000002</v>
      </c>
      <c r="N51" s="104">
        <v>5</v>
      </c>
      <c r="O51" s="57">
        <v>7000</v>
      </c>
      <c r="P51" s="58">
        <f t="shared" si="0"/>
        <v>35000</v>
      </c>
    </row>
    <row r="52" spans="1:16" ht="24.75" customHeight="1" x14ac:dyDescent="0.2">
      <c r="A52" s="100"/>
      <c r="B52" s="100"/>
      <c r="C52" s="15" t="s">
        <v>954</v>
      </c>
      <c r="D52" s="70" t="s">
        <v>57</v>
      </c>
      <c r="E52" s="12">
        <v>44537</v>
      </c>
      <c r="F52" s="68" t="s">
        <v>71</v>
      </c>
      <c r="G52" s="12">
        <v>44543</v>
      </c>
      <c r="H52" s="125" t="s">
        <v>903</v>
      </c>
      <c r="I52" s="15">
        <v>52</v>
      </c>
      <c r="J52" s="15">
        <v>62</v>
      </c>
      <c r="K52" s="15">
        <v>14</v>
      </c>
      <c r="L52" s="15">
        <v>4</v>
      </c>
      <c r="M52" s="126">
        <v>11.284000000000001</v>
      </c>
      <c r="N52" s="104">
        <v>11.284000000000001</v>
      </c>
      <c r="O52" s="57">
        <v>7000</v>
      </c>
      <c r="P52" s="58">
        <f t="shared" si="0"/>
        <v>78988</v>
      </c>
    </row>
    <row r="53" spans="1:16" ht="24.75" customHeight="1" x14ac:dyDescent="0.2">
      <c r="A53" s="100"/>
      <c r="B53" s="100"/>
      <c r="C53" s="15" t="s">
        <v>955</v>
      </c>
      <c r="D53" s="70" t="s">
        <v>57</v>
      </c>
      <c r="E53" s="12">
        <v>44537</v>
      </c>
      <c r="F53" s="68" t="s">
        <v>71</v>
      </c>
      <c r="G53" s="12">
        <v>44543</v>
      </c>
      <c r="H53" s="125" t="s">
        <v>903</v>
      </c>
      <c r="I53" s="15">
        <v>54</v>
      </c>
      <c r="J53" s="15">
        <v>33</v>
      </c>
      <c r="K53" s="15">
        <v>28</v>
      </c>
      <c r="L53" s="15">
        <v>11</v>
      </c>
      <c r="M53" s="126">
        <v>12.474</v>
      </c>
      <c r="N53" s="104">
        <v>13</v>
      </c>
      <c r="O53" s="57">
        <v>7000</v>
      </c>
      <c r="P53" s="58">
        <f t="shared" si="0"/>
        <v>91000</v>
      </c>
    </row>
    <row r="54" spans="1:16" ht="24.75" customHeight="1" x14ac:dyDescent="0.2">
      <c r="A54" s="100"/>
      <c r="B54" s="100"/>
      <c r="C54" s="15" t="s">
        <v>956</v>
      </c>
      <c r="D54" s="70" t="s">
        <v>57</v>
      </c>
      <c r="E54" s="12">
        <v>44537</v>
      </c>
      <c r="F54" s="68" t="s">
        <v>71</v>
      </c>
      <c r="G54" s="12">
        <v>44543</v>
      </c>
      <c r="H54" s="125" t="s">
        <v>903</v>
      </c>
      <c r="I54" s="15">
        <v>55</v>
      </c>
      <c r="J54" s="15">
        <v>42</v>
      </c>
      <c r="K54" s="15">
        <v>23</v>
      </c>
      <c r="L54" s="15">
        <v>3</v>
      </c>
      <c r="M54" s="126">
        <v>13.282500000000001</v>
      </c>
      <c r="N54" s="104">
        <v>13.282500000000001</v>
      </c>
      <c r="O54" s="57">
        <v>7000</v>
      </c>
      <c r="P54" s="58">
        <f t="shared" si="0"/>
        <v>92977.5</v>
      </c>
    </row>
    <row r="55" spans="1:16" ht="24.75" customHeight="1" x14ac:dyDescent="0.2">
      <c r="A55" s="100"/>
      <c r="B55" s="100"/>
      <c r="C55" s="15" t="s">
        <v>957</v>
      </c>
      <c r="D55" s="70" t="s">
        <v>57</v>
      </c>
      <c r="E55" s="12">
        <v>44537</v>
      </c>
      <c r="F55" s="68" t="s">
        <v>71</v>
      </c>
      <c r="G55" s="12">
        <v>44543</v>
      </c>
      <c r="H55" s="125" t="s">
        <v>903</v>
      </c>
      <c r="I55" s="15">
        <v>78</v>
      </c>
      <c r="J55" s="15">
        <v>62</v>
      </c>
      <c r="K55" s="15">
        <v>23</v>
      </c>
      <c r="L55" s="15">
        <v>14</v>
      </c>
      <c r="M55" s="126">
        <v>27.806999999999999</v>
      </c>
      <c r="N55" s="104">
        <v>27.806999999999999</v>
      </c>
      <c r="O55" s="57">
        <v>7000</v>
      </c>
      <c r="P55" s="58">
        <f t="shared" si="0"/>
        <v>194649</v>
      </c>
    </row>
    <row r="56" spans="1:16" ht="24.75" customHeight="1" x14ac:dyDescent="0.2">
      <c r="A56" s="100"/>
      <c r="B56" s="100"/>
      <c r="C56" s="15" t="s">
        <v>958</v>
      </c>
      <c r="D56" s="70" t="s">
        <v>57</v>
      </c>
      <c r="E56" s="12">
        <v>44537</v>
      </c>
      <c r="F56" s="68" t="s">
        <v>71</v>
      </c>
      <c r="G56" s="12">
        <v>44543</v>
      </c>
      <c r="H56" s="125" t="s">
        <v>903</v>
      </c>
      <c r="I56" s="15">
        <v>85</v>
      </c>
      <c r="J56" s="15">
        <v>62</v>
      </c>
      <c r="K56" s="15">
        <v>26</v>
      </c>
      <c r="L56" s="15">
        <v>16</v>
      </c>
      <c r="M56" s="126">
        <v>34.255000000000003</v>
      </c>
      <c r="N56" s="104">
        <v>34.255000000000003</v>
      </c>
      <c r="O56" s="57">
        <v>7000</v>
      </c>
      <c r="P56" s="58">
        <f t="shared" si="0"/>
        <v>239785.00000000003</v>
      </c>
    </row>
    <row r="57" spans="1:16" ht="24.75" customHeight="1" x14ac:dyDescent="0.2">
      <c r="A57" s="100"/>
      <c r="B57" s="100"/>
      <c r="C57" s="15" t="s">
        <v>959</v>
      </c>
      <c r="D57" s="70" t="s">
        <v>57</v>
      </c>
      <c r="E57" s="12">
        <v>44537</v>
      </c>
      <c r="F57" s="68" t="s">
        <v>71</v>
      </c>
      <c r="G57" s="12">
        <v>44543</v>
      </c>
      <c r="H57" s="125" t="s">
        <v>903</v>
      </c>
      <c r="I57" s="15">
        <v>64</v>
      </c>
      <c r="J57" s="15">
        <v>60</v>
      </c>
      <c r="K57" s="15">
        <v>17</v>
      </c>
      <c r="L57" s="15">
        <v>7</v>
      </c>
      <c r="M57" s="126">
        <v>16.32</v>
      </c>
      <c r="N57" s="104">
        <v>17</v>
      </c>
      <c r="O57" s="57">
        <v>7000</v>
      </c>
      <c r="P57" s="58">
        <f t="shared" si="0"/>
        <v>119000</v>
      </c>
    </row>
    <row r="58" spans="1:16" ht="24.75" customHeight="1" x14ac:dyDescent="0.2">
      <c r="A58" s="100"/>
      <c r="B58" s="100"/>
      <c r="C58" s="15" t="s">
        <v>960</v>
      </c>
      <c r="D58" s="70" t="s">
        <v>57</v>
      </c>
      <c r="E58" s="12">
        <v>44537</v>
      </c>
      <c r="F58" s="68" t="s">
        <v>71</v>
      </c>
      <c r="G58" s="12">
        <v>44543</v>
      </c>
      <c r="H58" s="125" t="s">
        <v>903</v>
      </c>
      <c r="I58" s="15">
        <v>57</v>
      </c>
      <c r="J58" s="15">
        <v>42</v>
      </c>
      <c r="K58" s="15">
        <v>28</v>
      </c>
      <c r="L58" s="15">
        <v>9</v>
      </c>
      <c r="M58" s="126">
        <v>16.757999999999999</v>
      </c>
      <c r="N58" s="104">
        <v>16.757999999999999</v>
      </c>
      <c r="O58" s="57">
        <v>7000</v>
      </c>
      <c r="P58" s="58">
        <f t="shared" si="0"/>
        <v>117306</v>
      </c>
    </row>
    <row r="59" spans="1:16" ht="24.75" customHeight="1" x14ac:dyDescent="0.2">
      <c r="A59" s="100"/>
      <c r="B59" s="100"/>
      <c r="C59" s="15" t="s">
        <v>961</v>
      </c>
      <c r="D59" s="70" t="s">
        <v>57</v>
      </c>
      <c r="E59" s="12">
        <v>44537</v>
      </c>
      <c r="F59" s="68" t="s">
        <v>71</v>
      </c>
      <c r="G59" s="12">
        <v>44543</v>
      </c>
      <c r="H59" s="125" t="s">
        <v>903</v>
      </c>
      <c r="I59" s="15">
        <v>92</v>
      </c>
      <c r="J59" s="15">
        <v>60</v>
      </c>
      <c r="K59" s="15">
        <v>26</v>
      </c>
      <c r="L59" s="15">
        <v>10</v>
      </c>
      <c r="M59" s="126">
        <v>35.880000000000003</v>
      </c>
      <c r="N59" s="104">
        <v>35.880000000000003</v>
      </c>
      <c r="O59" s="57">
        <v>7000</v>
      </c>
      <c r="P59" s="58">
        <f t="shared" si="0"/>
        <v>251160.00000000003</v>
      </c>
    </row>
    <row r="60" spans="1:16" ht="24.75" customHeight="1" x14ac:dyDescent="0.2">
      <c r="A60" s="100"/>
      <c r="B60" s="100"/>
      <c r="C60" s="15" t="s">
        <v>962</v>
      </c>
      <c r="D60" s="70" t="s">
        <v>57</v>
      </c>
      <c r="E60" s="12">
        <v>44537</v>
      </c>
      <c r="F60" s="68" t="s">
        <v>71</v>
      </c>
      <c r="G60" s="12">
        <v>44543</v>
      </c>
      <c r="H60" s="125" t="s">
        <v>903</v>
      </c>
      <c r="I60" s="15">
        <v>62</v>
      </c>
      <c r="J60" s="15">
        <v>42</v>
      </c>
      <c r="K60" s="15">
        <v>20</v>
      </c>
      <c r="L60" s="15">
        <v>9</v>
      </c>
      <c r="M60" s="126">
        <v>13.02</v>
      </c>
      <c r="N60" s="104">
        <v>13.02</v>
      </c>
      <c r="O60" s="57">
        <v>7000</v>
      </c>
      <c r="P60" s="58">
        <f t="shared" si="0"/>
        <v>91140</v>
      </c>
    </row>
    <row r="61" spans="1:16" ht="24.75" customHeight="1" x14ac:dyDescent="0.2">
      <c r="A61" s="100"/>
      <c r="B61" s="100"/>
      <c r="C61" s="15" t="s">
        <v>963</v>
      </c>
      <c r="D61" s="70" t="s">
        <v>57</v>
      </c>
      <c r="E61" s="12">
        <v>44537</v>
      </c>
      <c r="F61" s="68" t="s">
        <v>71</v>
      </c>
      <c r="G61" s="12">
        <v>44543</v>
      </c>
      <c r="H61" s="125" t="s">
        <v>903</v>
      </c>
      <c r="I61" s="15">
        <v>92</v>
      </c>
      <c r="J61" s="15">
        <v>57</v>
      </c>
      <c r="K61" s="15">
        <v>37</v>
      </c>
      <c r="L61" s="15">
        <v>15</v>
      </c>
      <c r="M61" s="126">
        <v>48.506999999999998</v>
      </c>
      <c r="N61" s="104">
        <v>48.506999999999998</v>
      </c>
      <c r="O61" s="57">
        <v>7000</v>
      </c>
      <c r="P61" s="58">
        <f t="shared" si="0"/>
        <v>339549</v>
      </c>
    </row>
    <row r="62" spans="1:16" ht="24.75" customHeight="1" x14ac:dyDescent="0.2">
      <c r="A62" s="100"/>
      <c r="B62" s="100"/>
      <c r="C62" s="15" t="s">
        <v>964</v>
      </c>
      <c r="D62" s="70" t="s">
        <v>57</v>
      </c>
      <c r="E62" s="12">
        <v>44537</v>
      </c>
      <c r="F62" s="68" t="s">
        <v>71</v>
      </c>
      <c r="G62" s="12">
        <v>44543</v>
      </c>
      <c r="H62" s="125" t="s">
        <v>903</v>
      </c>
      <c r="I62" s="15">
        <v>94</v>
      </c>
      <c r="J62" s="15">
        <v>55</v>
      </c>
      <c r="K62" s="15">
        <v>27</v>
      </c>
      <c r="L62" s="15">
        <v>10</v>
      </c>
      <c r="M62" s="126">
        <v>34.897500000000001</v>
      </c>
      <c r="N62" s="104">
        <v>34.897500000000001</v>
      </c>
      <c r="O62" s="57">
        <v>7000</v>
      </c>
      <c r="P62" s="58">
        <f t="shared" si="0"/>
        <v>244282.5</v>
      </c>
    </row>
    <row r="63" spans="1:16" ht="24.75" customHeight="1" x14ac:dyDescent="0.2">
      <c r="A63" s="100"/>
      <c r="B63" s="100"/>
      <c r="C63" s="15" t="s">
        <v>965</v>
      </c>
      <c r="D63" s="70" t="s">
        <v>57</v>
      </c>
      <c r="E63" s="12">
        <v>44537</v>
      </c>
      <c r="F63" s="68" t="s">
        <v>71</v>
      </c>
      <c r="G63" s="12">
        <v>44543</v>
      </c>
      <c r="H63" s="125" t="s">
        <v>903</v>
      </c>
      <c r="I63" s="15">
        <v>78</v>
      </c>
      <c r="J63" s="15">
        <v>22</v>
      </c>
      <c r="K63" s="15">
        <v>20</v>
      </c>
      <c r="L63" s="15">
        <v>10</v>
      </c>
      <c r="M63" s="126">
        <v>8.58</v>
      </c>
      <c r="N63" s="104">
        <v>10</v>
      </c>
      <c r="O63" s="57">
        <v>7000</v>
      </c>
      <c r="P63" s="58">
        <f t="shared" si="0"/>
        <v>70000</v>
      </c>
    </row>
    <row r="64" spans="1:16" ht="24.75" customHeight="1" x14ac:dyDescent="0.2">
      <c r="A64" s="100"/>
      <c r="B64" s="100"/>
      <c r="C64" s="15" t="s">
        <v>966</v>
      </c>
      <c r="D64" s="70" t="s">
        <v>57</v>
      </c>
      <c r="E64" s="12">
        <v>44537</v>
      </c>
      <c r="F64" s="68" t="s">
        <v>71</v>
      </c>
      <c r="G64" s="12">
        <v>44543</v>
      </c>
      <c r="H64" s="125" t="s">
        <v>903</v>
      </c>
      <c r="I64" s="15">
        <v>82</v>
      </c>
      <c r="J64" s="15">
        <v>60</v>
      </c>
      <c r="K64" s="15">
        <v>24</v>
      </c>
      <c r="L64" s="15">
        <v>22</v>
      </c>
      <c r="M64" s="126">
        <v>29.52</v>
      </c>
      <c r="N64" s="104">
        <v>29.52</v>
      </c>
      <c r="O64" s="57">
        <v>7000</v>
      </c>
      <c r="P64" s="58">
        <f t="shared" si="0"/>
        <v>206640</v>
      </c>
    </row>
    <row r="65" spans="1:16" ht="24.75" customHeight="1" x14ac:dyDescent="0.2">
      <c r="A65" s="100"/>
      <c r="B65" s="100"/>
      <c r="C65" s="15" t="s">
        <v>967</v>
      </c>
      <c r="D65" s="70" t="s">
        <v>57</v>
      </c>
      <c r="E65" s="12">
        <v>44537</v>
      </c>
      <c r="F65" s="68" t="s">
        <v>71</v>
      </c>
      <c r="G65" s="12">
        <v>44543</v>
      </c>
      <c r="H65" s="125" t="s">
        <v>903</v>
      </c>
      <c r="I65" s="15">
        <v>72</v>
      </c>
      <c r="J65" s="15">
        <v>58</v>
      </c>
      <c r="K65" s="15">
        <v>32</v>
      </c>
      <c r="L65" s="15">
        <v>7</v>
      </c>
      <c r="M65" s="126">
        <v>33.408000000000001</v>
      </c>
      <c r="N65" s="104">
        <v>34</v>
      </c>
      <c r="O65" s="57">
        <v>7000</v>
      </c>
      <c r="P65" s="58">
        <f t="shared" si="0"/>
        <v>238000</v>
      </c>
    </row>
    <row r="66" spans="1:16" ht="24.75" customHeight="1" x14ac:dyDescent="0.2">
      <c r="A66" s="100"/>
      <c r="B66" s="100"/>
      <c r="C66" s="15" t="s">
        <v>968</v>
      </c>
      <c r="D66" s="70" t="s">
        <v>57</v>
      </c>
      <c r="E66" s="12">
        <v>44537</v>
      </c>
      <c r="F66" s="68" t="s">
        <v>71</v>
      </c>
      <c r="G66" s="12">
        <v>44543</v>
      </c>
      <c r="H66" s="125" t="s">
        <v>903</v>
      </c>
      <c r="I66" s="15">
        <v>58</v>
      </c>
      <c r="J66" s="15">
        <v>37</v>
      </c>
      <c r="K66" s="15">
        <v>27</v>
      </c>
      <c r="L66" s="15">
        <v>7</v>
      </c>
      <c r="M66" s="126">
        <v>14.4855</v>
      </c>
      <c r="N66" s="104">
        <v>15</v>
      </c>
      <c r="O66" s="57">
        <v>7000</v>
      </c>
      <c r="P66" s="58">
        <f t="shared" si="0"/>
        <v>105000</v>
      </c>
    </row>
    <row r="67" spans="1:16" ht="24.75" customHeight="1" x14ac:dyDescent="0.2">
      <c r="A67" s="100"/>
      <c r="B67" s="100"/>
      <c r="C67" s="15" t="s">
        <v>969</v>
      </c>
      <c r="D67" s="70" t="s">
        <v>57</v>
      </c>
      <c r="E67" s="12">
        <v>44537</v>
      </c>
      <c r="F67" s="68" t="s">
        <v>71</v>
      </c>
      <c r="G67" s="12">
        <v>44543</v>
      </c>
      <c r="H67" s="125" t="s">
        <v>903</v>
      </c>
      <c r="I67" s="15">
        <v>67</v>
      </c>
      <c r="J67" s="15">
        <v>60</v>
      </c>
      <c r="K67" s="15">
        <v>24</v>
      </c>
      <c r="L67" s="15">
        <v>13</v>
      </c>
      <c r="M67" s="126">
        <v>24.12</v>
      </c>
      <c r="N67" s="104">
        <v>24.12</v>
      </c>
      <c r="O67" s="57">
        <v>7000</v>
      </c>
      <c r="P67" s="58">
        <f t="shared" ref="P67:P100" si="1">N67*O67</f>
        <v>168840</v>
      </c>
    </row>
    <row r="68" spans="1:16" ht="24.75" customHeight="1" x14ac:dyDescent="0.2">
      <c r="A68" s="100"/>
      <c r="B68" s="100"/>
      <c r="C68" s="15" t="s">
        <v>970</v>
      </c>
      <c r="D68" s="70" t="s">
        <v>57</v>
      </c>
      <c r="E68" s="12">
        <v>44537</v>
      </c>
      <c r="F68" s="68" t="s">
        <v>71</v>
      </c>
      <c r="G68" s="12">
        <v>44543</v>
      </c>
      <c r="H68" s="125" t="s">
        <v>903</v>
      </c>
      <c r="I68" s="15">
        <v>75</v>
      </c>
      <c r="J68" s="15">
        <v>36</v>
      </c>
      <c r="K68" s="15">
        <v>22</v>
      </c>
      <c r="L68" s="15">
        <v>4</v>
      </c>
      <c r="M68" s="126">
        <v>14.85</v>
      </c>
      <c r="N68" s="104">
        <v>14.85</v>
      </c>
      <c r="O68" s="57">
        <v>7000</v>
      </c>
      <c r="P68" s="58">
        <f t="shared" si="1"/>
        <v>103950</v>
      </c>
    </row>
    <row r="69" spans="1:16" ht="24.75" customHeight="1" x14ac:dyDescent="0.2">
      <c r="A69" s="100"/>
      <c r="B69" s="100"/>
      <c r="C69" s="15" t="s">
        <v>971</v>
      </c>
      <c r="D69" s="70" t="s">
        <v>57</v>
      </c>
      <c r="E69" s="12">
        <v>44537</v>
      </c>
      <c r="F69" s="68" t="s">
        <v>71</v>
      </c>
      <c r="G69" s="12">
        <v>44543</v>
      </c>
      <c r="H69" s="125" t="s">
        <v>903</v>
      </c>
      <c r="I69" s="15">
        <v>58</v>
      </c>
      <c r="J69" s="15">
        <v>42</v>
      </c>
      <c r="K69" s="15">
        <v>10</v>
      </c>
      <c r="L69" s="15">
        <v>3</v>
      </c>
      <c r="M69" s="126">
        <v>6.09</v>
      </c>
      <c r="N69" s="104">
        <v>6.09</v>
      </c>
      <c r="O69" s="57">
        <v>7000</v>
      </c>
      <c r="P69" s="58">
        <f t="shared" si="1"/>
        <v>42630</v>
      </c>
    </row>
    <row r="70" spans="1:16" ht="24.75" customHeight="1" x14ac:dyDescent="0.2">
      <c r="A70" s="100"/>
      <c r="B70" s="100"/>
      <c r="C70" s="15" t="s">
        <v>972</v>
      </c>
      <c r="D70" s="70" t="s">
        <v>57</v>
      </c>
      <c r="E70" s="12">
        <v>44537</v>
      </c>
      <c r="F70" s="68" t="s">
        <v>71</v>
      </c>
      <c r="G70" s="12">
        <v>44543</v>
      </c>
      <c r="H70" s="125" t="s">
        <v>903</v>
      </c>
      <c r="I70" s="15">
        <v>82</v>
      </c>
      <c r="J70" s="15">
        <v>67</v>
      </c>
      <c r="K70" s="15">
        <v>25</v>
      </c>
      <c r="L70" s="15">
        <v>16</v>
      </c>
      <c r="M70" s="126">
        <v>34.337499999999999</v>
      </c>
      <c r="N70" s="104">
        <v>35</v>
      </c>
      <c r="O70" s="57">
        <v>7000</v>
      </c>
      <c r="P70" s="58">
        <f t="shared" si="1"/>
        <v>245000</v>
      </c>
    </row>
    <row r="71" spans="1:16" ht="24.75" customHeight="1" x14ac:dyDescent="0.2">
      <c r="A71" s="100"/>
      <c r="B71" s="100"/>
      <c r="C71" s="15" t="s">
        <v>973</v>
      </c>
      <c r="D71" s="70" t="s">
        <v>57</v>
      </c>
      <c r="E71" s="12">
        <v>44537</v>
      </c>
      <c r="F71" s="68" t="s">
        <v>71</v>
      </c>
      <c r="G71" s="12">
        <v>44543</v>
      </c>
      <c r="H71" s="125" t="s">
        <v>903</v>
      </c>
      <c r="I71" s="15">
        <v>56</v>
      </c>
      <c r="J71" s="15">
        <v>32</v>
      </c>
      <c r="K71" s="15">
        <v>26</v>
      </c>
      <c r="L71" s="15">
        <v>8</v>
      </c>
      <c r="M71" s="126">
        <v>11.648</v>
      </c>
      <c r="N71" s="104">
        <v>11.648</v>
      </c>
      <c r="O71" s="57">
        <v>7000</v>
      </c>
      <c r="P71" s="58">
        <f t="shared" si="1"/>
        <v>81536</v>
      </c>
    </row>
    <row r="72" spans="1:16" ht="24.75" customHeight="1" x14ac:dyDescent="0.2">
      <c r="A72" s="100"/>
      <c r="B72" s="100"/>
      <c r="C72" s="15" t="s">
        <v>974</v>
      </c>
      <c r="D72" s="70" t="s">
        <v>57</v>
      </c>
      <c r="E72" s="12">
        <v>44537</v>
      </c>
      <c r="F72" s="68" t="s">
        <v>71</v>
      </c>
      <c r="G72" s="12">
        <v>44543</v>
      </c>
      <c r="H72" s="125" t="s">
        <v>903</v>
      </c>
      <c r="I72" s="15">
        <v>50</v>
      </c>
      <c r="J72" s="15">
        <v>37</v>
      </c>
      <c r="K72" s="15">
        <v>24</v>
      </c>
      <c r="L72" s="15">
        <v>9</v>
      </c>
      <c r="M72" s="126">
        <v>11.1</v>
      </c>
      <c r="N72" s="104">
        <v>11.1</v>
      </c>
      <c r="O72" s="57">
        <v>7000</v>
      </c>
      <c r="P72" s="58">
        <f t="shared" si="1"/>
        <v>77700</v>
      </c>
    </row>
    <row r="73" spans="1:16" ht="24.75" customHeight="1" x14ac:dyDescent="0.2">
      <c r="A73" s="100"/>
      <c r="B73" s="100"/>
      <c r="C73" s="15" t="s">
        <v>975</v>
      </c>
      <c r="D73" s="70" t="s">
        <v>57</v>
      </c>
      <c r="E73" s="12">
        <v>44537</v>
      </c>
      <c r="F73" s="68" t="s">
        <v>71</v>
      </c>
      <c r="G73" s="12">
        <v>44543</v>
      </c>
      <c r="H73" s="125" t="s">
        <v>903</v>
      </c>
      <c r="I73" s="15">
        <v>34</v>
      </c>
      <c r="J73" s="15">
        <v>24</v>
      </c>
      <c r="K73" s="15">
        <v>28</v>
      </c>
      <c r="L73" s="15">
        <v>4</v>
      </c>
      <c r="M73" s="126">
        <v>5.7119999999999997</v>
      </c>
      <c r="N73" s="104">
        <v>5.7119999999999997</v>
      </c>
      <c r="O73" s="57">
        <v>7000</v>
      </c>
      <c r="P73" s="58">
        <f t="shared" si="1"/>
        <v>39984</v>
      </c>
    </row>
    <row r="74" spans="1:16" ht="24.75" customHeight="1" x14ac:dyDescent="0.2">
      <c r="A74" s="100"/>
      <c r="B74" s="100"/>
      <c r="C74" s="15" t="s">
        <v>976</v>
      </c>
      <c r="D74" s="70" t="s">
        <v>57</v>
      </c>
      <c r="E74" s="12">
        <v>44537</v>
      </c>
      <c r="F74" s="68" t="s">
        <v>71</v>
      </c>
      <c r="G74" s="12">
        <v>44543</v>
      </c>
      <c r="H74" s="125" t="s">
        <v>903</v>
      </c>
      <c r="I74" s="15">
        <v>58</v>
      </c>
      <c r="J74" s="15">
        <v>48</v>
      </c>
      <c r="K74" s="15">
        <v>38</v>
      </c>
      <c r="L74" s="15">
        <v>22</v>
      </c>
      <c r="M74" s="126">
        <v>26.448</v>
      </c>
      <c r="N74" s="104">
        <v>27</v>
      </c>
      <c r="O74" s="57">
        <v>7000</v>
      </c>
      <c r="P74" s="58">
        <f t="shared" si="1"/>
        <v>189000</v>
      </c>
    </row>
    <row r="75" spans="1:16" ht="24.75" customHeight="1" x14ac:dyDescent="0.2">
      <c r="A75" s="100"/>
      <c r="B75" s="100"/>
      <c r="C75" s="15" t="s">
        <v>977</v>
      </c>
      <c r="D75" s="70" t="s">
        <v>57</v>
      </c>
      <c r="E75" s="12">
        <v>44537</v>
      </c>
      <c r="F75" s="68" t="s">
        <v>71</v>
      </c>
      <c r="G75" s="12">
        <v>44543</v>
      </c>
      <c r="H75" s="125" t="s">
        <v>903</v>
      </c>
      <c r="I75" s="15">
        <v>53</v>
      </c>
      <c r="J75" s="15">
        <v>37</v>
      </c>
      <c r="K75" s="15">
        <v>37</v>
      </c>
      <c r="L75" s="15">
        <v>9</v>
      </c>
      <c r="M75" s="126">
        <v>18.139250000000001</v>
      </c>
      <c r="N75" s="104">
        <v>18.139250000000001</v>
      </c>
      <c r="O75" s="57">
        <v>7000</v>
      </c>
      <c r="P75" s="58">
        <f t="shared" si="1"/>
        <v>126974.75</v>
      </c>
    </row>
    <row r="76" spans="1:16" ht="24.75" customHeight="1" x14ac:dyDescent="0.2">
      <c r="A76" s="100"/>
      <c r="B76" s="100"/>
      <c r="C76" s="15" t="s">
        <v>978</v>
      </c>
      <c r="D76" s="70" t="s">
        <v>57</v>
      </c>
      <c r="E76" s="12">
        <v>44537</v>
      </c>
      <c r="F76" s="68" t="s">
        <v>71</v>
      </c>
      <c r="G76" s="12">
        <v>44543</v>
      </c>
      <c r="H76" s="125" t="s">
        <v>903</v>
      </c>
      <c r="I76" s="15">
        <v>85</v>
      </c>
      <c r="J76" s="15">
        <v>62</v>
      </c>
      <c r="K76" s="15">
        <v>35</v>
      </c>
      <c r="L76" s="15">
        <v>22</v>
      </c>
      <c r="M76" s="126">
        <v>46.112499999999997</v>
      </c>
      <c r="N76" s="104">
        <v>46.112499999999997</v>
      </c>
      <c r="O76" s="57">
        <v>7000</v>
      </c>
      <c r="P76" s="58">
        <f t="shared" si="1"/>
        <v>322787.5</v>
      </c>
    </row>
    <row r="77" spans="1:16" ht="24.75" customHeight="1" x14ac:dyDescent="0.2">
      <c r="A77" s="100"/>
      <c r="B77" s="100"/>
      <c r="C77" s="15" t="s">
        <v>979</v>
      </c>
      <c r="D77" s="70" t="s">
        <v>57</v>
      </c>
      <c r="E77" s="12">
        <v>44537</v>
      </c>
      <c r="F77" s="68" t="s">
        <v>71</v>
      </c>
      <c r="G77" s="12">
        <v>44543</v>
      </c>
      <c r="H77" s="125" t="s">
        <v>903</v>
      </c>
      <c r="I77" s="15">
        <v>155</v>
      </c>
      <c r="J77" s="15">
        <v>46</v>
      </c>
      <c r="K77" s="15">
        <v>37</v>
      </c>
      <c r="L77" s="15">
        <v>12</v>
      </c>
      <c r="M77" s="126">
        <v>65.952500000000001</v>
      </c>
      <c r="N77" s="104">
        <v>65.952500000000001</v>
      </c>
      <c r="O77" s="57">
        <v>7000</v>
      </c>
      <c r="P77" s="58">
        <f t="shared" si="1"/>
        <v>461667.5</v>
      </c>
    </row>
    <row r="78" spans="1:16" ht="24.75" customHeight="1" x14ac:dyDescent="0.2">
      <c r="A78" s="100"/>
      <c r="B78" s="100"/>
      <c r="C78" s="15" t="s">
        <v>980</v>
      </c>
      <c r="D78" s="70" t="s">
        <v>57</v>
      </c>
      <c r="E78" s="12">
        <v>44537</v>
      </c>
      <c r="F78" s="68" t="s">
        <v>71</v>
      </c>
      <c r="G78" s="12">
        <v>44543</v>
      </c>
      <c r="H78" s="125" t="s">
        <v>903</v>
      </c>
      <c r="I78" s="15">
        <v>54</v>
      </c>
      <c r="J78" s="15">
        <v>42</v>
      </c>
      <c r="K78" s="15">
        <v>24</v>
      </c>
      <c r="L78" s="15">
        <v>4</v>
      </c>
      <c r="M78" s="126">
        <v>13.608000000000001</v>
      </c>
      <c r="N78" s="104">
        <v>13.608000000000001</v>
      </c>
      <c r="O78" s="57">
        <v>7000</v>
      </c>
      <c r="P78" s="58">
        <f t="shared" si="1"/>
        <v>95256</v>
      </c>
    </row>
    <row r="79" spans="1:16" ht="24.75" customHeight="1" x14ac:dyDescent="0.2">
      <c r="A79" s="100"/>
      <c r="B79" s="100"/>
      <c r="C79" s="15" t="s">
        <v>981</v>
      </c>
      <c r="D79" s="70" t="s">
        <v>57</v>
      </c>
      <c r="E79" s="12">
        <v>44537</v>
      </c>
      <c r="F79" s="68" t="s">
        <v>71</v>
      </c>
      <c r="G79" s="12">
        <v>44543</v>
      </c>
      <c r="H79" s="125" t="s">
        <v>903</v>
      </c>
      <c r="I79" s="15">
        <v>88</v>
      </c>
      <c r="J79" s="15">
        <v>52</v>
      </c>
      <c r="K79" s="15">
        <v>42</v>
      </c>
      <c r="L79" s="15">
        <v>21</v>
      </c>
      <c r="M79" s="126">
        <v>48.048000000000002</v>
      </c>
      <c r="N79" s="104">
        <v>48.048000000000002</v>
      </c>
      <c r="O79" s="57">
        <v>7000</v>
      </c>
      <c r="P79" s="58">
        <f t="shared" si="1"/>
        <v>336336</v>
      </c>
    </row>
    <row r="80" spans="1:16" ht="24.75" customHeight="1" x14ac:dyDescent="0.2">
      <c r="A80" s="100"/>
      <c r="B80" s="100"/>
      <c r="C80" s="15" t="s">
        <v>982</v>
      </c>
      <c r="D80" s="70" t="s">
        <v>57</v>
      </c>
      <c r="E80" s="12">
        <v>44537</v>
      </c>
      <c r="F80" s="68" t="s">
        <v>71</v>
      </c>
      <c r="G80" s="12">
        <v>44543</v>
      </c>
      <c r="H80" s="125" t="s">
        <v>903</v>
      </c>
      <c r="I80" s="15">
        <v>85</v>
      </c>
      <c r="J80" s="15">
        <v>50</v>
      </c>
      <c r="K80" s="15">
        <v>32</v>
      </c>
      <c r="L80" s="15">
        <v>13</v>
      </c>
      <c r="M80" s="126">
        <v>34</v>
      </c>
      <c r="N80" s="104">
        <v>34</v>
      </c>
      <c r="O80" s="57">
        <v>7000</v>
      </c>
      <c r="P80" s="58">
        <f t="shared" si="1"/>
        <v>238000</v>
      </c>
    </row>
    <row r="81" spans="1:16" ht="24.75" customHeight="1" x14ac:dyDescent="0.2">
      <c r="A81" s="100"/>
      <c r="B81" s="100"/>
      <c r="C81" s="15" t="s">
        <v>983</v>
      </c>
      <c r="D81" s="70" t="s">
        <v>57</v>
      </c>
      <c r="E81" s="12">
        <v>44537</v>
      </c>
      <c r="F81" s="68" t="s">
        <v>71</v>
      </c>
      <c r="G81" s="12">
        <v>44543</v>
      </c>
      <c r="H81" s="125" t="s">
        <v>903</v>
      </c>
      <c r="I81" s="15">
        <v>54</v>
      </c>
      <c r="J81" s="15">
        <v>56</v>
      </c>
      <c r="K81" s="15">
        <v>25</v>
      </c>
      <c r="L81" s="15">
        <v>8</v>
      </c>
      <c r="M81" s="126">
        <v>18.899999999999999</v>
      </c>
      <c r="N81" s="104">
        <v>18.899999999999999</v>
      </c>
      <c r="O81" s="57">
        <v>7000</v>
      </c>
      <c r="P81" s="58">
        <f t="shared" si="1"/>
        <v>132300</v>
      </c>
    </row>
    <row r="82" spans="1:16" ht="24.75" customHeight="1" x14ac:dyDescent="0.2">
      <c r="A82" s="100"/>
      <c r="B82" s="100"/>
      <c r="C82" s="15" t="s">
        <v>984</v>
      </c>
      <c r="D82" s="70" t="s">
        <v>57</v>
      </c>
      <c r="E82" s="12">
        <v>44537</v>
      </c>
      <c r="F82" s="68" t="s">
        <v>71</v>
      </c>
      <c r="G82" s="12">
        <v>44543</v>
      </c>
      <c r="H82" s="125" t="s">
        <v>903</v>
      </c>
      <c r="I82" s="15">
        <v>44</v>
      </c>
      <c r="J82" s="15">
        <v>64</v>
      </c>
      <c r="K82" s="15">
        <v>12</v>
      </c>
      <c r="L82" s="15">
        <v>4</v>
      </c>
      <c r="M82" s="126">
        <v>8.4480000000000004</v>
      </c>
      <c r="N82" s="104">
        <v>9</v>
      </c>
      <c r="O82" s="57">
        <v>7000</v>
      </c>
      <c r="P82" s="58">
        <f t="shared" si="1"/>
        <v>63000</v>
      </c>
    </row>
    <row r="83" spans="1:16" ht="24.75" customHeight="1" x14ac:dyDescent="0.2">
      <c r="A83" s="100"/>
      <c r="B83" s="100"/>
      <c r="C83" s="15" t="s">
        <v>985</v>
      </c>
      <c r="D83" s="70" t="s">
        <v>57</v>
      </c>
      <c r="E83" s="12">
        <v>44537</v>
      </c>
      <c r="F83" s="68" t="s">
        <v>71</v>
      </c>
      <c r="G83" s="12">
        <v>44543</v>
      </c>
      <c r="H83" s="125" t="s">
        <v>903</v>
      </c>
      <c r="I83" s="15">
        <v>77</v>
      </c>
      <c r="J83" s="15">
        <v>67</v>
      </c>
      <c r="K83" s="15">
        <v>18</v>
      </c>
      <c r="L83" s="15">
        <v>14</v>
      </c>
      <c r="M83" s="126">
        <v>23.215499999999999</v>
      </c>
      <c r="N83" s="104">
        <v>23.215499999999999</v>
      </c>
      <c r="O83" s="57">
        <v>7000</v>
      </c>
      <c r="P83" s="58">
        <f t="shared" si="1"/>
        <v>162508.5</v>
      </c>
    </row>
    <row r="84" spans="1:16" ht="24.75" customHeight="1" x14ac:dyDescent="0.2">
      <c r="A84" s="100"/>
      <c r="B84" s="100"/>
      <c r="C84" s="15" t="s">
        <v>986</v>
      </c>
      <c r="D84" s="70" t="s">
        <v>57</v>
      </c>
      <c r="E84" s="12">
        <v>44537</v>
      </c>
      <c r="F84" s="68" t="s">
        <v>71</v>
      </c>
      <c r="G84" s="12">
        <v>44543</v>
      </c>
      <c r="H84" s="125" t="s">
        <v>903</v>
      </c>
      <c r="I84" s="15">
        <v>40</v>
      </c>
      <c r="J84" s="15">
        <v>34</v>
      </c>
      <c r="K84" s="15">
        <v>14</v>
      </c>
      <c r="L84" s="15">
        <v>2</v>
      </c>
      <c r="M84" s="126">
        <v>4.76</v>
      </c>
      <c r="N84" s="104">
        <v>4.76</v>
      </c>
      <c r="O84" s="57">
        <v>7000</v>
      </c>
      <c r="P84" s="58">
        <f t="shared" si="1"/>
        <v>33320</v>
      </c>
    </row>
    <row r="85" spans="1:16" ht="24.75" customHeight="1" x14ac:dyDescent="0.2">
      <c r="A85" s="100"/>
      <c r="B85" s="100"/>
      <c r="C85" s="15" t="s">
        <v>987</v>
      </c>
      <c r="D85" s="70" t="s">
        <v>57</v>
      </c>
      <c r="E85" s="12">
        <v>44537</v>
      </c>
      <c r="F85" s="68" t="s">
        <v>71</v>
      </c>
      <c r="G85" s="12">
        <v>44543</v>
      </c>
      <c r="H85" s="125" t="s">
        <v>903</v>
      </c>
      <c r="I85" s="15">
        <v>44</v>
      </c>
      <c r="J85" s="15">
        <v>44</v>
      </c>
      <c r="K85" s="15">
        <v>10</v>
      </c>
      <c r="L85" s="15">
        <v>4</v>
      </c>
      <c r="M85" s="126">
        <v>4.84</v>
      </c>
      <c r="N85" s="104">
        <v>4.84</v>
      </c>
      <c r="O85" s="57">
        <v>7000</v>
      </c>
      <c r="P85" s="58">
        <f t="shared" si="1"/>
        <v>33880</v>
      </c>
    </row>
    <row r="86" spans="1:16" ht="24.75" customHeight="1" x14ac:dyDescent="0.2">
      <c r="A86" s="100"/>
      <c r="B86" s="100"/>
      <c r="C86" s="15" t="s">
        <v>988</v>
      </c>
      <c r="D86" s="70" t="s">
        <v>57</v>
      </c>
      <c r="E86" s="12">
        <v>44537</v>
      </c>
      <c r="F86" s="68" t="s">
        <v>71</v>
      </c>
      <c r="G86" s="12">
        <v>44543</v>
      </c>
      <c r="H86" s="125" t="s">
        <v>903</v>
      </c>
      <c r="I86" s="15">
        <v>41</v>
      </c>
      <c r="J86" s="15">
        <v>35</v>
      </c>
      <c r="K86" s="15">
        <v>15</v>
      </c>
      <c r="L86" s="15">
        <v>10</v>
      </c>
      <c r="M86" s="126">
        <v>5.3812499999999996</v>
      </c>
      <c r="N86" s="104">
        <v>11</v>
      </c>
      <c r="O86" s="57">
        <v>7000</v>
      </c>
      <c r="P86" s="58">
        <f t="shared" si="1"/>
        <v>77000</v>
      </c>
    </row>
    <row r="87" spans="1:16" ht="24.75" customHeight="1" x14ac:dyDescent="0.2">
      <c r="A87" s="100"/>
      <c r="B87" s="100"/>
      <c r="C87" s="15" t="s">
        <v>989</v>
      </c>
      <c r="D87" s="70" t="s">
        <v>57</v>
      </c>
      <c r="E87" s="12">
        <v>44537</v>
      </c>
      <c r="F87" s="68" t="s">
        <v>71</v>
      </c>
      <c r="G87" s="12">
        <v>44543</v>
      </c>
      <c r="H87" s="125" t="s">
        <v>903</v>
      </c>
      <c r="I87" s="15">
        <v>78</v>
      </c>
      <c r="J87" s="15">
        <v>30</v>
      </c>
      <c r="K87" s="15">
        <v>22</v>
      </c>
      <c r="L87" s="15">
        <v>8</v>
      </c>
      <c r="M87" s="126">
        <v>12.87</v>
      </c>
      <c r="N87" s="104">
        <v>12.87</v>
      </c>
      <c r="O87" s="57">
        <v>7000</v>
      </c>
      <c r="P87" s="58">
        <f t="shared" si="1"/>
        <v>90090</v>
      </c>
    </row>
    <row r="88" spans="1:16" ht="24.75" customHeight="1" x14ac:dyDescent="0.2">
      <c r="A88" s="100"/>
      <c r="B88" s="100"/>
      <c r="C88" s="15" t="s">
        <v>990</v>
      </c>
      <c r="D88" s="70" t="s">
        <v>57</v>
      </c>
      <c r="E88" s="12">
        <v>44537</v>
      </c>
      <c r="F88" s="68" t="s">
        <v>71</v>
      </c>
      <c r="G88" s="12">
        <v>44543</v>
      </c>
      <c r="H88" s="125" t="s">
        <v>903</v>
      </c>
      <c r="I88" s="15">
        <v>30</v>
      </c>
      <c r="J88" s="15">
        <v>30</v>
      </c>
      <c r="K88" s="15">
        <v>10</v>
      </c>
      <c r="L88" s="15">
        <v>1</v>
      </c>
      <c r="M88" s="126">
        <v>2.25</v>
      </c>
      <c r="N88" s="104">
        <v>2.25</v>
      </c>
      <c r="O88" s="57">
        <v>7000</v>
      </c>
      <c r="P88" s="58">
        <f t="shared" si="1"/>
        <v>15750</v>
      </c>
    </row>
    <row r="89" spans="1:16" ht="24.75" customHeight="1" x14ac:dyDescent="0.2">
      <c r="A89" s="100"/>
      <c r="B89" s="100"/>
      <c r="C89" s="15" t="s">
        <v>991</v>
      </c>
      <c r="D89" s="70" t="s">
        <v>57</v>
      </c>
      <c r="E89" s="12">
        <v>44537</v>
      </c>
      <c r="F89" s="68" t="s">
        <v>71</v>
      </c>
      <c r="G89" s="12">
        <v>44543</v>
      </c>
      <c r="H89" s="125" t="s">
        <v>903</v>
      </c>
      <c r="I89" s="15">
        <v>40</v>
      </c>
      <c r="J89" s="15">
        <v>24</v>
      </c>
      <c r="K89" s="15">
        <v>20</v>
      </c>
      <c r="L89" s="15">
        <v>5</v>
      </c>
      <c r="M89" s="126">
        <v>4.8</v>
      </c>
      <c r="N89" s="104">
        <v>5</v>
      </c>
      <c r="O89" s="57">
        <v>7000</v>
      </c>
      <c r="P89" s="58">
        <f t="shared" si="1"/>
        <v>35000</v>
      </c>
    </row>
    <row r="90" spans="1:16" ht="24.75" customHeight="1" x14ac:dyDescent="0.2">
      <c r="A90" s="100"/>
      <c r="B90" s="100"/>
      <c r="C90" s="15" t="s">
        <v>992</v>
      </c>
      <c r="D90" s="70" t="s">
        <v>57</v>
      </c>
      <c r="E90" s="12">
        <v>44537</v>
      </c>
      <c r="F90" s="68" t="s">
        <v>71</v>
      </c>
      <c r="G90" s="12">
        <v>44543</v>
      </c>
      <c r="H90" s="125" t="s">
        <v>903</v>
      </c>
      <c r="I90" s="15">
        <v>135</v>
      </c>
      <c r="J90" s="15">
        <v>28</v>
      </c>
      <c r="K90" s="15">
        <v>24</v>
      </c>
      <c r="L90" s="15">
        <v>6</v>
      </c>
      <c r="M90" s="126">
        <v>22.68</v>
      </c>
      <c r="N90" s="104">
        <v>22.68</v>
      </c>
      <c r="O90" s="57">
        <v>7000</v>
      </c>
      <c r="P90" s="58">
        <f t="shared" si="1"/>
        <v>158760</v>
      </c>
    </row>
    <row r="91" spans="1:16" ht="24.75" customHeight="1" x14ac:dyDescent="0.2">
      <c r="A91" s="100"/>
      <c r="B91" s="100"/>
      <c r="C91" s="15" t="s">
        <v>993</v>
      </c>
      <c r="D91" s="70" t="s">
        <v>57</v>
      </c>
      <c r="E91" s="12">
        <v>44537</v>
      </c>
      <c r="F91" s="68" t="s">
        <v>71</v>
      </c>
      <c r="G91" s="12">
        <v>44543</v>
      </c>
      <c r="H91" s="125" t="s">
        <v>903</v>
      </c>
      <c r="I91" s="15">
        <v>20</v>
      </c>
      <c r="J91" s="15">
        <v>17</v>
      </c>
      <c r="K91" s="15">
        <v>10</v>
      </c>
      <c r="L91" s="15">
        <v>1</v>
      </c>
      <c r="M91" s="126">
        <v>0.85</v>
      </c>
      <c r="N91" s="104">
        <v>1</v>
      </c>
      <c r="O91" s="57">
        <v>7000</v>
      </c>
      <c r="P91" s="58">
        <f t="shared" si="1"/>
        <v>7000</v>
      </c>
    </row>
    <row r="92" spans="1:16" ht="24.75" customHeight="1" x14ac:dyDescent="0.2">
      <c r="A92" s="100"/>
      <c r="B92" s="101"/>
      <c r="C92" s="15" t="s">
        <v>994</v>
      </c>
      <c r="D92" s="70" t="s">
        <v>57</v>
      </c>
      <c r="E92" s="12">
        <v>44537</v>
      </c>
      <c r="F92" s="68" t="s">
        <v>71</v>
      </c>
      <c r="G92" s="12">
        <v>44543</v>
      </c>
      <c r="H92" s="125" t="s">
        <v>903</v>
      </c>
      <c r="I92" s="15">
        <v>75</v>
      </c>
      <c r="J92" s="15">
        <v>55</v>
      </c>
      <c r="K92" s="15">
        <v>28</v>
      </c>
      <c r="L92" s="15">
        <v>18</v>
      </c>
      <c r="M92" s="126">
        <v>28.875</v>
      </c>
      <c r="N92" s="104">
        <v>28.875</v>
      </c>
      <c r="O92" s="57">
        <v>7000</v>
      </c>
      <c r="P92" s="58">
        <f t="shared" si="1"/>
        <v>202125</v>
      </c>
    </row>
    <row r="93" spans="1:16" ht="24.75" customHeight="1" x14ac:dyDescent="0.2">
      <c r="A93" s="100"/>
      <c r="B93" s="100" t="s">
        <v>995</v>
      </c>
      <c r="C93" s="15" t="s">
        <v>996</v>
      </c>
      <c r="D93" s="70" t="s">
        <v>57</v>
      </c>
      <c r="E93" s="12">
        <v>44537</v>
      </c>
      <c r="F93" s="68" t="s">
        <v>71</v>
      </c>
      <c r="G93" s="12">
        <v>44543</v>
      </c>
      <c r="H93" s="125" t="s">
        <v>903</v>
      </c>
      <c r="I93" s="15">
        <v>50</v>
      </c>
      <c r="J93" s="15">
        <v>55</v>
      </c>
      <c r="K93" s="15">
        <v>17</v>
      </c>
      <c r="L93" s="15">
        <v>4</v>
      </c>
      <c r="M93" s="126">
        <v>11.6875</v>
      </c>
      <c r="N93" s="104">
        <v>11.6875</v>
      </c>
      <c r="O93" s="57">
        <v>7000</v>
      </c>
      <c r="P93" s="58">
        <f t="shared" si="1"/>
        <v>81812.5</v>
      </c>
    </row>
    <row r="94" spans="1:16" ht="24.75" customHeight="1" x14ac:dyDescent="0.2">
      <c r="A94" s="100"/>
      <c r="B94" s="100"/>
      <c r="C94" s="15" t="s">
        <v>997</v>
      </c>
      <c r="D94" s="70" t="s">
        <v>57</v>
      </c>
      <c r="E94" s="12">
        <v>44537</v>
      </c>
      <c r="F94" s="68" t="s">
        <v>71</v>
      </c>
      <c r="G94" s="12">
        <v>44543</v>
      </c>
      <c r="H94" s="125" t="s">
        <v>903</v>
      </c>
      <c r="I94" s="15">
        <v>60</v>
      </c>
      <c r="J94" s="15">
        <v>44</v>
      </c>
      <c r="K94" s="15">
        <v>24</v>
      </c>
      <c r="L94" s="15">
        <v>1</v>
      </c>
      <c r="M94" s="126">
        <v>15.84</v>
      </c>
      <c r="N94" s="104">
        <v>15.84</v>
      </c>
      <c r="O94" s="57">
        <v>7000</v>
      </c>
      <c r="P94" s="58">
        <f t="shared" si="1"/>
        <v>110880</v>
      </c>
    </row>
    <row r="95" spans="1:16" ht="24.75" customHeight="1" x14ac:dyDescent="0.2">
      <c r="A95" s="100"/>
      <c r="B95" s="100"/>
      <c r="C95" s="15" t="s">
        <v>998</v>
      </c>
      <c r="D95" s="70" t="s">
        <v>57</v>
      </c>
      <c r="E95" s="12">
        <v>44537</v>
      </c>
      <c r="F95" s="68" t="s">
        <v>71</v>
      </c>
      <c r="G95" s="12">
        <v>44543</v>
      </c>
      <c r="H95" s="125" t="s">
        <v>903</v>
      </c>
      <c r="I95" s="15">
        <v>62</v>
      </c>
      <c r="J95" s="15">
        <v>42</v>
      </c>
      <c r="K95" s="15">
        <v>15</v>
      </c>
      <c r="L95" s="15">
        <v>4</v>
      </c>
      <c r="M95" s="126">
        <v>9.7650000000000006</v>
      </c>
      <c r="N95" s="104">
        <v>9.7650000000000006</v>
      </c>
      <c r="O95" s="57">
        <v>7000</v>
      </c>
      <c r="P95" s="58">
        <f t="shared" si="1"/>
        <v>68355</v>
      </c>
    </row>
    <row r="96" spans="1:16" ht="24.75" customHeight="1" x14ac:dyDescent="0.2">
      <c r="A96" s="100"/>
      <c r="B96" s="100"/>
      <c r="C96" s="15" t="s">
        <v>999</v>
      </c>
      <c r="D96" s="70" t="s">
        <v>57</v>
      </c>
      <c r="E96" s="12">
        <v>44537</v>
      </c>
      <c r="F96" s="68" t="s">
        <v>71</v>
      </c>
      <c r="G96" s="12">
        <v>44543</v>
      </c>
      <c r="H96" s="125" t="s">
        <v>903</v>
      </c>
      <c r="I96" s="15">
        <v>82</v>
      </c>
      <c r="J96" s="15">
        <v>54</v>
      </c>
      <c r="K96" s="15">
        <v>23</v>
      </c>
      <c r="L96" s="15">
        <v>17</v>
      </c>
      <c r="M96" s="126">
        <v>25.460999999999999</v>
      </c>
      <c r="N96" s="104">
        <v>26</v>
      </c>
      <c r="O96" s="57">
        <v>7000</v>
      </c>
      <c r="P96" s="58">
        <f t="shared" si="1"/>
        <v>182000</v>
      </c>
    </row>
    <row r="97" spans="1:16" ht="24.75" customHeight="1" x14ac:dyDescent="0.2">
      <c r="A97" s="100"/>
      <c r="B97" s="100"/>
      <c r="C97" s="15" t="s">
        <v>1000</v>
      </c>
      <c r="D97" s="70" t="s">
        <v>57</v>
      </c>
      <c r="E97" s="12">
        <v>44537</v>
      </c>
      <c r="F97" s="68" t="s">
        <v>71</v>
      </c>
      <c r="G97" s="12">
        <v>44543</v>
      </c>
      <c r="H97" s="125" t="s">
        <v>903</v>
      </c>
      <c r="I97" s="15">
        <v>70</v>
      </c>
      <c r="J97" s="15">
        <v>35</v>
      </c>
      <c r="K97" s="15">
        <v>35</v>
      </c>
      <c r="L97" s="15">
        <v>12</v>
      </c>
      <c r="M97" s="126">
        <v>21.4375</v>
      </c>
      <c r="N97" s="104">
        <v>22</v>
      </c>
      <c r="O97" s="57">
        <v>7000</v>
      </c>
      <c r="P97" s="58">
        <f t="shared" si="1"/>
        <v>154000</v>
      </c>
    </row>
    <row r="98" spans="1:16" ht="24.75" customHeight="1" x14ac:dyDescent="0.2">
      <c r="A98" s="100"/>
      <c r="B98" s="100"/>
      <c r="C98" s="15" t="s">
        <v>1001</v>
      </c>
      <c r="D98" s="70" t="s">
        <v>57</v>
      </c>
      <c r="E98" s="12">
        <v>44537</v>
      </c>
      <c r="F98" s="68" t="s">
        <v>71</v>
      </c>
      <c r="G98" s="12">
        <v>44543</v>
      </c>
      <c r="H98" s="125" t="s">
        <v>903</v>
      </c>
      <c r="I98" s="15">
        <v>70</v>
      </c>
      <c r="J98" s="15">
        <v>35</v>
      </c>
      <c r="K98" s="15">
        <v>35</v>
      </c>
      <c r="L98" s="15">
        <v>12</v>
      </c>
      <c r="M98" s="126">
        <v>21.4375</v>
      </c>
      <c r="N98" s="104">
        <v>22</v>
      </c>
      <c r="O98" s="57">
        <v>7000</v>
      </c>
      <c r="P98" s="58">
        <f t="shared" si="1"/>
        <v>154000</v>
      </c>
    </row>
    <row r="99" spans="1:16" ht="24.75" customHeight="1" x14ac:dyDescent="0.2">
      <c r="A99" s="100"/>
      <c r="B99" s="100"/>
      <c r="C99" s="15" t="s">
        <v>1002</v>
      </c>
      <c r="D99" s="70" t="s">
        <v>57</v>
      </c>
      <c r="E99" s="12">
        <v>44537</v>
      </c>
      <c r="F99" s="68" t="s">
        <v>71</v>
      </c>
      <c r="G99" s="12">
        <v>44543</v>
      </c>
      <c r="H99" s="125" t="s">
        <v>903</v>
      </c>
      <c r="I99" s="15">
        <v>52</v>
      </c>
      <c r="J99" s="15">
        <v>35</v>
      </c>
      <c r="K99" s="15">
        <v>25</v>
      </c>
      <c r="L99" s="15">
        <v>11</v>
      </c>
      <c r="M99" s="126">
        <v>11.375</v>
      </c>
      <c r="N99" s="104">
        <v>12</v>
      </c>
      <c r="O99" s="57">
        <v>7000</v>
      </c>
      <c r="P99" s="58">
        <f t="shared" si="1"/>
        <v>84000</v>
      </c>
    </row>
    <row r="100" spans="1:16" ht="24.75" customHeight="1" x14ac:dyDescent="0.2">
      <c r="A100" s="100"/>
      <c r="B100" s="100"/>
      <c r="C100" s="15" t="s">
        <v>1003</v>
      </c>
      <c r="D100" s="70" t="s">
        <v>57</v>
      </c>
      <c r="E100" s="12">
        <v>44537</v>
      </c>
      <c r="F100" s="68" t="s">
        <v>71</v>
      </c>
      <c r="G100" s="12">
        <v>44543</v>
      </c>
      <c r="H100" s="125" t="s">
        <v>903</v>
      </c>
      <c r="I100" s="15">
        <v>55</v>
      </c>
      <c r="J100" s="15">
        <v>40</v>
      </c>
      <c r="K100" s="15">
        <v>22</v>
      </c>
      <c r="L100" s="15">
        <v>13</v>
      </c>
      <c r="M100" s="126">
        <v>12.1</v>
      </c>
      <c r="N100" s="104">
        <v>13</v>
      </c>
      <c r="O100" s="57">
        <v>7000</v>
      </c>
      <c r="P100" s="58">
        <f t="shared" si="1"/>
        <v>91000</v>
      </c>
    </row>
    <row r="101" spans="1:16" ht="22.5" customHeight="1" x14ac:dyDescent="0.2">
      <c r="A101" s="159" t="s">
        <v>30</v>
      </c>
      <c r="B101" s="160"/>
      <c r="C101" s="160"/>
      <c r="D101" s="160"/>
      <c r="E101" s="160"/>
      <c r="F101" s="160"/>
      <c r="G101" s="160"/>
      <c r="H101" s="160"/>
      <c r="I101" s="160"/>
      <c r="J101" s="160"/>
      <c r="K101" s="160"/>
      <c r="L101" s="161"/>
      <c r="M101" s="71">
        <f>SUBTOTAL(109,Table224578910112345678910111213141516171819[KG VOLUME])</f>
        <v>2018.3479999999995</v>
      </c>
      <c r="N101" s="61">
        <f>SUM(N3:N100)</f>
        <v>2071.3372499999996</v>
      </c>
      <c r="O101" s="162">
        <f>SUM(P3:P100)</f>
        <v>14499360.75</v>
      </c>
      <c r="P101" s="163"/>
    </row>
    <row r="102" spans="1:16" ht="18" customHeight="1" x14ac:dyDescent="0.2">
      <c r="A102" s="78"/>
      <c r="B102" s="49" t="s">
        <v>42</v>
      </c>
      <c r="C102" s="48"/>
      <c r="D102" s="50" t="s">
        <v>43</v>
      </c>
      <c r="E102" s="78"/>
      <c r="F102" s="78"/>
      <c r="G102" s="78"/>
      <c r="H102" s="78"/>
      <c r="I102" s="78"/>
      <c r="J102" s="78"/>
      <c r="K102" s="78"/>
      <c r="L102" s="78"/>
      <c r="M102" s="79"/>
      <c r="N102" s="80" t="s">
        <v>52</v>
      </c>
      <c r="O102" s="81"/>
      <c r="P102" s="81">
        <v>0</v>
      </c>
    </row>
    <row r="103" spans="1:16" ht="18" customHeight="1" thickBot="1" x14ac:dyDescent="0.25">
      <c r="A103" s="78"/>
      <c r="B103" s="49"/>
      <c r="C103" s="48"/>
      <c r="D103" s="50"/>
      <c r="E103" s="78"/>
      <c r="F103" s="78"/>
      <c r="G103" s="78"/>
      <c r="H103" s="78"/>
      <c r="I103" s="78"/>
      <c r="J103" s="78"/>
      <c r="K103" s="78"/>
      <c r="L103" s="78"/>
      <c r="M103" s="79"/>
      <c r="N103" s="82" t="s">
        <v>53</v>
      </c>
      <c r="O103" s="83"/>
      <c r="P103" s="83">
        <f>O101-P102</f>
        <v>14499360.75</v>
      </c>
    </row>
    <row r="104" spans="1:16" ht="18" customHeight="1" x14ac:dyDescent="0.2">
      <c r="A104" s="10"/>
      <c r="H104" s="56"/>
      <c r="N104" s="55" t="s">
        <v>31</v>
      </c>
      <c r="P104" s="62">
        <f>P103*1%</f>
        <v>144993.60750000001</v>
      </c>
    </row>
    <row r="105" spans="1:16" ht="18" customHeight="1" thickBot="1" x14ac:dyDescent="0.25">
      <c r="A105" s="10"/>
      <c r="H105" s="56"/>
      <c r="N105" s="55" t="s">
        <v>54</v>
      </c>
      <c r="P105" s="64">
        <f>P103*2%</f>
        <v>289987.21500000003</v>
      </c>
    </row>
    <row r="106" spans="1:16" ht="18" customHeight="1" x14ac:dyDescent="0.2">
      <c r="A106" s="10"/>
      <c r="H106" s="56"/>
      <c r="N106" s="59" t="s">
        <v>32</v>
      </c>
      <c r="O106" s="60"/>
      <c r="P106" s="63">
        <f>P103+P104-P105</f>
        <v>14354367.1425</v>
      </c>
    </row>
    <row r="108" spans="1:16" x14ac:dyDescent="0.2">
      <c r="A108" s="10"/>
      <c r="H108" s="56"/>
      <c r="P108" s="64"/>
    </row>
    <row r="109" spans="1:16" x14ac:dyDescent="0.2">
      <c r="A109" s="10"/>
      <c r="H109" s="56"/>
      <c r="O109" s="51"/>
      <c r="P109" s="64"/>
    </row>
    <row r="110" spans="1:16" s="3" customFormat="1" x14ac:dyDescent="0.25">
      <c r="A110" s="10"/>
      <c r="B110" s="2"/>
      <c r="C110" s="2"/>
      <c r="E110" s="11"/>
      <c r="H110" s="56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6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56"/>
      <c r="N112" s="14"/>
      <c r="O112" s="14"/>
      <c r="P112" s="14"/>
    </row>
    <row r="113" spans="1:16" s="3" customFormat="1" x14ac:dyDescent="0.25">
      <c r="A113" s="10"/>
      <c r="B113" s="2"/>
      <c r="C113" s="2"/>
      <c r="E113" s="11"/>
      <c r="H113" s="56"/>
      <c r="N113" s="14"/>
      <c r="O113" s="14"/>
      <c r="P113" s="14"/>
    </row>
    <row r="114" spans="1:16" s="3" customFormat="1" x14ac:dyDescent="0.25">
      <c r="A114" s="10"/>
      <c r="B114" s="2"/>
      <c r="C114" s="2"/>
      <c r="E114" s="11"/>
      <c r="H114" s="56"/>
      <c r="N114" s="14"/>
      <c r="O114" s="14"/>
      <c r="P114" s="14"/>
    </row>
    <row r="115" spans="1:16" s="3" customFormat="1" x14ac:dyDescent="0.25">
      <c r="A115" s="10"/>
      <c r="B115" s="2"/>
      <c r="C115" s="2"/>
      <c r="E115" s="11"/>
      <c r="H115" s="56"/>
      <c r="N115" s="14"/>
      <c r="O115" s="14"/>
      <c r="P115" s="14"/>
    </row>
    <row r="116" spans="1:16" s="3" customFormat="1" x14ac:dyDescent="0.25">
      <c r="A116" s="10"/>
      <c r="B116" s="2"/>
      <c r="C116" s="2"/>
      <c r="E116" s="11"/>
      <c r="H116" s="56"/>
      <c r="N116" s="14"/>
      <c r="O116" s="14"/>
      <c r="P116" s="14"/>
    </row>
    <row r="117" spans="1:16" s="3" customFormat="1" x14ac:dyDescent="0.25">
      <c r="A117" s="10"/>
      <c r="B117" s="2"/>
      <c r="C117" s="2"/>
      <c r="E117" s="11"/>
      <c r="H117" s="56"/>
      <c r="N117" s="14"/>
      <c r="O117" s="14"/>
      <c r="P117" s="14"/>
    </row>
    <row r="118" spans="1:16" s="3" customFormat="1" x14ac:dyDescent="0.25">
      <c r="A118" s="10"/>
      <c r="B118" s="2"/>
      <c r="C118" s="2"/>
      <c r="E118" s="11"/>
      <c r="H118" s="56"/>
      <c r="N118" s="14"/>
      <c r="O118" s="14"/>
      <c r="P118" s="14"/>
    </row>
    <row r="119" spans="1:16" s="3" customFormat="1" x14ac:dyDescent="0.25">
      <c r="A119" s="10"/>
      <c r="B119" s="2"/>
      <c r="C119" s="2"/>
      <c r="E119" s="11"/>
      <c r="H119" s="56"/>
      <c r="N119" s="14"/>
      <c r="O119" s="14"/>
      <c r="P119" s="14"/>
    </row>
    <row r="120" spans="1:16" s="3" customFormat="1" x14ac:dyDescent="0.25">
      <c r="A120" s="10"/>
      <c r="B120" s="2"/>
      <c r="C120" s="2"/>
      <c r="E120" s="11"/>
      <c r="H120" s="56"/>
      <c r="N120" s="14"/>
      <c r="O120" s="14"/>
      <c r="P120" s="14"/>
    </row>
    <row r="121" spans="1:16" s="3" customFormat="1" x14ac:dyDescent="0.25">
      <c r="A121" s="10"/>
      <c r="B121" s="2"/>
      <c r="C121" s="2"/>
      <c r="E121" s="11"/>
      <c r="H121" s="56"/>
      <c r="N121" s="14"/>
      <c r="O121" s="14"/>
      <c r="P121" s="14"/>
    </row>
  </sheetData>
  <mergeCells count="2">
    <mergeCell ref="A101:L101"/>
    <mergeCell ref="O101:P101"/>
  </mergeCells>
  <conditionalFormatting sqref="C3:C100">
    <cfRule type="duplicateValues" dxfId="1311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J11" sqref="J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403955</v>
      </c>
      <c r="B3" s="66" t="s">
        <v>64</v>
      </c>
      <c r="C3" s="8" t="s">
        <v>65</v>
      </c>
      <c r="D3" s="68" t="s">
        <v>57</v>
      </c>
      <c r="E3" s="12">
        <v>44531</v>
      </c>
      <c r="F3" s="68" t="s">
        <v>71</v>
      </c>
      <c r="G3" s="12">
        <v>44535</v>
      </c>
      <c r="H3" s="9" t="s">
        <v>72</v>
      </c>
      <c r="I3" s="1">
        <v>100</v>
      </c>
      <c r="J3" s="1">
        <v>46</v>
      </c>
      <c r="K3" s="1">
        <v>46</v>
      </c>
      <c r="L3" s="1">
        <v>30</v>
      </c>
      <c r="M3" s="72">
        <f>Table224578910112[P]*Table224578910112[L]*Table224578910112[T]/4000</f>
        <v>52.9</v>
      </c>
      <c r="N3" s="88">
        <v>52.9</v>
      </c>
      <c r="O3" s="57">
        <v>7000</v>
      </c>
      <c r="P3" s="58">
        <f>N3*O3</f>
        <v>370300</v>
      </c>
    </row>
    <row r="4" spans="1:16" ht="26.25" customHeight="1" x14ac:dyDescent="0.2">
      <c r="A4" s="13"/>
      <c r="B4" s="67"/>
      <c r="C4" s="8" t="s">
        <v>66</v>
      </c>
      <c r="D4" s="68" t="s">
        <v>57</v>
      </c>
      <c r="E4" s="12">
        <v>44531</v>
      </c>
      <c r="F4" s="68" t="s">
        <v>71</v>
      </c>
      <c r="G4" s="12">
        <v>44535</v>
      </c>
      <c r="H4" s="9" t="s">
        <v>72</v>
      </c>
      <c r="I4" s="1">
        <v>31</v>
      </c>
      <c r="J4" s="1">
        <v>45</v>
      </c>
      <c r="K4" s="1">
        <v>30</v>
      </c>
      <c r="L4" s="1">
        <v>8</v>
      </c>
      <c r="M4" s="72">
        <f>I4*J4*K4/4000</f>
        <v>10.4625</v>
      </c>
      <c r="N4" s="88">
        <v>11</v>
      </c>
      <c r="O4" s="57">
        <v>7000</v>
      </c>
      <c r="P4" s="58">
        <f>N4*O4</f>
        <v>77000</v>
      </c>
    </row>
    <row r="5" spans="1:16" ht="26.25" customHeight="1" x14ac:dyDescent="0.2">
      <c r="A5" s="13"/>
      <c r="B5" s="67"/>
      <c r="C5" s="8" t="s">
        <v>67</v>
      </c>
      <c r="D5" s="68" t="s">
        <v>57</v>
      </c>
      <c r="E5" s="12">
        <v>44531</v>
      </c>
      <c r="F5" s="68" t="s">
        <v>71</v>
      </c>
      <c r="G5" s="12">
        <v>44535</v>
      </c>
      <c r="H5" s="9" t="s">
        <v>72</v>
      </c>
      <c r="I5" s="1">
        <v>50</v>
      </c>
      <c r="J5" s="1">
        <v>25</v>
      </c>
      <c r="K5" s="1">
        <v>20</v>
      </c>
      <c r="L5" s="1">
        <v>5</v>
      </c>
      <c r="M5" s="72">
        <f>I5*J5*K5/4000</f>
        <v>6.25</v>
      </c>
      <c r="N5" s="88">
        <v>6.25</v>
      </c>
      <c r="O5" s="57">
        <v>7000</v>
      </c>
      <c r="P5" s="58">
        <f>N5*O5</f>
        <v>43750</v>
      </c>
    </row>
    <row r="6" spans="1:16" ht="26.25" customHeight="1" x14ac:dyDescent="0.2">
      <c r="A6" s="13"/>
      <c r="B6" s="123"/>
      <c r="C6" s="8" t="s">
        <v>68</v>
      </c>
      <c r="D6" s="68" t="s">
        <v>57</v>
      </c>
      <c r="E6" s="12">
        <v>44531</v>
      </c>
      <c r="F6" s="68" t="s">
        <v>71</v>
      </c>
      <c r="G6" s="12">
        <v>44535</v>
      </c>
      <c r="H6" s="9" t="s">
        <v>72</v>
      </c>
      <c r="I6" s="1">
        <v>58</v>
      </c>
      <c r="J6" s="1">
        <v>46</v>
      </c>
      <c r="K6" s="1">
        <v>12</v>
      </c>
      <c r="L6" s="1">
        <v>19</v>
      </c>
      <c r="M6" s="72">
        <f>I6*J6*K6/4000</f>
        <v>8.0039999999999996</v>
      </c>
      <c r="N6" s="88">
        <v>19</v>
      </c>
      <c r="O6" s="57">
        <v>7000</v>
      </c>
      <c r="P6" s="58">
        <f t="shared" ref="P6:P7" si="0">N6*O6</f>
        <v>133000</v>
      </c>
    </row>
    <row r="7" spans="1:16" ht="26.25" customHeight="1" x14ac:dyDescent="0.2">
      <c r="A7" s="103"/>
      <c r="B7" s="66" t="s">
        <v>69</v>
      </c>
      <c r="C7" s="8" t="s">
        <v>70</v>
      </c>
      <c r="D7" s="68" t="s">
        <v>57</v>
      </c>
      <c r="E7" s="12">
        <v>44531</v>
      </c>
      <c r="F7" s="68" t="s">
        <v>71</v>
      </c>
      <c r="G7" s="12">
        <v>44535</v>
      </c>
      <c r="H7" s="9" t="s">
        <v>72</v>
      </c>
      <c r="I7" s="1">
        <v>26</v>
      </c>
      <c r="J7" s="1">
        <v>36</v>
      </c>
      <c r="K7" s="1">
        <v>12</v>
      </c>
      <c r="L7" s="1">
        <v>4</v>
      </c>
      <c r="M7" s="72">
        <f>I7*J7*K7/4000</f>
        <v>2.8079999999999998</v>
      </c>
      <c r="N7" s="88">
        <v>4</v>
      </c>
      <c r="O7" s="57">
        <v>7000</v>
      </c>
      <c r="P7" s="58">
        <f t="shared" si="0"/>
        <v>28000</v>
      </c>
    </row>
    <row r="8" spans="1:16" ht="22.5" customHeight="1" x14ac:dyDescent="0.2">
      <c r="A8" s="159" t="s">
        <v>30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1"/>
      <c r="M8" s="71">
        <f>SUM(M3:M7)</f>
        <v>80.424499999999995</v>
      </c>
      <c r="N8" s="122">
        <f>SUM(N3:N7)</f>
        <v>93.15</v>
      </c>
      <c r="O8" s="162">
        <f>SUM(P3:P7)</f>
        <v>652050</v>
      </c>
      <c r="P8" s="163"/>
    </row>
    <row r="9" spans="1:16" ht="18" customHeight="1" x14ac:dyDescent="0.2">
      <c r="A9" s="78"/>
      <c r="B9" s="49" t="s">
        <v>42</v>
      </c>
      <c r="C9" s="48"/>
      <c r="D9" s="50" t="s">
        <v>43</v>
      </c>
      <c r="E9" s="78"/>
      <c r="F9" s="78"/>
      <c r="G9" s="78"/>
      <c r="H9" s="78"/>
      <c r="I9" s="78"/>
      <c r="J9" s="78"/>
      <c r="K9" s="78"/>
      <c r="L9" s="78"/>
      <c r="M9" s="79"/>
      <c r="N9" s="80" t="s">
        <v>52</v>
      </c>
      <c r="O9" s="81"/>
      <c r="P9" s="81">
        <v>0</v>
      </c>
    </row>
    <row r="10" spans="1:16" ht="18" customHeight="1" thickBot="1" x14ac:dyDescent="0.25">
      <c r="A10" s="78"/>
      <c r="B10" s="49"/>
      <c r="C10" s="48"/>
      <c r="D10" s="50"/>
      <c r="E10" s="78"/>
      <c r="F10" s="78"/>
      <c r="G10" s="78"/>
      <c r="H10" s="78"/>
      <c r="I10" s="78"/>
      <c r="J10" s="78"/>
      <c r="K10" s="78"/>
      <c r="L10" s="78"/>
      <c r="M10" s="79"/>
      <c r="N10" s="82" t="s">
        <v>53</v>
      </c>
      <c r="O10" s="83"/>
      <c r="P10" s="83">
        <f>O8-P9</f>
        <v>652050</v>
      </c>
    </row>
    <row r="11" spans="1:16" ht="18" customHeight="1" x14ac:dyDescent="0.2">
      <c r="A11" s="10"/>
      <c r="H11" s="56"/>
      <c r="N11" s="55" t="s">
        <v>31</v>
      </c>
      <c r="P11" s="62">
        <f>P10*1%</f>
        <v>6520.5</v>
      </c>
    </row>
    <row r="12" spans="1:16" ht="18" customHeight="1" thickBot="1" x14ac:dyDescent="0.25">
      <c r="A12" s="10"/>
      <c r="H12" s="56"/>
      <c r="N12" s="55" t="s">
        <v>54</v>
      </c>
      <c r="P12" s="64">
        <f>P10*2%</f>
        <v>13041</v>
      </c>
    </row>
    <row r="13" spans="1:16" ht="18" customHeight="1" x14ac:dyDescent="0.2">
      <c r="A13" s="10"/>
      <c r="H13" s="56"/>
      <c r="N13" s="59" t="s">
        <v>32</v>
      </c>
      <c r="O13" s="60"/>
      <c r="P13" s="63">
        <f>P10+P11-P12</f>
        <v>645529.5</v>
      </c>
    </row>
    <row r="15" spans="1:16" x14ac:dyDescent="0.2">
      <c r="A15" s="10"/>
      <c r="H15" s="56"/>
      <c r="P15" s="64"/>
    </row>
    <row r="16" spans="1:16" x14ac:dyDescent="0.2">
      <c r="A16" s="10"/>
      <c r="H16" s="56"/>
      <c r="O16" s="51"/>
      <c r="P16" s="64"/>
    </row>
    <row r="17" spans="1:16" s="3" customFormat="1" x14ac:dyDescent="0.25">
      <c r="A17" s="10"/>
      <c r="B17" s="2"/>
      <c r="C17" s="2"/>
      <c r="E17" s="11"/>
      <c r="H17" s="56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6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6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6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6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6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6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6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</sheetData>
  <mergeCells count="2">
    <mergeCell ref="A8:L8"/>
    <mergeCell ref="O8:P8"/>
  </mergeCells>
  <conditionalFormatting sqref="B3">
    <cfRule type="duplicateValues" dxfId="1600" priority="3"/>
  </conditionalFormatting>
  <conditionalFormatting sqref="B4:B7">
    <cfRule type="duplicateValues" dxfId="1599" priority="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0"/>
  <sheetViews>
    <sheetView zoomScale="110" zoomScaleNormal="110" workbookViewId="0">
      <pane xSplit="3" ySplit="2" topLeftCell="D64" activePane="bottomRight" state="frozen"/>
      <selection activeCell="H12" sqref="H12"/>
      <selection pane="topRight" activeCell="H12" sqref="H12"/>
      <selection pane="bottomLeft" activeCell="H12" sqref="H12"/>
      <selection pane="bottomRight" activeCell="H66" sqref="H6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" style="3" customWidth="1"/>
    <col min="5" max="5" width="10.5703125" style="11" customWidth="1"/>
    <col min="6" max="6" width="15.570312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405832</v>
      </c>
      <c r="B3" s="99" t="s">
        <v>1004</v>
      </c>
      <c r="C3" s="90" t="s">
        <v>1005</v>
      </c>
      <c r="D3" s="102" t="s">
        <v>57</v>
      </c>
      <c r="E3" s="91">
        <v>44537</v>
      </c>
      <c r="F3" s="90" t="s">
        <v>71</v>
      </c>
      <c r="G3" s="91">
        <v>44543</v>
      </c>
      <c r="H3" s="90" t="s">
        <v>903</v>
      </c>
      <c r="I3" s="90">
        <v>102</v>
      </c>
      <c r="J3" s="90">
        <v>55</v>
      </c>
      <c r="K3" s="90">
        <v>30</v>
      </c>
      <c r="L3" s="90">
        <v>25</v>
      </c>
      <c r="M3" s="92">
        <v>42.075000000000003</v>
      </c>
      <c r="N3" s="104">
        <v>42.075000000000003</v>
      </c>
      <c r="O3" s="57">
        <v>7000</v>
      </c>
      <c r="P3" s="58">
        <f t="shared" ref="P3:P66" si="0">N3*O3</f>
        <v>294525</v>
      </c>
    </row>
    <row r="4" spans="1:16" ht="26.25" customHeight="1" x14ac:dyDescent="0.2">
      <c r="A4" s="100"/>
      <c r="B4" s="100"/>
      <c r="C4" s="65" t="s">
        <v>1006</v>
      </c>
      <c r="D4" s="70" t="s">
        <v>57</v>
      </c>
      <c r="E4" s="12">
        <v>44537</v>
      </c>
      <c r="F4" s="68" t="s">
        <v>71</v>
      </c>
      <c r="G4" s="12">
        <v>44543</v>
      </c>
      <c r="H4" s="69" t="s">
        <v>903</v>
      </c>
      <c r="I4" s="15">
        <v>72</v>
      </c>
      <c r="J4" s="15">
        <v>61</v>
      </c>
      <c r="K4" s="15">
        <v>20</v>
      </c>
      <c r="L4" s="15">
        <v>12</v>
      </c>
      <c r="M4" s="73">
        <v>21.96</v>
      </c>
      <c r="N4" s="104">
        <v>21.96</v>
      </c>
      <c r="O4" s="57">
        <v>7000</v>
      </c>
      <c r="P4" s="58">
        <f t="shared" si="0"/>
        <v>153720</v>
      </c>
    </row>
    <row r="5" spans="1:16" ht="26.25" customHeight="1" x14ac:dyDescent="0.2">
      <c r="A5" s="100"/>
      <c r="B5" s="100"/>
      <c r="C5" s="65" t="s">
        <v>1007</v>
      </c>
      <c r="D5" s="70" t="s">
        <v>57</v>
      </c>
      <c r="E5" s="12">
        <v>44537</v>
      </c>
      <c r="F5" s="68" t="s">
        <v>71</v>
      </c>
      <c r="G5" s="12">
        <v>44543</v>
      </c>
      <c r="H5" s="69" t="s">
        <v>903</v>
      </c>
      <c r="I5" s="15">
        <v>78</v>
      </c>
      <c r="J5" s="15">
        <v>62</v>
      </c>
      <c r="K5" s="15">
        <v>25</v>
      </c>
      <c r="L5" s="15">
        <v>14</v>
      </c>
      <c r="M5" s="73">
        <v>30.225000000000001</v>
      </c>
      <c r="N5" s="104">
        <v>30.225000000000001</v>
      </c>
      <c r="O5" s="57">
        <v>7000</v>
      </c>
      <c r="P5" s="58">
        <f t="shared" si="0"/>
        <v>211575</v>
      </c>
    </row>
    <row r="6" spans="1:16" ht="26.25" customHeight="1" x14ac:dyDescent="0.2">
      <c r="A6" s="100"/>
      <c r="B6" s="100"/>
      <c r="C6" s="65" t="s">
        <v>1008</v>
      </c>
      <c r="D6" s="70" t="s">
        <v>57</v>
      </c>
      <c r="E6" s="12">
        <v>44537</v>
      </c>
      <c r="F6" s="68" t="s">
        <v>71</v>
      </c>
      <c r="G6" s="12">
        <v>44543</v>
      </c>
      <c r="H6" s="69" t="s">
        <v>903</v>
      </c>
      <c r="I6" s="15">
        <v>61</v>
      </c>
      <c r="J6" s="15">
        <v>25</v>
      </c>
      <c r="K6" s="15">
        <v>21</v>
      </c>
      <c r="L6" s="15">
        <v>10</v>
      </c>
      <c r="M6" s="73">
        <v>8.0062499999999996</v>
      </c>
      <c r="N6" s="104">
        <v>10</v>
      </c>
      <c r="O6" s="57">
        <v>7000</v>
      </c>
      <c r="P6" s="58">
        <f t="shared" si="0"/>
        <v>70000</v>
      </c>
    </row>
    <row r="7" spans="1:16" ht="26.25" customHeight="1" x14ac:dyDescent="0.2">
      <c r="A7" s="100"/>
      <c r="B7" s="100"/>
      <c r="C7" s="65" t="s">
        <v>1009</v>
      </c>
      <c r="D7" s="70" t="s">
        <v>57</v>
      </c>
      <c r="E7" s="12">
        <v>44537</v>
      </c>
      <c r="F7" s="68" t="s">
        <v>71</v>
      </c>
      <c r="G7" s="12">
        <v>44543</v>
      </c>
      <c r="H7" s="69" t="s">
        <v>903</v>
      </c>
      <c r="I7" s="15">
        <v>80</v>
      </c>
      <c r="J7" s="15">
        <v>61</v>
      </c>
      <c r="K7" s="15">
        <v>15</v>
      </c>
      <c r="L7" s="15">
        <v>13</v>
      </c>
      <c r="M7" s="73">
        <v>18.3</v>
      </c>
      <c r="N7" s="104">
        <v>19</v>
      </c>
      <c r="O7" s="57">
        <v>7000</v>
      </c>
      <c r="P7" s="58">
        <f t="shared" si="0"/>
        <v>133000</v>
      </c>
    </row>
    <row r="8" spans="1:16" ht="26.25" customHeight="1" x14ac:dyDescent="0.2">
      <c r="A8" s="100"/>
      <c r="B8" s="100"/>
      <c r="C8" s="65" t="s">
        <v>1010</v>
      </c>
      <c r="D8" s="70" t="s">
        <v>57</v>
      </c>
      <c r="E8" s="12">
        <v>44537</v>
      </c>
      <c r="F8" s="68" t="s">
        <v>71</v>
      </c>
      <c r="G8" s="12">
        <v>44543</v>
      </c>
      <c r="H8" s="69" t="s">
        <v>903</v>
      </c>
      <c r="I8" s="15">
        <v>36</v>
      </c>
      <c r="J8" s="15">
        <v>25</v>
      </c>
      <c r="K8" s="15">
        <v>22</v>
      </c>
      <c r="L8" s="15">
        <v>8</v>
      </c>
      <c r="M8" s="73">
        <v>4.95</v>
      </c>
      <c r="N8" s="104">
        <v>8</v>
      </c>
      <c r="O8" s="57">
        <v>7000</v>
      </c>
      <c r="P8" s="58">
        <f t="shared" si="0"/>
        <v>56000</v>
      </c>
    </row>
    <row r="9" spans="1:16" ht="26.25" customHeight="1" x14ac:dyDescent="0.2">
      <c r="A9" s="100"/>
      <c r="B9" s="100"/>
      <c r="C9" s="65" t="s">
        <v>1011</v>
      </c>
      <c r="D9" s="70" t="s">
        <v>57</v>
      </c>
      <c r="E9" s="12">
        <v>44537</v>
      </c>
      <c r="F9" s="68" t="s">
        <v>71</v>
      </c>
      <c r="G9" s="12">
        <v>44543</v>
      </c>
      <c r="H9" s="69" t="s">
        <v>903</v>
      </c>
      <c r="I9" s="15">
        <v>82</v>
      </c>
      <c r="J9" s="15">
        <v>63</v>
      </c>
      <c r="K9" s="15">
        <v>27</v>
      </c>
      <c r="L9" s="15">
        <v>23</v>
      </c>
      <c r="M9" s="73">
        <v>34.8705</v>
      </c>
      <c r="N9" s="104">
        <v>34.8705</v>
      </c>
      <c r="O9" s="57">
        <v>7000</v>
      </c>
      <c r="P9" s="58">
        <f t="shared" si="0"/>
        <v>244093.5</v>
      </c>
    </row>
    <row r="10" spans="1:16" ht="26.25" customHeight="1" x14ac:dyDescent="0.2">
      <c r="A10" s="100"/>
      <c r="B10" s="100"/>
      <c r="C10" s="65" t="s">
        <v>1012</v>
      </c>
      <c r="D10" s="70" t="s">
        <v>57</v>
      </c>
      <c r="E10" s="12">
        <v>44537</v>
      </c>
      <c r="F10" s="68" t="s">
        <v>71</v>
      </c>
      <c r="G10" s="12">
        <v>44543</v>
      </c>
      <c r="H10" s="69" t="s">
        <v>903</v>
      </c>
      <c r="I10" s="15">
        <v>91</v>
      </c>
      <c r="J10" s="15">
        <v>63</v>
      </c>
      <c r="K10" s="15">
        <v>25</v>
      </c>
      <c r="L10" s="15">
        <v>30</v>
      </c>
      <c r="M10" s="73">
        <v>35.831249999999997</v>
      </c>
      <c r="N10" s="104">
        <v>35.831249999999997</v>
      </c>
      <c r="O10" s="57">
        <v>7000</v>
      </c>
      <c r="P10" s="58">
        <f t="shared" si="0"/>
        <v>250818.74999999997</v>
      </c>
    </row>
    <row r="11" spans="1:16" ht="26.25" customHeight="1" x14ac:dyDescent="0.2">
      <c r="A11" s="100"/>
      <c r="B11" s="100"/>
      <c r="C11" s="65" t="s">
        <v>1013</v>
      </c>
      <c r="D11" s="70" t="s">
        <v>57</v>
      </c>
      <c r="E11" s="12">
        <v>44537</v>
      </c>
      <c r="F11" s="68" t="s">
        <v>71</v>
      </c>
      <c r="G11" s="12">
        <v>44543</v>
      </c>
      <c r="H11" s="69" t="s">
        <v>903</v>
      </c>
      <c r="I11" s="15">
        <v>45</v>
      </c>
      <c r="J11" s="15">
        <v>30</v>
      </c>
      <c r="K11" s="15">
        <v>15</v>
      </c>
      <c r="L11" s="15">
        <v>2</v>
      </c>
      <c r="M11" s="73">
        <v>5.0625</v>
      </c>
      <c r="N11" s="104">
        <v>5.0625</v>
      </c>
      <c r="O11" s="57">
        <v>7000</v>
      </c>
      <c r="P11" s="58">
        <f t="shared" si="0"/>
        <v>35437.5</v>
      </c>
    </row>
    <row r="12" spans="1:16" ht="26.25" customHeight="1" x14ac:dyDescent="0.2">
      <c r="A12" s="100"/>
      <c r="B12" s="100"/>
      <c r="C12" s="65" t="s">
        <v>1014</v>
      </c>
      <c r="D12" s="70" t="s">
        <v>57</v>
      </c>
      <c r="E12" s="12">
        <v>44537</v>
      </c>
      <c r="F12" s="68" t="s">
        <v>71</v>
      </c>
      <c r="G12" s="12">
        <v>44543</v>
      </c>
      <c r="H12" s="69" t="s">
        <v>903</v>
      </c>
      <c r="I12" s="15">
        <v>52</v>
      </c>
      <c r="J12" s="15">
        <v>40</v>
      </c>
      <c r="K12" s="15">
        <v>18</v>
      </c>
      <c r="L12" s="15">
        <v>3</v>
      </c>
      <c r="M12" s="73">
        <v>9.36</v>
      </c>
      <c r="N12" s="104">
        <v>10</v>
      </c>
      <c r="O12" s="57">
        <v>7000</v>
      </c>
      <c r="P12" s="58">
        <f t="shared" si="0"/>
        <v>70000</v>
      </c>
    </row>
    <row r="13" spans="1:16" ht="26.25" customHeight="1" x14ac:dyDescent="0.2">
      <c r="A13" s="100"/>
      <c r="B13" s="100"/>
      <c r="C13" s="65" t="s">
        <v>1015</v>
      </c>
      <c r="D13" s="70" t="s">
        <v>57</v>
      </c>
      <c r="E13" s="12">
        <v>44537</v>
      </c>
      <c r="F13" s="68" t="s">
        <v>71</v>
      </c>
      <c r="G13" s="12">
        <v>44543</v>
      </c>
      <c r="H13" s="69" t="s">
        <v>903</v>
      </c>
      <c r="I13" s="15">
        <v>110</v>
      </c>
      <c r="J13" s="15">
        <v>16</v>
      </c>
      <c r="K13" s="15">
        <v>21</v>
      </c>
      <c r="L13" s="15">
        <v>4</v>
      </c>
      <c r="M13" s="73">
        <v>9.24</v>
      </c>
      <c r="N13" s="104">
        <v>9.24</v>
      </c>
      <c r="O13" s="57">
        <v>7000</v>
      </c>
      <c r="P13" s="58">
        <f t="shared" si="0"/>
        <v>64680</v>
      </c>
    </row>
    <row r="14" spans="1:16" ht="26.25" customHeight="1" x14ac:dyDescent="0.2">
      <c r="A14" s="100"/>
      <c r="B14" s="100"/>
      <c r="C14" s="65" t="s">
        <v>1016</v>
      </c>
      <c r="D14" s="70" t="s">
        <v>57</v>
      </c>
      <c r="E14" s="12">
        <v>44537</v>
      </c>
      <c r="F14" s="68" t="s">
        <v>71</v>
      </c>
      <c r="G14" s="12">
        <v>44543</v>
      </c>
      <c r="H14" s="69" t="s">
        <v>903</v>
      </c>
      <c r="I14" s="15">
        <v>38</v>
      </c>
      <c r="J14" s="15">
        <v>35</v>
      </c>
      <c r="K14" s="15">
        <v>30</v>
      </c>
      <c r="L14" s="15">
        <v>4</v>
      </c>
      <c r="M14" s="73">
        <v>9.9749999999999996</v>
      </c>
      <c r="N14" s="104">
        <v>9.9749999999999996</v>
      </c>
      <c r="O14" s="57">
        <v>7000</v>
      </c>
      <c r="P14" s="58">
        <f t="shared" si="0"/>
        <v>69825</v>
      </c>
    </row>
    <row r="15" spans="1:16" ht="26.25" customHeight="1" x14ac:dyDescent="0.2">
      <c r="A15" s="100"/>
      <c r="B15" s="100"/>
      <c r="C15" s="65" t="s">
        <v>1017</v>
      </c>
      <c r="D15" s="70" t="s">
        <v>57</v>
      </c>
      <c r="E15" s="12">
        <v>44537</v>
      </c>
      <c r="F15" s="68" t="s">
        <v>71</v>
      </c>
      <c r="G15" s="12">
        <v>44543</v>
      </c>
      <c r="H15" s="69" t="s">
        <v>903</v>
      </c>
      <c r="I15" s="15">
        <v>98</v>
      </c>
      <c r="J15" s="15">
        <v>38</v>
      </c>
      <c r="K15" s="15">
        <v>11</v>
      </c>
      <c r="L15" s="15">
        <v>4</v>
      </c>
      <c r="M15" s="73">
        <v>10.241</v>
      </c>
      <c r="N15" s="104">
        <v>10.241</v>
      </c>
      <c r="O15" s="57">
        <v>7000</v>
      </c>
      <c r="P15" s="58">
        <f t="shared" si="0"/>
        <v>71687</v>
      </c>
    </row>
    <row r="16" spans="1:16" ht="26.25" customHeight="1" x14ac:dyDescent="0.2">
      <c r="A16" s="100"/>
      <c r="B16" s="100"/>
      <c r="C16" s="65" t="s">
        <v>1018</v>
      </c>
      <c r="D16" s="70" t="s">
        <v>57</v>
      </c>
      <c r="E16" s="12">
        <v>44537</v>
      </c>
      <c r="F16" s="68" t="s">
        <v>71</v>
      </c>
      <c r="G16" s="12">
        <v>44543</v>
      </c>
      <c r="H16" s="69" t="s">
        <v>903</v>
      </c>
      <c r="I16" s="15">
        <v>30</v>
      </c>
      <c r="J16" s="15">
        <v>26</v>
      </c>
      <c r="K16" s="15">
        <v>22</v>
      </c>
      <c r="L16" s="15">
        <v>4</v>
      </c>
      <c r="M16" s="73">
        <v>4.29</v>
      </c>
      <c r="N16" s="104">
        <v>4.29</v>
      </c>
      <c r="O16" s="57">
        <v>7000</v>
      </c>
      <c r="P16" s="58">
        <f t="shared" si="0"/>
        <v>30030</v>
      </c>
    </row>
    <row r="17" spans="1:16" ht="26.25" customHeight="1" x14ac:dyDescent="0.2">
      <c r="A17" s="100"/>
      <c r="B17" s="100"/>
      <c r="C17" s="65" t="s">
        <v>1019</v>
      </c>
      <c r="D17" s="70" t="s">
        <v>57</v>
      </c>
      <c r="E17" s="12">
        <v>44537</v>
      </c>
      <c r="F17" s="68" t="s">
        <v>71</v>
      </c>
      <c r="G17" s="12">
        <v>44543</v>
      </c>
      <c r="H17" s="69" t="s">
        <v>903</v>
      </c>
      <c r="I17" s="15">
        <v>55</v>
      </c>
      <c r="J17" s="15">
        <v>42</v>
      </c>
      <c r="K17" s="15">
        <v>24</v>
      </c>
      <c r="L17" s="15">
        <v>12</v>
      </c>
      <c r="M17" s="73">
        <v>13.86</v>
      </c>
      <c r="N17" s="104">
        <v>13.86</v>
      </c>
      <c r="O17" s="57">
        <v>7000</v>
      </c>
      <c r="P17" s="58">
        <f t="shared" si="0"/>
        <v>97020</v>
      </c>
    </row>
    <row r="18" spans="1:16" ht="26.25" customHeight="1" x14ac:dyDescent="0.2">
      <c r="A18" s="100"/>
      <c r="B18" s="100"/>
      <c r="C18" s="65" t="s">
        <v>1020</v>
      </c>
      <c r="D18" s="70" t="s">
        <v>57</v>
      </c>
      <c r="E18" s="12">
        <v>44537</v>
      </c>
      <c r="F18" s="68" t="s">
        <v>71</v>
      </c>
      <c r="G18" s="12">
        <v>44543</v>
      </c>
      <c r="H18" s="69" t="s">
        <v>903</v>
      </c>
      <c r="I18" s="15">
        <v>37</v>
      </c>
      <c r="J18" s="15">
        <v>30</v>
      </c>
      <c r="K18" s="15">
        <v>31</v>
      </c>
      <c r="L18" s="15">
        <v>5</v>
      </c>
      <c r="M18" s="73">
        <v>8.6024999999999991</v>
      </c>
      <c r="N18" s="104">
        <v>8.6024999999999991</v>
      </c>
      <c r="O18" s="57">
        <v>7000</v>
      </c>
      <c r="P18" s="58">
        <f t="shared" si="0"/>
        <v>60217.499999999993</v>
      </c>
    </row>
    <row r="19" spans="1:16" ht="26.25" customHeight="1" x14ac:dyDescent="0.2">
      <c r="A19" s="100"/>
      <c r="B19" s="100"/>
      <c r="C19" s="65" t="s">
        <v>1021</v>
      </c>
      <c r="D19" s="70" t="s">
        <v>57</v>
      </c>
      <c r="E19" s="12">
        <v>44537</v>
      </c>
      <c r="F19" s="68" t="s">
        <v>71</v>
      </c>
      <c r="G19" s="12">
        <v>44543</v>
      </c>
      <c r="H19" s="69" t="s">
        <v>903</v>
      </c>
      <c r="I19" s="15">
        <v>112</v>
      </c>
      <c r="J19" s="15">
        <v>22</v>
      </c>
      <c r="K19" s="15">
        <v>10</v>
      </c>
      <c r="L19" s="15">
        <v>3</v>
      </c>
      <c r="M19" s="73">
        <v>6.16</v>
      </c>
      <c r="N19" s="104">
        <v>6.16</v>
      </c>
      <c r="O19" s="57">
        <v>7000</v>
      </c>
      <c r="P19" s="58">
        <f t="shared" si="0"/>
        <v>43120</v>
      </c>
    </row>
    <row r="20" spans="1:16" ht="26.25" customHeight="1" x14ac:dyDescent="0.2">
      <c r="A20" s="100"/>
      <c r="B20" s="100"/>
      <c r="C20" s="65" t="s">
        <v>1022</v>
      </c>
      <c r="D20" s="70" t="s">
        <v>57</v>
      </c>
      <c r="E20" s="12">
        <v>44537</v>
      </c>
      <c r="F20" s="68" t="s">
        <v>71</v>
      </c>
      <c r="G20" s="12">
        <v>44543</v>
      </c>
      <c r="H20" s="69" t="s">
        <v>903</v>
      </c>
      <c r="I20" s="15">
        <v>80</v>
      </c>
      <c r="J20" s="15">
        <v>46</v>
      </c>
      <c r="K20" s="15">
        <v>8</v>
      </c>
      <c r="L20" s="15">
        <v>2</v>
      </c>
      <c r="M20" s="73">
        <v>7.36</v>
      </c>
      <c r="N20" s="104">
        <v>8</v>
      </c>
      <c r="O20" s="57">
        <v>7000</v>
      </c>
      <c r="P20" s="58">
        <f t="shared" si="0"/>
        <v>56000</v>
      </c>
    </row>
    <row r="21" spans="1:16" ht="26.25" customHeight="1" x14ac:dyDescent="0.2">
      <c r="A21" s="100"/>
      <c r="B21" s="100"/>
      <c r="C21" s="65" t="s">
        <v>1023</v>
      </c>
      <c r="D21" s="70" t="s">
        <v>57</v>
      </c>
      <c r="E21" s="12">
        <v>44537</v>
      </c>
      <c r="F21" s="68" t="s">
        <v>71</v>
      </c>
      <c r="G21" s="12">
        <v>44543</v>
      </c>
      <c r="H21" s="69" t="s">
        <v>903</v>
      </c>
      <c r="I21" s="15">
        <v>42</v>
      </c>
      <c r="J21" s="15">
        <v>25</v>
      </c>
      <c r="K21" s="15">
        <v>25</v>
      </c>
      <c r="L21" s="15">
        <v>1</v>
      </c>
      <c r="M21" s="73">
        <v>6.5625</v>
      </c>
      <c r="N21" s="104">
        <v>6.5625</v>
      </c>
      <c r="O21" s="57">
        <v>7000</v>
      </c>
      <c r="P21" s="58">
        <f t="shared" si="0"/>
        <v>45937.5</v>
      </c>
    </row>
    <row r="22" spans="1:16" ht="26.25" customHeight="1" x14ac:dyDescent="0.2">
      <c r="A22" s="100"/>
      <c r="B22" s="100"/>
      <c r="C22" s="65" t="s">
        <v>1024</v>
      </c>
      <c r="D22" s="70" t="s">
        <v>57</v>
      </c>
      <c r="E22" s="12">
        <v>44537</v>
      </c>
      <c r="F22" s="68" t="s">
        <v>71</v>
      </c>
      <c r="G22" s="12">
        <v>44543</v>
      </c>
      <c r="H22" s="69" t="s">
        <v>903</v>
      </c>
      <c r="I22" s="15">
        <v>58</v>
      </c>
      <c r="J22" s="15">
        <v>36</v>
      </c>
      <c r="K22" s="15">
        <v>21</v>
      </c>
      <c r="L22" s="15">
        <v>5</v>
      </c>
      <c r="M22" s="73">
        <v>10.962</v>
      </c>
      <c r="N22" s="104">
        <v>10.962</v>
      </c>
      <c r="O22" s="57">
        <v>7000</v>
      </c>
      <c r="P22" s="58">
        <f t="shared" si="0"/>
        <v>76734</v>
      </c>
    </row>
    <row r="23" spans="1:16" ht="26.25" customHeight="1" x14ac:dyDescent="0.2">
      <c r="A23" s="100"/>
      <c r="B23" s="100"/>
      <c r="C23" s="65" t="s">
        <v>1025</v>
      </c>
      <c r="D23" s="70" t="s">
        <v>57</v>
      </c>
      <c r="E23" s="12">
        <v>44537</v>
      </c>
      <c r="F23" s="68" t="s">
        <v>71</v>
      </c>
      <c r="G23" s="12">
        <v>44543</v>
      </c>
      <c r="H23" s="69" t="s">
        <v>903</v>
      </c>
      <c r="I23" s="15">
        <v>51</v>
      </c>
      <c r="J23" s="15">
        <v>38</v>
      </c>
      <c r="K23" s="15">
        <v>12</v>
      </c>
      <c r="L23" s="15">
        <v>2</v>
      </c>
      <c r="M23" s="73">
        <v>5.8140000000000001</v>
      </c>
      <c r="N23" s="104">
        <v>5.8140000000000001</v>
      </c>
      <c r="O23" s="57">
        <v>7000</v>
      </c>
      <c r="P23" s="58">
        <f t="shared" si="0"/>
        <v>40698</v>
      </c>
    </row>
    <row r="24" spans="1:16" ht="26.25" customHeight="1" x14ac:dyDescent="0.2">
      <c r="A24" s="100"/>
      <c r="B24" s="100"/>
      <c r="C24" s="65" t="s">
        <v>1026</v>
      </c>
      <c r="D24" s="70" t="s">
        <v>57</v>
      </c>
      <c r="E24" s="12">
        <v>44537</v>
      </c>
      <c r="F24" s="68" t="s">
        <v>71</v>
      </c>
      <c r="G24" s="12">
        <v>44543</v>
      </c>
      <c r="H24" s="69" t="s">
        <v>903</v>
      </c>
      <c r="I24" s="15">
        <v>91</v>
      </c>
      <c r="J24" s="15">
        <v>55</v>
      </c>
      <c r="K24" s="15">
        <v>30</v>
      </c>
      <c r="L24" s="15">
        <v>26</v>
      </c>
      <c r="M24" s="73">
        <v>37.537500000000001</v>
      </c>
      <c r="N24" s="104">
        <v>37.537500000000001</v>
      </c>
      <c r="O24" s="57">
        <v>7000</v>
      </c>
      <c r="P24" s="58">
        <f t="shared" si="0"/>
        <v>262762.5</v>
      </c>
    </row>
    <row r="25" spans="1:16" ht="26.25" customHeight="1" x14ac:dyDescent="0.2">
      <c r="A25" s="100"/>
      <c r="B25" s="100"/>
      <c r="C25" s="65" t="s">
        <v>1027</v>
      </c>
      <c r="D25" s="70" t="s">
        <v>57</v>
      </c>
      <c r="E25" s="12">
        <v>44537</v>
      </c>
      <c r="F25" s="68" t="s">
        <v>71</v>
      </c>
      <c r="G25" s="12">
        <v>44543</v>
      </c>
      <c r="H25" s="69" t="s">
        <v>903</v>
      </c>
      <c r="I25" s="15">
        <v>125</v>
      </c>
      <c r="J25" s="15">
        <v>54</v>
      </c>
      <c r="K25" s="15">
        <v>21</v>
      </c>
      <c r="L25" s="15">
        <v>10</v>
      </c>
      <c r="M25" s="73">
        <v>35.4375</v>
      </c>
      <c r="N25" s="104">
        <v>36</v>
      </c>
      <c r="O25" s="57">
        <v>7000</v>
      </c>
      <c r="P25" s="58">
        <f t="shared" si="0"/>
        <v>252000</v>
      </c>
    </row>
    <row r="26" spans="1:16" ht="26.25" customHeight="1" x14ac:dyDescent="0.2">
      <c r="A26" s="100"/>
      <c r="B26" s="100"/>
      <c r="C26" s="65" t="s">
        <v>1028</v>
      </c>
      <c r="D26" s="70" t="s">
        <v>57</v>
      </c>
      <c r="E26" s="12">
        <v>44537</v>
      </c>
      <c r="F26" s="68" t="s">
        <v>71</v>
      </c>
      <c r="G26" s="12">
        <v>44543</v>
      </c>
      <c r="H26" s="69" t="s">
        <v>903</v>
      </c>
      <c r="I26" s="15">
        <v>42</v>
      </c>
      <c r="J26" s="15">
        <v>35</v>
      </c>
      <c r="K26" s="15">
        <v>18</v>
      </c>
      <c r="L26" s="15">
        <v>7</v>
      </c>
      <c r="M26" s="73">
        <v>6.6150000000000002</v>
      </c>
      <c r="N26" s="104">
        <v>7</v>
      </c>
      <c r="O26" s="57">
        <v>7000</v>
      </c>
      <c r="P26" s="58">
        <f t="shared" si="0"/>
        <v>49000</v>
      </c>
    </row>
    <row r="27" spans="1:16" ht="26.25" customHeight="1" x14ac:dyDescent="0.2">
      <c r="A27" s="100"/>
      <c r="B27" s="100"/>
      <c r="C27" s="65" t="s">
        <v>1029</v>
      </c>
      <c r="D27" s="70" t="s">
        <v>57</v>
      </c>
      <c r="E27" s="12">
        <v>44537</v>
      </c>
      <c r="F27" s="68" t="s">
        <v>71</v>
      </c>
      <c r="G27" s="12">
        <v>44543</v>
      </c>
      <c r="H27" s="69" t="s">
        <v>903</v>
      </c>
      <c r="I27" s="15">
        <v>58</v>
      </c>
      <c r="J27" s="15">
        <v>38</v>
      </c>
      <c r="K27" s="15">
        <v>6</v>
      </c>
      <c r="L27" s="15">
        <v>9</v>
      </c>
      <c r="M27" s="73">
        <v>3.306</v>
      </c>
      <c r="N27" s="104">
        <v>10</v>
      </c>
      <c r="O27" s="57">
        <v>7000</v>
      </c>
      <c r="P27" s="58">
        <f t="shared" si="0"/>
        <v>70000</v>
      </c>
    </row>
    <row r="28" spans="1:16" ht="26.25" customHeight="1" x14ac:dyDescent="0.2">
      <c r="A28" s="100"/>
      <c r="B28" s="100"/>
      <c r="C28" s="65" t="s">
        <v>1030</v>
      </c>
      <c r="D28" s="70" t="s">
        <v>57</v>
      </c>
      <c r="E28" s="12">
        <v>44537</v>
      </c>
      <c r="F28" s="68" t="s">
        <v>71</v>
      </c>
      <c r="G28" s="12">
        <v>44543</v>
      </c>
      <c r="H28" s="69" t="s">
        <v>903</v>
      </c>
      <c r="I28" s="15">
        <v>84</v>
      </c>
      <c r="J28" s="15">
        <v>51</v>
      </c>
      <c r="K28" s="15">
        <v>26</v>
      </c>
      <c r="L28" s="15">
        <v>19</v>
      </c>
      <c r="M28" s="73">
        <v>27.846</v>
      </c>
      <c r="N28" s="104">
        <v>27.846</v>
      </c>
      <c r="O28" s="57">
        <v>7000</v>
      </c>
      <c r="P28" s="58">
        <f t="shared" si="0"/>
        <v>194922</v>
      </c>
    </row>
    <row r="29" spans="1:16" ht="26.25" customHeight="1" x14ac:dyDescent="0.2">
      <c r="A29" s="100"/>
      <c r="B29" s="100"/>
      <c r="C29" s="65" t="s">
        <v>1031</v>
      </c>
      <c r="D29" s="70" t="s">
        <v>57</v>
      </c>
      <c r="E29" s="12">
        <v>44537</v>
      </c>
      <c r="F29" s="68" t="s">
        <v>71</v>
      </c>
      <c r="G29" s="12">
        <v>44543</v>
      </c>
      <c r="H29" s="69" t="s">
        <v>903</v>
      </c>
      <c r="I29" s="15">
        <v>101</v>
      </c>
      <c r="J29" s="15">
        <v>18</v>
      </c>
      <c r="K29" s="15">
        <v>8</v>
      </c>
      <c r="L29" s="15">
        <v>1</v>
      </c>
      <c r="M29" s="73">
        <v>3.6360000000000001</v>
      </c>
      <c r="N29" s="104">
        <v>3.6360000000000001</v>
      </c>
      <c r="O29" s="57">
        <v>7000</v>
      </c>
      <c r="P29" s="58">
        <f t="shared" si="0"/>
        <v>25452</v>
      </c>
    </row>
    <row r="30" spans="1:16" ht="26.25" customHeight="1" x14ac:dyDescent="0.2">
      <c r="A30" s="100"/>
      <c r="B30" s="100"/>
      <c r="C30" s="65" t="s">
        <v>1032</v>
      </c>
      <c r="D30" s="70" t="s">
        <v>57</v>
      </c>
      <c r="E30" s="12">
        <v>44537</v>
      </c>
      <c r="F30" s="68" t="s">
        <v>71</v>
      </c>
      <c r="G30" s="12">
        <v>44543</v>
      </c>
      <c r="H30" s="69" t="s">
        <v>903</v>
      </c>
      <c r="I30" s="15">
        <v>52</v>
      </c>
      <c r="J30" s="15">
        <v>52</v>
      </c>
      <c r="K30" s="15">
        <v>22</v>
      </c>
      <c r="L30" s="15">
        <v>14</v>
      </c>
      <c r="M30" s="73">
        <v>14.872</v>
      </c>
      <c r="N30" s="104">
        <v>14.872</v>
      </c>
      <c r="O30" s="57">
        <v>7000</v>
      </c>
      <c r="P30" s="58">
        <f t="shared" si="0"/>
        <v>104104</v>
      </c>
    </row>
    <row r="31" spans="1:16" ht="26.25" customHeight="1" x14ac:dyDescent="0.2">
      <c r="A31" s="100"/>
      <c r="B31" s="100"/>
      <c r="C31" s="65" t="s">
        <v>1033</v>
      </c>
      <c r="D31" s="70" t="s">
        <v>57</v>
      </c>
      <c r="E31" s="12">
        <v>44537</v>
      </c>
      <c r="F31" s="68" t="s">
        <v>71</v>
      </c>
      <c r="G31" s="12">
        <v>44543</v>
      </c>
      <c r="H31" s="69" t="s">
        <v>903</v>
      </c>
      <c r="I31" s="15">
        <v>52</v>
      </c>
      <c r="J31" s="15">
        <v>38</v>
      </c>
      <c r="K31" s="15">
        <v>18</v>
      </c>
      <c r="L31" s="15">
        <v>5</v>
      </c>
      <c r="M31" s="73">
        <v>8.8919999999999995</v>
      </c>
      <c r="N31" s="104">
        <v>8.8919999999999995</v>
      </c>
      <c r="O31" s="57">
        <v>7000</v>
      </c>
      <c r="P31" s="58">
        <f t="shared" si="0"/>
        <v>62243.999999999993</v>
      </c>
    </row>
    <row r="32" spans="1:16" ht="26.25" customHeight="1" x14ac:dyDescent="0.2">
      <c r="A32" s="100"/>
      <c r="B32" s="100"/>
      <c r="C32" s="65" t="s">
        <v>1034</v>
      </c>
      <c r="D32" s="70" t="s">
        <v>57</v>
      </c>
      <c r="E32" s="12">
        <v>44537</v>
      </c>
      <c r="F32" s="68" t="s">
        <v>71</v>
      </c>
      <c r="G32" s="12">
        <v>44543</v>
      </c>
      <c r="H32" s="69" t="s">
        <v>903</v>
      </c>
      <c r="I32" s="15">
        <v>51</v>
      </c>
      <c r="J32" s="15">
        <v>34</v>
      </c>
      <c r="K32" s="15">
        <v>28</v>
      </c>
      <c r="L32" s="15">
        <v>11</v>
      </c>
      <c r="M32" s="73">
        <v>12.138</v>
      </c>
      <c r="N32" s="104">
        <v>12.138</v>
      </c>
      <c r="O32" s="57">
        <v>7000</v>
      </c>
      <c r="P32" s="58">
        <f t="shared" si="0"/>
        <v>84966</v>
      </c>
    </row>
    <row r="33" spans="1:16" ht="26.25" customHeight="1" x14ac:dyDescent="0.2">
      <c r="A33" s="100"/>
      <c r="B33" s="100"/>
      <c r="C33" s="65" t="s">
        <v>1035</v>
      </c>
      <c r="D33" s="70" t="s">
        <v>57</v>
      </c>
      <c r="E33" s="12">
        <v>44537</v>
      </c>
      <c r="F33" s="68" t="s">
        <v>71</v>
      </c>
      <c r="G33" s="12">
        <v>44543</v>
      </c>
      <c r="H33" s="69" t="s">
        <v>903</v>
      </c>
      <c r="I33" s="15">
        <v>62</v>
      </c>
      <c r="J33" s="15">
        <v>52</v>
      </c>
      <c r="K33" s="15">
        <v>17</v>
      </c>
      <c r="L33" s="15">
        <v>3</v>
      </c>
      <c r="M33" s="73">
        <v>13.702</v>
      </c>
      <c r="N33" s="104">
        <v>13.702</v>
      </c>
      <c r="O33" s="57">
        <v>7000</v>
      </c>
      <c r="P33" s="58">
        <f t="shared" si="0"/>
        <v>95914</v>
      </c>
    </row>
    <row r="34" spans="1:16" ht="26.25" customHeight="1" x14ac:dyDescent="0.2">
      <c r="A34" s="100"/>
      <c r="B34" s="100"/>
      <c r="C34" s="65" t="s">
        <v>1036</v>
      </c>
      <c r="D34" s="70" t="s">
        <v>57</v>
      </c>
      <c r="E34" s="12">
        <v>44537</v>
      </c>
      <c r="F34" s="68" t="s">
        <v>71</v>
      </c>
      <c r="G34" s="12">
        <v>44543</v>
      </c>
      <c r="H34" s="69" t="s">
        <v>903</v>
      </c>
      <c r="I34" s="15">
        <v>63</v>
      </c>
      <c r="J34" s="15">
        <v>21</v>
      </c>
      <c r="K34" s="15">
        <v>16</v>
      </c>
      <c r="L34" s="15">
        <v>10</v>
      </c>
      <c r="M34" s="73">
        <v>5.2919999999999998</v>
      </c>
      <c r="N34" s="104">
        <v>10</v>
      </c>
      <c r="O34" s="57">
        <v>7000</v>
      </c>
      <c r="P34" s="58">
        <f t="shared" si="0"/>
        <v>70000</v>
      </c>
    </row>
    <row r="35" spans="1:16" ht="26.25" customHeight="1" x14ac:dyDescent="0.2">
      <c r="A35" s="100"/>
      <c r="B35" s="100"/>
      <c r="C35" s="65" t="s">
        <v>1037</v>
      </c>
      <c r="D35" s="70" t="s">
        <v>57</v>
      </c>
      <c r="E35" s="12">
        <v>44537</v>
      </c>
      <c r="F35" s="68" t="s">
        <v>71</v>
      </c>
      <c r="G35" s="12">
        <v>44543</v>
      </c>
      <c r="H35" s="69" t="s">
        <v>903</v>
      </c>
      <c r="I35" s="15">
        <v>88</v>
      </c>
      <c r="J35" s="15">
        <v>52</v>
      </c>
      <c r="K35" s="15">
        <v>25</v>
      </c>
      <c r="L35" s="15">
        <v>17</v>
      </c>
      <c r="M35" s="73">
        <v>28.6</v>
      </c>
      <c r="N35" s="104">
        <v>28.6</v>
      </c>
      <c r="O35" s="57">
        <v>7000</v>
      </c>
      <c r="P35" s="58">
        <f t="shared" si="0"/>
        <v>200200</v>
      </c>
    </row>
    <row r="36" spans="1:16" ht="26.25" customHeight="1" x14ac:dyDescent="0.2">
      <c r="A36" s="100"/>
      <c r="B36" s="100"/>
      <c r="C36" s="65" t="s">
        <v>1038</v>
      </c>
      <c r="D36" s="70" t="s">
        <v>57</v>
      </c>
      <c r="E36" s="12">
        <v>44537</v>
      </c>
      <c r="F36" s="68" t="s">
        <v>71</v>
      </c>
      <c r="G36" s="12">
        <v>44543</v>
      </c>
      <c r="H36" s="69" t="s">
        <v>903</v>
      </c>
      <c r="I36" s="15">
        <v>61</v>
      </c>
      <c r="J36" s="15">
        <v>30</v>
      </c>
      <c r="K36" s="15">
        <v>8</v>
      </c>
      <c r="L36" s="15">
        <v>1</v>
      </c>
      <c r="M36" s="73">
        <v>3.66</v>
      </c>
      <c r="N36" s="104">
        <v>3.66</v>
      </c>
      <c r="O36" s="57">
        <v>7000</v>
      </c>
      <c r="P36" s="58">
        <f t="shared" si="0"/>
        <v>25620</v>
      </c>
    </row>
    <row r="37" spans="1:16" ht="26.25" customHeight="1" x14ac:dyDescent="0.2">
      <c r="A37" s="100"/>
      <c r="B37" s="100"/>
      <c r="C37" s="65" t="s">
        <v>1039</v>
      </c>
      <c r="D37" s="70" t="s">
        <v>57</v>
      </c>
      <c r="E37" s="12">
        <v>44537</v>
      </c>
      <c r="F37" s="68" t="s">
        <v>71</v>
      </c>
      <c r="G37" s="12">
        <v>44543</v>
      </c>
      <c r="H37" s="69" t="s">
        <v>903</v>
      </c>
      <c r="I37" s="15">
        <v>38</v>
      </c>
      <c r="J37" s="15">
        <v>38</v>
      </c>
      <c r="K37" s="15">
        <v>39</v>
      </c>
      <c r="L37" s="15">
        <v>6</v>
      </c>
      <c r="M37" s="73">
        <v>14.079000000000001</v>
      </c>
      <c r="N37" s="104">
        <v>14.079000000000001</v>
      </c>
      <c r="O37" s="57">
        <v>7000</v>
      </c>
      <c r="P37" s="58">
        <f t="shared" si="0"/>
        <v>98553</v>
      </c>
    </row>
    <row r="38" spans="1:16" ht="26.25" customHeight="1" x14ac:dyDescent="0.2">
      <c r="A38" s="100"/>
      <c r="B38" s="100"/>
      <c r="C38" s="65" t="s">
        <v>1040</v>
      </c>
      <c r="D38" s="70" t="s">
        <v>57</v>
      </c>
      <c r="E38" s="12">
        <v>44537</v>
      </c>
      <c r="F38" s="68" t="s">
        <v>71</v>
      </c>
      <c r="G38" s="12">
        <v>44543</v>
      </c>
      <c r="H38" s="69" t="s">
        <v>903</v>
      </c>
      <c r="I38" s="15">
        <v>31</v>
      </c>
      <c r="J38" s="15">
        <v>31</v>
      </c>
      <c r="K38" s="15">
        <v>12</v>
      </c>
      <c r="L38" s="15">
        <v>7</v>
      </c>
      <c r="M38" s="73">
        <v>2.883</v>
      </c>
      <c r="N38" s="104">
        <v>7</v>
      </c>
      <c r="O38" s="57">
        <v>7000</v>
      </c>
      <c r="P38" s="58">
        <f t="shared" si="0"/>
        <v>49000</v>
      </c>
    </row>
    <row r="39" spans="1:16" ht="26.25" customHeight="1" x14ac:dyDescent="0.2">
      <c r="A39" s="100"/>
      <c r="B39" s="100"/>
      <c r="C39" s="65" t="s">
        <v>1041</v>
      </c>
      <c r="D39" s="70" t="s">
        <v>57</v>
      </c>
      <c r="E39" s="12">
        <v>44537</v>
      </c>
      <c r="F39" s="68" t="s">
        <v>71</v>
      </c>
      <c r="G39" s="12">
        <v>44543</v>
      </c>
      <c r="H39" s="69" t="s">
        <v>903</v>
      </c>
      <c r="I39" s="15">
        <v>61</v>
      </c>
      <c r="J39" s="15">
        <v>30</v>
      </c>
      <c r="K39" s="15">
        <v>38</v>
      </c>
      <c r="L39" s="15">
        <v>10</v>
      </c>
      <c r="M39" s="73">
        <v>17.385000000000002</v>
      </c>
      <c r="N39" s="104">
        <v>18</v>
      </c>
      <c r="O39" s="57">
        <v>7000</v>
      </c>
      <c r="P39" s="58">
        <f t="shared" si="0"/>
        <v>126000</v>
      </c>
    </row>
    <row r="40" spans="1:16" ht="26.25" customHeight="1" x14ac:dyDescent="0.2">
      <c r="A40" s="100"/>
      <c r="B40" s="100"/>
      <c r="C40" s="65" t="s">
        <v>1042</v>
      </c>
      <c r="D40" s="70" t="s">
        <v>57</v>
      </c>
      <c r="E40" s="12">
        <v>44537</v>
      </c>
      <c r="F40" s="68" t="s">
        <v>71</v>
      </c>
      <c r="G40" s="12">
        <v>44543</v>
      </c>
      <c r="H40" s="69" t="s">
        <v>903</v>
      </c>
      <c r="I40" s="15">
        <v>91</v>
      </c>
      <c r="J40" s="15">
        <v>61</v>
      </c>
      <c r="K40" s="15">
        <v>10</v>
      </c>
      <c r="L40" s="15">
        <v>5</v>
      </c>
      <c r="M40" s="73">
        <v>13.8775</v>
      </c>
      <c r="N40" s="104">
        <v>13.8775</v>
      </c>
      <c r="O40" s="57">
        <v>7000</v>
      </c>
      <c r="P40" s="58">
        <f t="shared" si="0"/>
        <v>97142.5</v>
      </c>
    </row>
    <row r="41" spans="1:16" ht="26.25" customHeight="1" x14ac:dyDescent="0.2">
      <c r="A41" s="100"/>
      <c r="B41" s="100"/>
      <c r="C41" s="65" t="s">
        <v>1043</v>
      </c>
      <c r="D41" s="70" t="s">
        <v>57</v>
      </c>
      <c r="E41" s="12">
        <v>44537</v>
      </c>
      <c r="F41" s="68" t="s">
        <v>71</v>
      </c>
      <c r="G41" s="12">
        <v>44543</v>
      </c>
      <c r="H41" s="69" t="s">
        <v>903</v>
      </c>
      <c r="I41" s="15">
        <v>71</v>
      </c>
      <c r="J41" s="15">
        <v>48</v>
      </c>
      <c r="K41" s="15">
        <v>18</v>
      </c>
      <c r="L41" s="15">
        <v>5</v>
      </c>
      <c r="M41" s="73">
        <v>15.336</v>
      </c>
      <c r="N41" s="104">
        <v>16</v>
      </c>
      <c r="O41" s="57">
        <v>7000</v>
      </c>
      <c r="P41" s="58">
        <f t="shared" si="0"/>
        <v>112000</v>
      </c>
    </row>
    <row r="42" spans="1:16" ht="26.25" customHeight="1" x14ac:dyDescent="0.2">
      <c r="A42" s="100"/>
      <c r="B42" s="100"/>
      <c r="C42" s="65" t="s">
        <v>1044</v>
      </c>
      <c r="D42" s="70" t="s">
        <v>57</v>
      </c>
      <c r="E42" s="12">
        <v>44537</v>
      </c>
      <c r="F42" s="68" t="s">
        <v>71</v>
      </c>
      <c r="G42" s="12">
        <v>44543</v>
      </c>
      <c r="H42" s="69" t="s">
        <v>903</v>
      </c>
      <c r="I42" s="15">
        <v>64</v>
      </c>
      <c r="J42" s="15">
        <v>38</v>
      </c>
      <c r="K42" s="15">
        <v>22</v>
      </c>
      <c r="L42" s="15">
        <v>7</v>
      </c>
      <c r="M42" s="73">
        <v>13.375999999999999</v>
      </c>
      <c r="N42" s="104">
        <v>14</v>
      </c>
      <c r="O42" s="57">
        <v>7000</v>
      </c>
      <c r="P42" s="58">
        <f t="shared" si="0"/>
        <v>98000</v>
      </c>
    </row>
    <row r="43" spans="1:16" ht="26.25" customHeight="1" x14ac:dyDescent="0.2">
      <c r="A43" s="100"/>
      <c r="B43" s="100"/>
      <c r="C43" s="65" t="s">
        <v>1045</v>
      </c>
      <c r="D43" s="70" t="s">
        <v>57</v>
      </c>
      <c r="E43" s="12">
        <v>44537</v>
      </c>
      <c r="F43" s="68" t="s">
        <v>71</v>
      </c>
      <c r="G43" s="12">
        <v>44543</v>
      </c>
      <c r="H43" s="69" t="s">
        <v>903</v>
      </c>
      <c r="I43" s="15">
        <v>37</v>
      </c>
      <c r="J43" s="15">
        <v>37</v>
      </c>
      <c r="K43" s="15">
        <v>33</v>
      </c>
      <c r="L43" s="15">
        <v>17</v>
      </c>
      <c r="M43" s="73">
        <v>11.29425</v>
      </c>
      <c r="N43" s="104">
        <v>17</v>
      </c>
      <c r="O43" s="57">
        <v>7000</v>
      </c>
      <c r="P43" s="58">
        <f t="shared" si="0"/>
        <v>119000</v>
      </c>
    </row>
    <row r="44" spans="1:16" ht="26.25" customHeight="1" x14ac:dyDescent="0.2">
      <c r="A44" s="100"/>
      <c r="B44" s="100"/>
      <c r="C44" s="65" t="s">
        <v>1046</v>
      </c>
      <c r="D44" s="70" t="s">
        <v>57</v>
      </c>
      <c r="E44" s="12">
        <v>44537</v>
      </c>
      <c r="F44" s="68" t="s">
        <v>71</v>
      </c>
      <c r="G44" s="12">
        <v>44543</v>
      </c>
      <c r="H44" s="69" t="s">
        <v>903</v>
      </c>
      <c r="I44" s="15">
        <v>37</v>
      </c>
      <c r="J44" s="15">
        <v>30</v>
      </c>
      <c r="K44" s="15">
        <v>28</v>
      </c>
      <c r="L44" s="15">
        <v>17</v>
      </c>
      <c r="M44" s="73">
        <v>7.77</v>
      </c>
      <c r="N44" s="104">
        <v>17</v>
      </c>
      <c r="O44" s="57">
        <v>7000</v>
      </c>
      <c r="P44" s="58">
        <f t="shared" si="0"/>
        <v>119000</v>
      </c>
    </row>
    <row r="45" spans="1:16" ht="26.25" customHeight="1" x14ac:dyDescent="0.2">
      <c r="A45" s="100"/>
      <c r="B45" s="100"/>
      <c r="C45" s="65" t="s">
        <v>1047</v>
      </c>
      <c r="D45" s="70" t="s">
        <v>57</v>
      </c>
      <c r="E45" s="12">
        <v>44537</v>
      </c>
      <c r="F45" s="68" t="s">
        <v>71</v>
      </c>
      <c r="G45" s="12">
        <v>44543</v>
      </c>
      <c r="H45" s="69" t="s">
        <v>903</v>
      </c>
      <c r="I45" s="15">
        <v>61</v>
      </c>
      <c r="J45" s="15">
        <v>41</v>
      </c>
      <c r="K45" s="15">
        <v>21</v>
      </c>
      <c r="L45" s="15">
        <v>2</v>
      </c>
      <c r="M45" s="73">
        <v>13.13025</v>
      </c>
      <c r="N45" s="104">
        <v>13.13025</v>
      </c>
      <c r="O45" s="57">
        <v>7000</v>
      </c>
      <c r="P45" s="58">
        <f t="shared" si="0"/>
        <v>91911.75</v>
      </c>
    </row>
    <row r="46" spans="1:16" ht="26.25" customHeight="1" x14ac:dyDescent="0.2">
      <c r="A46" s="100"/>
      <c r="B46" s="100"/>
      <c r="C46" s="65" t="s">
        <v>1048</v>
      </c>
      <c r="D46" s="70" t="s">
        <v>57</v>
      </c>
      <c r="E46" s="12">
        <v>44537</v>
      </c>
      <c r="F46" s="68" t="s">
        <v>71</v>
      </c>
      <c r="G46" s="12">
        <v>44543</v>
      </c>
      <c r="H46" s="69" t="s">
        <v>903</v>
      </c>
      <c r="I46" s="15">
        <v>51</v>
      </c>
      <c r="J46" s="15">
        <v>41</v>
      </c>
      <c r="K46" s="15">
        <v>17</v>
      </c>
      <c r="L46" s="15">
        <v>8</v>
      </c>
      <c r="M46" s="73">
        <v>8.8867499999999993</v>
      </c>
      <c r="N46" s="104">
        <v>8.8867499999999993</v>
      </c>
      <c r="O46" s="57">
        <v>7000</v>
      </c>
      <c r="P46" s="58">
        <f t="shared" si="0"/>
        <v>62207.249999999993</v>
      </c>
    </row>
    <row r="47" spans="1:16" ht="26.25" customHeight="1" x14ac:dyDescent="0.2">
      <c r="A47" s="100"/>
      <c r="B47" s="100"/>
      <c r="C47" s="65" t="s">
        <v>1049</v>
      </c>
      <c r="D47" s="70" t="s">
        <v>57</v>
      </c>
      <c r="E47" s="12">
        <v>44537</v>
      </c>
      <c r="F47" s="68" t="s">
        <v>71</v>
      </c>
      <c r="G47" s="12">
        <v>44543</v>
      </c>
      <c r="H47" s="69" t="s">
        <v>903</v>
      </c>
      <c r="I47" s="15">
        <v>55</v>
      </c>
      <c r="J47" s="15">
        <v>31</v>
      </c>
      <c r="K47" s="15">
        <v>17</v>
      </c>
      <c r="L47" s="15">
        <v>6</v>
      </c>
      <c r="M47" s="73">
        <v>7.2462499999999999</v>
      </c>
      <c r="N47" s="104">
        <v>7.2462499999999999</v>
      </c>
      <c r="O47" s="57">
        <v>7000</v>
      </c>
      <c r="P47" s="58">
        <f t="shared" si="0"/>
        <v>50723.75</v>
      </c>
    </row>
    <row r="48" spans="1:16" ht="26.25" customHeight="1" x14ac:dyDescent="0.2">
      <c r="A48" s="100"/>
      <c r="B48" s="100"/>
      <c r="C48" s="65" t="s">
        <v>1050</v>
      </c>
      <c r="D48" s="70" t="s">
        <v>57</v>
      </c>
      <c r="E48" s="12">
        <v>44537</v>
      </c>
      <c r="F48" s="68" t="s">
        <v>71</v>
      </c>
      <c r="G48" s="12">
        <v>44543</v>
      </c>
      <c r="H48" s="69" t="s">
        <v>903</v>
      </c>
      <c r="I48" s="15">
        <v>61</v>
      </c>
      <c r="J48" s="15">
        <v>32</v>
      </c>
      <c r="K48" s="15">
        <v>22</v>
      </c>
      <c r="L48" s="15">
        <v>4</v>
      </c>
      <c r="M48" s="73">
        <v>10.736000000000001</v>
      </c>
      <c r="N48" s="104">
        <v>10.736000000000001</v>
      </c>
      <c r="O48" s="57">
        <v>7000</v>
      </c>
      <c r="P48" s="58">
        <f t="shared" si="0"/>
        <v>75152</v>
      </c>
    </row>
    <row r="49" spans="1:16" ht="26.25" customHeight="1" x14ac:dyDescent="0.2">
      <c r="A49" s="100"/>
      <c r="B49" s="100"/>
      <c r="C49" s="65" t="s">
        <v>1051</v>
      </c>
      <c r="D49" s="70" t="s">
        <v>57</v>
      </c>
      <c r="E49" s="12">
        <v>44537</v>
      </c>
      <c r="F49" s="68" t="s">
        <v>71</v>
      </c>
      <c r="G49" s="12">
        <v>44543</v>
      </c>
      <c r="H49" s="69" t="s">
        <v>903</v>
      </c>
      <c r="I49" s="15">
        <v>95</v>
      </c>
      <c r="J49" s="15">
        <v>35</v>
      </c>
      <c r="K49" s="15">
        <v>22</v>
      </c>
      <c r="L49" s="15">
        <v>7</v>
      </c>
      <c r="M49" s="73">
        <v>18.287500000000001</v>
      </c>
      <c r="N49" s="104">
        <v>18.287500000000001</v>
      </c>
      <c r="O49" s="57">
        <v>7000</v>
      </c>
      <c r="P49" s="58">
        <f t="shared" si="0"/>
        <v>128012.50000000001</v>
      </c>
    </row>
    <row r="50" spans="1:16" ht="26.25" customHeight="1" x14ac:dyDescent="0.2">
      <c r="A50" s="100"/>
      <c r="B50" s="100"/>
      <c r="C50" s="65" t="s">
        <v>1052</v>
      </c>
      <c r="D50" s="70" t="s">
        <v>57</v>
      </c>
      <c r="E50" s="12">
        <v>44537</v>
      </c>
      <c r="F50" s="68" t="s">
        <v>71</v>
      </c>
      <c r="G50" s="12">
        <v>44543</v>
      </c>
      <c r="H50" s="69" t="s">
        <v>903</v>
      </c>
      <c r="I50" s="15">
        <v>50</v>
      </c>
      <c r="J50" s="15">
        <v>31</v>
      </c>
      <c r="K50" s="15">
        <v>24</v>
      </c>
      <c r="L50" s="15">
        <v>20</v>
      </c>
      <c r="M50" s="73">
        <v>9.3000000000000007</v>
      </c>
      <c r="N50" s="104">
        <v>21</v>
      </c>
      <c r="O50" s="57">
        <v>7000</v>
      </c>
      <c r="P50" s="58">
        <f t="shared" si="0"/>
        <v>147000</v>
      </c>
    </row>
    <row r="51" spans="1:16" ht="26.25" customHeight="1" x14ac:dyDescent="0.2">
      <c r="A51" s="100"/>
      <c r="B51" s="100"/>
      <c r="C51" s="65" t="s">
        <v>1053</v>
      </c>
      <c r="D51" s="70" t="s">
        <v>57</v>
      </c>
      <c r="E51" s="12">
        <v>44537</v>
      </c>
      <c r="F51" s="68" t="s">
        <v>71</v>
      </c>
      <c r="G51" s="12">
        <v>44543</v>
      </c>
      <c r="H51" s="69" t="s">
        <v>903</v>
      </c>
      <c r="I51" s="15">
        <v>91</v>
      </c>
      <c r="J51" s="15">
        <v>48</v>
      </c>
      <c r="K51" s="15">
        <v>18</v>
      </c>
      <c r="L51" s="15">
        <v>16</v>
      </c>
      <c r="M51" s="73">
        <v>19.655999999999999</v>
      </c>
      <c r="N51" s="104">
        <v>19.655999999999999</v>
      </c>
      <c r="O51" s="57">
        <v>7000</v>
      </c>
      <c r="P51" s="58">
        <f t="shared" si="0"/>
        <v>137592</v>
      </c>
    </row>
    <row r="52" spans="1:16" ht="26.25" customHeight="1" x14ac:dyDescent="0.2">
      <c r="A52" s="100"/>
      <c r="B52" s="100"/>
      <c r="C52" s="65" t="s">
        <v>1054</v>
      </c>
      <c r="D52" s="70" t="s">
        <v>57</v>
      </c>
      <c r="E52" s="12">
        <v>44537</v>
      </c>
      <c r="F52" s="68" t="s">
        <v>71</v>
      </c>
      <c r="G52" s="12">
        <v>44543</v>
      </c>
      <c r="H52" s="69" t="s">
        <v>903</v>
      </c>
      <c r="I52" s="15">
        <v>41</v>
      </c>
      <c r="J52" s="15">
        <v>38</v>
      </c>
      <c r="K52" s="15">
        <v>28</v>
      </c>
      <c r="L52" s="15">
        <v>13</v>
      </c>
      <c r="M52" s="73">
        <v>10.906000000000001</v>
      </c>
      <c r="N52" s="104">
        <v>13</v>
      </c>
      <c r="O52" s="57">
        <v>7000</v>
      </c>
      <c r="P52" s="58">
        <f t="shared" si="0"/>
        <v>91000</v>
      </c>
    </row>
    <row r="53" spans="1:16" ht="26.25" customHeight="1" x14ac:dyDescent="0.2">
      <c r="A53" s="100"/>
      <c r="B53" s="100"/>
      <c r="C53" s="65" t="s">
        <v>1055</v>
      </c>
      <c r="D53" s="70" t="s">
        <v>57</v>
      </c>
      <c r="E53" s="12">
        <v>44537</v>
      </c>
      <c r="F53" s="68" t="s">
        <v>71</v>
      </c>
      <c r="G53" s="12">
        <v>44543</v>
      </c>
      <c r="H53" s="69" t="s">
        <v>903</v>
      </c>
      <c r="I53" s="15">
        <v>75</v>
      </c>
      <c r="J53" s="15">
        <v>58</v>
      </c>
      <c r="K53" s="15">
        <v>23</v>
      </c>
      <c r="L53" s="15">
        <v>19</v>
      </c>
      <c r="M53" s="73">
        <v>25.012499999999999</v>
      </c>
      <c r="N53" s="104">
        <v>25.012499999999999</v>
      </c>
      <c r="O53" s="57">
        <v>7000</v>
      </c>
      <c r="P53" s="58">
        <f t="shared" si="0"/>
        <v>175087.5</v>
      </c>
    </row>
    <row r="54" spans="1:16" ht="26.25" customHeight="1" x14ac:dyDescent="0.2">
      <c r="A54" s="100"/>
      <c r="B54" s="100"/>
      <c r="C54" s="65" t="s">
        <v>1056</v>
      </c>
      <c r="D54" s="70" t="s">
        <v>57</v>
      </c>
      <c r="E54" s="12">
        <v>44537</v>
      </c>
      <c r="F54" s="68" t="s">
        <v>71</v>
      </c>
      <c r="G54" s="12">
        <v>44543</v>
      </c>
      <c r="H54" s="69" t="s">
        <v>903</v>
      </c>
      <c r="I54" s="15">
        <v>90</v>
      </c>
      <c r="J54" s="15">
        <v>44</v>
      </c>
      <c r="K54" s="15">
        <v>56</v>
      </c>
      <c r="L54" s="15">
        <v>20</v>
      </c>
      <c r="M54" s="73">
        <v>55.44</v>
      </c>
      <c r="N54" s="104">
        <v>56</v>
      </c>
      <c r="O54" s="57">
        <v>7000</v>
      </c>
      <c r="P54" s="58">
        <f t="shared" si="0"/>
        <v>392000</v>
      </c>
    </row>
    <row r="55" spans="1:16" ht="26.25" customHeight="1" x14ac:dyDescent="0.2">
      <c r="A55" s="100"/>
      <c r="B55" s="100"/>
      <c r="C55" s="65" t="s">
        <v>1057</v>
      </c>
      <c r="D55" s="70" t="s">
        <v>57</v>
      </c>
      <c r="E55" s="12">
        <v>44537</v>
      </c>
      <c r="F55" s="68" t="s">
        <v>71</v>
      </c>
      <c r="G55" s="12">
        <v>44543</v>
      </c>
      <c r="H55" s="69" t="s">
        <v>903</v>
      </c>
      <c r="I55" s="15">
        <v>36</v>
      </c>
      <c r="J55" s="15">
        <v>36</v>
      </c>
      <c r="K55" s="15">
        <v>20</v>
      </c>
      <c r="L55" s="15">
        <v>9</v>
      </c>
      <c r="M55" s="73">
        <v>6.48</v>
      </c>
      <c r="N55" s="104">
        <v>10</v>
      </c>
      <c r="O55" s="57">
        <v>7000</v>
      </c>
      <c r="P55" s="58">
        <f t="shared" si="0"/>
        <v>70000</v>
      </c>
    </row>
    <row r="56" spans="1:16" ht="26.25" customHeight="1" x14ac:dyDescent="0.2">
      <c r="A56" s="100"/>
      <c r="B56" s="100"/>
      <c r="C56" s="65" t="s">
        <v>1058</v>
      </c>
      <c r="D56" s="70" t="s">
        <v>57</v>
      </c>
      <c r="E56" s="12">
        <v>44537</v>
      </c>
      <c r="F56" s="68" t="s">
        <v>71</v>
      </c>
      <c r="G56" s="12">
        <v>44543</v>
      </c>
      <c r="H56" s="69" t="s">
        <v>903</v>
      </c>
      <c r="I56" s="15">
        <v>122</v>
      </c>
      <c r="J56" s="15">
        <v>42</v>
      </c>
      <c r="K56" s="15">
        <v>18</v>
      </c>
      <c r="L56" s="15">
        <v>24</v>
      </c>
      <c r="M56" s="73">
        <v>23.058</v>
      </c>
      <c r="N56" s="104">
        <v>24</v>
      </c>
      <c r="O56" s="57">
        <v>7000</v>
      </c>
      <c r="P56" s="58">
        <f t="shared" si="0"/>
        <v>168000</v>
      </c>
    </row>
    <row r="57" spans="1:16" ht="26.25" customHeight="1" x14ac:dyDescent="0.2">
      <c r="A57" s="100"/>
      <c r="B57" s="100"/>
      <c r="C57" s="65" t="s">
        <v>1059</v>
      </c>
      <c r="D57" s="70" t="s">
        <v>57</v>
      </c>
      <c r="E57" s="12">
        <v>44537</v>
      </c>
      <c r="F57" s="68" t="s">
        <v>71</v>
      </c>
      <c r="G57" s="12">
        <v>44543</v>
      </c>
      <c r="H57" s="69" t="s">
        <v>903</v>
      </c>
      <c r="I57" s="15">
        <v>44</v>
      </c>
      <c r="J57" s="15">
        <v>37</v>
      </c>
      <c r="K57" s="15">
        <v>41</v>
      </c>
      <c r="L57" s="15">
        <v>15</v>
      </c>
      <c r="M57" s="73">
        <v>16.687000000000001</v>
      </c>
      <c r="N57" s="104">
        <v>16.687000000000001</v>
      </c>
      <c r="O57" s="57">
        <v>7000</v>
      </c>
      <c r="P57" s="58">
        <f t="shared" si="0"/>
        <v>116809.00000000001</v>
      </c>
    </row>
    <row r="58" spans="1:16" ht="26.25" customHeight="1" x14ac:dyDescent="0.2">
      <c r="A58" s="100"/>
      <c r="B58" s="100"/>
      <c r="C58" s="65" t="s">
        <v>1060</v>
      </c>
      <c r="D58" s="70" t="s">
        <v>57</v>
      </c>
      <c r="E58" s="12">
        <v>44537</v>
      </c>
      <c r="F58" s="68" t="s">
        <v>71</v>
      </c>
      <c r="G58" s="12">
        <v>44543</v>
      </c>
      <c r="H58" s="69" t="s">
        <v>903</v>
      </c>
      <c r="I58" s="15">
        <v>100</v>
      </c>
      <c r="J58" s="15">
        <v>25</v>
      </c>
      <c r="K58" s="15">
        <v>24</v>
      </c>
      <c r="L58" s="15">
        <v>7</v>
      </c>
      <c r="M58" s="73">
        <v>15</v>
      </c>
      <c r="N58" s="104">
        <v>15</v>
      </c>
      <c r="O58" s="57">
        <v>7000</v>
      </c>
      <c r="P58" s="58">
        <f t="shared" si="0"/>
        <v>105000</v>
      </c>
    </row>
    <row r="59" spans="1:16" ht="26.25" customHeight="1" x14ac:dyDescent="0.2">
      <c r="A59" s="100"/>
      <c r="B59" s="100"/>
      <c r="C59" s="65" t="s">
        <v>1061</v>
      </c>
      <c r="D59" s="70" t="s">
        <v>57</v>
      </c>
      <c r="E59" s="12">
        <v>44537</v>
      </c>
      <c r="F59" s="68" t="s">
        <v>71</v>
      </c>
      <c r="G59" s="12">
        <v>44543</v>
      </c>
      <c r="H59" s="69" t="s">
        <v>903</v>
      </c>
      <c r="I59" s="15">
        <v>35</v>
      </c>
      <c r="J59" s="15">
        <v>35</v>
      </c>
      <c r="K59" s="15">
        <v>28</v>
      </c>
      <c r="L59" s="15">
        <v>1</v>
      </c>
      <c r="M59" s="73">
        <v>8.5749999999999993</v>
      </c>
      <c r="N59" s="104">
        <v>8.5749999999999993</v>
      </c>
      <c r="O59" s="57">
        <v>7000</v>
      </c>
      <c r="P59" s="58">
        <f t="shared" si="0"/>
        <v>60024.999999999993</v>
      </c>
    </row>
    <row r="60" spans="1:16" ht="26.25" customHeight="1" x14ac:dyDescent="0.2">
      <c r="A60" s="100"/>
      <c r="B60" s="100"/>
      <c r="C60" s="65" t="s">
        <v>1062</v>
      </c>
      <c r="D60" s="70" t="s">
        <v>57</v>
      </c>
      <c r="E60" s="12">
        <v>44537</v>
      </c>
      <c r="F60" s="68" t="s">
        <v>71</v>
      </c>
      <c r="G60" s="12">
        <v>44543</v>
      </c>
      <c r="H60" s="69" t="s">
        <v>903</v>
      </c>
      <c r="I60" s="15">
        <v>70</v>
      </c>
      <c r="J60" s="15">
        <v>10</v>
      </c>
      <c r="K60" s="15">
        <v>8</v>
      </c>
      <c r="L60" s="15">
        <v>1</v>
      </c>
      <c r="M60" s="73">
        <v>1.4</v>
      </c>
      <c r="N60" s="104">
        <v>2</v>
      </c>
      <c r="O60" s="57">
        <v>7000</v>
      </c>
      <c r="P60" s="58">
        <f t="shared" si="0"/>
        <v>14000</v>
      </c>
    </row>
    <row r="61" spans="1:16" ht="26.25" customHeight="1" x14ac:dyDescent="0.2">
      <c r="A61" s="100"/>
      <c r="B61" s="100"/>
      <c r="C61" s="65" t="s">
        <v>1063</v>
      </c>
      <c r="D61" s="70" t="s">
        <v>57</v>
      </c>
      <c r="E61" s="12">
        <v>44537</v>
      </c>
      <c r="F61" s="68" t="s">
        <v>71</v>
      </c>
      <c r="G61" s="12">
        <v>44543</v>
      </c>
      <c r="H61" s="69" t="s">
        <v>903</v>
      </c>
      <c r="I61" s="15">
        <v>94</v>
      </c>
      <c r="J61" s="15">
        <v>44</v>
      </c>
      <c r="K61" s="15">
        <v>43</v>
      </c>
      <c r="L61" s="15">
        <v>33</v>
      </c>
      <c r="M61" s="73">
        <v>44.462000000000003</v>
      </c>
      <c r="N61" s="104">
        <v>45</v>
      </c>
      <c r="O61" s="57">
        <v>7000</v>
      </c>
      <c r="P61" s="58">
        <f t="shared" si="0"/>
        <v>315000</v>
      </c>
    </row>
    <row r="62" spans="1:16" ht="26.25" customHeight="1" x14ac:dyDescent="0.2">
      <c r="A62" s="100"/>
      <c r="B62" s="100"/>
      <c r="C62" s="65" t="s">
        <v>1064</v>
      </c>
      <c r="D62" s="70" t="s">
        <v>57</v>
      </c>
      <c r="E62" s="12">
        <v>44537</v>
      </c>
      <c r="F62" s="68" t="s">
        <v>71</v>
      </c>
      <c r="G62" s="12">
        <v>44543</v>
      </c>
      <c r="H62" s="69" t="s">
        <v>903</v>
      </c>
      <c r="I62" s="15">
        <v>84</v>
      </c>
      <c r="J62" s="15">
        <v>68</v>
      </c>
      <c r="K62" s="15">
        <v>38</v>
      </c>
      <c r="L62" s="15">
        <v>13</v>
      </c>
      <c r="M62" s="73">
        <v>54.264000000000003</v>
      </c>
      <c r="N62" s="104">
        <v>54.264000000000003</v>
      </c>
      <c r="O62" s="57">
        <v>7000</v>
      </c>
      <c r="P62" s="58">
        <f t="shared" si="0"/>
        <v>379848</v>
      </c>
    </row>
    <row r="63" spans="1:16" ht="26.25" customHeight="1" x14ac:dyDescent="0.2">
      <c r="A63" s="100"/>
      <c r="B63" s="100"/>
      <c r="C63" s="65" t="s">
        <v>1065</v>
      </c>
      <c r="D63" s="70" t="s">
        <v>57</v>
      </c>
      <c r="E63" s="12">
        <v>44537</v>
      </c>
      <c r="F63" s="68" t="s">
        <v>71</v>
      </c>
      <c r="G63" s="12">
        <v>44543</v>
      </c>
      <c r="H63" s="69" t="s">
        <v>903</v>
      </c>
      <c r="I63" s="15">
        <v>50</v>
      </c>
      <c r="J63" s="15">
        <v>42</v>
      </c>
      <c r="K63" s="15">
        <v>21</v>
      </c>
      <c r="L63" s="15">
        <v>15</v>
      </c>
      <c r="M63" s="73">
        <v>11.025</v>
      </c>
      <c r="N63" s="104">
        <v>15</v>
      </c>
      <c r="O63" s="57">
        <v>7000</v>
      </c>
      <c r="P63" s="58">
        <f t="shared" si="0"/>
        <v>105000</v>
      </c>
    </row>
    <row r="64" spans="1:16" ht="26.25" customHeight="1" x14ac:dyDescent="0.2">
      <c r="A64" s="100"/>
      <c r="B64" s="100"/>
      <c r="C64" s="65" t="s">
        <v>1066</v>
      </c>
      <c r="D64" s="70" t="s">
        <v>57</v>
      </c>
      <c r="E64" s="12">
        <v>44537</v>
      </c>
      <c r="F64" s="68" t="s">
        <v>71</v>
      </c>
      <c r="G64" s="12">
        <v>44543</v>
      </c>
      <c r="H64" s="69" t="s">
        <v>903</v>
      </c>
      <c r="I64" s="15">
        <v>72</v>
      </c>
      <c r="J64" s="15">
        <v>56</v>
      </c>
      <c r="K64" s="15">
        <v>31</v>
      </c>
      <c r="L64" s="15">
        <v>28</v>
      </c>
      <c r="M64" s="73">
        <v>31.248000000000001</v>
      </c>
      <c r="N64" s="104">
        <v>31.248000000000001</v>
      </c>
      <c r="O64" s="57">
        <v>7000</v>
      </c>
      <c r="P64" s="58">
        <f t="shared" si="0"/>
        <v>218736</v>
      </c>
    </row>
    <row r="65" spans="1:16" ht="26.25" customHeight="1" x14ac:dyDescent="0.2">
      <c r="A65" s="100"/>
      <c r="B65" s="100"/>
      <c r="C65" s="65" t="s">
        <v>1067</v>
      </c>
      <c r="D65" s="70" t="s">
        <v>57</v>
      </c>
      <c r="E65" s="12">
        <v>44537</v>
      </c>
      <c r="F65" s="68" t="s">
        <v>71</v>
      </c>
      <c r="G65" s="12">
        <v>44543</v>
      </c>
      <c r="H65" s="69" t="s">
        <v>903</v>
      </c>
      <c r="I65" s="15">
        <v>132</v>
      </c>
      <c r="J65" s="15">
        <v>8</v>
      </c>
      <c r="K65" s="15">
        <v>8</v>
      </c>
      <c r="L65" s="15">
        <v>1</v>
      </c>
      <c r="M65" s="73">
        <v>2.1120000000000001</v>
      </c>
      <c r="N65" s="104">
        <v>2.1120000000000001</v>
      </c>
      <c r="O65" s="57">
        <v>7000</v>
      </c>
      <c r="P65" s="58">
        <f t="shared" si="0"/>
        <v>14784</v>
      </c>
    </row>
    <row r="66" spans="1:16" ht="26.25" customHeight="1" x14ac:dyDescent="0.2">
      <c r="A66" s="100"/>
      <c r="B66" s="100"/>
      <c r="C66" s="65" t="s">
        <v>1068</v>
      </c>
      <c r="D66" s="70" t="s">
        <v>57</v>
      </c>
      <c r="E66" s="12">
        <v>44537</v>
      </c>
      <c r="F66" s="68" t="s">
        <v>71</v>
      </c>
      <c r="G66" s="12">
        <v>44543</v>
      </c>
      <c r="H66" s="69" t="s">
        <v>903</v>
      </c>
      <c r="I66" s="15">
        <v>91</v>
      </c>
      <c r="J66" s="15">
        <v>51</v>
      </c>
      <c r="K66" s="15">
        <v>35</v>
      </c>
      <c r="L66" s="15">
        <v>17</v>
      </c>
      <c r="M66" s="73">
        <v>40.608750000000001</v>
      </c>
      <c r="N66" s="104">
        <v>40.608750000000001</v>
      </c>
      <c r="O66" s="57">
        <v>7000</v>
      </c>
      <c r="P66" s="58">
        <f t="shared" si="0"/>
        <v>284261.25</v>
      </c>
    </row>
    <row r="67" spans="1:16" ht="26.25" customHeight="1" x14ac:dyDescent="0.2">
      <c r="A67" s="100"/>
      <c r="B67" s="101"/>
      <c r="C67" s="65" t="s">
        <v>1069</v>
      </c>
      <c r="D67" s="70" t="s">
        <v>57</v>
      </c>
      <c r="E67" s="12">
        <v>44537</v>
      </c>
      <c r="F67" s="68" t="s">
        <v>71</v>
      </c>
      <c r="G67" s="12">
        <v>44543</v>
      </c>
      <c r="H67" s="69" t="s">
        <v>903</v>
      </c>
      <c r="I67" s="15">
        <v>280</v>
      </c>
      <c r="J67" s="15">
        <v>10</v>
      </c>
      <c r="K67" s="15">
        <v>11</v>
      </c>
      <c r="L67" s="15">
        <v>8</v>
      </c>
      <c r="M67" s="73">
        <v>7.7</v>
      </c>
      <c r="N67" s="104">
        <v>8</v>
      </c>
      <c r="O67" s="57">
        <v>7000</v>
      </c>
      <c r="P67" s="58">
        <f t="shared" ref="P67:P69" si="1">N67*O67</f>
        <v>56000</v>
      </c>
    </row>
    <row r="68" spans="1:16" ht="26.25" customHeight="1" x14ac:dyDescent="0.2">
      <c r="A68" s="100"/>
      <c r="B68" s="100" t="s">
        <v>1070</v>
      </c>
      <c r="C68" s="65" t="s">
        <v>1071</v>
      </c>
      <c r="D68" s="70" t="s">
        <v>57</v>
      </c>
      <c r="E68" s="12">
        <v>44537</v>
      </c>
      <c r="F68" s="68" t="s">
        <v>71</v>
      </c>
      <c r="G68" s="12">
        <v>44543</v>
      </c>
      <c r="H68" s="69" t="s">
        <v>903</v>
      </c>
      <c r="I68" s="15">
        <v>44</v>
      </c>
      <c r="J68" s="15">
        <v>32</v>
      </c>
      <c r="K68" s="15">
        <v>38</v>
      </c>
      <c r="L68" s="15">
        <v>4</v>
      </c>
      <c r="M68" s="73">
        <v>13.375999999999999</v>
      </c>
      <c r="N68" s="104">
        <v>14</v>
      </c>
      <c r="O68" s="57">
        <v>7000</v>
      </c>
      <c r="P68" s="58">
        <f t="shared" si="1"/>
        <v>98000</v>
      </c>
    </row>
    <row r="69" spans="1:16" ht="26.25" customHeight="1" x14ac:dyDescent="0.2">
      <c r="A69" s="100"/>
      <c r="B69" s="100"/>
      <c r="C69" s="65" t="s">
        <v>1072</v>
      </c>
      <c r="D69" s="70" t="s">
        <v>57</v>
      </c>
      <c r="E69" s="12">
        <v>44537</v>
      </c>
      <c r="F69" s="68" t="s">
        <v>71</v>
      </c>
      <c r="G69" s="12">
        <v>44543</v>
      </c>
      <c r="H69" s="69" t="s">
        <v>903</v>
      </c>
      <c r="I69" s="15">
        <v>41</v>
      </c>
      <c r="J69" s="15">
        <v>51</v>
      </c>
      <c r="K69" s="15">
        <v>88</v>
      </c>
      <c r="L69" s="15">
        <v>8</v>
      </c>
      <c r="M69" s="73">
        <v>46.002000000000002</v>
      </c>
      <c r="N69" s="104">
        <v>46.002000000000002</v>
      </c>
      <c r="O69" s="57">
        <v>7000</v>
      </c>
      <c r="P69" s="58">
        <f t="shared" si="1"/>
        <v>322014</v>
      </c>
    </row>
    <row r="70" spans="1:16" ht="22.5" customHeight="1" x14ac:dyDescent="0.2">
      <c r="A70" s="159" t="s">
        <v>30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1"/>
      <c r="M70" s="71">
        <f>SUBTOTAL(109,Table22457891011234567891011121314151617181920[KG VOLUME])</f>
        <v>1101.8412500000002</v>
      </c>
      <c r="N70" s="61">
        <f>SUM(N3:N69)</f>
        <v>1167.0232500000004</v>
      </c>
      <c r="O70" s="162">
        <f>SUM(P3:P69)</f>
        <v>8169162.75</v>
      </c>
      <c r="P70" s="163"/>
    </row>
    <row r="71" spans="1:16" ht="18" customHeight="1" x14ac:dyDescent="0.2">
      <c r="A71" s="78"/>
      <c r="B71" s="49" t="s">
        <v>42</v>
      </c>
      <c r="C71" s="48"/>
      <c r="D71" s="50" t="s">
        <v>43</v>
      </c>
      <c r="E71" s="78"/>
      <c r="F71" s="78"/>
      <c r="G71" s="78"/>
      <c r="H71" s="78"/>
      <c r="I71" s="78"/>
      <c r="J71" s="78"/>
      <c r="K71" s="78"/>
      <c r="L71" s="78"/>
      <c r="M71" s="79"/>
      <c r="N71" s="80" t="s">
        <v>52</v>
      </c>
      <c r="O71" s="81"/>
      <c r="P71" s="81">
        <v>0</v>
      </c>
    </row>
    <row r="72" spans="1:16" ht="18" customHeight="1" thickBot="1" x14ac:dyDescent="0.25">
      <c r="A72" s="78"/>
      <c r="B72" s="49"/>
      <c r="C72" s="48"/>
      <c r="D72" s="50"/>
      <c r="E72" s="78"/>
      <c r="F72" s="78"/>
      <c r="G72" s="78"/>
      <c r="H72" s="78"/>
      <c r="I72" s="78"/>
      <c r="J72" s="78"/>
      <c r="K72" s="78"/>
      <c r="L72" s="78"/>
      <c r="M72" s="79"/>
      <c r="N72" s="82" t="s">
        <v>53</v>
      </c>
      <c r="O72" s="83"/>
      <c r="P72" s="83">
        <f>O70-P71</f>
        <v>8169162.75</v>
      </c>
    </row>
    <row r="73" spans="1:16" ht="18" customHeight="1" x14ac:dyDescent="0.2">
      <c r="A73" s="10"/>
      <c r="H73" s="56"/>
      <c r="N73" s="55" t="s">
        <v>31</v>
      </c>
      <c r="P73" s="62">
        <f>P72*1%</f>
        <v>81691.627500000002</v>
      </c>
    </row>
    <row r="74" spans="1:16" ht="18" customHeight="1" thickBot="1" x14ac:dyDescent="0.25">
      <c r="A74" s="10"/>
      <c r="H74" s="56"/>
      <c r="N74" s="55" t="s">
        <v>54</v>
      </c>
      <c r="P74" s="64">
        <f>P72*2%</f>
        <v>163383.255</v>
      </c>
    </row>
    <row r="75" spans="1:16" ht="18" customHeight="1" x14ac:dyDescent="0.2">
      <c r="A75" s="10"/>
      <c r="H75" s="56"/>
      <c r="N75" s="59" t="s">
        <v>32</v>
      </c>
      <c r="O75" s="60"/>
      <c r="P75" s="63">
        <f>P72+P73-P74</f>
        <v>8087471.1225000005</v>
      </c>
    </row>
    <row r="77" spans="1:16" x14ac:dyDescent="0.2">
      <c r="A77" s="10"/>
      <c r="H77" s="56"/>
      <c r="P77" s="64"/>
    </row>
    <row r="78" spans="1:16" x14ac:dyDescent="0.2">
      <c r="A78" s="10"/>
      <c r="H78" s="56"/>
      <c r="O78" s="51"/>
      <c r="P78" s="64"/>
    </row>
    <row r="79" spans="1:16" s="3" customFormat="1" x14ac:dyDescent="0.25">
      <c r="A79" s="10"/>
      <c r="B79" s="2"/>
      <c r="C79" s="2"/>
      <c r="E79" s="11"/>
      <c r="H79" s="56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6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6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6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6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6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6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6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6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6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6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6"/>
      <c r="N90" s="14"/>
      <c r="O90" s="14"/>
      <c r="P90" s="14"/>
    </row>
  </sheetData>
  <mergeCells count="2">
    <mergeCell ref="A70:L70"/>
    <mergeCell ref="O70:P70"/>
  </mergeCells>
  <conditionalFormatting sqref="C3:C69">
    <cfRule type="duplicateValues" dxfId="1295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D9" sqref="D9"/>
    </sheetView>
  </sheetViews>
  <sheetFormatPr defaultRowHeight="15" x14ac:dyDescent="0.2"/>
  <cols>
    <col min="1" max="1" width="8" style="4" customWidth="1"/>
    <col min="2" max="2" width="19.7109375" style="2" customWidth="1"/>
    <col min="3" max="3" width="15" style="2" customWidth="1"/>
    <col min="4" max="4" width="9.85546875" style="3" customWidth="1"/>
    <col min="5" max="5" width="8.5703125" style="11" customWidth="1"/>
    <col min="6" max="6" width="16.42578125" style="3" customWidth="1"/>
    <col min="7" max="7" width="9.5703125" style="3" customWidth="1"/>
    <col min="8" max="8" width="1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6">
        <v>406115</v>
      </c>
      <c r="B3" s="96" t="s">
        <v>1073</v>
      </c>
      <c r="C3" s="1" t="s">
        <v>1074</v>
      </c>
      <c r="D3" s="68" t="s">
        <v>57</v>
      </c>
      <c r="E3" s="94">
        <v>44538</v>
      </c>
      <c r="F3" s="1" t="s">
        <v>71</v>
      </c>
      <c r="G3" s="94">
        <v>44543</v>
      </c>
      <c r="H3" s="1" t="s">
        <v>903</v>
      </c>
      <c r="I3" s="1">
        <v>95</v>
      </c>
      <c r="J3" s="1">
        <v>25</v>
      </c>
      <c r="K3" s="1">
        <v>12</v>
      </c>
      <c r="L3" s="1">
        <v>22</v>
      </c>
      <c r="M3" s="72">
        <v>7.125</v>
      </c>
      <c r="N3" s="88">
        <v>22</v>
      </c>
      <c r="O3" s="57">
        <v>7000</v>
      </c>
      <c r="P3" s="58">
        <f t="shared" ref="P3:P31" si="0">N3*O3</f>
        <v>154000</v>
      </c>
    </row>
    <row r="4" spans="1:16" ht="26.25" customHeight="1" x14ac:dyDescent="0.2">
      <c r="A4" s="97"/>
      <c r="B4" s="97"/>
      <c r="C4" s="1" t="s">
        <v>1075</v>
      </c>
      <c r="D4" s="68" t="s">
        <v>57</v>
      </c>
      <c r="E4" s="94">
        <v>44538</v>
      </c>
      <c r="F4" s="1" t="s">
        <v>71</v>
      </c>
      <c r="G4" s="94">
        <v>44543</v>
      </c>
      <c r="H4" s="1" t="s">
        <v>903</v>
      </c>
      <c r="I4" s="1">
        <v>86</v>
      </c>
      <c r="J4" s="1">
        <v>63</v>
      </c>
      <c r="K4" s="1">
        <v>25</v>
      </c>
      <c r="L4" s="1">
        <v>29</v>
      </c>
      <c r="M4" s="72">
        <v>33.862499999999997</v>
      </c>
      <c r="N4" s="88">
        <v>33.862499999999997</v>
      </c>
      <c r="O4" s="57">
        <v>7000</v>
      </c>
      <c r="P4" s="58">
        <f t="shared" si="0"/>
        <v>237037.49999999997</v>
      </c>
    </row>
    <row r="5" spans="1:16" ht="26.25" customHeight="1" x14ac:dyDescent="0.2">
      <c r="A5" s="97"/>
      <c r="B5" s="97"/>
      <c r="C5" s="65" t="s">
        <v>1076</v>
      </c>
      <c r="D5" s="70" t="s">
        <v>57</v>
      </c>
      <c r="E5" s="12">
        <v>44538</v>
      </c>
      <c r="F5" s="68" t="s">
        <v>71</v>
      </c>
      <c r="G5" s="12">
        <v>44543</v>
      </c>
      <c r="H5" s="69" t="s">
        <v>903</v>
      </c>
      <c r="I5" s="15">
        <v>92</v>
      </c>
      <c r="J5" s="15">
        <v>57</v>
      </c>
      <c r="K5" s="15">
        <v>38</v>
      </c>
      <c r="L5" s="15">
        <v>14</v>
      </c>
      <c r="M5" s="73">
        <v>49.817999999999998</v>
      </c>
      <c r="N5" s="88">
        <v>49.817999999999998</v>
      </c>
      <c r="O5" s="57">
        <v>7000</v>
      </c>
      <c r="P5" s="58">
        <f t="shared" si="0"/>
        <v>348726</v>
      </c>
    </row>
    <row r="6" spans="1:16" ht="26.25" customHeight="1" x14ac:dyDescent="0.2">
      <c r="A6" s="97"/>
      <c r="B6" s="97"/>
      <c r="C6" s="65" t="s">
        <v>1077</v>
      </c>
      <c r="D6" s="70" t="s">
        <v>57</v>
      </c>
      <c r="E6" s="12">
        <v>44538</v>
      </c>
      <c r="F6" s="68" t="s">
        <v>71</v>
      </c>
      <c r="G6" s="12">
        <v>44543</v>
      </c>
      <c r="H6" s="69" t="s">
        <v>903</v>
      </c>
      <c r="I6" s="15">
        <v>82</v>
      </c>
      <c r="J6" s="15">
        <v>52</v>
      </c>
      <c r="K6" s="15">
        <v>35</v>
      </c>
      <c r="L6" s="15">
        <v>15</v>
      </c>
      <c r="M6" s="73">
        <v>37.31</v>
      </c>
      <c r="N6" s="88">
        <v>38</v>
      </c>
      <c r="O6" s="57">
        <v>7000</v>
      </c>
      <c r="P6" s="58">
        <f t="shared" si="0"/>
        <v>266000</v>
      </c>
    </row>
    <row r="7" spans="1:16" ht="26.25" customHeight="1" x14ac:dyDescent="0.2">
      <c r="A7" s="97"/>
      <c r="B7" s="97"/>
      <c r="C7" s="65" t="s">
        <v>1078</v>
      </c>
      <c r="D7" s="70" t="s">
        <v>57</v>
      </c>
      <c r="E7" s="12">
        <v>44538</v>
      </c>
      <c r="F7" s="68" t="s">
        <v>71</v>
      </c>
      <c r="G7" s="12">
        <v>44543</v>
      </c>
      <c r="H7" s="69" t="s">
        <v>903</v>
      </c>
      <c r="I7" s="15">
        <v>40</v>
      </c>
      <c r="J7" s="15">
        <v>40</v>
      </c>
      <c r="K7" s="15">
        <v>10</v>
      </c>
      <c r="L7" s="15">
        <v>1</v>
      </c>
      <c r="M7" s="73">
        <v>4</v>
      </c>
      <c r="N7" s="88">
        <v>4</v>
      </c>
      <c r="O7" s="57">
        <v>7000</v>
      </c>
      <c r="P7" s="58">
        <f t="shared" si="0"/>
        <v>28000</v>
      </c>
    </row>
    <row r="8" spans="1:16" ht="26.25" customHeight="1" x14ac:dyDescent="0.2">
      <c r="A8" s="97"/>
      <c r="B8" s="97"/>
      <c r="C8" s="65" t="s">
        <v>1079</v>
      </c>
      <c r="D8" s="70" t="s">
        <v>57</v>
      </c>
      <c r="E8" s="12">
        <v>44538</v>
      </c>
      <c r="F8" s="68" t="s">
        <v>71</v>
      </c>
      <c r="G8" s="12">
        <v>44543</v>
      </c>
      <c r="H8" s="69" t="s">
        <v>903</v>
      </c>
      <c r="I8" s="15">
        <v>45</v>
      </c>
      <c r="J8" s="15">
        <v>43</v>
      </c>
      <c r="K8" s="15">
        <v>14</v>
      </c>
      <c r="L8" s="15">
        <v>3</v>
      </c>
      <c r="M8" s="73">
        <v>6.7725</v>
      </c>
      <c r="N8" s="88">
        <v>6.7725</v>
      </c>
      <c r="O8" s="57">
        <v>7000</v>
      </c>
      <c r="P8" s="58">
        <f t="shared" si="0"/>
        <v>47407.5</v>
      </c>
    </row>
    <row r="9" spans="1:16" ht="26.25" customHeight="1" x14ac:dyDescent="0.2">
      <c r="A9" s="97"/>
      <c r="B9" s="97"/>
      <c r="C9" s="65" t="s">
        <v>1080</v>
      </c>
      <c r="D9" s="70" t="s">
        <v>57</v>
      </c>
      <c r="E9" s="12">
        <v>44538</v>
      </c>
      <c r="F9" s="68" t="s">
        <v>71</v>
      </c>
      <c r="G9" s="12">
        <v>44543</v>
      </c>
      <c r="H9" s="69" t="s">
        <v>903</v>
      </c>
      <c r="I9" s="15">
        <v>89</v>
      </c>
      <c r="J9" s="15">
        <v>57</v>
      </c>
      <c r="K9" s="15">
        <v>37</v>
      </c>
      <c r="L9" s="15">
        <v>17</v>
      </c>
      <c r="M9" s="73">
        <v>46.925249999999998</v>
      </c>
      <c r="N9" s="88">
        <v>46.925249999999998</v>
      </c>
      <c r="O9" s="57">
        <v>7000</v>
      </c>
      <c r="P9" s="58">
        <f t="shared" si="0"/>
        <v>328476.75</v>
      </c>
    </row>
    <row r="10" spans="1:16" ht="26.25" customHeight="1" x14ac:dyDescent="0.2">
      <c r="A10" s="97"/>
      <c r="B10" s="97"/>
      <c r="C10" s="65" t="s">
        <v>1081</v>
      </c>
      <c r="D10" s="70" t="s">
        <v>57</v>
      </c>
      <c r="E10" s="12">
        <v>44538</v>
      </c>
      <c r="F10" s="68" t="s">
        <v>71</v>
      </c>
      <c r="G10" s="12">
        <v>44543</v>
      </c>
      <c r="H10" s="69" t="s">
        <v>903</v>
      </c>
      <c r="I10" s="15">
        <v>77</v>
      </c>
      <c r="J10" s="15">
        <v>96</v>
      </c>
      <c r="K10" s="15">
        <v>17</v>
      </c>
      <c r="L10" s="15">
        <v>8</v>
      </c>
      <c r="M10" s="73">
        <v>31.416</v>
      </c>
      <c r="N10" s="88">
        <v>32</v>
      </c>
      <c r="O10" s="57">
        <v>7000</v>
      </c>
      <c r="P10" s="58">
        <f t="shared" si="0"/>
        <v>224000</v>
      </c>
    </row>
    <row r="11" spans="1:16" ht="26.25" customHeight="1" x14ac:dyDescent="0.2">
      <c r="A11" s="97"/>
      <c r="B11" s="97"/>
      <c r="C11" s="65" t="s">
        <v>1082</v>
      </c>
      <c r="D11" s="70" t="s">
        <v>57</v>
      </c>
      <c r="E11" s="12">
        <v>44538</v>
      </c>
      <c r="F11" s="68" t="s">
        <v>71</v>
      </c>
      <c r="G11" s="12">
        <v>44543</v>
      </c>
      <c r="H11" s="69" t="s">
        <v>903</v>
      </c>
      <c r="I11" s="15">
        <v>33</v>
      </c>
      <c r="J11" s="15">
        <v>30</v>
      </c>
      <c r="K11" s="15">
        <v>23</v>
      </c>
      <c r="L11" s="15">
        <v>2</v>
      </c>
      <c r="M11" s="73">
        <v>5.6924999999999999</v>
      </c>
      <c r="N11" s="88">
        <v>5.6924999999999999</v>
      </c>
      <c r="O11" s="57">
        <v>7000</v>
      </c>
      <c r="P11" s="58">
        <f t="shared" si="0"/>
        <v>39847.5</v>
      </c>
    </row>
    <row r="12" spans="1:16" ht="26.25" customHeight="1" x14ac:dyDescent="0.2">
      <c r="A12" s="97"/>
      <c r="B12" s="97"/>
      <c r="C12" s="65" t="s">
        <v>1083</v>
      </c>
      <c r="D12" s="70" t="s">
        <v>57</v>
      </c>
      <c r="E12" s="12">
        <v>44538</v>
      </c>
      <c r="F12" s="68" t="s">
        <v>71</v>
      </c>
      <c r="G12" s="12">
        <v>44543</v>
      </c>
      <c r="H12" s="69" t="s">
        <v>903</v>
      </c>
      <c r="I12" s="15">
        <v>50</v>
      </c>
      <c r="J12" s="15">
        <v>23</v>
      </c>
      <c r="K12" s="15">
        <v>25</v>
      </c>
      <c r="L12" s="15">
        <v>6</v>
      </c>
      <c r="M12" s="73">
        <v>7.1875</v>
      </c>
      <c r="N12" s="88">
        <v>7.1875</v>
      </c>
      <c r="O12" s="57">
        <v>7000</v>
      </c>
      <c r="P12" s="58">
        <f t="shared" si="0"/>
        <v>50312.5</v>
      </c>
    </row>
    <row r="13" spans="1:16" ht="26.25" customHeight="1" x14ac:dyDescent="0.2">
      <c r="A13" s="97"/>
      <c r="B13" s="97"/>
      <c r="C13" s="65" t="s">
        <v>1084</v>
      </c>
      <c r="D13" s="70" t="s">
        <v>57</v>
      </c>
      <c r="E13" s="12">
        <v>44538</v>
      </c>
      <c r="F13" s="68" t="s">
        <v>71</v>
      </c>
      <c r="G13" s="12">
        <v>44543</v>
      </c>
      <c r="H13" s="69" t="s">
        <v>903</v>
      </c>
      <c r="I13" s="15">
        <v>40</v>
      </c>
      <c r="J13" s="15">
        <v>25</v>
      </c>
      <c r="K13" s="15">
        <v>20</v>
      </c>
      <c r="L13" s="15">
        <v>1</v>
      </c>
      <c r="M13" s="73">
        <v>5</v>
      </c>
      <c r="N13" s="88">
        <v>5</v>
      </c>
      <c r="O13" s="57">
        <v>7000</v>
      </c>
      <c r="P13" s="58">
        <f t="shared" si="0"/>
        <v>35000</v>
      </c>
    </row>
    <row r="14" spans="1:16" ht="26.25" customHeight="1" x14ac:dyDescent="0.2">
      <c r="A14" s="97"/>
      <c r="B14" s="97"/>
      <c r="C14" s="65" t="s">
        <v>1085</v>
      </c>
      <c r="D14" s="70" t="s">
        <v>57</v>
      </c>
      <c r="E14" s="12">
        <v>44538</v>
      </c>
      <c r="F14" s="68" t="s">
        <v>71</v>
      </c>
      <c r="G14" s="12">
        <v>44543</v>
      </c>
      <c r="H14" s="69" t="s">
        <v>903</v>
      </c>
      <c r="I14" s="15">
        <v>62</v>
      </c>
      <c r="J14" s="15">
        <v>40</v>
      </c>
      <c r="K14" s="15">
        <v>33</v>
      </c>
      <c r="L14" s="15">
        <v>7</v>
      </c>
      <c r="M14" s="73">
        <v>20.46</v>
      </c>
      <c r="N14" s="88">
        <v>21</v>
      </c>
      <c r="O14" s="57">
        <v>7000</v>
      </c>
      <c r="P14" s="58">
        <f t="shared" si="0"/>
        <v>147000</v>
      </c>
    </row>
    <row r="15" spans="1:16" ht="26.25" customHeight="1" x14ac:dyDescent="0.2">
      <c r="A15" s="97"/>
      <c r="B15" s="97"/>
      <c r="C15" s="65" t="s">
        <v>1086</v>
      </c>
      <c r="D15" s="70" t="s">
        <v>57</v>
      </c>
      <c r="E15" s="12">
        <v>44538</v>
      </c>
      <c r="F15" s="68" t="s">
        <v>71</v>
      </c>
      <c r="G15" s="12">
        <v>44543</v>
      </c>
      <c r="H15" s="69" t="s">
        <v>903</v>
      </c>
      <c r="I15" s="15">
        <v>45</v>
      </c>
      <c r="J15" s="15">
        <v>42</v>
      </c>
      <c r="K15" s="15">
        <v>22</v>
      </c>
      <c r="L15" s="15">
        <v>3</v>
      </c>
      <c r="M15" s="73">
        <v>10.395</v>
      </c>
      <c r="N15" s="88">
        <v>11</v>
      </c>
      <c r="O15" s="57">
        <v>7000</v>
      </c>
      <c r="P15" s="58">
        <f t="shared" si="0"/>
        <v>77000</v>
      </c>
    </row>
    <row r="16" spans="1:16" ht="26.25" customHeight="1" x14ac:dyDescent="0.2">
      <c r="A16" s="97"/>
      <c r="B16" s="97"/>
      <c r="C16" s="65" t="s">
        <v>1087</v>
      </c>
      <c r="D16" s="70" t="s">
        <v>57</v>
      </c>
      <c r="E16" s="12">
        <v>44538</v>
      </c>
      <c r="F16" s="68" t="s">
        <v>71</v>
      </c>
      <c r="G16" s="12">
        <v>44543</v>
      </c>
      <c r="H16" s="69" t="s">
        <v>903</v>
      </c>
      <c r="I16" s="15">
        <v>55</v>
      </c>
      <c r="J16" s="15">
        <v>44</v>
      </c>
      <c r="K16" s="15">
        <v>20</v>
      </c>
      <c r="L16" s="15">
        <v>4</v>
      </c>
      <c r="M16" s="73">
        <v>12.1</v>
      </c>
      <c r="N16" s="88">
        <v>12.1</v>
      </c>
      <c r="O16" s="57">
        <v>7000</v>
      </c>
      <c r="P16" s="58">
        <f t="shared" si="0"/>
        <v>84700</v>
      </c>
    </row>
    <row r="17" spans="1:16" ht="26.25" customHeight="1" x14ac:dyDescent="0.2">
      <c r="A17" s="97"/>
      <c r="B17" s="97"/>
      <c r="C17" s="65" t="s">
        <v>1088</v>
      </c>
      <c r="D17" s="70" t="s">
        <v>57</v>
      </c>
      <c r="E17" s="12">
        <v>44538</v>
      </c>
      <c r="F17" s="68" t="s">
        <v>71</v>
      </c>
      <c r="G17" s="12">
        <v>44543</v>
      </c>
      <c r="H17" s="69" t="s">
        <v>903</v>
      </c>
      <c r="I17" s="15">
        <v>74</v>
      </c>
      <c r="J17" s="15">
        <v>42</v>
      </c>
      <c r="K17" s="15">
        <v>33</v>
      </c>
      <c r="L17" s="15">
        <v>7</v>
      </c>
      <c r="M17" s="73">
        <v>25.640999999999998</v>
      </c>
      <c r="N17" s="88">
        <v>25.640999999999998</v>
      </c>
      <c r="O17" s="57">
        <v>7000</v>
      </c>
      <c r="P17" s="58">
        <f t="shared" si="0"/>
        <v>179487</v>
      </c>
    </row>
    <row r="18" spans="1:16" ht="26.25" customHeight="1" x14ac:dyDescent="0.2">
      <c r="A18" s="97"/>
      <c r="B18" s="97"/>
      <c r="C18" s="65" t="s">
        <v>1089</v>
      </c>
      <c r="D18" s="70" t="s">
        <v>57</v>
      </c>
      <c r="E18" s="12">
        <v>44538</v>
      </c>
      <c r="F18" s="68" t="s">
        <v>71</v>
      </c>
      <c r="G18" s="12">
        <v>44543</v>
      </c>
      <c r="H18" s="69" t="s">
        <v>903</v>
      </c>
      <c r="I18" s="15">
        <v>62</v>
      </c>
      <c r="J18" s="15">
        <v>32</v>
      </c>
      <c r="K18" s="15">
        <v>38</v>
      </c>
      <c r="L18" s="15">
        <v>1</v>
      </c>
      <c r="M18" s="73">
        <v>18.847999999999999</v>
      </c>
      <c r="N18" s="88">
        <v>18.847999999999999</v>
      </c>
      <c r="O18" s="57">
        <v>7000</v>
      </c>
      <c r="P18" s="58">
        <f t="shared" si="0"/>
        <v>131936</v>
      </c>
    </row>
    <row r="19" spans="1:16" ht="26.25" customHeight="1" x14ac:dyDescent="0.2">
      <c r="A19" s="97"/>
      <c r="B19" s="97"/>
      <c r="C19" s="65" t="s">
        <v>1090</v>
      </c>
      <c r="D19" s="70" t="s">
        <v>57</v>
      </c>
      <c r="E19" s="12">
        <v>44538</v>
      </c>
      <c r="F19" s="68" t="s">
        <v>71</v>
      </c>
      <c r="G19" s="12">
        <v>44543</v>
      </c>
      <c r="H19" s="69" t="s">
        <v>903</v>
      </c>
      <c r="I19" s="15">
        <v>47</v>
      </c>
      <c r="J19" s="15">
        <v>40</v>
      </c>
      <c r="K19" s="15">
        <v>12</v>
      </c>
      <c r="L19" s="15">
        <v>3</v>
      </c>
      <c r="M19" s="73">
        <v>5.64</v>
      </c>
      <c r="N19" s="88">
        <v>5.64</v>
      </c>
      <c r="O19" s="57">
        <v>7000</v>
      </c>
      <c r="P19" s="58">
        <f t="shared" si="0"/>
        <v>39480</v>
      </c>
    </row>
    <row r="20" spans="1:16" ht="26.25" customHeight="1" x14ac:dyDescent="0.2">
      <c r="A20" s="97"/>
      <c r="B20" s="97"/>
      <c r="C20" s="65" t="s">
        <v>1091</v>
      </c>
      <c r="D20" s="70" t="s">
        <v>57</v>
      </c>
      <c r="E20" s="12">
        <v>44538</v>
      </c>
      <c r="F20" s="68" t="s">
        <v>71</v>
      </c>
      <c r="G20" s="12">
        <v>44543</v>
      </c>
      <c r="H20" s="69" t="s">
        <v>903</v>
      </c>
      <c r="I20" s="15">
        <v>48</v>
      </c>
      <c r="J20" s="15">
        <v>34</v>
      </c>
      <c r="K20" s="15">
        <v>27</v>
      </c>
      <c r="L20" s="15">
        <v>3</v>
      </c>
      <c r="M20" s="73">
        <v>11.016</v>
      </c>
      <c r="N20" s="88">
        <v>11.016</v>
      </c>
      <c r="O20" s="57">
        <v>7000</v>
      </c>
      <c r="P20" s="58">
        <f t="shared" si="0"/>
        <v>77112</v>
      </c>
    </row>
    <row r="21" spans="1:16" ht="26.25" customHeight="1" x14ac:dyDescent="0.2">
      <c r="A21" s="97"/>
      <c r="B21" s="97"/>
      <c r="C21" s="65" t="s">
        <v>1092</v>
      </c>
      <c r="D21" s="70" t="s">
        <v>57</v>
      </c>
      <c r="E21" s="12">
        <v>44538</v>
      </c>
      <c r="F21" s="68" t="s">
        <v>71</v>
      </c>
      <c r="G21" s="12">
        <v>44543</v>
      </c>
      <c r="H21" s="69" t="s">
        <v>903</v>
      </c>
      <c r="I21" s="15">
        <v>62</v>
      </c>
      <c r="J21" s="15">
        <v>27</v>
      </c>
      <c r="K21" s="15">
        <v>17</v>
      </c>
      <c r="L21" s="15">
        <v>13</v>
      </c>
      <c r="M21" s="73">
        <v>7.1144999999999996</v>
      </c>
      <c r="N21" s="88">
        <v>13</v>
      </c>
      <c r="O21" s="57">
        <v>7000</v>
      </c>
      <c r="P21" s="58">
        <f t="shared" si="0"/>
        <v>91000</v>
      </c>
    </row>
    <row r="22" spans="1:16" ht="26.25" customHeight="1" x14ac:dyDescent="0.2">
      <c r="A22" s="97"/>
      <c r="B22" s="97"/>
      <c r="C22" s="65" t="s">
        <v>1093</v>
      </c>
      <c r="D22" s="70" t="s">
        <v>57</v>
      </c>
      <c r="E22" s="12">
        <v>44538</v>
      </c>
      <c r="F22" s="68" t="s">
        <v>71</v>
      </c>
      <c r="G22" s="12">
        <v>44543</v>
      </c>
      <c r="H22" s="69" t="s">
        <v>903</v>
      </c>
      <c r="I22" s="15">
        <v>82</v>
      </c>
      <c r="J22" s="15">
        <v>32</v>
      </c>
      <c r="K22" s="15">
        <v>14</v>
      </c>
      <c r="L22" s="15">
        <v>5</v>
      </c>
      <c r="M22" s="73">
        <v>9.1839999999999993</v>
      </c>
      <c r="N22" s="88">
        <v>9.1839999999999993</v>
      </c>
      <c r="O22" s="57">
        <v>7000</v>
      </c>
      <c r="P22" s="58">
        <f t="shared" si="0"/>
        <v>64287.999999999993</v>
      </c>
    </row>
    <row r="23" spans="1:16" ht="26.25" customHeight="1" x14ac:dyDescent="0.2">
      <c r="A23" s="97"/>
      <c r="B23" s="97"/>
      <c r="C23" s="65" t="s">
        <v>1094</v>
      </c>
      <c r="D23" s="70" t="s">
        <v>57</v>
      </c>
      <c r="E23" s="12">
        <v>44538</v>
      </c>
      <c r="F23" s="68" t="s">
        <v>71</v>
      </c>
      <c r="G23" s="12">
        <v>44543</v>
      </c>
      <c r="H23" s="69" t="s">
        <v>903</v>
      </c>
      <c r="I23" s="15">
        <v>52</v>
      </c>
      <c r="J23" s="15">
        <v>36</v>
      </c>
      <c r="K23" s="15">
        <v>42</v>
      </c>
      <c r="L23" s="15">
        <v>10</v>
      </c>
      <c r="M23" s="73">
        <v>19.655999999999999</v>
      </c>
      <c r="N23" s="88">
        <v>19.655999999999999</v>
      </c>
      <c r="O23" s="57">
        <v>7000</v>
      </c>
      <c r="P23" s="58">
        <f t="shared" si="0"/>
        <v>137592</v>
      </c>
    </row>
    <row r="24" spans="1:16" ht="26.25" customHeight="1" x14ac:dyDescent="0.2">
      <c r="A24" s="97"/>
      <c r="B24" s="97"/>
      <c r="C24" s="65" t="s">
        <v>1095</v>
      </c>
      <c r="D24" s="70" t="s">
        <v>57</v>
      </c>
      <c r="E24" s="12">
        <v>44538</v>
      </c>
      <c r="F24" s="68" t="s">
        <v>71</v>
      </c>
      <c r="G24" s="12">
        <v>44543</v>
      </c>
      <c r="H24" s="69" t="s">
        <v>903</v>
      </c>
      <c r="I24" s="15">
        <v>68</v>
      </c>
      <c r="J24" s="15">
        <v>32</v>
      </c>
      <c r="K24" s="15">
        <v>47</v>
      </c>
      <c r="L24" s="15">
        <v>6</v>
      </c>
      <c r="M24" s="73">
        <v>25.568000000000001</v>
      </c>
      <c r="N24" s="88">
        <v>25.568000000000001</v>
      </c>
      <c r="O24" s="57">
        <v>7000</v>
      </c>
      <c r="P24" s="58">
        <f t="shared" si="0"/>
        <v>178976</v>
      </c>
    </row>
    <row r="25" spans="1:16" ht="26.25" customHeight="1" x14ac:dyDescent="0.2">
      <c r="A25" s="97"/>
      <c r="B25" s="97"/>
      <c r="C25" s="65" t="s">
        <v>1096</v>
      </c>
      <c r="D25" s="70" t="s">
        <v>57</v>
      </c>
      <c r="E25" s="12">
        <v>44538</v>
      </c>
      <c r="F25" s="68" t="s">
        <v>71</v>
      </c>
      <c r="G25" s="12">
        <v>44543</v>
      </c>
      <c r="H25" s="69" t="s">
        <v>903</v>
      </c>
      <c r="I25" s="15">
        <v>85</v>
      </c>
      <c r="J25" s="15">
        <v>64</v>
      </c>
      <c r="K25" s="15">
        <v>8</v>
      </c>
      <c r="L25" s="15">
        <v>8</v>
      </c>
      <c r="M25" s="73">
        <v>10.88</v>
      </c>
      <c r="N25" s="88">
        <v>10.88</v>
      </c>
      <c r="O25" s="57">
        <v>7000</v>
      </c>
      <c r="P25" s="58">
        <f t="shared" si="0"/>
        <v>76160</v>
      </c>
    </row>
    <row r="26" spans="1:16" ht="26.25" customHeight="1" x14ac:dyDescent="0.2">
      <c r="A26" s="97"/>
      <c r="B26" s="97"/>
      <c r="C26" s="65" t="s">
        <v>1097</v>
      </c>
      <c r="D26" s="70" t="s">
        <v>57</v>
      </c>
      <c r="E26" s="12">
        <v>44538</v>
      </c>
      <c r="F26" s="68" t="s">
        <v>71</v>
      </c>
      <c r="G26" s="12">
        <v>44543</v>
      </c>
      <c r="H26" s="69" t="s">
        <v>903</v>
      </c>
      <c r="I26" s="15">
        <v>85</v>
      </c>
      <c r="J26" s="15">
        <v>50</v>
      </c>
      <c r="K26" s="15">
        <v>10</v>
      </c>
      <c r="L26" s="15">
        <v>7</v>
      </c>
      <c r="M26" s="73">
        <v>10.625</v>
      </c>
      <c r="N26" s="88">
        <v>10.625</v>
      </c>
      <c r="O26" s="57">
        <v>7000</v>
      </c>
      <c r="P26" s="58">
        <f t="shared" si="0"/>
        <v>74375</v>
      </c>
    </row>
    <row r="27" spans="1:16" ht="26.25" customHeight="1" x14ac:dyDescent="0.2">
      <c r="A27" s="97"/>
      <c r="B27" s="97"/>
      <c r="C27" s="65" t="s">
        <v>1098</v>
      </c>
      <c r="D27" s="70" t="s">
        <v>57</v>
      </c>
      <c r="E27" s="12">
        <v>44538</v>
      </c>
      <c r="F27" s="68" t="s">
        <v>71</v>
      </c>
      <c r="G27" s="12">
        <v>44543</v>
      </c>
      <c r="H27" s="69" t="s">
        <v>903</v>
      </c>
      <c r="I27" s="15">
        <v>48</v>
      </c>
      <c r="J27" s="15">
        <v>33</v>
      </c>
      <c r="K27" s="15">
        <v>37</v>
      </c>
      <c r="L27" s="15">
        <v>14</v>
      </c>
      <c r="M27" s="73">
        <v>14.651999999999999</v>
      </c>
      <c r="N27" s="88">
        <v>14.651999999999999</v>
      </c>
      <c r="O27" s="57">
        <v>7000</v>
      </c>
      <c r="P27" s="58">
        <f t="shared" si="0"/>
        <v>102564</v>
      </c>
    </row>
    <row r="28" spans="1:16" ht="26.25" customHeight="1" x14ac:dyDescent="0.2">
      <c r="A28" s="97"/>
      <c r="B28" s="97"/>
      <c r="C28" s="65" t="s">
        <v>1099</v>
      </c>
      <c r="D28" s="70" t="s">
        <v>57</v>
      </c>
      <c r="E28" s="12">
        <v>44538</v>
      </c>
      <c r="F28" s="68" t="s">
        <v>71</v>
      </c>
      <c r="G28" s="12">
        <v>44543</v>
      </c>
      <c r="H28" s="69" t="s">
        <v>903</v>
      </c>
      <c r="I28" s="15">
        <v>34</v>
      </c>
      <c r="J28" s="15">
        <v>22</v>
      </c>
      <c r="K28" s="15">
        <v>25</v>
      </c>
      <c r="L28" s="15">
        <v>10</v>
      </c>
      <c r="M28" s="73">
        <v>4.6749999999999998</v>
      </c>
      <c r="N28" s="88">
        <v>10</v>
      </c>
      <c r="O28" s="57">
        <v>7000</v>
      </c>
      <c r="P28" s="58">
        <f t="shared" si="0"/>
        <v>70000</v>
      </c>
    </row>
    <row r="29" spans="1:16" ht="26.25" customHeight="1" x14ac:dyDescent="0.2">
      <c r="A29" s="97"/>
      <c r="B29" s="98"/>
      <c r="C29" s="65" t="s">
        <v>1100</v>
      </c>
      <c r="D29" s="70" t="s">
        <v>57</v>
      </c>
      <c r="E29" s="12">
        <v>44538</v>
      </c>
      <c r="F29" s="68" t="s">
        <v>71</v>
      </c>
      <c r="G29" s="12">
        <v>44543</v>
      </c>
      <c r="H29" s="69" t="s">
        <v>903</v>
      </c>
      <c r="I29" s="15">
        <v>200</v>
      </c>
      <c r="J29" s="15">
        <v>10</v>
      </c>
      <c r="K29" s="15">
        <v>10</v>
      </c>
      <c r="L29" s="15">
        <v>2</v>
      </c>
      <c r="M29" s="73">
        <v>5</v>
      </c>
      <c r="N29" s="88">
        <v>5</v>
      </c>
      <c r="O29" s="57">
        <v>7000</v>
      </c>
      <c r="P29" s="58">
        <f t="shared" si="0"/>
        <v>35000</v>
      </c>
    </row>
    <row r="30" spans="1:16" ht="26.25" customHeight="1" x14ac:dyDescent="0.2">
      <c r="A30" s="97"/>
      <c r="B30" s="97" t="s">
        <v>1101</v>
      </c>
      <c r="C30" s="65" t="s">
        <v>1102</v>
      </c>
      <c r="D30" s="70" t="s">
        <v>57</v>
      </c>
      <c r="E30" s="12">
        <v>44538</v>
      </c>
      <c r="F30" s="68" t="s">
        <v>71</v>
      </c>
      <c r="G30" s="12">
        <v>44543</v>
      </c>
      <c r="H30" s="69" t="s">
        <v>903</v>
      </c>
      <c r="I30" s="15">
        <v>38</v>
      </c>
      <c r="J30" s="15">
        <v>32</v>
      </c>
      <c r="K30" s="15">
        <v>27</v>
      </c>
      <c r="L30" s="15">
        <v>13</v>
      </c>
      <c r="M30" s="73">
        <v>8.2080000000000002</v>
      </c>
      <c r="N30" s="88">
        <v>13</v>
      </c>
      <c r="O30" s="57">
        <v>7000</v>
      </c>
      <c r="P30" s="58">
        <f t="shared" si="0"/>
        <v>91000</v>
      </c>
    </row>
    <row r="31" spans="1:16" ht="26.25" customHeight="1" x14ac:dyDescent="0.2">
      <c r="A31" s="97"/>
      <c r="B31" s="97"/>
      <c r="C31" s="65" t="s">
        <v>1103</v>
      </c>
      <c r="D31" s="70" t="s">
        <v>57</v>
      </c>
      <c r="E31" s="12">
        <v>44538</v>
      </c>
      <c r="F31" s="68" t="s">
        <v>71</v>
      </c>
      <c r="G31" s="12">
        <v>44543</v>
      </c>
      <c r="H31" s="69" t="s">
        <v>903</v>
      </c>
      <c r="I31" s="15">
        <v>37</v>
      </c>
      <c r="J31" s="15">
        <v>42</v>
      </c>
      <c r="K31" s="15">
        <v>17</v>
      </c>
      <c r="L31" s="15">
        <v>7</v>
      </c>
      <c r="M31" s="73">
        <v>6.6044999999999998</v>
      </c>
      <c r="N31" s="88">
        <v>7</v>
      </c>
      <c r="O31" s="57">
        <v>7000</v>
      </c>
      <c r="P31" s="58">
        <f t="shared" si="0"/>
        <v>49000</v>
      </c>
    </row>
    <row r="32" spans="1:16" ht="22.5" customHeight="1" x14ac:dyDescent="0.2">
      <c r="A32" s="159" t="s">
        <v>30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1"/>
      <c r="M32" s="71">
        <f>SUBTOTAL(109,Table2245789101123456789101112131415161718192021[KG VOLUME])</f>
        <v>461.37625000000008</v>
      </c>
      <c r="N32" s="61">
        <f>SUM(N3:N31)</f>
        <v>495.06825000000003</v>
      </c>
      <c r="O32" s="162">
        <f>SUM(P3:P31)</f>
        <v>3465477.75</v>
      </c>
      <c r="P32" s="163"/>
    </row>
    <row r="33" spans="1:16" ht="18" customHeight="1" x14ac:dyDescent="0.2">
      <c r="A33" s="78"/>
      <c r="B33" s="49" t="s">
        <v>42</v>
      </c>
      <c r="C33" s="48"/>
      <c r="D33" s="50" t="s">
        <v>43</v>
      </c>
      <c r="E33" s="78"/>
      <c r="F33" s="78"/>
      <c r="G33" s="78"/>
      <c r="H33" s="78"/>
      <c r="I33" s="78"/>
      <c r="J33" s="78"/>
      <c r="K33" s="78"/>
      <c r="L33" s="78"/>
      <c r="M33" s="79"/>
      <c r="N33" s="80" t="s">
        <v>52</v>
      </c>
      <c r="O33" s="81"/>
      <c r="P33" s="81">
        <v>0</v>
      </c>
    </row>
    <row r="34" spans="1:16" ht="18" customHeight="1" thickBot="1" x14ac:dyDescent="0.25">
      <c r="A34" s="78"/>
      <c r="B34" s="49"/>
      <c r="C34" s="48"/>
      <c r="D34" s="50"/>
      <c r="E34" s="78"/>
      <c r="F34" s="78"/>
      <c r="G34" s="78"/>
      <c r="H34" s="78"/>
      <c r="I34" s="78"/>
      <c r="J34" s="78"/>
      <c r="K34" s="78"/>
      <c r="L34" s="78"/>
      <c r="M34" s="79"/>
      <c r="N34" s="82" t="s">
        <v>53</v>
      </c>
      <c r="O34" s="83"/>
      <c r="P34" s="83">
        <f>O32-P33</f>
        <v>3465477.75</v>
      </c>
    </row>
    <row r="35" spans="1:16" ht="18" customHeight="1" x14ac:dyDescent="0.2">
      <c r="A35" s="10"/>
      <c r="H35" s="56"/>
      <c r="N35" s="55" t="s">
        <v>31</v>
      </c>
      <c r="P35" s="62">
        <f>P34*1%</f>
        <v>34654.777500000004</v>
      </c>
    </row>
    <row r="36" spans="1:16" ht="18" customHeight="1" thickBot="1" x14ac:dyDescent="0.25">
      <c r="A36" s="10"/>
      <c r="H36" s="56"/>
      <c r="N36" s="55" t="s">
        <v>54</v>
      </c>
      <c r="P36" s="64">
        <f>P34*2%</f>
        <v>69309.555000000008</v>
      </c>
    </row>
    <row r="37" spans="1:16" ht="18" customHeight="1" x14ac:dyDescent="0.2">
      <c r="A37" s="10"/>
      <c r="H37" s="56"/>
      <c r="N37" s="59" t="s">
        <v>32</v>
      </c>
      <c r="O37" s="60"/>
      <c r="P37" s="63">
        <f>P34+P35-P36</f>
        <v>3430822.9724999997</v>
      </c>
    </row>
    <row r="39" spans="1:16" x14ac:dyDescent="0.2">
      <c r="A39" s="10"/>
      <c r="H39" s="56"/>
      <c r="P39" s="64"/>
    </row>
    <row r="40" spans="1:16" x14ac:dyDescent="0.2">
      <c r="A40" s="10"/>
      <c r="H40" s="56"/>
      <c r="O40" s="51"/>
      <c r="P40" s="6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</sheetData>
  <mergeCells count="2">
    <mergeCell ref="A32:L32"/>
    <mergeCell ref="O32:P32"/>
  </mergeCells>
  <conditionalFormatting sqref="C3:C31">
    <cfRule type="duplicateValues" dxfId="1279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2"/>
  <sheetViews>
    <sheetView zoomScale="110" zoomScaleNormal="110" workbookViewId="0">
      <pane xSplit="3" ySplit="2" topLeftCell="D15" activePane="bottomRight" state="frozen"/>
      <selection activeCell="H12" sqref="H12"/>
      <selection pane="topRight" activeCell="H12" sqref="H12"/>
      <selection pane="bottomLeft" activeCell="H12" sqref="H12"/>
      <selection pane="bottomRight" activeCell="D26" sqref="D26"/>
    </sheetView>
  </sheetViews>
  <sheetFormatPr defaultRowHeight="15" x14ac:dyDescent="0.2"/>
  <cols>
    <col min="1" max="1" width="8" style="4" customWidth="1"/>
    <col min="2" max="2" width="20" style="2" customWidth="1"/>
    <col min="3" max="3" width="14.5703125" style="2" customWidth="1"/>
    <col min="4" max="4" width="10.140625" style="3" customWidth="1"/>
    <col min="5" max="5" width="9.7109375" style="11" customWidth="1"/>
    <col min="6" max="6" width="17" style="3" customWidth="1"/>
    <col min="7" max="7" width="9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405839</v>
      </c>
      <c r="B3" s="99" t="s">
        <v>1104</v>
      </c>
      <c r="C3" s="90" t="s">
        <v>1105</v>
      </c>
      <c r="D3" s="102" t="s">
        <v>57</v>
      </c>
      <c r="E3" s="91">
        <v>44538</v>
      </c>
      <c r="F3" s="90" t="s">
        <v>71</v>
      </c>
      <c r="G3" s="91">
        <v>44543</v>
      </c>
      <c r="H3" s="90" t="s">
        <v>903</v>
      </c>
      <c r="I3" s="90">
        <v>57</v>
      </c>
      <c r="J3" s="90">
        <v>29</v>
      </c>
      <c r="K3" s="90">
        <v>39</v>
      </c>
      <c r="L3" s="90">
        <v>15</v>
      </c>
      <c r="M3" s="92">
        <v>16.11675</v>
      </c>
      <c r="N3" s="104">
        <v>16.11675</v>
      </c>
      <c r="O3" s="57">
        <v>7000</v>
      </c>
      <c r="P3" s="58">
        <f t="shared" ref="P3:P21" si="0">N3*O3</f>
        <v>112817.25</v>
      </c>
    </row>
    <row r="4" spans="1:16" ht="26.25" customHeight="1" x14ac:dyDescent="0.2">
      <c r="A4" s="100"/>
      <c r="B4" s="100"/>
      <c r="C4" s="90" t="s">
        <v>1106</v>
      </c>
      <c r="D4" s="102" t="s">
        <v>57</v>
      </c>
      <c r="E4" s="91">
        <v>44538</v>
      </c>
      <c r="F4" s="90" t="s">
        <v>71</v>
      </c>
      <c r="G4" s="91">
        <v>44543</v>
      </c>
      <c r="H4" s="90" t="s">
        <v>903</v>
      </c>
      <c r="I4" s="90">
        <v>57</v>
      </c>
      <c r="J4" s="90">
        <v>29</v>
      </c>
      <c r="K4" s="90">
        <v>39</v>
      </c>
      <c r="L4" s="90">
        <v>15</v>
      </c>
      <c r="M4" s="92">
        <v>16.11675</v>
      </c>
      <c r="N4" s="104">
        <v>16.11675</v>
      </c>
      <c r="O4" s="57">
        <v>7000</v>
      </c>
      <c r="P4" s="58">
        <f t="shared" si="0"/>
        <v>112817.25</v>
      </c>
    </row>
    <row r="5" spans="1:16" ht="26.25" customHeight="1" x14ac:dyDescent="0.2">
      <c r="A5" s="100"/>
      <c r="B5" s="100"/>
      <c r="C5" s="90" t="s">
        <v>1107</v>
      </c>
      <c r="D5" s="102" t="s">
        <v>57</v>
      </c>
      <c r="E5" s="91">
        <v>44538</v>
      </c>
      <c r="F5" s="90" t="s">
        <v>71</v>
      </c>
      <c r="G5" s="91">
        <v>44543</v>
      </c>
      <c r="H5" s="90" t="s">
        <v>903</v>
      </c>
      <c r="I5" s="90">
        <v>54</v>
      </c>
      <c r="J5" s="90">
        <v>37</v>
      </c>
      <c r="K5" s="90">
        <v>10</v>
      </c>
      <c r="L5" s="90">
        <v>4</v>
      </c>
      <c r="M5" s="92">
        <v>4.9950000000000001</v>
      </c>
      <c r="N5" s="104">
        <v>4.9950000000000001</v>
      </c>
      <c r="O5" s="57">
        <v>7000</v>
      </c>
      <c r="P5" s="58">
        <f t="shared" si="0"/>
        <v>34965</v>
      </c>
    </row>
    <row r="6" spans="1:16" ht="26.25" customHeight="1" x14ac:dyDescent="0.2">
      <c r="A6" s="100"/>
      <c r="B6" s="100"/>
      <c r="C6" s="90" t="s">
        <v>1108</v>
      </c>
      <c r="D6" s="102" t="s">
        <v>57</v>
      </c>
      <c r="E6" s="91">
        <v>44538</v>
      </c>
      <c r="F6" s="90" t="s">
        <v>71</v>
      </c>
      <c r="G6" s="91">
        <v>44543</v>
      </c>
      <c r="H6" s="90" t="s">
        <v>903</v>
      </c>
      <c r="I6" s="90">
        <v>42</v>
      </c>
      <c r="J6" s="90">
        <v>31</v>
      </c>
      <c r="K6" s="90">
        <v>15</v>
      </c>
      <c r="L6" s="90">
        <v>1</v>
      </c>
      <c r="M6" s="92">
        <v>4.8825000000000003</v>
      </c>
      <c r="N6" s="104">
        <v>4.8825000000000003</v>
      </c>
      <c r="O6" s="57">
        <v>7000</v>
      </c>
      <c r="P6" s="58">
        <f t="shared" si="0"/>
        <v>34177.5</v>
      </c>
    </row>
    <row r="7" spans="1:16" ht="26.25" customHeight="1" x14ac:dyDescent="0.2">
      <c r="A7" s="100"/>
      <c r="B7" s="100"/>
      <c r="C7" s="90" t="s">
        <v>1109</v>
      </c>
      <c r="D7" s="102" t="s">
        <v>57</v>
      </c>
      <c r="E7" s="91">
        <v>44538</v>
      </c>
      <c r="F7" s="90" t="s">
        <v>71</v>
      </c>
      <c r="G7" s="91">
        <v>44543</v>
      </c>
      <c r="H7" s="90" t="s">
        <v>903</v>
      </c>
      <c r="I7" s="90">
        <v>65</v>
      </c>
      <c r="J7" s="90">
        <v>57</v>
      </c>
      <c r="K7" s="90">
        <v>13</v>
      </c>
      <c r="L7" s="90">
        <v>7</v>
      </c>
      <c r="M7" s="92">
        <v>12.04125</v>
      </c>
      <c r="N7" s="104">
        <v>12.04125</v>
      </c>
      <c r="O7" s="57">
        <v>7000</v>
      </c>
      <c r="P7" s="58">
        <f t="shared" si="0"/>
        <v>84288.75</v>
      </c>
    </row>
    <row r="8" spans="1:16" ht="26.25" customHeight="1" x14ac:dyDescent="0.2">
      <c r="A8" s="100"/>
      <c r="B8" s="100"/>
      <c r="C8" s="90" t="s">
        <v>1110</v>
      </c>
      <c r="D8" s="102" t="s">
        <v>57</v>
      </c>
      <c r="E8" s="91">
        <v>44538</v>
      </c>
      <c r="F8" s="90" t="s">
        <v>71</v>
      </c>
      <c r="G8" s="91">
        <v>44543</v>
      </c>
      <c r="H8" s="90" t="s">
        <v>903</v>
      </c>
      <c r="I8" s="90">
        <v>115</v>
      </c>
      <c r="J8" s="90">
        <v>55</v>
      </c>
      <c r="K8" s="90">
        <v>27</v>
      </c>
      <c r="L8" s="90">
        <v>32</v>
      </c>
      <c r="M8" s="92">
        <v>42.693750000000001</v>
      </c>
      <c r="N8" s="104">
        <v>42.693750000000001</v>
      </c>
      <c r="O8" s="57">
        <v>7000</v>
      </c>
      <c r="P8" s="58">
        <f t="shared" si="0"/>
        <v>298856.25</v>
      </c>
    </row>
    <row r="9" spans="1:16" ht="26.25" customHeight="1" x14ac:dyDescent="0.2">
      <c r="A9" s="100"/>
      <c r="B9" s="100"/>
      <c r="C9" s="90" t="s">
        <v>1111</v>
      </c>
      <c r="D9" s="102" t="s">
        <v>57</v>
      </c>
      <c r="E9" s="91">
        <v>44538</v>
      </c>
      <c r="F9" s="90" t="s">
        <v>71</v>
      </c>
      <c r="G9" s="91">
        <v>44543</v>
      </c>
      <c r="H9" s="90" t="s">
        <v>903</v>
      </c>
      <c r="I9" s="90">
        <v>91</v>
      </c>
      <c r="J9" s="90">
        <v>62</v>
      </c>
      <c r="K9" s="90">
        <v>25</v>
      </c>
      <c r="L9" s="90">
        <v>29</v>
      </c>
      <c r="M9" s="92">
        <v>35.262500000000003</v>
      </c>
      <c r="N9" s="104">
        <v>35.262500000000003</v>
      </c>
      <c r="O9" s="57">
        <v>7000</v>
      </c>
      <c r="P9" s="58">
        <f t="shared" si="0"/>
        <v>246837.50000000003</v>
      </c>
    </row>
    <row r="10" spans="1:16" ht="26.25" customHeight="1" x14ac:dyDescent="0.2">
      <c r="A10" s="100"/>
      <c r="B10" s="100"/>
      <c r="C10" s="90" t="s">
        <v>1112</v>
      </c>
      <c r="D10" s="102" t="s">
        <v>57</v>
      </c>
      <c r="E10" s="91">
        <v>44538</v>
      </c>
      <c r="F10" s="90" t="s">
        <v>71</v>
      </c>
      <c r="G10" s="91">
        <v>44543</v>
      </c>
      <c r="H10" s="90" t="s">
        <v>903</v>
      </c>
      <c r="I10" s="90">
        <v>102</v>
      </c>
      <c r="J10" s="90">
        <v>64</v>
      </c>
      <c r="K10" s="90">
        <v>24</v>
      </c>
      <c r="L10" s="90">
        <v>24</v>
      </c>
      <c r="M10" s="92">
        <v>39.167999999999999</v>
      </c>
      <c r="N10" s="104">
        <v>39.167999999999999</v>
      </c>
      <c r="O10" s="57">
        <v>7000</v>
      </c>
      <c r="P10" s="58">
        <f t="shared" si="0"/>
        <v>274176</v>
      </c>
    </row>
    <row r="11" spans="1:16" ht="26.25" customHeight="1" x14ac:dyDescent="0.2">
      <c r="A11" s="100"/>
      <c r="B11" s="100"/>
      <c r="C11" s="90" t="s">
        <v>1113</v>
      </c>
      <c r="D11" s="102" t="s">
        <v>57</v>
      </c>
      <c r="E11" s="91">
        <v>44538</v>
      </c>
      <c r="F11" s="90" t="s">
        <v>71</v>
      </c>
      <c r="G11" s="91">
        <v>44543</v>
      </c>
      <c r="H11" s="90" t="s">
        <v>903</v>
      </c>
      <c r="I11" s="90">
        <v>95</v>
      </c>
      <c r="J11" s="90">
        <v>64</v>
      </c>
      <c r="K11" s="90">
        <v>31</v>
      </c>
      <c r="L11" s="90">
        <v>15</v>
      </c>
      <c r="M11" s="92">
        <v>47.12</v>
      </c>
      <c r="N11" s="104">
        <v>47.12</v>
      </c>
      <c r="O11" s="57">
        <v>7000</v>
      </c>
      <c r="P11" s="58">
        <f t="shared" si="0"/>
        <v>329840</v>
      </c>
    </row>
    <row r="12" spans="1:16" ht="26.25" customHeight="1" x14ac:dyDescent="0.2">
      <c r="A12" s="100"/>
      <c r="B12" s="101"/>
      <c r="C12" s="90" t="s">
        <v>1114</v>
      </c>
      <c r="D12" s="102" t="s">
        <v>57</v>
      </c>
      <c r="E12" s="91">
        <v>44538</v>
      </c>
      <c r="F12" s="90" t="s">
        <v>71</v>
      </c>
      <c r="G12" s="91">
        <v>44543</v>
      </c>
      <c r="H12" s="90" t="s">
        <v>903</v>
      </c>
      <c r="I12" s="90">
        <v>95</v>
      </c>
      <c r="J12" s="90">
        <v>52</v>
      </c>
      <c r="K12" s="90">
        <v>37</v>
      </c>
      <c r="L12" s="90">
        <v>26</v>
      </c>
      <c r="M12" s="92">
        <v>45.695</v>
      </c>
      <c r="N12" s="104">
        <v>45.695</v>
      </c>
      <c r="O12" s="57">
        <v>7000</v>
      </c>
      <c r="P12" s="58">
        <f t="shared" si="0"/>
        <v>319865</v>
      </c>
    </row>
    <row r="13" spans="1:16" ht="26.25" customHeight="1" x14ac:dyDescent="0.2">
      <c r="A13" s="100"/>
      <c r="B13" s="100" t="s">
        <v>1115</v>
      </c>
      <c r="C13" s="90" t="s">
        <v>1116</v>
      </c>
      <c r="D13" s="102" t="s">
        <v>57</v>
      </c>
      <c r="E13" s="91">
        <v>44538</v>
      </c>
      <c r="F13" s="90" t="s">
        <v>71</v>
      </c>
      <c r="G13" s="91">
        <v>44543</v>
      </c>
      <c r="H13" s="90" t="s">
        <v>903</v>
      </c>
      <c r="I13" s="90">
        <v>44</v>
      </c>
      <c r="J13" s="90">
        <v>40</v>
      </c>
      <c r="K13" s="90">
        <v>25</v>
      </c>
      <c r="L13" s="90">
        <v>7</v>
      </c>
      <c r="M13" s="92">
        <v>11</v>
      </c>
      <c r="N13" s="104">
        <v>11</v>
      </c>
      <c r="O13" s="57">
        <v>7000</v>
      </c>
      <c r="P13" s="58">
        <f t="shared" si="0"/>
        <v>77000</v>
      </c>
    </row>
    <row r="14" spans="1:16" ht="26.25" customHeight="1" x14ac:dyDescent="0.2">
      <c r="A14" s="100"/>
      <c r="B14" s="100"/>
      <c r="C14" s="90" t="s">
        <v>1117</v>
      </c>
      <c r="D14" s="102" t="s">
        <v>57</v>
      </c>
      <c r="E14" s="91">
        <v>44538</v>
      </c>
      <c r="F14" s="90" t="s">
        <v>71</v>
      </c>
      <c r="G14" s="91">
        <v>44543</v>
      </c>
      <c r="H14" s="90" t="s">
        <v>903</v>
      </c>
      <c r="I14" s="90">
        <v>37</v>
      </c>
      <c r="J14" s="90">
        <v>37</v>
      </c>
      <c r="K14" s="90">
        <v>41</v>
      </c>
      <c r="L14" s="90">
        <v>5</v>
      </c>
      <c r="M14" s="92">
        <v>14.032249999999999</v>
      </c>
      <c r="N14" s="104">
        <v>14.032249999999999</v>
      </c>
      <c r="O14" s="57">
        <v>7000</v>
      </c>
      <c r="P14" s="58">
        <f t="shared" si="0"/>
        <v>98225.75</v>
      </c>
    </row>
    <row r="15" spans="1:16" ht="26.25" customHeight="1" x14ac:dyDescent="0.2">
      <c r="A15" s="100"/>
      <c r="B15" s="100"/>
      <c r="C15" s="90" t="s">
        <v>1118</v>
      </c>
      <c r="D15" s="102" t="s">
        <v>57</v>
      </c>
      <c r="E15" s="91">
        <v>44538</v>
      </c>
      <c r="F15" s="90" t="s">
        <v>71</v>
      </c>
      <c r="G15" s="91">
        <v>44543</v>
      </c>
      <c r="H15" s="90" t="s">
        <v>903</v>
      </c>
      <c r="I15" s="90">
        <v>55</v>
      </c>
      <c r="J15" s="90">
        <v>24</v>
      </c>
      <c r="K15" s="90">
        <v>12</v>
      </c>
      <c r="L15" s="90">
        <v>2</v>
      </c>
      <c r="M15" s="92">
        <v>3.96</v>
      </c>
      <c r="N15" s="104">
        <v>3.96</v>
      </c>
      <c r="O15" s="57">
        <v>7000</v>
      </c>
      <c r="P15" s="58">
        <f t="shared" si="0"/>
        <v>27720</v>
      </c>
    </row>
    <row r="16" spans="1:16" ht="26.25" customHeight="1" x14ac:dyDescent="0.2">
      <c r="A16" s="100"/>
      <c r="B16" s="100"/>
      <c r="C16" s="90" t="s">
        <v>1119</v>
      </c>
      <c r="D16" s="102" t="s">
        <v>57</v>
      </c>
      <c r="E16" s="91">
        <v>44538</v>
      </c>
      <c r="F16" s="90" t="s">
        <v>71</v>
      </c>
      <c r="G16" s="91">
        <v>44543</v>
      </c>
      <c r="H16" s="90" t="s">
        <v>903</v>
      </c>
      <c r="I16" s="90">
        <v>91</v>
      </c>
      <c r="J16" s="90">
        <v>54</v>
      </c>
      <c r="K16" s="90">
        <v>25</v>
      </c>
      <c r="L16" s="90">
        <v>11</v>
      </c>
      <c r="M16" s="92">
        <v>30.712499999999999</v>
      </c>
      <c r="N16" s="104">
        <v>30.712499999999999</v>
      </c>
      <c r="O16" s="57">
        <v>7000</v>
      </c>
      <c r="P16" s="58">
        <f t="shared" si="0"/>
        <v>214987.5</v>
      </c>
    </row>
    <row r="17" spans="1:16" ht="26.25" customHeight="1" x14ac:dyDescent="0.2">
      <c r="A17" s="100"/>
      <c r="B17" s="100"/>
      <c r="C17" s="90" t="s">
        <v>1120</v>
      </c>
      <c r="D17" s="102" t="s">
        <v>57</v>
      </c>
      <c r="E17" s="91">
        <v>44538</v>
      </c>
      <c r="F17" s="90" t="s">
        <v>71</v>
      </c>
      <c r="G17" s="91">
        <v>44543</v>
      </c>
      <c r="H17" s="90" t="s">
        <v>903</v>
      </c>
      <c r="I17" s="90">
        <v>26</v>
      </c>
      <c r="J17" s="90">
        <v>14</v>
      </c>
      <c r="K17" s="90">
        <v>10</v>
      </c>
      <c r="L17" s="90">
        <v>2</v>
      </c>
      <c r="M17" s="92">
        <v>0.91</v>
      </c>
      <c r="N17" s="104">
        <v>2</v>
      </c>
      <c r="O17" s="57">
        <v>7000</v>
      </c>
      <c r="P17" s="58">
        <f t="shared" si="0"/>
        <v>14000</v>
      </c>
    </row>
    <row r="18" spans="1:16" ht="26.25" customHeight="1" x14ac:dyDescent="0.2">
      <c r="A18" s="100"/>
      <c r="B18" s="100"/>
      <c r="C18" s="90" t="s">
        <v>1121</v>
      </c>
      <c r="D18" s="102" t="s">
        <v>57</v>
      </c>
      <c r="E18" s="91">
        <v>44538</v>
      </c>
      <c r="F18" s="90" t="s">
        <v>71</v>
      </c>
      <c r="G18" s="91">
        <v>44543</v>
      </c>
      <c r="H18" s="90" t="s">
        <v>903</v>
      </c>
      <c r="I18" s="90">
        <v>66</v>
      </c>
      <c r="J18" s="90">
        <v>51</v>
      </c>
      <c r="K18" s="90">
        <v>21</v>
      </c>
      <c r="L18" s="90">
        <v>14</v>
      </c>
      <c r="M18" s="92">
        <v>17.671500000000002</v>
      </c>
      <c r="N18" s="104">
        <v>17.671500000000002</v>
      </c>
      <c r="O18" s="57">
        <v>7000</v>
      </c>
      <c r="P18" s="58">
        <f t="shared" si="0"/>
        <v>123700.50000000001</v>
      </c>
    </row>
    <row r="19" spans="1:16" ht="26.25" customHeight="1" x14ac:dyDescent="0.2">
      <c r="A19" s="100"/>
      <c r="B19" s="100"/>
      <c r="C19" s="90" t="s">
        <v>1122</v>
      </c>
      <c r="D19" s="102" t="s">
        <v>57</v>
      </c>
      <c r="E19" s="91">
        <v>44538</v>
      </c>
      <c r="F19" s="90" t="s">
        <v>71</v>
      </c>
      <c r="G19" s="91">
        <v>44543</v>
      </c>
      <c r="H19" s="90" t="s">
        <v>903</v>
      </c>
      <c r="I19" s="90">
        <v>75</v>
      </c>
      <c r="J19" s="90">
        <v>48</v>
      </c>
      <c r="K19" s="90">
        <v>23</v>
      </c>
      <c r="L19" s="90">
        <v>11</v>
      </c>
      <c r="M19" s="92">
        <v>20.7</v>
      </c>
      <c r="N19" s="104">
        <v>20.7</v>
      </c>
      <c r="O19" s="57">
        <v>7000</v>
      </c>
      <c r="P19" s="58">
        <f t="shared" si="0"/>
        <v>144900</v>
      </c>
    </row>
    <row r="20" spans="1:16" ht="26.25" customHeight="1" x14ac:dyDescent="0.2">
      <c r="A20" s="100"/>
      <c r="B20" s="100"/>
      <c r="C20" s="90" t="s">
        <v>1123</v>
      </c>
      <c r="D20" s="102" t="s">
        <v>57</v>
      </c>
      <c r="E20" s="91">
        <v>44538</v>
      </c>
      <c r="F20" s="90" t="s">
        <v>71</v>
      </c>
      <c r="G20" s="91">
        <v>44543</v>
      </c>
      <c r="H20" s="90" t="s">
        <v>903</v>
      </c>
      <c r="I20" s="90">
        <v>42</v>
      </c>
      <c r="J20" s="90">
        <v>40</v>
      </c>
      <c r="K20" s="90">
        <v>38</v>
      </c>
      <c r="L20" s="90">
        <v>7</v>
      </c>
      <c r="M20" s="92">
        <v>15.96</v>
      </c>
      <c r="N20" s="104">
        <v>15.96</v>
      </c>
      <c r="O20" s="57">
        <v>7000</v>
      </c>
      <c r="P20" s="58">
        <f t="shared" si="0"/>
        <v>111720</v>
      </c>
    </row>
    <row r="21" spans="1:16" ht="26.25" customHeight="1" x14ac:dyDescent="0.2">
      <c r="A21" s="100"/>
      <c r="B21" s="100"/>
      <c r="C21" s="90" t="s">
        <v>1124</v>
      </c>
      <c r="D21" s="102" t="s">
        <v>57</v>
      </c>
      <c r="E21" s="91">
        <v>44538</v>
      </c>
      <c r="F21" s="90" t="s">
        <v>71</v>
      </c>
      <c r="G21" s="91">
        <v>44543</v>
      </c>
      <c r="H21" s="90" t="s">
        <v>903</v>
      </c>
      <c r="I21" s="90">
        <v>30</v>
      </c>
      <c r="J21" s="90">
        <v>21</v>
      </c>
      <c r="K21" s="90">
        <v>6</v>
      </c>
      <c r="L21" s="90">
        <v>2</v>
      </c>
      <c r="M21" s="92">
        <v>0.94499999999999995</v>
      </c>
      <c r="N21" s="104">
        <v>2</v>
      </c>
      <c r="O21" s="57">
        <v>7000</v>
      </c>
      <c r="P21" s="58">
        <f t="shared" si="0"/>
        <v>14000</v>
      </c>
    </row>
    <row r="22" spans="1:16" ht="22.5" customHeight="1" x14ac:dyDescent="0.2">
      <c r="A22" s="159" t="s">
        <v>30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1"/>
      <c r="M22" s="71">
        <f>SUM(M3:M21)</f>
        <v>379.9827499999999</v>
      </c>
      <c r="N22" s="61">
        <f>SUM(N3:N21)</f>
        <v>382.12774999999988</v>
      </c>
      <c r="O22" s="162">
        <f>SUM(P3:P21)</f>
        <v>2674894.25</v>
      </c>
      <c r="P22" s="163"/>
    </row>
    <row r="23" spans="1:16" ht="18" customHeight="1" x14ac:dyDescent="0.2">
      <c r="A23" s="78"/>
      <c r="B23" s="49" t="s">
        <v>42</v>
      </c>
      <c r="C23" s="48"/>
      <c r="D23" s="50" t="s">
        <v>43</v>
      </c>
      <c r="E23" s="78"/>
      <c r="F23" s="78"/>
      <c r="G23" s="78"/>
      <c r="H23" s="78"/>
      <c r="I23" s="78"/>
      <c r="J23" s="78"/>
      <c r="K23" s="78"/>
      <c r="L23" s="78"/>
      <c r="M23" s="79"/>
      <c r="N23" s="80" t="s">
        <v>52</v>
      </c>
      <c r="O23" s="81"/>
      <c r="P23" s="81">
        <v>0</v>
      </c>
    </row>
    <row r="24" spans="1:16" ht="18" customHeight="1" thickBot="1" x14ac:dyDescent="0.25">
      <c r="A24" s="78"/>
      <c r="B24" s="49"/>
      <c r="C24" s="48"/>
      <c r="D24" s="50"/>
      <c r="E24" s="78"/>
      <c r="F24" s="78"/>
      <c r="G24" s="78"/>
      <c r="H24" s="78"/>
      <c r="I24" s="78"/>
      <c r="J24" s="78"/>
      <c r="K24" s="78"/>
      <c r="L24" s="78"/>
      <c r="M24" s="79"/>
      <c r="N24" s="82" t="s">
        <v>53</v>
      </c>
      <c r="O24" s="83"/>
      <c r="P24" s="83">
        <f>O22-P23</f>
        <v>2674894.25</v>
      </c>
    </row>
    <row r="25" spans="1:16" ht="18" customHeight="1" x14ac:dyDescent="0.2">
      <c r="A25" s="10"/>
      <c r="H25" s="56"/>
      <c r="N25" s="55" t="s">
        <v>31</v>
      </c>
      <c r="P25" s="62">
        <f>P24*1%</f>
        <v>26748.942500000001</v>
      </c>
    </row>
    <row r="26" spans="1:16" ht="18" customHeight="1" thickBot="1" x14ac:dyDescent="0.25">
      <c r="A26" s="10"/>
      <c r="H26" s="56"/>
      <c r="N26" s="55" t="s">
        <v>54</v>
      </c>
      <c r="P26" s="64">
        <f>P24*2%</f>
        <v>53497.885000000002</v>
      </c>
    </row>
    <row r="27" spans="1:16" ht="18" customHeight="1" x14ac:dyDescent="0.2">
      <c r="A27" s="10"/>
      <c r="H27" s="56"/>
      <c r="N27" s="59" t="s">
        <v>32</v>
      </c>
      <c r="O27" s="60"/>
      <c r="P27" s="63">
        <f>P24+P25-P26</f>
        <v>2648145.3075000001</v>
      </c>
    </row>
    <row r="29" spans="1:16" x14ac:dyDescent="0.2">
      <c r="A29" s="10"/>
      <c r="H29" s="56"/>
      <c r="P29" s="64"/>
    </row>
    <row r="30" spans="1:16" x14ac:dyDescent="0.2">
      <c r="A30" s="10"/>
      <c r="H30" s="56"/>
      <c r="O30" s="51"/>
      <c r="P30" s="6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</sheetData>
  <mergeCells count="2">
    <mergeCell ref="A22:L22"/>
    <mergeCell ref="O22:P22"/>
  </mergeCells>
  <conditionalFormatting sqref="C3:C21">
    <cfRule type="duplicateValues" dxfId="1263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5"/>
  <sheetViews>
    <sheetView zoomScale="110" zoomScaleNormal="110" workbookViewId="0">
      <pane xSplit="3" ySplit="2" topLeftCell="D120" activePane="bottomRight" state="frozen"/>
      <selection activeCell="H12" sqref="H12"/>
      <selection pane="topRight" activeCell="H12" sqref="H12"/>
      <selection pane="bottomLeft" activeCell="H12" sqref="H12"/>
      <selection pane="bottomRight" activeCell="F127" sqref="F12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.28515625" style="3" customWidth="1"/>
    <col min="5" max="5" width="9.7109375" style="11" customWidth="1"/>
    <col min="6" max="6" width="16.2851562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8.5" customHeight="1" x14ac:dyDescent="0.2">
      <c r="A3" s="99">
        <v>405841</v>
      </c>
      <c r="B3" s="99" t="s">
        <v>1125</v>
      </c>
      <c r="C3" s="90" t="s">
        <v>1126</v>
      </c>
      <c r="D3" s="102" t="s">
        <v>57</v>
      </c>
      <c r="E3" s="91">
        <v>44538</v>
      </c>
      <c r="F3" s="90" t="s">
        <v>71</v>
      </c>
      <c r="G3" s="91">
        <v>44543</v>
      </c>
      <c r="H3" s="90" t="s">
        <v>903</v>
      </c>
      <c r="I3" s="90">
        <v>51</v>
      </c>
      <c r="J3" s="90">
        <v>40</v>
      </c>
      <c r="K3" s="90">
        <v>28</v>
      </c>
      <c r="L3" s="90">
        <v>8</v>
      </c>
      <c r="M3" s="92">
        <v>14.28</v>
      </c>
      <c r="N3" s="104">
        <v>14.28</v>
      </c>
      <c r="O3" s="57">
        <v>7000</v>
      </c>
      <c r="P3" s="58">
        <f t="shared" ref="P3:P66" si="0">N3*O3</f>
        <v>99960</v>
      </c>
    </row>
    <row r="4" spans="1:16" ht="28.5" customHeight="1" x14ac:dyDescent="0.2">
      <c r="A4" s="100"/>
      <c r="B4" s="100"/>
      <c r="C4" s="90" t="s">
        <v>1127</v>
      </c>
      <c r="D4" s="102" t="s">
        <v>57</v>
      </c>
      <c r="E4" s="91">
        <v>44538</v>
      </c>
      <c r="F4" s="90" t="s">
        <v>71</v>
      </c>
      <c r="G4" s="91">
        <v>44543</v>
      </c>
      <c r="H4" s="90" t="s">
        <v>903</v>
      </c>
      <c r="I4" s="90">
        <v>81</v>
      </c>
      <c r="J4" s="90">
        <v>60</v>
      </c>
      <c r="K4" s="90">
        <v>22</v>
      </c>
      <c r="L4" s="90">
        <v>11</v>
      </c>
      <c r="M4" s="92">
        <v>26.73</v>
      </c>
      <c r="N4" s="104">
        <v>26.73</v>
      </c>
      <c r="O4" s="57">
        <v>7000</v>
      </c>
      <c r="P4" s="58">
        <f t="shared" si="0"/>
        <v>187110</v>
      </c>
    </row>
    <row r="5" spans="1:16" ht="28.5" customHeight="1" x14ac:dyDescent="0.2">
      <c r="A5" s="100"/>
      <c r="B5" s="100"/>
      <c r="C5" s="65" t="s">
        <v>1128</v>
      </c>
      <c r="D5" s="70" t="s">
        <v>57</v>
      </c>
      <c r="E5" s="12">
        <v>44538</v>
      </c>
      <c r="F5" s="68" t="s">
        <v>71</v>
      </c>
      <c r="G5" s="12">
        <v>44543</v>
      </c>
      <c r="H5" s="69" t="s">
        <v>903</v>
      </c>
      <c r="I5" s="15">
        <v>77</v>
      </c>
      <c r="J5" s="15">
        <v>63</v>
      </c>
      <c r="K5" s="15">
        <v>28</v>
      </c>
      <c r="L5" s="15">
        <v>14</v>
      </c>
      <c r="M5" s="73">
        <v>33.957000000000001</v>
      </c>
      <c r="N5" s="104">
        <v>33.957000000000001</v>
      </c>
      <c r="O5" s="57">
        <v>7000</v>
      </c>
      <c r="P5" s="58">
        <f t="shared" si="0"/>
        <v>237699</v>
      </c>
    </row>
    <row r="6" spans="1:16" ht="28.5" customHeight="1" x14ac:dyDescent="0.2">
      <c r="A6" s="100"/>
      <c r="B6" s="100"/>
      <c r="C6" s="65" t="s">
        <v>1129</v>
      </c>
      <c r="D6" s="70" t="s">
        <v>57</v>
      </c>
      <c r="E6" s="12">
        <v>44538</v>
      </c>
      <c r="F6" s="68" t="s">
        <v>71</v>
      </c>
      <c r="G6" s="12">
        <v>44543</v>
      </c>
      <c r="H6" s="69" t="s">
        <v>903</v>
      </c>
      <c r="I6" s="15">
        <v>107</v>
      </c>
      <c r="J6" s="15">
        <v>74</v>
      </c>
      <c r="K6" s="15">
        <v>31</v>
      </c>
      <c r="L6" s="15">
        <v>28</v>
      </c>
      <c r="M6" s="73">
        <v>61.3645</v>
      </c>
      <c r="N6" s="104">
        <v>62</v>
      </c>
      <c r="O6" s="57">
        <v>7000</v>
      </c>
      <c r="P6" s="58">
        <f t="shared" si="0"/>
        <v>434000</v>
      </c>
    </row>
    <row r="7" spans="1:16" ht="28.5" customHeight="1" x14ac:dyDescent="0.2">
      <c r="A7" s="100"/>
      <c r="B7" s="100"/>
      <c r="C7" s="65" t="s">
        <v>1130</v>
      </c>
      <c r="D7" s="70" t="s">
        <v>57</v>
      </c>
      <c r="E7" s="12">
        <v>44538</v>
      </c>
      <c r="F7" s="68" t="s">
        <v>71</v>
      </c>
      <c r="G7" s="12">
        <v>44543</v>
      </c>
      <c r="H7" s="69" t="s">
        <v>903</v>
      </c>
      <c r="I7" s="15">
        <v>62</v>
      </c>
      <c r="J7" s="15">
        <v>52</v>
      </c>
      <c r="K7" s="15">
        <v>41</v>
      </c>
      <c r="L7" s="15">
        <v>7</v>
      </c>
      <c r="M7" s="73">
        <v>33.045999999999999</v>
      </c>
      <c r="N7" s="104">
        <v>33.045999999999999</v>
      </c>
      <c r="O7" s="57">
        <v>7000</v>
      </c>
      <c r="P7" s="58">
        <f t="shared" si="0"/>
        <v>231322</v>
      </c>
    </row>
    <row r="8" spans="1:16" ht="28.5" customHeight="1" x14ac:dyDescent="0.2">
      <c r="A8" s="100"/>
      <c r="B8" s="100"/>
      <c r="C8" s="65" t="s">
        <v>1131</v>
      </c>
      <c r="D8" s="70" t="s">
        <v>57</v>
      </c>
      <c r="E8" s="12">
        <v>44538</v>
      </c>
      <c r="F8" s="68" t="s">
        <v>71</v>
      </c>
      <c r="G8" s="12">
        <v>44543</v>
      </c>
      <c r="H8" s="69" t="s">
        <v>903</v>
      </c>
      <c r="I8" s="15">
        <v>82</v>
      </c>
      <c r="J8" s="15">
        <v>58</v>
      </c>
      <c r="K8" s="15">
        <v>27</v>
      </c>
      <c r="L8" s="15">
        <v>15</v>
      </c>
      <c r="M8" s="73">
        <v>32.103000000000002</v>
      </c>
      <c r="N8" s="104">
        <v>32.103000000000002</v>
      </c>
      <c r="O8" s="57">
        <v>7000</v>
      </c>
      <c r="P8" s="58">
        <f t="shared" si="0"/>
        <v>224721</v>
      </c>
    </row>
    <row r="9" spans="1:16" ht="28.5" customHeight="1" x14ac:dyDescent="0.2">
      <c r="A9" s="100"/>
      <c r="B9" s="100"/>
      <c r="C9" s="65" t="s">
        <v>1132</v>
      </c>
      <c r="D9" s="70" t="s">
        <v>57</v>
      </c>
      <c r="E9" s="12">
        <v>44538</v>
      </c>
      <c r="F9" s="68" t="s">
        <v>71</v>
      </c>
      <c r="G9" s="12">
        <v>44543</v>
      </c>
      <c r="H9" s="69" t="s">
        <v>903</v>
      </c>
      <c r="I9" s="15">
        <v>33</v>
      </c>
      <c r="J9" s="15">
        <v>30</v>
      </c>
      <c r="K9" s="15">
        <v>15</v>
      </c>
      <c r="L9" s="15">
        <v>2</v>
      </c>
      <c r="M9" s="73">
        <v>3.7124999999999999</v>
      </c>
      <c r="N9" s="104">
        <v>3.7124999999999999</v>
      </c>
      <c r="O9" s="57">
        <v>7000</v>
      </c>
      <c r="P9" s="58">
        <f t="shared" si="0"/>
        <v>25987.5</v>
      </c>
    </row>
    <row r="10" spans="1:16" ht="28.5" customHeight="1" x14ac:dyDescent="0.2">
      <c r="A10" s="100"/>
      <c r="B10" s="100"/>
      <c r="C10" s="65" t="s">
        <v>1133</v>
      </c>
      <c r="D10" s="70" t="s">
        <v>57</v>
      </c>
      <c r="E10" s="12">
        <v>44538</v>
      </c>
      <c r="F10" s="68" t="s">
        <v>71</v>
      </c>
      <c r="G10" s="12">
        <v>44543</v>
      </c>
      <c r="H10" s="69" t="s">
        <v>903</v>
      </c>
      <c r="I10" s="15">
        <v>66</v>
      </c>
      <c r="J10" s="15">
        <v>57</v>
      </c>
      <c r="K10" s="15">
        <v>18</v>
      </c>
      <c r="L10" s="15">
        <v>8</v>
      </c>
      <c r="M10" s="73">
        <v>16.928999999999998</v>
      </c>
      <c r="N10" s="104">
        <v>16.928999999999998</v>
      </c>
      <c r="O10" s="57">
        <v>7000</v>
      </c>
      <c r="P10" s="58">
        <f t="shared" si="0"/>
        <v>118502.99999999999</v>
      </c>
    </row>
    <row r="11" spans="1:16" ht="28.5" customHeight="1" x14ac:dyDescent="0.2">
      <c r="A11" s="100"/>
      <c r="B11" s="100"/>
      <c r="C11" s="65" t="s">
        <v>1134</v>
      </c>
      <c r="D11" s="70" t="s">
        <v>57</v>
      </c>
      <c r="E11" s="12">
        <v>44538</v>
      </c>
      <c r="F11" s="68" t="s">
        <v>71</v>
      </c>
      <c r="G11" s="12">
        <v>44543</v>
      </c>
      <c r="H11" s="69" t="s">
        <v>903</v>
      </c>
      <c r="I11" s="15">
        <v>76</v>
      </c>
      <c r="J11" s="15">
        <v>68</v>
      </c>
      <c r="K11" s="15">
        <v>36</v>
      </c>
      <c r="L11" s="15">
        <v>22</v>
      </c>
      <c r="M11" s="73">
        <v>46.512</v>
      </c>
      <c r="N11" s="104">
        <v>46.512</v>
      </c>
      <c r="O11" s="57">
        <v>7000</v>
      </c>
      <c r="P11" s="58">
        <f t="shared" si="0"/>
        <v>325584</v>
      </c>
    </row>
    <row r="12" spans="1:16" ht="28.5" customHeight="1" x14ac:dyDescent="0.2">
      <c r="A12" s="100"/>
      <c r="B12" s="100"/>
      <c r="C12" s="65" t="s">
        <v>1135</v>
      </c>
      <c r="D12" s="70" t="s">
        <v>57</v>
      </c>
      <c r="E12" s="12">
        <v>44538</v>
      </c>
      <c r="F12" s="68" t="s">
        <v>71</v>
      </c>
      <c r="G12" s="12">
        <v>44543</v>
      </c>
      <c r="H12" s="69" t="s">
        <v>903</v>
      </c>
      <c r="I12" s="15">
        <v>75</v>
      </c>
      <c r="J12" s="15">
        <v>53</v>
      </c>
      <c r="K12" s="15">
        <v>25</v>
      </c>
      <c r="L12" s="15">
        <v>10</v>
      </c>
      <c r="M12" s="73">
        <v>24.84375</v>
      </c>
      <c r="N12" s="104">
        <v>24.84375</v>
      </c>
      <c r="O12" s="57">
        <v>7000</v>
      </c>
      <c r="P12" s="58">
        <f t="shared" si="0"/>
        <v>173906.25</v>
      </c>
    </row>
    <row r="13" spans="1:16" ht="28.5" customHeight="1" x14ac:dyDescent="0.2">
      <c r="A13" s="100"/>
      <c r="B13" s="100"/>
      <c r="C13" s="65" t="s">
        <v>1136</v>
      </c>
      <c r="D13" s="70" t="s">
        <v>57</v>
      </c>
      <c r="E13" s="12">
        <v>44538</v>
      </c>
      <c r="F13" s="68" t="s">
        <v>71</v>
      </c>
      <c r="G13" s="12">
        <v>44543</v>
      </c>
      <c r="H13" s="69" t="s">
        <v>903</v>
      </c>
      <c r="I13" s="15">
        <v>60</v>
      </c>
      <c r="J13" s="15">
        <v>35</v>
      </c>
      <c r="K13" s="15">
        <v>15</v>
      </c>
      <c r="L13" s="15">
        <v>4</v>
      </c>
      <c r="M13" s="73">
        <v>7.875</v>
      </c>
      <c r="N13" s="104">
        <v>7.875</v>
      </c>
      <c r="O13" s="57">
        <v>7000</v>
      </c>
      <c r="P13" s="58">
        <f t="shared" si="0"/>
        <v>55125</v>
      </c>
    </row>
    <row r="14" spans="1:16" ht="28.5" customHeight="1" x14ac:dyDescent="0.2">
      <c r="A14" s="100"/>
      <c r="B14" s="100"/>
      <c r="C14" s="65" t="s">
        <v>1137</v>
      </c>
      <c r="D14" s="70" t="s">
        <v>57</v>
      </c>
      <c r="E14" s="12">
        <v>44538</v>
      </c>
      <c r="F14" s="68" t="s">
        <v>71</v>
      </c>
      <c r="G14" s="12">
        <v>44543</v>
      </c>
      <c r="H14" s="69" t="s">
        <v>903</v>
      </c>
      <c r="I14" s="15">
        <v>61</v>
      </c>
      <c r="J14" s="15">
        <v>41</v>
      </c>
      <c r="K14" s="15">
        <v>12</v>
      </c>
      <c r="L14" s="15">
        <v>4</v>
      </c>
      <c r="M14" s="73">
        <v>7.5030000000000001</v>
      </c>
      <c r="N14" s="104">
        <v>9</v>
      </c>
      <c r="O14" s="57">
        <v>7000</v>
      </c>
      <c r="P14" s="58">
        <f t="shared" si="0"/>
        <v>63000</v>
      </c>
    </row>
    <row r="15" spans="1:16" ht="28.5" customHeight="1" x14ac:dyDescent="0.2">
      <c r="A15" s="100"/>
      <c r="B15" s="100"/>
      <c r="C15" s="65" t="s">
        <v>1138</v>
      </c>
      <c r="D15" s="70" t="s">
        <v>57</v>
      </c>
      <c r="E15" s="12">
        <v>44538</v>
      </c>
      <c r="F15" s="68" t="s">
        <v>71</v>
      </c>
      <c r="G15" s="12">
        <v>44543</v>
      </c>
      <c r="H15" s="69" t="s">
        <v>903</v>
      </c>
      <c r="I15" s="15">
        <v>31</v>
      </c>
      <c r="J15" s="15">
        <v>15</v>
      </c>
      <c r="K15" s="15">
        <v>20</v>
      </c>
      <c r="L15" s="15">
        <v>3</v>
      </c>
      <c r="M15" s="73">
        <v>2.3250000000000002</v>
      </c>
      <c r="N15" s="104">
        <v>4</v>
      </c>
      <c r="O15" s="57">
        <v>7000</v>
      </c>
      <c r="P15" s="58">
        <f t="shared" si="0"/>
        <v>28000</v>
      </c>
    </row>
    <row r="16" spans="1:16" ht="28.5" customHeight="1" x14ac:dyDescent="0.2">
      <c r="A16" s="100"/>
      <c r="B16" s="100"/>
      <c r="C16" s="65" t="s">
        <v>1139</v>
      </c>
      <c r="D16" s="70" t="s">
        <v>57</v>
      </c>
      <c r="E16" s="12">
        <v>44538</v>
      </c>
      <c r="F16" s="68" t="s">
        <v>71</v>
      </c>
      <c r="G16" s="12">
        <v>44543</v>
      </c>
      <c r="H16" s="69" t="s">
        <v>903</v>
      </c>
      <c r="I16" s="15">
        <v>51</v>
      </c>
      <c r="J16" s="15">
        <v>21</v>
      </c>
      <c r="K16" s="15">
        <v>11</v>
      </c>
      <c r="L16" s="15">
        <v>2</v>
      </c>
      <c r="M16" s="73">
        <v>2.9452500000000001</v>
      </c>
      <c r="N16" s="104">
        <v>2.9452500000000001</v>
      </c>
      <c r="O16" s="57">
        <v>7000</v>
      </c>
      <c r="P16" s="58">
        <f t="shared" si="0"/>
        <v>20616.75</v>
      </c>
    </row>
    <row r="17" spans="1:16" ht="28.5" customHeight="1" x14ac:dyDescent="0.2">
      <c r="A17" s="100"/>
      <c r="B17" s="100"/>
      <c r="C17" s="65" t="s">
        <v>1140</v>
      </c>
      <c r="D17" s="70" t="s">
        <v>57</v>
      </c>
      <c r="E17" s="12">
        <v>44538</v>
      </c>
      <c r="F17" s="68" t="s">
        <v>71</v>
      </c>
      <c r="G17" s="12">
        <v>44543</v>
      </c>
      <c r="H17" s="69" t="s">
        <v>903</v>
      </c>
      <c r="I17" s="15">
        <v>33</v>
      </c>
      <c r="J17" s="15">
        <v>28</v>
      </c>
      <c r="K17" s="15">
        <v>10</v>
      </c>
      <c r="L17" s="15">
        <v>2</v>
      </c>
      <c r="M17" s="73">
        <v>2.31</v>
      </c>
      <c r="N17" s="104">
        <v>3</v>
      </c>
      <c r="O17" s="57">
        <v>7000</v>
      </c>
      <c r="P17" s="58">
        <f t="shared" si="0"/>
        <v>21000</v>
      </c>
    </row>
    <row r="18" spans="1:16" ht="28.5" customHeight="1" x14ac:dyDescent="0.2">
      <c r="A18" s="100"/>
      <c r="B18" s="100"/>
      <c r="C18" s="65" t="s">
        <v>1141</v>
      </c>
      <c r="D18" s="70" t="s">
        <v>57</v>
      </c>
      <c r="E18" s="12">
        <v>44538</v>
      </c>
      <c r="F18" s="68" t="s">
        <v>71</v>
      </c>
      <c r="G18" s="12">
        <v>44543</v>
      </c>
      <c r="H18" s="69" t="s">
        <v>903</v>
      </c>
      <c r="I18" s="15">
        <v>93</v>
      </c>
      <c r="J18" s="15">
        <v>45</v>
      </c>
      <c r="K18" s="15">
        <v>32</v>
      </c>
      <c r="L18" s="15">
        <v>21</v>
      </c>
      <c r="M18" s="73">
        <v>33.479999999999997</v>
      </c>
      <c r="N18" s="104">
        <v>34</v>
      </c>
      <c r="O18" s="57">
        <v>7000</v>
      </c>
      <c r="P18" s="58">
        <f t="shared" si="0"/>
        <v>238000</v>
      </c>
    </row>
    <row r="19" spans="1:16" ht="28.5" customHeight="1" x14ac:dyDescent="0.2">
      <c r="A19" s="100"/>
      <c r="B19" s="100"/>
      <c r="C19" s="65" t="s">
        <v>1142</v>
      </c>
      <c r="D19" s="70" t="s">
        <v>57</v>
      </c>
      <c r="E19" s="12">
        <v>44538</v>
      </c>
      <c r="F19" s="68" t="s">
        <v>71</v>
      </c>
      <c r="G19" s="12">
        <v>44543</v>
      </c>
      <c r="H19" s="69" t="s">
        <v>903</v>
      </c>
      <c r="I19" s="15">
        <v>96</v>
      </c>
      <c r="J19" s="15">
        <v>33</v>
      </c>
      <c r="K19" s="15">
        <v>31</v>
      </c>
      <c r="L19" s="15">
        <v>14</v>
      </c>
      <c r="M19" s="73">
        <v>24.552</v>
      </c>
      <c r="N19" s="104">
        <v>24.552</v>
      </c>
      <c r="O19" s="57">
        <v>7000</v>
      </c>
      <c r="P19" s="58">
        <f t="shared" si="0"/>
        <v>171864</v>
      </c>
    </row>
    <row r="20" spans="1:16" ht="28.5" customHeight="1" x14ac:dyDescent="0.2">
      <c r="A20" s="100"/>
      <c r="B20" s="100"/>
      <c r="C20" s="65" t="s">
        <v>1143</v>
      </c>
      <c r="D20" s="70" t="s">
        <v>57</v>
      </c>
      <c r="E20" s="12">
        <v>44538</v>
      </c>
      <c r="F20" s="68" t="s">
        <v>71</v>
      </c>
      <c r="G20" s="12">
        <v>44543</v>
      </c>
      <c r="H20" s="69" t="s">
        <v>903</v>
      </c>
      <c r="I20" s="15">
        <v>96</v>
      </c>
      <c r="J20" s="15">
        <v>33</v>
      </c>
      <c r="K20" s="15">
        <v>31</v>
      </c>
      <c r="L20" s="15">
        <v>14</v>
      </c>
      <c r="M20" s="73">
        <v>24.552</v>
      </c>
      <c r="N20" s="104">
        <v>24.552</v>
      </c>
      <c r="O20" s="57">
        <v>7000</v>
      </c>
      <c r="P20" s="58">
        <f t="shared" si="0"/>
        <v>171864</v>
      </c>
    </row>
    <row r="21" spans="1:16" ht="28.5" customHeight="1" x14ac:dyDescent="0.2">
      <c r="A21" s="100"/>
      <c r="B21" s="100"/>
      <c r="C21" s="65" t="s">
        <v>1144</v>
      </c>
      <c r="D21" s="70" t="s">
        <v>57</v>
      </c>
      <c r="E21" s="12">
        <v>44538</v>
      </c>
      <c r="F21" s="68" t="s">
        <v>71</v>
      </c>
      <c r="G21" s="12">
        <v>44543</v>
      </c>
      <c r="H21" s="69" t="s">
        <v>903</v>
      </c>
      <c r="I21" s="15">
        <v>87</v>
      </c>
      <c r="J21" s="15">
        <v>64</v>
      </c>
      <c r="K21" s="15">
        <v>22</v>
      </c>
      <c r="L21" s="15">
        <v>10</v>
      </c>
      <c r="M21" s="73">
        <v>30.623999999999999</v>
      </c>
      <c r="N21" s="104">
        <v>30.623999999999999</v>
      </c>
      <c r="O21" s="57">
        <v>7000</v>
      </c>
      <c r="P21" s="58">
        <f t="shared" si="0"/>
        <v>214368</v>
      </c>
    </row>
    <row r="22" spans="1:16" ht="28.5" customHeight="1" x14ac:dyDescent="0.2">
      <c r="A22" s="100"/>
      <c r="B22" s="100"/>
      <c r="C22" s="65" t="s">
        <v>1145</v>
      </c>
      <c r="D22" s="70" t="s">
        <v>57</v>
      </c>
      <c r="E22" s="12">
        <v>44538</v>
      </c>
      <c r="F22" s="68" t="s">
        <v>71</v>
      </c>
      <c r="G22" s="12">
        <v>44543</v>
      </c>
      <c r="H22" s="69" t="s">
        <v>903</v>
      </c>
      <c r="I22" s="15">
        <v>62</v>
      </c>
      <c r="J22" s="15">
        <v>61</v>
      </c>
      <c r="K22" s="15">
        <v>23</v>
      </c>
      <c r="L22" s="15">
        <v>17</v>
      </c>
      <c r="M22" s="73">
        <v>21.746500000000001</v>
      </c>
      <c r="N22" s="104">
        <v>21.746500000000001</v>
      </c>
      <c r="O22" s="57">
        <v>7000</v>
      </c>
      <c r="P22" s="58">
        <f t="shared" si="0"/>
        <v>152225.5</v>
      </c>
    </row>
    <row r="23" spans="1:16" ht="28.5" customHeight="1" x14ac:dyDescent="0.2">
      <c r="A23" s="100"/>
      <c r="B23" s="100"/>
      <c r="C23" s="65" t="s">
        <v>1146</v>
      </c>
      <c r="D23" s="70" t="s">
        <v>57</v>
      </c>
      <c r="E23" s="12">
        <v>44538</v>
      </c>
      <c r="F23" s="68" t="s">
        <v>71</v>
      </c>
      <c r="G23" s="12">
        <v>44543</v>
      </c>
      <c r="H23" s="69" t="s">
        <v>903</v>
      </c>
      <c r="I23" s="15">
        <v>71</v>
      </c>
      <c r="J23" s="15">
        <v>42</v>
      </c>
      <c r="K23" s="15">
        <v>22</v>
      </c>
      <c r="L23" s="15">
        <v>9</v>
      </c>
      <c r="M23" s="73">
        <v>16.401</v>
      </c>
      <c r="N23" s="104">
        <v>17</v>
      </c>
      <c r="O23" s="57">
        <v>7000</v>
      </c>
      <c r="P23" s="58">
        <f t="shared" si="0"/>
        <v>119000</v>
      </c>
    </row>
    <row r="24" spans="1:16" ht="28.5" customHeight="1" x14ac:dyDescent="0.2">
      <c r="A24" s="100"/>
      <c r="B24" s="100"/>
      <c r="C24" s="65" t="s">
        <v>1147</v>
      </c>
      <c r="D24" s="70" t="s">
        <v>57</v>
      </c>
      <c r="E24" s="12">
        <v>44538</v>
      </c>
      <c r="F24" s="68" t="s">
        <v>71</v>
      </c>
      <c r="G24" s="12">
        <v>44543</v>
      </c>
      <c r="H24" s="69" t="s">
        <v>903</v>
      </c>
      <c r="I24" s="15">
        <v>75</v>
      </c>
      <c r="J24" s="15">
        <v>59</v>
      </c>
      <c r="K24" s="15">
        <v>12</v>
      </c>
      <c r="L24" s="15">
        <v>7</v>
      </c>
      <c r="M24" s="73">
        <v>13.275</v>
      </c>
      <c r="N24" s="104">
        <v>13.275</v>
      </c>
      <c r="O24" s="57">
        <v>7000</v>
      </c>
      <c r="P24" s="58">
        <f t="shared" si="0"/>
        <v>92925</v>
      </c>
    </row>
    <row r="25" spans="1:16" ht="28.5" customHeight="1" x14ac:dyDescent="0.2">
      <c r="A25" s="100"/>
      <c r="B25" s="100"/>
      <c r="C25" s="65" t="s">
        <v>1148</v>
      </c>
      <c r="D25" s="70" t="s">
        <v>57</v>
      </c>
      <c r="E25" s="12">
        <v>44538</v>
      </c>
      <c r="F25" s="68" t="s">
        <v>71</v>
      </c>
      <c r="G25" s="12">
        <v>44543</v>
      </c>
      <c r="H25" s="69" t="s">
        <v>903</v>
      </c>
      <c r="I25" s="15">
        <v>51</v>
      </c>
      <c r="J25" s="15">
        <v>41</v>
      </c>
      <c r="K25" s="15">
        <v>17</v>
      </c>
      <c r="L25" s="15">
        <v>4</v>
      </c>
      <c r="M25" s="73">
        <v>8.8867499999999993</v>
      </c>
      <c r="N25" s="104">
        <v>8.8867499999999993</v>
      </c>
      <c r="O25" s="57">
        <v>7000</v>
      </c>
      <c r="P25" s="58">
        <f t="shared" si="0"/>
        <v>62207.249999999993</v>
      </c>
    </row>
    <row r="26" spans="1:16" ht="28.5" customHeight="1" x14ac:dyDescent="0.2">
      <c r="A26" s="100"/>
      <c r="B26" s="100"/>
      <c r="C26" s="65" t="s">
        <v>1149</v>
      </c>
      <c r="D26" s="70" t="s">
        <v>57</v>
      </c>
      <c r="E26" s="12">
        <v>44538</v>
      </c>
      <c r="F26" s="68" t="s">
        <v>71</v>
      </c>
      <c r="G26" s="12">
        <v>44543</v>
      </c>
      <c r="H26" s="69" t="s">
        <v>903</v>
      </c>
      <c r="I26" s="15">
        <v>88</v>
      </c>
      <c r="J26" s="15">
        <v>57</v>
      </c>
      <c r="K26" s="15">
        <v>23</v>
      </c>
      <c r="L26" s="15">
        <v>14</v>
      </c>
      <c r="M26" s="73">
        <v>28.841999999999999</v>
      </c>
      <c r="N26" s="104">
        <v>28.841999999999999</v>
      </c>
      <c r="O26" s="57">
        <v>7000</v>
      </c>
      <c r="P26" s="58">
        <f t="shared" si="0"/>
        <v>201894</v>
      </c>
    </row>
    <row r="27" spans="1:16" ht="28.5" customHeight="1" x14ac:dyDescent="0.2">
      <c r="A27" s="100"/>
      <c r="B27" s="100"/>
      <c r="C27" s="65" t="s">
        <v>1150</v>
      </c>
      <c r="D27" s="70" t="s">
        <v>57</v>
      </c>
      <c r="E27" s="12">
        <v>44538</v>
      </c>
      <c r="F27" s="68" t="s">
        <v>71</v>
      </c>
      <c r="G27" s="12">
        <v>44543</v>
      </c>
      <c r="H27" s="69" t="s">
        <v>903</v>
      </c>
      <c r="I27" s="15">
        <v>92</v>
      </c>
      <c r="J27" s="15">
        <v>62</v>
      </c>
      <c r="K27" s="15">
        <v>16</v>
      </c>
      <c r="L27" s="15">
        <v>14</v>
      </c>
      <c r="M27" s="73">
        <v>22.815999999999999</v>
      </c>
      <c r="N27" s="104">
        <v>22.815999999999999</v>
      </c>
      <c r="O27" s="57">
        <v>7000</v>
      </c>
      <c r="P27" s="58">
        <f t="shared" si="0"/>
        <v>159712</v>
      </c>
    </row>
    <row r="28" spans="1:16" ht="28.5" customHeight="1" x14ac:dyDescent="0.2">
      <c r="A28" s="100"/>
      <c r="B28" s="100"/>
      <c r="C28" s="65" t="s">
        <v>1151</v>
      </c>
      <c r="D28" s="70" t="s">
        <v>57</v>
      </c>
      <c r="E28" s="12">
        <v>44538</v>
      </c>
      <c r="F28" s="68" t="s">
        <v>71</v>
      </c>
      <c r="G28" s="12">
        <v>44543</v>
      </c>
      <c r="H28" s="69" t="s">
        <v>903</v>
      </c>
      <c r="I28" s="15">
        <v>83</v>
      </c>
      <c r="J28" s="15">
        <v>57</v>
      </c>
      <c r="K28" s="15">
        <v>38</v>
      </c>
      <c r="L28" s="15">
        <v>15</v>
      </c>
      <c r="M28" s="73">
        <v>44.944499999999998</v>
      </c>
      <c r="N28" s="104">
        <v>44.944499999999998</v>
      </c>
      <c r="O28" s="57">
        <v>7000</v>
      </c>
      <c r="P28" s="58">
        <f t="shared" si="0"/>
        <v>314611.5</v>
      </c>
    </row>
    <row r="29" spans="1:16" ht="28.5" customHeight="1" x14ac:dyDescent="0.2">
      <c r="A29" s="100"/>
      <c r="B29" s="100"/>
      <c r="C29" s="65" t="s">
        <v>1152</v>
      </c>
      <c r="D29" s="70" t="s">
        <v>57</v>
      </c>
      <c r="E29" s="12">
        <v>44538</v>
      </c>
      <c r="F29" s="68" t="s">
        <v>71</v>
      </c>
      <c r="G29" s="12">
        <v>44543</v>
      </c>
      <c r="H29" s="69" t="s">
        <v>903</v>
      </c>
      <c r="I29" s="15">
        <v>64</v>
      </c>
      <c r="J29" s="15">
        <v>51</v>
      </c>
      <c r="K29" s="15">
        <v>12</v>
      </c>
      <c r="L29" s="15">
        <v>6</v>
      </c>
      <c r="M29" s="73">
        <v>9.7919999999999998</v>
      </c>
      <c r="N29" s="104">
        <v>9.7919999999999998</v>
      </c>
      <c r="O29" s="57">
        <v>7000</v>
      </c>
      <c r="P29" s="58">
        <f t="shared" si="0"/>
        <v>68544</v>
      </c>
    </row>
    <row r="30" spans="1:16" ht="28.5" customHeight="1" x14ac:dyDescent="0.2">
      <c r="A30" s="100"/>
      <c r="B30" s="100"/>
      <c r="C30" s="65" t="s">
        <v>1153</v>
      </c>
      <c r="D30" s="70" t="s">
        <v>57</v>
      </c>
      <c r="E30" s="12">
        <v>44538</v>
      </c>
      <c r="F30" s="68" t="s">
        <v>71</v>
      </c>
      <c r="G30" s="12">
        <v>44543</v>
      </c>
      <c r="H30" s="69" t="s">
        <v>903</v>
      </c>
      <c r="I30" s="15">
        <v>105</v>
      </c>
      <c r="J30" s="15">
        <v>67</v>
      </c>
      <c r="K30" s="15">
        <v>30</v>
      </c>
      <c r="L30" s="15">
        <v>30</v>
      </c>
      <c r="M30" s="73">
        <v>52.762500000000003</v>
      </c>
      <c r="N30" s="104">
        <v>52.762500000000003</v>
      </c>
      <c r="O30" s="57">
        <v>7000</v>
      </c>
      <c r="P30" s="58">
        <f t="shared" si="0"/>
        <v>369337.5</v>
      </c>
    </row>
    <row r="31" spans="1:16" ht="28.5" customHeight="1" x14ac:dyDescent="0.2">
      <c r="A31" s="100"/>
      <c r="B31" s="100"/>
      <c r="C31" s="65" t="s">
        <v>1154</v>
      </c>
      <c r="D31" s="70" t="s">
        <v>57</v>
      </c>
      <c r="E31" s="12">
        <v>44538</v>
      </c>
      <c r="F31" s="68" t="s">
        <v>71</v>
      </c>
      <c r="G31" s="12">
        <v>44543</v>
      </c>
      <c r="H31" s="69" t="s">
        <v>903</v>
      </c>
      <c r="I31" s="15">
        <v>53</v>
      </c>
      <c r="J31" s="15">
        <v>38</v>
      </c>
      <c r="K31" s="15">
        <v>12</v>
      </c>
      <c r="L31" s="15">
        <v>3</v>
      </c>
      <c r="M31" s="73">
        <v>6.0419999999999998</v>
      </c>
      <c r="N31" s="104">
        <v>6.0419999999999998</v>
      </c>
      <c r="O31" s="57">
        <v>7000</v>
      </c>
      <c r="P31" s="58">
        <f t="shared" si="0"/>
        <v>42294</v>
      </c>
    </row>
    <row r="32" spans="1:16" ht="28.5" customHeight="1" x14ac:dyDescent="0.2">
      <c r="A32" s="100"/>
      <c r="B32" s="100"/>
      <c r="C32" s="65" t="s">
        <v>1155</v>
      </c>
      <c r="D32" s="70" t="s">
        <v>57</v>
      </c>
      <c r="E32" s="12">
        <v>44538</v>
      </c>
      <c r="F32" s="68" t="s">
        <v>71</v>
      </c>
      <c r="G32" s="12">
        <v>44543</v>
      </c>
      <c r="H32" s="69" t="s">
        <v>903</v>
      </c>
      <c r="I32" s="15">
        <v>77</v>
      </c>
      <c r="J32" s="15">
        <v>53</v>
      </c>
      <c r="K32" s="15">
        <v>18</v>
      </c>
      <c r="L32" s="15">
        <v>14</v>
      </c>
      <c r="M32" s="73">
        <v>18.3645</v>
      </c>
      <c r="N32" s="104">
        <v>19</v>
      </c>
      <c r="O32" s="57">
        <v>7000</v>
      </c>
      <c r="P32" s="58">
        <f t="shared" si="0"/>
        <v>133000</v>
      </c>
    </row>
    <row r="33" spans="1:16" ht="28.5" customHeight="1" x14ac:dyDescent="0.2">
      <c r="A33" s="100"/>
      <c r="B33" s="100"/>
      <c r="C33" s="65" t="s">
        <v>1156</v>
      </c>
      <c r="D33" s="70" t="s">
        <v>57</v>
      </c>
      <c r="E33" s="12">
        <v>44538</v>
      </c>
      <c r="F33" s="68" t="s">
        <v>71</v>
      </c>
      <c r="G33" s="12">
        <v>44543</v>
      </c>
      <c r="H33" s="69" t="s">
        <v>903</v>
      </c>
      <c r="I33" s="15">
        <v>95</v>
      </c>
      <c r="J33" s="15">
        <v>59</v>
      </c>
      <c r="K33" s="15">
        <v>38</v>
      </c>
      <c r="L33" s="15">
        <v>24</v>
      </c>
      <c r="M33" s="73">
        <v>53.247500000000002</v>
      </c>
      <c r="N33" s="104">
        <v>53.247500000000002</v>
      </c>
      <c r="O33" s="57">
        <v>7000</v>
      </c>
      <c r="P33" s="58">
        <f t="shared" si="0"/>
        <v>372732.5</v>
      </c>
    </row>
    <row r="34" spans="1:16" ht="28.5" customHeight="1" x14ac:dyDescent="0.2">
      <c r="A34" s="100"/>
      <c r="B34" s="100"/>
      <c r="C34" s="65" t="s">
        <v>1157</v>
      </c>
      <c r="D34" s="70" t="s">
        <v>57</v>
      </c>
      <c r="E34" s="12">
        <v>44538</v>
      </c>
      <c r="F34" s="68" t="s">
        <v>71</v>
      </c>
      <c r="G34" s="12">
        <v>44543</v>
      </c>
      <c r="H34" s="69" t="s">
        <v>903</v>
      </c>
      <c r="I34" s="15">
        <v>94</v>
      </c>
      <c r="J34" s="15">
        <v>63</v>
      </c>
      <c r="K34" s="15">
        <v>35</v>
      </c>
      <c r="L34" s="15">
        <v>23</v>
      </c>
      <c r="M34" s="73">
        <v>51.817500000000003</v>
      </c>
      <c r="N34" s="104">
        <v>51.817500000000003</v>
      </c>
      <c r="O34" s="57">
        <v>7000</v>
      </c>
      <c r="P34" s="58">
        <f t="shared" si="0"/>
        <v>362722.5</v>
      </c>
    </row>
    <row r="35" spans="1:16" ht="28.5" customHeight="1" x14ac:dyDescent="0.2">
      <c r="A35" s="100"/>
      <c r="B35" s="100"/>
      <c r="C35" s="65" t="s">
        <v>1158</v>
      </c>
      <c r="D35" s="70" t="s">
        <v>57</v>
      </c>
      <c r="E35" s="12">
        <v>44538</v>
      </c>
      <c r="F35" s="68" t="s">
        <v>71</v>
      </c>
      <c r="G35" s="12">
        <v>44543</v>
      </c>
      <c r="H35" s="69" t="s">
        <v>903</v>
      </c>
      <c r="I35" s="15">
        <v>41</v>
      </c>
      <c r="J35" s="15">
        <v>23</v>
      </c>
      <c r="K35" s="15">
        <v>8</v>
      </c>
      <c r="L35" s="15">
        <v>1</v>
      </c>
      <c r="M35" s="73">
        <v>1.8859999999999999</v>
      </c>
      <c r="N35" s="104">
        <v>1.8859999999999999</v>
      </c>
      <c r="O35" s="57">
        <v>7000</v>
      </c>
      <c r="P35" s="58">
        <f t="shared" si="0"/>
        <v>13202</v>
      </c>
    </row>
    <row r="36" spans="1:16" ht="28.5" customHeight="1" x14ac:dyDescent="0.2">
      <c r="A36" s="100"/>
      <c r="B36" s="100"/>
      <c r="C36" s="65" t="s">
        <v>1159</v>
      </c>
      <c r="D36" s="70" t="s">
        <v>57</v>
      </c>
      <c r="E36" s="12">
        <v>44538</v>
      </c>
      <c r="F36" s="68" t="s">
        <v>71</v>
      </c>
      <c r="G36" s="12">
        <v>44543</v>
      </c>
      <c r="H36" s="69" t="s">
        <v>903</v>
      </c>
      <c r="I36" s="15">
        <v>55</v>
      </c>
      <c r="J36" s="15">
        <v>44</v>
      </c>
      <c r="K36" s="15">
        <v>14</v>
      </c>
      <c r="L36" s="15">
        <v>3</v>
      </c>
      <c r="M36" s="73">
        <v>8.4700000000000006</v>
      </c>
      <c r="N36" s="104">
        <v>9</v>
      </c>
      <c r="O36" s="57">
        <v>7000</v>
      </c>
      <c r="P36" s="58">
        <f t="shared" si="0"/>
        <v>63000</v>
      </c>
    </row>
    <row r="37" spans="1:16" ht="28.5" customHeight="1" x14ac:dyDescent="0.2">
      <c r="A37" s="100"/>
      <c r="B37" s="100"/>
      <c r="C37" s="65" t="s">
        <v>1160</v>
      </c>
      <c r="D37" s="70" t="s">
        <v>57</v>
      </c>
      <c r="E37" s="12">
        <v>44538</v>
      </c>
      <c r="F37" s="68" t="s">
        <v>71</v>
      </c>
      <c r="G37" s="12">
        <v>44543</v>
      </c>
      <c r="H37" s="69" t="s">
        <v>903</v>
      </c>
      <c r="I37" s="15">
        <v>98</v>
      </c>
      <c r="J37" s="15">
        <v>67</v>
      </c>
      <c r="K37" s="15">
        <v>32</v>
      </c>
      <c r="L37" s="15">
        <v>26</v>
      </c>
      <c r="M37" s="73">
        <v>52.527999999999999</v>
      </c>
      <c r="N37" s="104">
        <v>52.527999999999999</v>
      </c>
      <c r="O37" s="57">
        <v>7000</v>
      </c>
      <c r="P37" s="58">
        <f t="shared" si="0"/>
        <v>367696</v>
      </c>
    </row>
    <row r="38" spans="1:16" ht="28.5" customHeight="1" x14ac:dyDescent="0.2">
      <c r="A38" s="100"/>
      <c r="B38" s="100"/>
      <c r="C38" s="65" t="s">
        <v>1161</v>
      </c>
      <c r="D38" s="70" t="s">
        <v>57</v>
      </c>
      <c r="E38" s="12">
        <v>44538</v>
      </c>
      <c r="F38" s="68" t="s">
        <v>71</v>
      </c>
      <c r="G38" s="12">
        <v>44543</v>
      </c>
      <c r="H38" s="69" t="s">
        <v>903</v>
      </c>
      <c r="I38" s="15">
        <v>97</v>
      </c>
      <c r="J38" s="15">
        <v>42</v>
      </c>
      <c r="K38" s="15">
        <v>28</v>
      </c>
      <c r="L38" s="15">
        <v>22</v>
      </c>
      <c r="M38" s="73">
        <v>28.518000000000001</v>
      </c>
      <c r="N38" s="104">
        <v>28.518000000000001</v>
      </c>
      <c r="O38" s="57">
        <v>7000</v>
      </c>
      <c r="P38" s="58">
        <f t="shared" si="0"/>
        <v>199626</v>
      </c>
    </row>
    <row r="39" spans="1:16" ht="28.5" customHeight="1" x14ac:dyDescent="0.2">
      <c r="A39" s="100"/>
      <c r="B39" s="100"/>
      <c r="C39" s="65" t="s">
        <v>1162</v>
      </c>
      <c r="D39" s="70" t="s">
        <v>57</v>
      </c>
      <c r="E39" s="12">
        <v>44538</v>
      </c>
      <c r="F39" s="68" t="s">
        <v>71</v>
      </c>
      <c r="G39" s="12">
        <v>44543</v>
      </c>
      <c r="H39" s="69" t="s">
        <v>903</v>
      </c>
      <c r="I39" s="15">
        <v>61</v>
      </c>
      <c r="J39" s="15">
        <v>52</v>
      </c>
      <c r="K39" s="15">
        <v>15</v>
      </c>
      <c r="L39" s="15">
        <v>5</v>
      </c>
      <c r="M39" s="73">
        <v>11.895</v>
      </c>
      <c r="N39" s="104">
        <v>11.895</v>
      </c>
      <c r="O39" s="57">
        <v>7000</v>
      </c>
      <c r="P39" s="58">
        <f t="shared" si="0"/>
        <v>83265</v>
      </c>
    </row>
    <row r="40" spans="1:16" ht="28.5" customHeight="1" x14ac:dyDescent="0.2">
      <c r="A40" s="100"/>
      <c r="B40" s="100"/>
      <c r="C40" s="65" t="s">
        <v>1163</v>
      </c>
      <c r="D40" s="70" t="s">
        <v>57</v>
      </c>
      <c r="E40" s="12">
        <v>44538</v>
      </c>
      <c r="F40" s="68" t="s">
        <v>71</v>
      </c>
      <c r="G40" s="12">
        <v>44543</v>
      </c>
      <c r="H40" s="69" t="s">
        <v>903</v>
      </c>
      <c r="I40" s="15">
        <v>57</v>
      </c>
      <c r="J40" s="15">
        <v>45</v>
      </c>
      <c r="K40" s="15">
        <v>17</v>
      </c>
      <c r="L40" s="15">
        <v>4</v>
      </c>
      <c r="M40" s="73">
        <v>10.901249999999999</v>
      </c>
      <c r="N40" s="104">
        <v>10.901249999999999</v>
      </c>
      <c r="O40" s="57">
        <v>7000</v>
      </c>
      <c r="P40" s="58">
        <f t="shared" si="0"/>
        <v>76308.75</v>
      </c>
    </row>
    <row r="41" spans="1:16" ht="28.5" customHeight="1" x14ac:dyDescent="0.2">
      <c r="A41" s="100"/>
      <c r="B41" s="100"/>
      <c r="C41" s="65" t="s">
        <v>1164</v>
      </c>
      <c r="D41" s="70" t="s">
        <v>57</v>
      </c>
      <c r="E41" s="12">
        <v>44538</v>
      </c>
      <c r="F41" s="68" t="s">
        <v>71</v>
      </c>
      <c r="G41" s="12">
        <v>44543</v>
      </c>
      <c r="H41" s="69" t="s">
        <v>903</v>
      </c>
      <c r="I41" s="15">
        <v>20</v>
      </c>
      <c r="J41" s="15">
        <v>13</v>
      </c>
      <c r="K41" s="15">
        <v>13</v>
      </c>
      <c r="L41" s="15">
        <v>1</v>
      </c>
      <c r="M41" s="73">
        <v>0.84499999999999997</v>
      </c>
      <c r="N41" s="104">
        <v>1</v>
      </c>
      <c r="O41" s="57">
        <v>7000</v>
      </c>
      <c r="P41" s="58">
        <f t="shared" si="0"/>
        <v>7000</v>
      </c>
    </row>
    <row r="42" spans="1:16" ht="28.5" customHeight="1" x14ac:dyDescent="0.2">
      <c r="A42" s="100"/>
      <c r="B42" s="100"/>
      <c r="C42" s="65" t="s">
        <v>1165</v>
      </c>
      <c r="D42" s="70" t="s">
        <v>57</v>
      </c>
      <c r="E42" s="12">
        <v>44538</v>
      </c>
      <c r="F42" s="68" t="s">
        <v>71</v>
      </c>
      <c r="G42" s="12">
        <v>44543</v>
      </c>
      <c r="H42" s="69" t="s">
        <v>903</v>
      </c>
      <c r="I42" s="15">
        <v>77</v>
      </c>
      <c r="J42" s="15">
        <v>61</v>
      </c>
      <c r="K42" s="15">
        <v>19</v>
      </c>
      <c r="L42" s="15">
        <v>12</v>
      </c>
      <c r="M42" s="73">
        <v>22.310749999999999</v>
      </c>
      <c r="N42" s="104">
        <v>23</v>
      </c>
      <c r="O42" s="57">
        <v>7000</v>
      </c>
      <c r="P42" s="58">
        <f t="shared" si="0"/>
        <v>161000</v>
      </c>
    </row>
    <row r="43" spans="1:16" ht="28.5" customHeight="1" x14ac:dyDescent="0.2">
      <c r="A43" s="100"/>
      <c r="B43" s="100"/>
      <c r="C43" s="65" t="s">
        <v>1166</v>
      </c>
      <c r="D43" s="70" t="s">
        <v>57</v>
      </c>
      <c r="E43" s="12">
        <v>44538</v>
      </c>
      <c r="F43" s="68" t="s">
        <v>71</v>
      </c>
      <c r="G43" s="12">
        <v>44543</v>
      </c>
      <c r="H43" s="69" t="s">
        <v>903</v>
      </c>
      <c r="I43" s="15">
        <v>93</v>
      </c>
      <c r="J43" s="15">
        <v>59</v>
      </c>
      <c r="K43" s="15">
        <v>24</v>
      </c>
      <c r="L43" s="15">
        <v>24</v>
      </c>
      <c r="M43" s="73">
        <v>32.921999999999997</v>
      </c>
      <c r="N43" s="104">
        <v>32.921999999999997</v>
      </c>
      <c r="O43" s="57">
        <v>7000</v>
      </c>
      <c r="P43" s="58">
        <f t="shared" si="0"/>
        <v>230453.99999999997</v>
      </c>
    </row>
    <row r="44" spans="1:16" ht="28.5" customHeight="1" x14ac:dyDescent="0.2">
      <c r="A44" s="100"/>
      <c r="B44" s="100"/>
      <c r="C44" s="65" t="s">
        <v>1167</v>
      </c>
      <c r="D44" s="70" t="s">
        <v>57</v>
      </c>
      <c r="E44" s="12">
        <v>44538</v>
      </c>
      <c r="F44" s="68" t="s">
        <v>71</v>
      </c>
      <c r="G44" s="12">
        <v>44543</v>
      </c>
      <c r="H44" s="69" t="s">
        <v>903</v>
      </c>
      <c r="I44" s="15">
        <v>45</v>
      </c>
      <c r="J44" s="15">
        <v>32</v>
      </c>
      <c r="K44" s="15">
        <v>20</v>
      </c>
      <c r="L44" s="15">
        <v>3</v>
      </c>
      <c r="M44" s="73">
        <v>7.2</v>
      </c>
      <c r="N44" s="104">
        <v>7.2</v>
      </c>
      <c r="O44" s="57">
        <v>7000</v>
      </c>
      <c r="P44" s="58">
        <f t="shared" si="0"/>
        <v>50400</v>
      </c>
    </row>
    <row r="45" spans="1:16" ht="28.5" customHeight="1" x14ac:dyDescent="0.2">
      <c r="A45" s="100"/>
      <c r="B45" s="100"/>
      <c r="C45" s="65" t="s">
        <v>1168</v>
      </c>
      <c r="D45" s="70" t="s">
        <v>57</v>
      </c>
      <c r="E45" s="12">
        <v>44538</v>
      </c>
      <c r="F45" s="68" t="s">
        <v>71</v>
      </c>
      <c r="G45" s="12">
        <v>44543</v>
      </c>
      <c r="H45" s="69" t="s">
        <v>903</v>
      </c>
      <c r="I45" s="15">
        <v>61</v>
      </c>
      <c r="J45" s="15">
        <v>52</v>
      </c>
      <c r="K45" s="15">
        <v>23</v>
      </c>
      <c r="L45" s="15">
        <v>13</v>
      </c>
      <c r="M45" s="73">
        <v>18.239000000000001</v>
      </c>
      <c r="N45" s="104">
        <v>18.239000000000001</v>
      </c>
      <c r="O45" s="57">
        <v>7000</v>
      </c>
      <c r="P45" s="58">
        <f t="shared" si="0"/>
        <v>127673</v>
      </c>
    </row>
    <row r="46" spans="1:16" ht="28.5" customHeight="1" x14ac:dyDescent="0.2">
      <c r="A46" s="100"/>
      <c r="B46" s="100"/>
      <c r="C46" s="65" t="s">
        <v>1169</v>
      </c>
      <c r="D46" s="70" t="s">
        <v>57</v>
      </c>
      <c r="E46" s="12">
        <v>44538</v>
      </c>
      <c r="F46" s="68" t="s">
        <v>71</v>
      </c>
      <c r="G46" s="12">
        <v>44543</v>
      </c>
      <c r="H46" s="69" t="s">
        <v>903</v>
      </c>
      <c r="I46" s="15">
        <v>105</v>
      </c>
      <c r="J46" s="15">
        <v>54</v>
      </c>
      <c r="K46" s="15">
        <v>32</v>
      </c>
      <c r="L46" s="15">
        <v>25</v>
      </c>
      <c r="M46" s="73">
        <v>45.36</v>
      </c>
      <c r="N46" s="104">
        <v>46</v>
      </c>
      <c r="O46" s="57">
        <v>7000</v>
      </c>
      <c r="P46" s="58">
        <f t="shared" si="0"/>
        <v>322000</v>
      </c>
    </row>
    <row r="47" spans="1:16" ht="28.5" customHeight="1" x14ac:dyDescent="0.2">
      <c r="A47" s="100"/>
      <c r="B47" s="100"/>
      <c r="C47" s="65" t="s">
        <v>1170</v>
      </c>
      <c r="D47" s="70" t="s">
        <v>57</v>
      </c>
      <c r="E47" s="12">
        <v>44538</v>
      </c>
      <c r="F47" s="68" t="s">
        <v>71</v>
      </c>
      <c r="G47" s="12">
        <v>44543</v>
      </c>
      <c r="H47" s="69" t="s">
        <v>903</v>
      </c>
      <c r="I47" s="15">
        <v>32</v>
      </c>
      <c r="J47" s="15">
        <v>22</v>
      </c>
      <c r="K47" s="15">
        <v>10</v>
      </c>
      <c r="L47" s="15">
        <v>2</v>
      </c>
      <c r="M47" s="73">
        <v>1.76</v>
      </c>
      <c r="N47" s="104">
        <v>2</v>
      </c>
      <c r="O47" s="57">
        <v>7000</v>
      </c>
      <c r="P47" s="58">
        <f t="shared" si="0"/>
        <v>14000</v>
      </c>
    </row>
    <row r="48" spans="1:16" ht="28.5" customHeight="1" x14ac:dyDescent="0.2">
      <c r="A48" s="100"/>
      <c r="B48" s="100"/>
      <c r="C48" s="65" t="s">
        <v>1171</v>
      </c>
      <c r="D48" s="70" t="s">
        <v>57</v>
      </c>
      <c r="E48" s="12">
        <v>44538</v>
      </c>
      <c r="F48" s="68" t="s">
        <v>71</v>
      </c>
      <c r="G48" s="12">
        <v>44543</v>
      </c>
      <c r="H48" s="69" t="s">
        <v>903</v>
      </c>
      <c r="I48" s="15">
        <v>61</v>
      </c>
      <c r="J48" s="15">
        <v>42</v>
      </c>
      <c r="K48" s="15">
        <v>23</v>
      </c>
      <c r="L48" s="15">
        <v>5</v>
      </c>
      <c r="M48" s="73">
        <v>14.7315</v>
      </c>
      <c r="N48" s="104">
        <v>14.7315</v>
      </c>
      <c r="O48" s="57">
        <v>7000</v>
      </c>
      <c r="P48" s="58">
        <f t="shared" si="0"/>
        <v>103120.5</v>
      </c>
    </row>
    <row r="49" spans="1:16" ht="28.5" customHeight="1" x14ac:dyDescent="0.2">
      <c r="A49" s="100"/>
      <c r="B49" s="100"/>
      <c r="C49" s="65" t="s">
        <v>1172</v>
      </c>
      <c r="D49" s="70" t="s">
        <v>57</v>
      </c>
      <c r="E49" s="12">
        <v>44538</v>
      </c>
      <c r="F49" s="68" t="s">
        <v>71</v>
      </c>
      <c r="G49" s="12">
        <v>44543</v>
      </c>
      <c r="H49" s="69" t="s">
        <v>903</v>
      </c>
      <c r="I49" s="15">
        <v>65</v>
      </c>
      <c r="J49" s="15">
        <v>56</v>
      </c>
      <c r="K49" s="15">
        <v>17</v>
      </c>
      <c r="L49" s="15">
        <v>7</v>
      </c>
      <c r="M49" s="73">
        <v>15.47</v>
      </c>
      <c r="N49" s="104">
        <v>16</v>
      </c>
      <c r="O49" s="57">
        <v>7000</v>
      </c>
      <c r="P49" s="58">
        <f t="shared" si="0"/>
        <v>112000</v>
      </c>
    </row>
    <row r="50" spans="1:16" ht="28.5" customHeight="1" x14ac:dyDescent="0.2">
      <c r="A50" s="100"/>
      <c r="B50" s="100"/>
      <c r="C50" s="65" t="s">
        <v>1173</v>
      </c>
      <c r="D50" s="70" t="s">
        <v>57</v>
      </c>
      <c r="E50" s="12">
        <v>44538</v>
      </c>
      <c r="F50" s="68" t="s">
        <v>71</v>
      </c>
      <c r="G50" s="12">
        <v>44543</v>
      </c>
      <c r="H50" s="69" t="s">
        <v>903</v>
      </c>
      <c r="I50" s="15">
        <v>88</v>
      </c>
      <c r="J50" s="15">
        <v>57</v>
      </c>
      <c r="K50" s="15">
        <v>20</v>
      </c>
      <c r="L50" s="15">
        <v>16</v>
      </c>
      <c r="M50" s="73">
        <v>25.08</v>
      </c>
      <c r="N50" s="104">
        <v>25.08</v>
      </c>
      <c r="O50" s="57">
        <v>7000</v>
      </c>
      <c r="P50" s="58">
        <f t="shared" si="0"/>
        <v>175560</v>
      </c>
    </row>
    <row r="51" spans="1:16" ht="28.5" customHeight="1" x14ac:dyDescent="0.2">
      <c r="A51" s="100"/>
      <c r="B51" s="100"/>
      <c r="C51" s="65" t="s">
        <v>1174</v>
      </c>
      <c r="D51" s="70" t="s">
        <v>57</v>
      </c>
      <c r="E51" s="12">
        <v>44538</v>
      </c>
      <c r="F51" s="68" t="s">
        <v>71</v>
      </c>
      <c r="G51" s="12">
        <v>44543</v>
      </c>
      <c r="H51" s="69" t="s">
        <v>903</v>
      </c>
      <c r="I51" s="15">
        <v>51</v>
      </c>
      <c r="J51" s="15">
        <v>57</v>
      </c>
      <c r="K51" s="15">
        <v>18</v>
      </c>
      <c r="L51" s="15">
        <v>9</v>
      </c>
      <c r="M51" s="73">
        <v>13.0815</v>
      </c>
      <c r="N51" s="104">
        <v>13.0815</v>
      </c>
      <c r="O51" s="57">
        <v>7000</v>
      </c>
      <c r="P51" s="58">
        <f t="shared" si="0"/>
        <v>91570.5</v>
      </c>
    </row>
    <row r="52" spans="1:16" ht="28.5" customHeight="1" x14ac:dyDescent="0.2">
      <c r="A52" s="100"/>
      <c r="B52" s="100"/>
      <c r="C52" s="65" t="s">
        <v>1175</v>
      </c>
      <c r="D52" s="70" t="s">
        <v>57</v>
      </c>
      <c r="E52" s="12">
        <v>44538</v>
      </c>
      <c r="F52" s="68" t="s">
        <v>71</v>
      </c>
      <c r="G52" s="12">
        <v>44543</v>
      </c>
      <c r="H52" s="69" t="s">
        <v>903</v>
      </c>
      <c r="I52" s="15">
        <v>72</v>
      </c>
      <c r="J52" s="15">
        <v>54</v>
      </c>
      <c r="K52" s="15">
        <v>24</v>
      </c>
      <c r="L52" s="15">
        <v>11</v>
      </c>
      <c r="M52" s="73">
        <v>23.327999999999999</v>
      </c>
      <c r="N52" s="104">
        <v>24</v>
      </c>
      <c r="O52" s="57">
        <v>7000</v>
      </c>
      <c r="P52" s="58">
        <f t="shared" si="0"/>
        <v>168000</v>
      </c>
    </row>
    <row r="53" spans="1:16" ht="28.5" customHeight="1" x14ac:dyDescent="0.2">
      <c r="A53" s="100"/>
      <c r="B53" s="100"/>
      <c r="C53" s="65" t="s">
        <v>1176</v>
      </c>
      <c r="D53" s="70" t="s">
        <v>57</v>
      </c>
      <c r="E53" s="12">
        <v>44538</v>
      </c>
      <c r="F53" s="68" t="s">
        <v>71</v>
      </c>
      <c r="G53" s="12">
        <v>44543</v>
      </c>
      <c r="H53" s="69" t="s">
        <v>903</v>
      </c>
      <c r="I53" s="15">
        <v>78</v>
      </c>
      <c r="J53" s="15">
        <v>53</v>
      </c>
      <c r="K53" s="15">
        <v>27</v>
      </c>
      <c r="L53" s="15">
        <v>10</v>
      </c>
      <c r="M53" s="73">
        <v>27.904499999999999</v>
      </c>
      <c r="N53" s="104">
        <v>27.904499999999999</v>
      </c>
      <c r="O53" s="57">
        <v>7000</v>
      </c>
      <c r="P53" s="58">
        <f t="shared" si="0"/>
        <v>195331.5</v>
      </c>
    </row>
    <row r="54" spans="1:16" ht="28.5" customHeight="1" x14ac:dyDescent="0.2">
      <c r="A54" s="100"/>
      <c r="B54" s="100"/>
      <c r="C54" s="65" t="s">
        <v>1177</v>
      </c>
      <c r="D54" s="70" t="s">
        <v>57</v>
      </c>
      <c r="E54" s="12">
        <v>44538</v>
      </c>
      <c r="F54" s="68" t="s">
        <v>71</v>
      </c>
      <c r="G54" s="12">
        <v>44543</v>
      </c>
      <c r="H54" s="69" t="s">
        <v>903</v>
      </c>
      <c r="I54" s="15">
        <v>77</v>
      </c>
      <c r="J54" s="15">
        <v>45</v>
      </c>
      <c r="K54" s="15">
        <v>17</v>
      </c>
      <c r="L54" s="15">
        <v>8</v>
      </c>
      <c r="M54" s="73">
        <v>14.72625</v>
      </c>
      <c r="N54" s="104">
        <v>14.72625</v>
      </c>
      <c r="O54" s="57">
        <v>7000</v>
      </c>
      <c r="P54" s="58">
        <f t="shared" si="0"/>
        <v>103083.75</v>
      </c>
    </row>
    <row r="55" spans="1:16" ht="28.5" customHeight="1" x14ac:dyDescent="0.2">
      <c r="A55" s="100"/>
      <c r="B55" s="100"/>
      <c r="C55" s="65" t="s">
        <v>1178</v>
      </c>
      <c r="D55" s="70" t="s">
        <v>57</v>
      </c>
      <c r="E55" s="12">
        <v>44538</v>
      </c>
      <c r="F55" s="68" t="s">
        <v>71</v>
      </c>
      <c r="G55" s="12">
        <v>44543</v>
      </c>
      <c r="H55" s="69" t="s">
        <v>903</v>
      </c>
      <c r="I55" s="15">
        <v>114</v>
      </c>
      <c r="J55" s="15">
        <v>59</v>
      </c>
      <c r="K55" s="15">
        <v>28</v>
      </c>
      <c r="L55" s="15">
        <v>39</v>
      </c>
      <c r="M55" s="73">
        <v>47.082000000000001</v>
      </c>
      <c r="N55" s="104">
        <v>47.082000000000001</v>
      </c>
      <c r="O55" s="57">
        <v>7000</v>
      </c>
      <c r="P55" s="58">
        <f t="shared" si="0"/>
        <v>329574</v>
      </c>
    </row>
    <row r="56" spans="1:16" ht="28.5" customHeight="1" x14ac:dyDescent="0.2">
      <c r="A56" s="100"/>
      <c r="B56" s="100"/>
      <c r="C56" s="65" t="s">
        <v>1179</v>
      </c>
      <c r="D56" s="70" t="s">
        <v>57</v>
      </c>
      <c r="E56" s="12">
        <v>44538</v>
      </c>
      <c r="F56" s="68" t="s">
        <v>71</v>
      </c>
      <c r="G56" s="12">
        <v>44543</v>
      </c>
      <c r="H56" s="69" t="s">
        <v>903</v>
      </c>
      <c r="I56" s="15">
        <v>82</v>
      </c>
      <c r="J56" s="15">
        <v>67</v>
      </c>
      <c r="K56" s="15">
        <v>31</v>
      </c>
      <c r="L56" s="15">
        <v>13</v>
      </c>
      <c r="M56" s="73">
        <v>42.578499999999998</v>
      </c>
      <c r="N56" s="104">
        <v>42.578499999999998</v>
      </c>
      <c r="O56" s="57">
        <v>7000</v>
      </c>
      <c r="P56" s="58">
        <f t="shared" si="0"/>
        <v>298049.5</v>
      </c>
    </row>
    <row r="57" spans="1:16" ht="28.5" customHeight="1" x14ac:dyDescent="0.2">
      <c r="A57" s="100"/>
      <c r="B57" s="100"/>
      <c r="C57" s="65" t="s">
        <v>1180</v>
      </c>
      <c r="D57" s="70" t="s">
        <v>57</v>
      </c>
      <c r="E57" s="12">
        <v>44538</v>
      </c>
      <c r="F57" s="68" t="s">
        <v>71</v>
      </c>
      <c r="G57" s="12">
        <v>44543</v>
      </c>
      <c r="H57" s="69" t="s">
        <v>903</v>
      </c>
      <c r="I57" s="15">
        <v>61</v>
      </c>
      <c r="J57" s="15">
        <v>51</v>
      </c>
      <c r="K57" s="15">
        <v>52</v>
      </c>
      <c r="L57" s="15">
        <v>15</v>
      </c>
      <c r="M57" s="73">
        <v>40.442999999999998</v>
      </c>
      <c r="N57" s="104">
        <v>41</v>
      </c>
      <c r="O57" s="57">
        <v>7000</v>
      </c>
      <c r="P57" s="58">
        <f t="shared" si="0"/>
        <v>287000</v>
      </c>
    </row>
    <row r="58" spans="1:16" ht="28.5" customHeight="1" x14ac:dyDescent="0.2">
      <c r="A58" s="100"/>
      <c r="B58" s="100"/>
      <c r="C58" s="65" t="s">
        <v>1181</v>
      </c>
      <c r="D58" s="70" t="s">
        <v>57</v>
      </c>
      <c r="E58" s="12">
        <v>44538</v>
      </c>
      <c r="F58" s="68" t="s">
        <v>71</v>
      </c>
      <c r="G58" s="12">
        <v>44543</v>
      </c>
      <c r="H58" s="69" t="s">
        <v>903</v>
      </c>
      <c r="I58" s="15">
        <v>75</v>
      </c>
      <c r="J58" s="15">
        <v>35</v>
      </c>
      <c r="K58" s="15">
        <v>28</v>
      </c>
      <c r="L58" s="15">
        <v>12</v>
      </c>
      <c r="M58" s="73">
        <v>18.375</v>
      </c>
      <c r="N58" s="104">
        <v>19</v>
      </c>
      <c r="O58" s="57">
        <v>7000</v>
      </c>
      <c r="P58" s="58">
        <f t="shared" si="0"/>
        <v>133000</v>
      </c>
    </row>
    <row r="59" spans="1:16" ht="28.5" customHeight="1" x14ac:dyDescent="0.2">
      <c r="A59" s="100"/>
      <c r="B59" s="100"/>
      <c r="C59" s="65" t="s">
        <v>1182</v>
      </c>
      <c r="D59" s="70" t="s">
        <v>57</v>
      </c>
      <c r="E59" s="12">
        <v>44538</v>
      </c>
      <c r="F59" s="68" t="s">
        <v>71</v>
      </c>
      <c r="G59" s="12">
        <v>44543</v>
      </c>
      <c r="H59" s="69" t="s">
        <v>903</v>
      </c>
      <c r="I59" s="15">
        <v>45</v>
      </c>
      <c r="J59" s="15">
        <v>41</v>
      </c>
      <c r="K59" s="15">
        <v>28</v>
      </c>
      <c r="L59" s="15">
        <v>6</v>
      </c>
      <c r="M59" s="73">
        <v>12.914999999999999</v>
      </c>
      <c r="N59" s="104">
        <v>12.914999999999999</v>
      </c>
      <c r="O59" s="57">
        <v>7000</v>
      </c>
      <c r="P59" s="58">
        <f t="shared" si="0"/>
        <v>90405</v>
      </c>
    </row>
    <row r="60" spans="1:16" ht="28.5" customHeight="1" x14ac:dyDescent="0.2">
      <c r="A60" s="100"/>
      <c r="B60" s="100"/>
      <c r="C60" s="65" t="s">
        <v>1183</v>
      </c>
      <c r="D60" s="70" t="s">
        <v>57</v>
      </c>
      <c r="E60" s="12">
        <v>44538</v>
      </c>
      <c r="F60" s="68" t="s">
        <v>71</v>
      </c>
      <c r="G60" s="12">
        <v>44543</v>
      </c>
      <c r="H60" s="69" t="s">
        <v>903</v>
      </c>
      <c r="I60" s="15">
        <v>82</v>
      </c>
      <c r="J60" s="15">
        <v>55</v>
      </c>
      <c r="K60" s="15">
        <v>33</v>
      </c>
      <c r="L60" s="15">
        <v>18</v>
      </c>
      <c r="M60" s="73">
        <v>37.207500000000003</v>
      </c>
      <c r="N60" s="104">
        <v>37.207500000000003</v>
      </c>
      <c r="O60" s="57">
        <v>7000</v>
      </c>
      <c r="P60" s="58">
        <f t="shared" si="0"/>
        <v>260452.50000000003</v>
      </c>
    </row>
    <row r="61" spans="1:16" ht="28.5" customHeight="1" x14ac:dyDescent="0.2">
      <c r="A61" s="100"/>
      <c r="B61" s="100"/>
      <c r="C61" s="65" t="s">
        <v>1184</v>
      </c>
      <c r="D61" s="70" t="s">
        <v>57</v>
      </c>
      <c r="E61" s="12">
        <v>44538</v>
      </c>
      <c r="F61" s="68" t="s">
        <v>71</v>
      </c>
      <c r="G61" s="12">
        <v>44543</v>
      </c>
      <c r="H61" s="69" t="s">
        <v>903</v>
      </c>
      <c r="I61" s="15">
        <v>31</v>
      </c>
      <c r="J61" s="15">
        <v>25</v>
      </c>
      <c r="K61" s="15">
        <v>16</v>
      </c>
      <c r="L61" s="15">
        <v>2</v>
      </c>
      <c r="M61" s="73">
        <v>3.1</v>
      </c>
      <c r="N61" s="104">
        <v>3.1</v>
      </c>
      <c r="O61" s="57">
        <v>7000</v>
      </c>
      <c r="P61" s="58">
        <f t="shared" si="0"/>
        <v>21700</v>
      </c>
    </row>
    <row r="62" spans="1:16" ht="28.5" customHeight="1" x14ac:dyDescent="0.2">
      <c r="A62" s="100"/>
      <c r="B62" s="100"/>
      <c r="C62" s="65" t="s">
        <v>1185</v>
      </c>
      <c r="D62" s="70" t="s">
        <v>57</v>
      </c>
      <c r="E62" s="12">
        <v>44538</v>
      </c>
      <c r="F62" s="68" t="s">
        <v>71</v>
      </c>
      <c r="G62" s="12">
        <v>44543</v>
      </c>
      <c r="H62" s="69" t="s">
        <v>903</v>
      </c>
      <c r="I62" s="15">
        <v>57</v>
      </c>
      <c r="J62" s="15">
        <v>35</v>
      </c>
      <c r="K62" s="15">
        <v>17</v>
      </c>
      <c r="L62" s="15">
        <v>6</v>
      </c>
      <c r="M62" s="73">
        <v>8.4787499999999998</v>
      </c>
      <c r="N62" s="104">
        <v>9</v>
      </c>
      <c r="O62" s="57">
        <v>7000</v>
      </c>
      <c r="P62" s="58">
        <f t="shared" si="0"/>
        <v>63000</v>
      </c>
    </row>
    <row r="63" spans="1:16" ht="28.5" customHeight="1" x14ac:dyDescent="0.2">
      <c r="A63" s="100"/>
      <c r="B63" s="100"/>
      <c r="C63" s="65" t="s">
        <v>1186</v>
      </c>
      <c r="D63" s="70" t="s">
        <v>57</v>
      </c>
      <c r="E63" s="12">
        <v>44538</v>
      </c>
      <c r="F63" s="68" t="s">
        <v>71</v>
      </c>
      <c r="G63" s="12">
        <v>44543</v>
      </c>
      <c r="H63" s="69" t="s">
        <v>903</v>
      </c>
      <c r="I63" s="15">
        <v>44</v>
      </c>
      <c r="J63" s="15">
        <v>32</v>
      </c>
      <c r="K63" s="15">
        <v>15</v>
      </c>
      <c r="L63" s="15">
        <v>1</v>
      </c>
      <c r="M63" s="73">
        <v>5.28</v>
      </c>
      <c r="N63" s="104">
        <v>5.28</v>
      </c>
      <c r="O63" s="57">
        <v>7000</v>
      </c>
      <c r="P63" s="58">
        <f t="shared" si="0"/>
        <v>36960</v>
      </c>
    </row>
    <row r="64" spans="1:16" ht="28.5" customHeight="1" x14ac:dyDescent="0.2">
      <c r="A64" s="100"/>
      <c r="B64" s="100"/>
      <c r="C64" s="65" t="s">
        <v>1187</v>
      </c>
      <c r="D64" s="70" t="s">
        <v>57</v>
      </c>
      <c r="E64" s="12">
        <v>44538</v>
      </c>
      <c r="F64" s="68" t="s">
        <v>71</v>
      </c>
      <c r="G64" s="12">
        <v>44543</v>
      </c>
      <c r="H64" s="69" t="s">
        <v>903</v>
      </c>
      <c r="I64" s="15">
        <v>128</v>
      </c>
      <c r="J64" s="15">
        <v>14</v>
      </c>
      <c r="K64" s="15">
        <v>6</v>
      </c>
      <c r="L64" s="15">
        <v>1</v>
      </c>
      <c r="M64" s="73">
        <v>2.6880000000000002</v>
      </c>
      <c r="N64" s="104">
        <v>2.6880000000000002</v>
      </c>
      <c r="O64" s="57">
        <v>7000</v>
      </c>
      <c r="P64" s="58">
        <f t="shared" si="0"/>
        <v>18816</v>
      </c>
    </row>
    <row r="65" spans="1:16" ht="28.5" customHeight="1" x14ac:dyDescent="0.2">
      <c r="A65" s="100"/>
      <c r="B65" s="100"/>
      <c r="C65" s="65" t="s">
        <v>1188</v>
      </c>
      <c r="D65" s="70" t="s">
        <v>57</v>
      </c>
      <c r="E65" s="12">
        <v>44538</v>
      </c>
      <c r="F65" s="68" t="s">
        <v>71</v>
      </c>
      <c r="G65" s="12">
        <v>44543</v>
      </c>
      <c r="H65" s="69" t="s">
        <v>903</v>
      </c>
      <c r="I65" s="15">
        <v>104</v>
      </c>
      <c r="J65" s="15">
        <v>8</v>
      </c>
      <c r="K65" s="15">
        <v>8</v>
      </c>
      <c r="L65" s="15">
        <v>13</v>
      </c>
      <c r="M65" s="73">
        <v>1.6639999999999999</v>
      </c>
      <c r="N65" s="104">
        <v>13</v>
      </c>
      <c r="O65" s="57">
        <v>7000</v>
      </c>
      <c r="P65" s="58">
        <f t="shared" si="0"/>
        <v>91000</v>
      </c>
    </row>
    <row r="66" spans="1:16" ht="28.5" customHeight="1" x14ac:dyDescent="0.2">
      <c r="A66" s="100"/>
      <c r="B66" s="100"/>
      <c r="C66" s="65" t="s">
        <v>1189</v>
      </c>
      <c r="D66" s="70" t="s">
        <v>57</v>
      </c>
      <c r="E66" s="12">
        <v>44538</v>
      </c>
      <c r="F66" s="68" t="s">
        <v>71</v>
      </c>
      <c r="G66" s="12">
        <v>44543</v>
      </c>
      <c r="H66" s="69" t="s">
        <v>903</v>
      </c>
      <c r="I66" s="15">
        <v>49</v>
      </c>
      <c r="J66" s="15">
        <v>41</v>
      </c>
      <c r="K66" s="15">
        <v>32</v>
      </c>
      <c r="L66" s="15">
        <v>4</v>
      </c>
      <c r="M66" s="73">
        <v>16.071999999999999</v>
      </c>
      <c r="N66" s="104">
        <v>16.071999999999999</v>
      </c>
      <c r="O66" s="57">
        <v>7000</v>
      </c>
      <c r="P66" s="58">
        <f t="shared" si="0"/>
        <v>112504</v>
      </c>
    </row>
    <row r="67" spans="1:16" ht="28.5" customHeight="1" x14ac:dyDescent="0.2">
      <c r="A67" s="100"/>
      <c r="B67" s="100"/>
      <c r="C67" s="65" t="s">
        <v>1190</v>
      </c>
      <c r="D67" s="70" t="s">
        <v>57</v>
      </c>
      <c r="E67" s="12">
        <v>44538</v>
      </c>
      <c r="F67" s="68" t="s">
        <v>71</v>
      </c>
      <c r="G67" s="12">
        <v>44543</v>
      </c>
      <c r="H67" s="69" t="s">
        <v>903</v>
      </c>
      <c r="I67" s="15">
        <v>66</v>
      </c>
      <c r="J67" s="15">
        <v>21</v>
      </c>
      <c r="K67" s="15">
        <v>10</v>
      </c>
      <c r="L67" s="15">
        <v>1</v>
      </c>
      <c r="M67" s="73">
        <v>3.4649999999999999</v>
      </c>
      <c r="N67" s="104">
        <v>4</v>
      </c>
      <c r="O67" s="57">
        <v>7000</v>
      </c>
      <c r="P67" s="58">
        <f t="shared" ref="P67:P124" si="1">N67*O67</f>
        <v>28000</v>
      </c>
    </row>
    <row r="68" spans="1:16" ht="28.5" customHeight="1" x14ac:dyDescent="0.2">
      <c r="A68" s="100"/>
      <c r="B68" s="100"/>
      <c r="C68" s="65" t="s">
        <v>1191</v>
      </c>
      <c r="D68" s="70" t="s">
        <v>57</v>
      </c>
      <c r="E68" s="12">
        <v>44538</v>
      </c>
      <c r="F68" s="68" t="s">
        <v>71</v>
      </c>
      <c r="G68" s="12">
        <v>44543</v>
      </c>
      <c r="H68" s="69" t="s">
        <v>903</v>
      </c>
      <c r="I68" s="15">
        <v>46</v>
      </c>
      <c r="J68" s="15">
        <v>40</v>
      </c>
      <c r="K68" s="15">
        <v>35</v>
      </c>
      <c r="L68" s="15">
        <v>8</v>
      </c>
      <c r="M68" s="73">
        <v>16.100000000000001</v>
      </c>
      <c r="N68" s="104">
        <v>16.100000000000001</v>
      </c>
      <c r="O68" s="57">
        <v>7000</v>
      </c>
      <c r="P68" s="58">
        <f t="shared" si="1"/>
        <v>112700.00000000001</v>
      </c>
    </row>
    <row r="69" spans="1:16" ht="28.5" customHeight="1" x14ac:dyDescent="0.2">
      <c r="A69" s="100"/>
      <c r="B69" s="100"/>
      <c r="C69" s="65" t="s">
        <v>1192</v>
      </c>
      <c r="D69" s="70" t="s">
        <v>57</v>
      </c>
      <c r="E69" s="12">
        <v>44538</v>
      </c>
      <c r="F69" s="68" t="s">
        <v>71</v>
      </c>
      <c r="G69" s="12">
        <v>44543</v>
      </c>
      <c r="H69" s="69" t="s">
        <v>903</v>
      </c>
      <c r="I69" s="15">
        <v>62</v>
      </c>
      <c r="J69" s="15">
        <v>42</v>
      </c>
      <c r="K69" s="15">
        <v>23</v>
      </c>
      <c r="L69" s="15">
        <v>5</v>
      </c>
      <c r="M69" s="73">
        <v>14.973000000000001</v>
      </c>
      <c r="N69" s="104">
        <v>14.973000000000001</v>
      </c>
      <c r="O69" s="57">
        <v>7000</v>
      </c>
      <c r="P69" s="58">
        <f t="shared" si="1"/>
        <v>104811</v>
      </c>
    </row>
    <row r="70" spans="1:16" ht="28.5" customHeight="1" x14ac:dyDescent="0.2">
      <c r="A70" s="100"/>
      <c r="B70" s="100"/>
      <c r="C70" s="65" t="s">
        <v>1193</v>
      </c>
      <c r="D70" s="70" t="s">
        <v>57</v>
      </c>
      <c r="E70" s="12">
        <v>44538</v>
      </c>
      <c r="F70" s="68" t="s">
        <v>71</v>
      </c>
      <c r="G70" s="12">
        <v>44543</v>
      </c>
      <c r="H70" s="69" t="s">
        <v>903</v>
      </c>
      <c r="I70" s="15">
        <v>41</v>
      </c>
      <c r="J70" s="15">
        <v>33</v>
      </c>
      <c r="K70" s="15">
        <v>16</v>
      </c>
      <c r="L70" s="15">
        <v>5</v>
      </c>
      <c r="M70" s="73">
        <v>5.4119999999999999</v>
      </c>
      <c r="N70" s="104">
        <v>6</v>
      </c>
      <c r="O70" s="57">
        <v>7000</v>
      </c>
      <c r="P70" s="58">
        <f t="shared" si="1"/>
        <v>42000</v>
      </c>
    </row>
    <row r="71" spans="1:16" ht="28.5" customHeight="1" x14ac:dyDescent="0.2">
      <c r="A71" s="100"/>
      <c r="B71" s="100"/>
      <c r="C71" s="65" t="s">
        <v>1194</v>
      </c>
      <c r="D71" s="70" t="s">
        <v>57</v>
      </c>
      <c r="E71" s="12">
        <v>44538</v>
      </c>
      <c r="F71" s="68" t="s">
        <v>71</v>
      </c>
      <c r="G71" s="12">
        <v>44543</v>
      </c>
      <c r="H71" s="69" t="s">
        <v>903</v>
      </c>
      <c r="I71" s="15">
        <v>67</v>
      </c>
      <c r="J71" s="15">
        <v>40</v>
      </c>
      <c r="K71" s="15">
        <v>21</v>
      </c>
      <c r="L71" s="15">
        <v>8</v>
      </c>
      <c r="M71" s="73">
        <v>14.07</v>
      </c>
      <c r="N71" s="104">
        <v>14.07</v>
      </c>
      <c r="O71" s="57">
        <v>7000</v>
      </c>
      <c r="P71" s="58">
        <f t="shared" si="1"/>
        <v>98490</v>
      </c>
    </row>
    <row r="72" spans="1:16" ht="28.5" customHeight="1" x14ac:dyDescent="0.2">
      <c r="A72" s="100"/>
      <c r="B72" s="100"/>
      <c r="C72" s="65" t="s">
        <v>1195</v>
      </c>
      <c r="D72" s="70" t="s">
        <v>57</v>
      </c>
      <c r="E72" s="12">
        <v>44538</v>
      </c>
      <c r="F72" s="68" t="s">
        <v>71</v>
      </c>
      <c r="G72" s="12">
        <v>44543</v>
      </c>
      <c r="H72" s="69" t="s">
        <v>903</v>
      </c>
      <c r="I72" s="15">
        <v>113</v>
      </c>
      <c r="J72" s="15">
        <v>30</v>
      </c>
      <c r="K72" s="15">
        <v>21</v>
      </c>
      <c r="L72" s="15">
        <v>14</v>
      </c>
      <c r="M72" s="73">
        <v>17.797499999999999</v>
      </c>
      <c r="N72" s="104">
        <v>17.797499999999999</v>
      </c>
      <c r="O72" s="57">
        <v>7000</v>
      </c>
      <c r="P72" s="58">
        <f t="shared" si="1"/>
        <v>124582.5</v>
      </c>
    </row>
    <row r="73" spans="1:16" ht="28.5" customHeight="1" x14ac:dyDescent="0.2">
      <c r="A73" s="100"/>
      <c r="B73" s="100"/>
      <c r="C73" s="65" t="s">
        <v>1196</v>
      </c>
      <c r="D73" s="70" t="s">
        <v>57</v>
      </c>
      <c r="E73" s="12">
        <v>44538</v>
      </c>
      <c r="F73" s="68" t="s">
        <v>71</v>
      </c>
      <c r="G73" s="12">
        <v>44543</v>
      </c>
      <c r="H73" s="69" t="s">
        <v>903</v>
      </c>
      <c r="I73" s="15">
        <v>52</v>
      </c>
      <c r="J73" s="15">
        <v>37</v>
      </c>
      <c r="K73" s="15">
        <v>21</v>
      </c>
      <c r="L73" s="15">
        <v>12</v>
      </c>
      <c r="M73" s="73">
        <v>10.101000000000001</v>
      </c>
      <c r="N73" s="104">
        <v>12</v>
      </c>
      <c r="O73" s="57">
        <v>7000</v>
      </c>
      <c r="P73" s="58">
        <f t="shared" si="1"/>
        <v>84000</v>
      </c>
    </row>
    <row r="74" spans="1:16" ht="28.5" customHeight="1" x14ac:dyDescent="0.2">
      <c r="A74" s="100"/>
      <c r="B74" s="100"/>
      <c r="C74" s="65" t="s">
        <v>1197</v>
      </c>
      <c r="D74" s="70" t="s">
        <v>57</v>
      </c>
      <c r="E74" s="12">
        <v>44538</v>
      </c>
      <c r="F74" s="68" t="s">
        <v>71</v>
      </c>
      <c r="G74" s="12">
        <v>44543</v>
      </c>
      <c r="H74" s="69" t="s">
        <v>903</v>
      </c>
      <c r="I74" s="15">
        <v>58</v>
      </c>
      <c r="J74" s="15">
        <v>42</v>
      </c>
      <c r="K74" s="15">
        <v>37</v>
      </c>
      <c r="L74" s="15">
        <v>15</v>
      </c>
      <c r="M74" s="73">
        <v>22.533000000000001</v>
      </c>
      <c r="N74" s="104">
        <v>22.533000000000001</v>
      </c>
      <c r="O74" s="57">
        <v>7000</v>
      </c>
      <c r="P74" s="58">
        <f t="shared" si="1"/>
        <v>157731</v>
      </c>
    </row>
    <row r="75" spans="1:16" ht="28.5" customHeight="1" x14ac:dyDescent="0.2">
      <c r="A75" s="100"/>
      <c r="B75" s="100"/>
      <c r="C75" s="65" t="s">
        <v>1198</v>
      </c>
      <c r="D75" s="70" t="s">
        <v>57</v>
      </c>
      <c r="E75" s="12">
        <v>44538</v>
      </c>
      <c r="F75" s="68" t="s">
        <v>71</v>
      </c>
      <c r="G75" s="12">
        <v>44543</v>
      </c>
      <c r="H75" s="69" t="s">
        <v>903</v>
      </c>
      <c r="I75" s="15">
        <v>85</v>
      </c>
      <c r="J75" s="15">
        <v>64</v>
      </c>
      <c r="K75" s="15">
        <v>32</v>
      </c>
      <c r="L75" s="15">
        <v>20</v>
      </c>
      <c r="M75" s="73">
        <v>43.52</v>
      </c>
      <c r="N75" s="104">
        <v>43.52</v>
      </c>
      <c r="O75" s="57">
        <v>7000</v>
      </c>
      <c r="P75" s="58">
        <f t="shared" si="1"/>
        <v>304640</v>
      </c>
    </row>
    <row r="76" spans="1:16" ht="28.5" customHeight="1" x14ac:dyDescent="0.2">
      <c r="A76" s="100"/>
      <c r="B76" s="100"/>
      <c r="C76" s="65" t="s">
        <v>1199</v>
      </c>
      <c r="D76" s="70" t="s">
        <v>57</v>
      </c>
      <c r="E76" s="12">
        <v>44538</v>
      </c>
      <c r="F76" s="68" t="s">
        <v>71</v>
      </c>
      <c r="G76" s="12">
        <v>44543</v>
      </c>
      <c r="H76" s="69" t="s">
        <v>903</v>
      </c>
      <c r="I76" s="15">
        <v>72</v>
      </c>
      <c r="J76" s="15">
        <v>41</v>
      </c>
      <c r="K76" s="15">
        <v>21</v>
      </c>
      <c r="L76" s="15">
        <v>6</v>
      </c>
      <c r="M76" s="73">
        <v>15.497999999999999</v>
      </c>
      <c r="N76" s="104">
        <v>16</v>
      </c>
      <c r="O76" s="57">
        <v>7000</v>
      </c>
      <c r="P76" s="58">
        <f t="shared" si="1"/>
        <v>112000</v>
      </c>
    </row>
    <row r="77" spans="1:16" ht="28.5" customHeight="1" x14ac:dyDescent="0.2">
      <c r="A77" s="100"/>
      <c r="B77" s="100"/>
      <c r="C77" s="65" t="s">
        <v>1200</v>
      </c>
      <c r="D77" s="70" t="s">
        <v>57</v>
      </c>
      <c r="E77" s="12">
        <v>44538</v>
      </c>
      <c r="F77" s="68" t="s">
        <v>71</v>
      </c>
      <c r="G77" s="12">
        <v>44543</v>
      </c>
      <c r="H77" s="69" t="s">
        <v>903</v>
      </c>
      <c r="I77" s="15">
        <v>105</v>
      </c>
      <c r="J77" s="15">
        <v>62</v>
      </c>
      <c r="K77" s="15">
        <v>33</v>
      </c>
      <c r="L77" s="15">
        <v>27</v>
      </c>
      <c r="M77" s="73">
        <v>53.707500000000003</v>
      </c>
      <c r="N77" s="104">
        <v>53.707500000000003</v>
      </c>
      <c r="O77" s="57">
        <v>7000</v>
      </c>
      <c r="P77" s="58">
        <f t="shared" si="1"/>
        <v>375952.5</v>
      </c>
    </row>
    <row r="78" spans="1:16" ht="28.5" customHeight="1" x14ac:dyDescent="0.2">
      <c r="A78" s="100"/>
      <c r="B78" s="100"/>
      <c r="C78" s="65" t="s">
        <v>1201</v>
      </c>
      <c r="D78" s="70" t="s">
        <v>57</v>
      </c>
      <c r="E78" s="12">
        <v>44538</v>
      </c>
      <c r="F78" s="68" t="s">
        <v>71</v>
      </c>
      <c r="G78" s="12">
        <v>44543</v>
      </c>
      <c r="H78" s="69" t="s">
        <v>903</v>
      </c>
      <c r="I78" s="15">
        <v>88</v>
      </c>
      <c r="J78" s="15">
        <v>21</v>
      </c>
      <c r="K78" s="15">
        <v>16</v>
      </c>
      <c r="L78" s="15">
        <v>2</v>
      </c>
      <c r="M78" s="73">
        <v>7.3920000000000003</v>
      </c>
      <c r="N78" s="104">
        <v>8</v>
      </c>
      <c r="O78" s="57">
        <v>7000</v>
      </c>
      <c r="P78" s="58">
        <f t="shared" si="1"/>
        <v>56000</v>
      </c>
    </row>
    <row r="79" spans="1:16" ht="28.5" customHeight="1" x14ac:dyDescent="0.2">
      <c r="A79" s="100"/>
      <c r="B79" s="100"/>
      <c r="C79" s="65" t="s">
        <v>1202</v>
      </c>
      <c r="D79" s="70" t="s">
        <v>57</v>
      </c>
      <c r="E79" s="12">
        <v>44538</v>
      </c>
      <c r="F79" s="68" t="s">
        <v>71</v>
      </c>
      <c r="G79" s="12">
        <v>44543</v>
      </c>
      <c r="H79" s="69" t="s">
        <v>903</v>
      </c>
      <c r="I79" s="15">
        <v>97</v>
      </c>
      <c r="J79" s="15">
        <v>52</v>
      </c>
      <c r="K79" s="15">
        <v>35</v>
      </c>
      <c r="L79" s="15">
        <v>15</v>
      </c>
      <c r="M79" s="73">
        <v>44.134999999999998</v>
      </c>
      <c r="N79" s="104">
        <v>44.134999999999998</v>
      </c>
      <c r="O79" s="57">
        <v>7000</v>
      </c>
      <c r="P79" s="58">
        <f t="shared" si="1"/>
        <v>308945</v>
      </c>
    </row>
    <row r="80" spans="1:16" ht="28.5" customHeight="1" x14ac:dyDescent="0.2">
      <c r="A80" s="100"/>
      <c r="B80" s="100"/>
      <c r="C80" s="65" t="s">
        <v>1203</v>
      </c>
      <c r="D80" s="70" t="s">
        <v>57</v>
      </c>
      <c r="E80" s="12">
        <v>44538</v>
      </c>
      <c r="F80" s="68" t="s">
        <v>71</v>
      </c>
      <c r="G80" s="12">
        <v>44543</v>
      </c>
      <c r="H80" s="69" t="s">
        <v>903</v>
      </c>
      <c r="I80" s="15">
        <v>53</v>
      </c>
      <c r="J80" s="15">
        <v>42</v>
      </c>
      <c r="K80" s="15">
        <v>34</v>
      </c>
      <c r="L80" s="15">
        <v>6</v>
      </c>
      <c r="M80" s="73">
        <v>18.920999999999999</v>
      </c>
      <c r="N80" s="104">
        <v>18.920999999999999</v>
      </c>
      <c r="O80" s="57">
        <v>7000</v>
      </c>
      <c r="P80" s="58">
        <f t="shared" si="1"/>
        <v>132447</v>
      </c>
    </row>
    <row r="81" spans="1:16" ht="28.5" customHeight="1" x14ac:dyDescent="0.2">
      <c r="A81" s="100"/>
      <c r="B81" s="100"/>
      <c r="C81" s="65" t="s">
        <v>1204</v>
      </c>
      <c r="D81" s="70" t="s">
        <v>57</v>
      </c>
      <c r="E81" s="12">
        <v>44538</v>
      </c>
      <c r="F81" s="68" t="s">
        <v>71</v>
      </c>
      <c r="G81" s="12">
        <v>44543</v>
      </c>
      <c r="H81" s="69" t="s">
        <v>903</v>
      </c>
      <c r="I81" s="15">
        <v>122</v>
      </c>
      <c r="J81" s="15">
        <v>18</v>
      </c>
      <c r="K81" s="15">
        <v>10</v>
      </c>
      <c r="L81" s="15">
        <v>4</v>
      </c>
      <c r="M81" s="73">
        <v>5.49</v>
      </c>
      <c r="N81" s="104">
        <v>6</v>
      </c>
      <c r="O81" s="57">
        <v>7000</v>
      </c>
      <c r="P81" s="58">
        <f t="shared" si="1"/>
        <v>42000</v>
      </c>
    </row>
    <row r="82" spans="1:16" ht="28.5" customHeight="1" x14ac:dyDescent="0.2">
      <c r="A82" s="100"/>
      <c r="B82" s="100"/>
      <c r="C82" s="65" t="s">
        <v>1205</v>
      </c>
      <c r="D82" s="70" t="s">
        <v>57</v>
      </c>
      <c r="E82" s="12">
        <v>44538</v>
      </c>
      <c r="F82" s="68" t="s">
        <v>71</v>
      </c>
      <c r="G82" s="12">
        <v>44543</v>
      </c>
      <c r="H82" s="69" t="s">
        <v>903</v>
      </c>
      <c r="I82" s="15">
        <v>96</v>
      </c>
      <c r="J82" s="15">
        <v>41</v>
      </c>
      <c r="K82" s="15">
        <v>12</v>
      </c>
      <c r="L82" s="15">
        <v>7</v>
      </c>
      <c r="M82" s="73">
        <v>11.808</v>
      </c>
      <c r="N82" s="104">
        <v>11.808</v>
      </c>
      <c r="O82" s="57">
        <v>7000</v>
      </c>
      <c r="P82" s="58">
        <f t="shared" si="1"/>
        <v>82656</v>
      </c>
    </row>
    <row r="83" spans="1:16" ht="28.5" customHeight="1" x14ac:dyDescent="0.2">
      <c r="A83" s="100"/>
      <c r="B83" s="100"/>
      <c r="C83" s="65" t="s">
        <v>1206</v>
      </c>
      <c r="D83" s="70" t="s">
        <v>57</v>
      </c>
      <c r="E83" s="12">
        <v>44538</v>
      </c>
      <c r="F83" s="68" t="s">
        <v>71</v>
      </c>
      <c r="G83" s="12">
        <v>44543</v>
      </c>
      <c r="H83" s="69" t="s">
        <v>903</v>
      </c>
      <c r="I83" s="15">
        <v>82</v>
      </c>
      <c r="J83" s="15">
        <v>31</v>
      </c>
      <c r="K83" s="15">
        <v>14</v>
      </c>
      <c r="L83" s="15">
        <v>5</v>
      </c>
      <c r="M83" s="73">
        <v>8.8970000000000002</v>
      </c>
      <c r="N83" s="104">
        <v>8.8970000000000002</v>
      </c>
      <c r="O83" s="57">
        <v>7000</v>
      </c>
      <c r="P83" s="58">
        <f t="shared" si="1"/>
        <v>62279</v>
      </c>
    </row>
    <row r="84" spans="1:16" ht="28.5" customHeight="1" x14ac:dyDescent="0.2">
      <c r="A84" s="100"/>
      <c r="B84" s="100"/>
      <c r="C84" s="65" t="s">
        <v>1207</v>
      </c>
      <c r="D84" s="70" t="s">
        <v>57</v>
      </c>
      <c r="E84" s="12">
        <v>44538</v>
      </c>
      <c r="F84" s="68" t="s">
        <v>71</v>
      </c>
      <c r="G84" s="12">
        <v>44543</v>
      </c>
      <c r="H84" s="69" t="s">
        <v>903</v>
      </c>
      <c r="I84" s="15">
        <v>46</v>
      </c>
      <c r="J84" s="15">
        <v>26</v>
      </c>
      <c r="K84" s="15">
        <v>25</v>
      </c>
      <c r="L84" s="15">
        <v>2</v>
      </c>
      <c r="M84" s="73">
        <v>7.4749999999999996</v>
      </c>
      <c r="N84" s="104">
        <v>8</v>
      </c>
      <c r="O84" s="57">
        <v>7000</v>
      </c>
      <c r="P84" s="58">
        <f t="shared" si="1"/>
        <v>56000</v>
      </c>
    </row>
    <row r="85" spans="1:16" ht="28.5" customHeight="1" x14ac:dyDescent="0.2">
      <c r="A85" s="100"/>
      <c r="B85" s="100"/>
      <c r="C85" s="65" t="s">
        <v>1208</v>
      </c>
      <c r="D85" s="70" t="s">
        <v>57</v>
      </c>
      <c r="E85" s="12">
        <v>44538</v>
      </c>
      <c r="F85" s="68" t="s">
        <v>71</v>
      </c>
      <c r="G85" s="12">
        <v>44543</v>
      </c>
      <c r="H85" s="69" t="s">
        <v>903</v>
      </c>
      <c r="I85" s="15">
        <v>94</v>
      </c>
      <c r="J85" s="15">
        <v>34</v>
      </c>
      <c r="K85" s="15">
        <v>22</v>
      </c>
      <c r="L85" s="15">
        <v>10</v>
      </c>
      <c r="M85" s="73">
        <v>17.577999999999999</v>
      </c>
      <c r="N85" s="104">
        <v>17.577999999999999</v>
      </c>
      <c r="O85" s="57">
        <v>7000</v>
      </c>
      <c r="P85" s="58">
        <f t="shared" si="1"/>
        <v>123046</v>
      </c>
    </row>
    <row r="86" spans="1:16" ht="28.5" customHeight="1" x14ac:dyDescent="0.2">
      <c r="A86" s="100"/>
      <c r="B86" s="100"/>
      <c r="C86" s="65" t="s">
        <v>1209</v>
      </c>
      <c r="D86" s="70" t="s">
        <v>57</v>
      </c>
      <c r="E86" s="12">
        <v>44538</v>
      </c>
      <c r="F86" s="68" t="s">
        <v>71</v>
      </c>
      <c r="G86" s="12">
        <v>44543</v>
      </c>
      <c r="H86" s="69" t="s">
        <v>903</v>
      </c>
      <c r="I86" s="15">
        <v>45</v>
      </c>
      <c r="J86" s="15">
        <v>25</v>
      </c>
      <c r="K86" s="15">
        <v>18</v>
      </c>
      <c r="L86" s="15">
        <v>9</v>
      </c>
      <c r="M86" s="73">
        <v>5.0625</v>
      </c>
      <c r="N86" s="104">
        <v>9</v>
      </c>
      <c r="O86" s="57">
        <v>7000</v>
      </c>
      <c r="P86" s="58">
        <f t="shared" si="1"/>
        <v>63000</v>
      </c>
    </row>
    <row r="87" spans="1:16" ht="28.5" customHeight="1" x14ac:dyDescent="0.2">
      <c r="A87" s="100"/>
      <c r="B87" s="100"/>
      <c r="C87" s="65" t="s">
        <v>1210</v>
      </c>
      <c r="D87" s="70" t="s">
        <v>57</v>
      </c>
      <c r="E87" s="12">
        <v>44538</v>
      </c>
      <c r="F87" s="68" t="s">
        <v>71</v>
      </c>
      <c r="G87" s="12">
        <v>44543</v>
      </c>
      <c r="H87" s="69" t="s">
        <v>903</v>
      </c>
      <c r="I87" s="15">
        <v>55</v>
      </c>
      <c r="J87" s="15">
        <v>34</v>
      </c>
      <c r="K87" s="15">
        <v>48</v>
      </c>
      <c r="L87" s="15">
        <v>17</v>
      </c>
      <c r="M87" s="73">
        <v>22.44</v>
      </c>
      <c r="N87" s="104">
        <v>23</v>
      </c>
      <c r="O87" s="57">
        <v>7000</v>
      </c>
      <c r="P87" s="58">
        <f t="shared" si="1"/>
        <v>161000</v>
      </c>
    </row>
    <row r="88" spans="1:16" ht="28.5" customHeight="1" x14ac:dyDescent="0.2">
      <c r="A88" s="100"/>
      <c r="B88" s="100"/>
      <c r="C88" s="65" t="s">
        <v>1211</v>
      </c>
      <c r="D88" s="70" t="s">
        <v>57</v>
      </c>
      <c r="E88" s="12">
        <v>44538</v>
      </c>
      <c r="F88" s="68" t="s">
        <v>71</v>
      </c>
      <c r="G88" s="12">
        <v>44543</v>
      </c>
      <c r="H88" s="69" t="s">
        <v>903</v>
      </c>
      <c r="I88" s="15">
        <v>102</v>
      </c>
      <c r="J88" s="15">
        <v>64</v>
      </c>
      <c r="K88" s="15">
        <v>32</v>
      </c>
      <c r="L88" s="15">
        <v>21</v>
      </c>
      <c r="M88" s="73">
        <v>52.223999999999997</v>
      </c>
      <c r="N88" s="104">
        <v>52.223999999999997</v>
      </c>
      <c r="O88" s="57">
        <v>7000</v>
      </c>
      <c r="P88" s="58">
        <f t="shared" si="1"/>
        <v>365568</v>
      </c>
    </row>
    <row r="89" spans="1:16" ht="28.5" customHeight="1" x14ac:dyDescent="0.2">
      <c r="A89" s="100"/>
      <c r="B89" s="100"/>
      <c r="C89" s="65" t="s">
        <v>1212</v>
      </c>
      <c r="D89" s="70" t="s">
        <v>57</v>
      </c>
      <c r="E89" s="12">
        <v>44538</v>
      </c>
      <c r="F89" s="68" t="s">
        <v>71</v>
      </c>
      <c r="G89" s="12">
        <v>44543</v>
      </c>
      <c r="H89" s="69" t="s">
        <v>903</v>
      </c>
      <c r="I89" s="15">
        <v>70</v>
      </c>
      <c r="J89" s="15">
        <v>25</v>
      </c>
      <c r="K89" s="15">
        <v>18</v>
      </c>
      <c r="L89" s="15">
        <v>4</v>
      </c>
      <c r="M89" s="73">
        <v>7.875</v>
      </c>
      <c r="N89" s="104">
        <v>7.875</v>
      </c>
      <c r="O89" s="57">
        <v>7000</v>
      </c>
      <c r="P89" s="58">
        <f t="shared" si="1"/>
        <v>55125</v>
      </c>
    </row>
    <row r="90" spans="1:16" ht="28.5" customHeight="1" x14ac:dyDescent="0.2">
      <c r="A90" s="100"/>
      <c r="B90" s="100"/>
      <c r="C90" s="65" t="s">
        <v>1213</v>
      </c>
      <c r="D90" s="70" t="s">
        <v>57</v>
      </c>
      <c r="E90" s="12">
        <v>44538</v>
      </c>
      <c r="F90" s="68" t="s">
        <v>71</v>
      </c>
      <c r="G90" s="12">
        <v>44543</v>
      </c>
      <c r="H90" s="69" t="s">
        <v>903</v>
      </c>
      <c r="I90" s="15">
        <v>43</v>
      </c>
      <c r="J90" s="15">
        <v>37</v>
      </c>
      <c r="K90" s="15">
        <v>30</v>
      </c>
      <c r="L90" s="15">
        <v>9</v>
      </c>
      <c r="M90" s="73">
        <v>11.932499999999999</v>
      </c>
      <c r="N90" s="104">
        <v>11.932499999999999</v>
      </c>
      <c r="O90" s="57">
        <v>7000</v>
      </c>
      <c r="P90" s="58">
        <f t="shared" si="1"/>
        <v>83527.5</v>
      </c>
    </row>
    <row r="91" spans="1:16" ht="28.5" customHeight="1" x14ac:dyDescent="0.2">
      <c r="A91" s="100"/>
      <c r="B91" s="100"/>
      <c r="C91" s="65" t="s">
        <v>1214</v>
      </c>
      <c r="D91" s="70" t="s">
        <v>57</v>
      </c>
      <c r="E91" s="12">
        <v>44538</v>
      </c>
      <c r="F91" s="68" t="s">
        <v>71</v>
      </c>
      <c r="G91" s="12">
        <v>44543</v>
      </c>
      <c r="H91" s="69" t="s">
        <v>903</v>
      </c>
      <c r="I91" s="15">
        <v>77</v>
      </c>
      <c r="J91" s="15">
        <v>66</v>
      </c>
      <c r="K91" s="15">
        <v>23</v>
      </c>
      <c r="L91" s="15">
        <v>15</v>
      </c>
      <c r="M91" s="73">
        <v>29.221499999999999</v>
      </c>
      <c r="N91" s="104">
        <v>29.221499999999999</v>
      </c>
      <c r="O91" s="57">
        <v>7000</v>
      </c>
      <c r="P91" s="58">
        <f t="shared" si="1"/>
        <v>204550.5</v>
      </c>
    </row>
    <row r="92" spans="1:16" ht="28.5" customHeight="1" x14ac:dyDescent="0.2">
      <c r="A92" s="100"/>
      <c r="B92" s="100"/>
      <c r="C92" s="65" t="s">
        <v>1215</v>
      </c>
      <c r="D92" s="70" t="s">
        <v>57</v>
      </c>
      <c r="E92" s="12">
        <v>44538</v>
      </c>
      <c r="F92" s="68" t="s">
        <v>71</v>
      </c>
      <c r="G92" s="12">
        <v>44543</v>
      </c>
      <c r="H92" s="69" t="s">
        <v>903</v>
      </c>
      <c r="I92" s="15">
        <v>46</v>
      </c>
      <c r="J92" s="15">
        <v>35</v>
      </c>
      <c r="K92" s="15">
        <v>33</v>
      </c>
      <c r="L92" s="15">
        <v>8</v>
      </c>
      <c r="M92" s="73">
        <v>13.282500000000001</v>
      </c>
      <c r="N92" s="104">
        <v>13.282500000000001</v>
      </c>
      <c r="O92" s="57">
        <v>7000</v>
      </c>
      <c r="P92" s="58">
        <f t="shared" si="1"/>
        <v>92977.5</v>
      </c>
    </row>
    <row r="93" spans="1:16" ht="28.5" customHeight="1" x14ac:dyDescent="0.2">
      <c r="A93" s="100"/>
      <c r="B93" s="100"/>
      <c r="C93" s="65" t="s">
        <v>1216</v>
      </c>
      <c r="D93" s="70" t="s">
        <v>57</v>
      </c>
      <c r="E93" s="12">
        <v>44538</v>
      </c>
      <c r="F93" s="68" t="s">
        <v>71</v>
      </c>
      <c r="G93" s="12">
        <v>44543</v>
      </c>
      <c r="H93" s="69" t="s">
        <v>903</v>
      </c>
      <c r="I93" s="15">
        <v>54</v>
      </c>
      <c r="J93" s="15">
        <v>30</v>
      </c>
      <c r="K93" s="15">
        <v>32</v>
      </c>
      <c r="L93" s="15">
        <v>11</v>
      </c>
      <c r="M93" s="73">
        <v>12.96</v>
      </c>
      <c r="N93" s="104">
        <v>12.96</v>
      </c>
      <c r="O93" s="57">
        <v>7000</v>
      </c>
      <c r="P93" s="58">
        <f t="shared" si="1"/>
        <v>90720</v>
      </c>
    </row>
    <row r="94" spans="1:16" ht="28.5" customHeight="1" x14ac:dyDescent="0.2">
      <c r="A94" s="100"/>
      <c r="B94" s="100"/>
      <c r="C94" s="65" t="s">
        <v>1217</v>
      </c>
      <c r="D94" s="70" t="s">
        <v>57</v>
      </c>
      <c r="E94" s="12">
        <v>44538</v>
      </c>
      <c r="F94" s="68" t="s">
        <v>71</v>
      </c>
      <c r="G94" s="12">
        <v>44543</v>
      </c>
      <c r="H94" s="69" t="s">
        <v>903</v>
      </c>
      <c r="I94" s="15">
        <v>51</v>
      </c>
      <c r="J94" s="15">
        <v>31</v>
      </c>
      <c r="K94" s="15">
        <v>36</v>
      </c>
      <c r="L94" s="15">
        <v>14</v>
      </c>
      <c r="M94" s="73">
        <v>14.228999999999999</v>
      </c>
      <c r="N94" s="104">
        <v>14.228999999999999</v>
      </c>
      <c r="O94" s="57">
        <v>7000</v>
      </c>
      <c r="P94" s="58">
        <f t="shared" si="1"/>
        <v>99603</v>
      </c>
    </row>
    <row r="95" spans="1:16" ht="28.5" customHeight="1" x14ac:dyDescent="0.2">
      <c r="A95" s="100"/>
      <c r="B95" s="100"/>
      <c r="C95" s="65" t="s">
        <v>1218</v>
      </c>
      <c r="D95" s="70" t="s">
        <v>57</v>
      </c>
      <c r="E95" s="12">
        <v>44538</v>
      </c>
      <c r="F95" s="68" t="s">
        <v>71</v>
      </c>
      <c r="G95" s="12">
        <v>44543</v>
      </c>
      <c r="H95" s="69" t="s">
        <v>903</v>
      </c>
      <c r="I95" s="15">
        <v>94</v>
      </c>
      <c r="J95" s="15">
        <v>12</v>
      </c>
      <c r="K95" s="15">
        <v>8</v>
      </c>
      <c r="L95" s="15">
        <v>2</v>
      </c>
      <c r="M95" s="73">
        <v>2.2559999999999998</v>
      </c>
      <c r="N95" s="104">
        <v>2.2559999999999998</v>
      </c>
      <c r="O95" s="57">
        <v>7000</v>
      </c>
      <c r="P95" s="58">
        <f t="shared" si="1"/>
        <v>15791.999999999998</v>
      </c>
    </row>
    <row r="96" spans="1:16" ht="28.5" customHeight="1" x14ac:dyDescent="0.2">
      <c r="A96" s="100"/>
      <c r="B96" s="100"/>
      <c r="C96" s="65" t="s">
        <v>1219</v>
      </c>
      <c r="D96" s="70" t="s">
        <v>57</v>
      </c>
      <c r="E96" s="12">
        <v>44538</v>
      </c>
      <c r="F96" s="68" t="s">
        <v>71</v>
      </c>
      <c r="G96" s="12">
        <v>44543</v>
      </c>
      <c r="H96" s="69" t="s">
        <v>903</v>
      </c>
      <c r="I96" s="15">
        <v>57</v>
      </c>
      <c r="J96" s="15">
        <v>30</v>
      </c>
      <c r="K96" s="15">
        <v>22</v>
      </c>
      <c r="L96" s="15">
        <v>6</v>
      </c>
      <c r="M96" s="73">
        <v>9.4049999999999994</v>
      </c>
      <c r="N96" s="104">
        <v>10</v>
      </c>
      <c r="O96" s="57">
        <v>7000</v>
      </c>
      <c r="P96" s="58">
        <f t="shared" si="1"/>
        <v>70000</v>
      </c>
    </row>
    <row r="97" spans="1:16" ht="28.5" customHeight="1" x14ac:dyDescent="0.2">
      <c r="A97" s="100"/>
      <c r="B97" s="100"/>
      <c r="C97" s="65" t="s">
        <v>1220</v>
      </c>
      <c r="D97" s="70" t="s">
        <v>57</v>
      </c>
      <c r="E97" s="12">
        <v>44538</v>
      </c>
      <c r="F97" s="68" t="s">
        <v>71</v>
      </c>
      <c r="G97" s="12">
        <v>44543</v>
      </c>
      <c r="H97" s="69" t="s">
        <v>903</v>
      </c>
      <c r="I97" s="15">
        <v>92</v>
      </c>
      <c r="J97" s="15">
        <v>31</v>
      </c>
      <c r="K97" s="15">
        <v>25</v>
      </c>
      <c r="L97" s="15">
        <v>4</v>
      </c>
      <c r="M97" s="73">
        <v>17.824999999999999</v>
      </c>
      <c r="N97" s="104">
        <v>17.824999999999999</v>
      </c>
      <c r="O97" s="57">
        <v>7000</v>
      </c>
      <c r="P97" s="58">
        <f t="shared" si="1"/>
        <v>124775</v>
      </c>
    </row>
    <row r="98" spans="1:16" ht="28.5" customHeight="1" x14ac:dyDescent="0.2">
      <c r="A98" s="100"/>
      <c r="B98" s="100"/>
      <c r="C98" s="65" t="s">
        <v>1221</v>
      </c>
      <c r="D98" s="70" t="s">
        <v>57</v>
      </c>
      <c r="E98" s="12">
        <v>44538</v>
      </c>
      <c r="F98" s="68" t="s">
        <v>71</v>
      </c>
      <c r="G98" s="12">
        <v>44543</v>
      </c>
      <c r="H98" s="69" t="s">
        <v>903</v>
      </c>
      <c r="I98" s="15">
        <v>107</v>
      </c>
      <c r="J98" s="15">
        <v>25</v>
      </c>
      <c r="K98" s="15">
        <v>14</v>
      </c>
      <c r="L98" s="15">
        <v>16</v>
      </c>
      <c r="M98" s="73">
        <v>9.3625000000000007</v>
      </c>
      <c r="N98" s="104">
        <v>17</v>
      </c>
      <c r="O98" s="57">
        <v>7000</v>
      </c>
      <c r="P98" s="58">
        <f t="shared" si="1"/>
        <v>119000</v>
      </c>
    </row>
    <row r="99" spans="1:16" ht="28.5" customHeight="1" x14ac:dyDescent="0.2">
      <c r="A99" s="100"/>
      <c r="B99" s="100"/>
      <c r="C99" s="65" t="s">
        <v>1222</v>
      </c>
      <c r="D99" s="70" t="s">
        <v>57</v>
      </c>
      <c r="E99" s="12">
        <v>44538</v>
      </c>
      <c r="F99" s="68" t="s">
        <v>71</v>
      </c>
      <c r="G99" s="12">
        <v>44543</v>
      </c>
      <c r="H99" s="69" t="s">
        <v>903</v>
      </c>
      <c r="I99" s="15">
        <v>93</v>
      </c>
      <c r="J99" s="15">
        <v>52</v>
      </c>
      <c r="K99" s="15">
        <v>30</v>
      </c>
      <c r="L99" s="15">
        <v>11</v>
      </c>
      <c r="M99" s="73">
        <v>36.270000000000003</v>
      </c>
      <c r="N99" s="104">
        <v>36.270000000000003</v>
      </c>
      <c r="O99" s="57">
        <v>7000</v>
      </c>
      <c r="P99" s="58">
        <f t="shared" si="1"/>
        <v>253890.00000000003</v>
      </c>
    </row>
    <row r="100" spans="1:16" ht="28.5" customHeight="1" x14ac:dyDescent="0.2">
      <c r="A100" s="100"/>
      <c r="B100" s="100"/>
      <c r="C100" s="65" t="s">
        <v>1223</v>
      </c>
      <c r="D100" s="70" t="s">
        <v>57</v>
      </c>
      <c r="E100" s="12">
        <v>44538</v>
      </c>
      <c r="F100" s="68" t="s">
        <v>71</v>
      </c>
      <c r="G100" s="12">
        <v>44543</v>
      </c>
      <c r="H100" s="69" t="s">
        <v>903</v>
      </c>
      <c r="I100" s="15">
        <v>61</v>
      </c>
      <c r="J100" s="15">
        <v>58</v>
      </c>
      <c r="K100" s="15">
        <v>21</v>
      </c>
      <c r="L100" s="15">
        <v>6</v>
      </c>
      <c r="M100" s="73">
        <v>18.5745</v>
      </c>
      <c r="N100" s="104">
        <v>18.5745</v>
      </c>
      <c r="O100" s="57">
        <v>7000</v>
      </c>
      <c r="P100" s="58">
        <f t="shared" si="1"/>
        <v>130021.5</v>
      </c>
    </row>
    <row r="101" spans="1:16" ht="28.5" customHeight="1" x14ac:dyDescent="0.2">
      <c r="A101" s="100"/>
      <c r="B101" s="100"/>
      <c r="C101" s="65" t="s">
        <v>1224</v>
      </c>
      <c r="D101" s="70" t="s">
        <v>57</v>
      </c>
      <c r="E101" s="12">
        <v>44538</v>
      </c>
      <c r="F101" s="68" t="s">
        <v>71</v>
      </c>
      <c r="G101" s="12">
        <v>44543</v>
      </c>
      <c r="H101" s="69" t="s">
        <v>903</v>
      </c>
      <c r="I101" s="15">
        <v>63</v>
      </c>
      <c r="J101" s="15">
        <v>51</v>
      </c>
      <c r="K101" s="15">
        <v>15</v>
      </c>
      <c r="L101" s="15">
        <v>11</v>
      </c>
      <c r="M101" s="73">
        <v>12.04875</v>
      </c>
      <c r="N101" s="104">
        <v>12.04875</v>
      </c>
      <c r="O101" s="57">
        <v>7000</v>
      </c>
      <c r="P101" s="58">
        <f t="shared" si="1"/>
        <v>84341.25</v>
      </c>
    </row>
    <row r="102" spans="1:16" ht="28.5" customHeight="1" x14ac:dyDescent="0.2">
      <c r="A102" s="100"/>
      <c r="B102" s="100"/>
      <c r="C102" s="65" t="s">
        <v>1225</v>
      </c>
      <c r="D102" s="70" t="s">
        <v>57</v>
      </c>
      <c r="E102" s="12">
        <v>44538</v>
      </c>
      <c r="F102" s="68" t="s">
        <v>71</v>
      </c>
      <c r="G102" s="12">
        <v>44543</v>
      </c>
      <c r="H102" s="69" t="s">
        <v>903</v>
      </c>
      <c r="I102" s="15">
        <v>98</v>
      </c>
      <c r="J102" s="15">
        <v>10</v>
      </c>
      <c r="K102" s="15">
        <v>10</v>
      </c>
      <c r="L102" s="15">
        <v>2</v>
      </c>
      <c r="M102" s="73">
        <v>2.4500000000000002</v>
      </c>
      <c r="N102" s="104">
        <v>3</v>
      </c>
      <c r="O102" s="57">
        <v>7000</v>
      </c>
      <c r="P102" s="58">
        <f t="shared" si="1"/>
        <v>21000</v>
      </c>
    </row>
    <row r="103" spans="1:16" ht="28.5" customHeight="1" x14ac:dyDescent="0.2">
      <c r="A103" s="100"/>
      <c r="B103" s="100"/>
      <c r="C103" s="65" t="s">
        <v>1226</v>
      </c>
      <c r="D103" s="70" t="s">
        <v>57</v>
      </c>
      <c r="E103" s="12">
        <v>44538</v>
      </c>
      <c r="F103" s="68" t="s">
        <v>71</v>
      </c>
      <c r="G103" s="12">
        <v>44543</v>
      </c>
      <c r="H103" s="69" t="s">
        <v>903</v>
      </c>
      <c r="I103" s="15">
        <v>52</v>
      </c>
      <c r="J103" s="15">
        <v>42</v>
      </c>
      <c r="K103" s="15">
        <v>27</v>
      </c>
      <c r="L103" s="15">
        <v>27</v>
      </c>
      <c r="M103" s="73">
        <v>14.742000000000001</v>
      </c>
      <c r="N103" s="104">
        <v>27</v>
      </c>
      <c r="O103" s="57">
        <v>7000</v>
      </c>
      <c r="P103" s="58">
        <f t="shared" si="1"/>
        <v>189000</v>
      </c>
    </row>
    <row r="104" spans="1:16" ht="28.5" customHeight="1" x14ac:dyDescent="0.2">
      <c r="A104" s="100"/>
      <c r="B104" s="100"/>
      <c r="C104" s="65" t="s">
        <v>1227</v>
      </c>
      <c r="D104" s="70" t="s">
        <v>57</v>
      </c>
      <c r="E104" s="12">
        <v>44538</v>
      </c>
      <c r="F104" s="68" t="s">
        <v>71</v>
      </c>
      <c r="G104" s="12">
        <v>44543</v>
      </c>
      <c r="H104" s="69" t="s">
        <v>903</v>
      </c>
      <c r="I104" s="15">
        <v>32</v>
      </c>
      <c r="J104" s="15">
        <v>32</v>
      </c>
      <c r="K104" s="15">
        <v>28</v>
      </c>
      <c r="L104" s="15">
        <v>6</v>
      </c>
      <c r="M104" s="73">
        <v>7.1680000000000001</v>
      </c>
      <c r="N104" s="104">
        <v>7.1680000000000001</v>
      </c>
      <c r="O104" s="57">
        <v>7000</v>
      </c>
      <c r="P104" s="58">
        <f t="shared" si="1"/>
        <v>50176</v>
      </c>
    </row>
    <row r="105" spans="1:16" ht="28.5" customHeight="1" x14ac:dyDescent="0.2">
      <c r="A105" s="100"/>
      <c r="B105" s="100"/>
      <c r="C105" s="65" t="s">
        <v>1228</v>
      </c>
      <c r="D105" s="70" t="s">
        <v>57</v>
      </c>
      <c r="E105" s="12">
        <v>44538</v>
      </c>
      <c r="F105" s="68" t="s">
        <v>71</v>
      </c>
      <c r="G105" s="12">
        <v>44543</v>
      </c>
      <c r="H105" s="69" t="s">
        <v>903</v>
      </c>
      <c r="I105" s="15">
        <v>36</v>
      </c>
      <c r="J105" s="15">
        <v>30</v>
      </c>
      <c r="K105" s="15">
        <v>34</v>
      </c>
      <c r="L105" s="15">
        <v>6</v>
      </c>
      <c r="M105" s="73">
        <v>9.18</v>
      </c>
      <c r="N105" s="104">
        <v>9.18</v>
      </c>
      <c r="O105" s="57">
        <v>7000</v>
      </c>
      <c r="P105" s="58">
        <f t="shared" si="1"/>
        <v>64260</v>
      </c>
    </row>
    <row r="106" spans="1:16" ht="28.5" customHeight="1" x14ac:dyDescent="0.2">
      <c r="A106" s="100"/>
      <c r="B106" s="100"/>
      <c r="C106" s="65" t="s">
        <v>1229</v>
      </c>
      <c r="D106" s="70" t="s">
        <v>57</v>
      </c>
      <c r="E106" s="12">
        <v>44538</v>
      </c>
      <c r="F106" s="68" t="s">
        <v>71</v>
      </c>
      <c r="G106" s="12">
        <v>44543</v>
      </c>
      <c r="H106" s="69" t="s">
        <v>903</v>
      </c>
      <c r="I106" s="15">
        <v>62</v>
      </c>
      <c r="J106" s="15">
        <v>58</v>
      </c>
      <c r="K106" s="15">
        <v>21</v>
      </c>
      <c r="L106" s="15">
        <v>5</v>
      </c>
      <c r="M106" s="73">
        <v>18.879000000000001</v>
      </c>
      <c r="N106" s="104">
        <v>18.879000000000001</v>
      </c>
      <c r="O106" s="57">
        <v>7000</v>
      </c>
      <c r="P106" s="58">
        <f t="shared" si="1"/>
        <v>132153</v>
      </c>
    </row>
    <row r="107" spans="1:16" ht="28.5" customHeight="1" x14ac:dyDescent="0.2">
      <c r="A107" s="100"/>
      <c r="B107" s="100"/>
      <c r="C107" s="65" t="s">
        <v>1230</v>
      </c>
      <c r="D107" s="70" t="s">
        <v>57</v>
      </c>
      <c r="E107" s="12">
        <v>44538</v>
      </c>
      <c r="F107" s="68" t="s">
        <v>71</v>
      </c>
      <c r="G107" s="12">
        <v>44543</v>
      </c>
      <c r="H107" s="69" t="s">
        <v>903</v>
      </c>
      <c r="I107" s="15">
        <v>46</v>
      </c>
      <c r="J107" s="15">
        <v>41</v>
      </c>
      <c r="K107" s="15">
        <v>18</v>
      </c>
      <c r="L107" s="15">
        <v>5</v>
      </c>
      <c r="M107" s="73">
        <v>8.4870000000000001</v>
      </c>
      <c r="N107" s="104">
        <v>9</v>
      </c>
      <c r="O107" s="57">
        <v>7000</v>
      </c>
      <c r="P107" s="58">
        <f t="shared" si="1"/>
        <v>63000</v>
      </c>
    </row>
    <row r="108" spans="1:16" ht="28.5" customHeight="1" x14ac:dyDescent="0.2">
      <c r="A108" s="100"/>
      <c r="B108" s="100"/>
      <c r="C108" s="65" t="s">
        <v>1231</v>
      </c>
      <c r="D108" s="70" t="s">
        <v>57</v>
      </c>
      <c r="E108" s="12">
        <v>44538</v>
      </c>
      <c r="F108" s="68" t="s">
        <v>71</v>
      </c>
      <c r="G108" s="12">
        <v>44543</v>
      </c>
      <c r="H108" s="69" t="s">
        <v>903</v>
      </c>
      <c r="I108" s="15">
        <v>36</v>
      </c>
      <c r="J108" s="15">
        <v>31</v>
      </c>
      <c r="K108" s="15">
        <v>12</v>
      </c>
      <c r="L108" s="15">
        <v>5</v>
      </c>
      <c r="M108" s="73">
        <v>3.3479999999999999</v>
      </c>
      <c r="N108" s="104">
        <v>6</v>
      </c>
      <c r="O108" s="57">
        <v>7000</v>
      </c>
      <c r="P108" s="58">
        <f t="shared" si="1"/>
        <v>42000</v>
      </c>
    </row>
    <row r="109" spans="1:16" ht="28.5" customHeight="1" x14ac:dyDescent="0.2">
      <c r="A109" s="100"/>
      <c r="B109" s="100"/>
      <c r="C109" s="65" t="s">
        <v>1232</v>
      </c>
      <c r="D109" s="70" t="s">
        <v>57</v>
      </c>
      <c r="E109" s="12">
        <v>44538</v>
      </c>
      <c r="F109" s="68" t="s">
        <v>71</v>
      </c>
      <c r="G109" s="12">
        <v>44543</v>
      </c>
      <c r="H109" s="69" t="s">
        <v>903</v>
      </c>
      <c r="I109" s="15">
        <v>67</v>
      </c>
      <c r="J109" s="15">
        <v>52</v>
      </c>
      <c r="K109" s="15">
        <v>20</v>
      </c>
      <c r="L109" s="15">
        <v>9</v>
      </c>
      <c r="M109" s="73">
        <v>17.420000000000002</v>
      </c>
      <c r="N109" s="104">
        <v>18</v>
      </c>
      <c r="O109" s="57">
        <v>7000</v>
      </c>
      <c r="P109" s="58">
        <f t="shared" si="1"/>
        <v>126000</v>
      </c>
    </row>
    <row r="110" spans="1:16" ht="28.5" customHeight="1" x14ac:dyDescent="0.2">
      <c r="A110" s="100"/>
      <c r="B110" s="100"/>
      <c r="C110" s="65" t="s">
        <v>1233</v>
      </c>
      <c r="D110" s="70" t="s">
        <v>57</v>
      </c>
      <c r="E110" s="12">
        <v>44538</v>
      </c>
      <c r="F110" s="68" t="s">
        <v>71</v>
      </c>
      <c r="G110" s="12">
        <v>44543</v>
      </c>
      <c r="H110" s="69" t="s">
        <v>903</v>
      </c>
      <c r="I110" s="15">
        <v>52</v>
      </c>
      <c r="J110" s="15">
        <v>52</v>
      </c>
      <c r="K110" s="15">
        <v>30</v>
      </c>
      <c r="L110" s="15">
        <v>25</v>
      </c>
      <c r="M110" s="73">
        <v>20.28</v>
      </c>
      <c r="N110" s="104">
        <v>25</v>
      </c>
      <c r="O110" s="57">
        <v>7000</v>
      </c>
      <c r="P110" s="58">
        <f t="shared" si="1"/>
        <v>175000</v>
      </c>
    </row>
    <row r="111" spans="1:16" ht="28.5" customHeight="1" x14ac:dyDescent="0.2">
      <c r="A111" s="100"/>
      <c r="B111" s="100"/>
      <c r="C111" s="65" t="s">
        <v>1234</v>
      </c>
      <c r="D111" s="70" t="s">
        <v>57</v>
      </c>
      <c r="E111" s="12">
        <v>44538</v>
      </c>
      <c r="F111" s="68" t="s">
        <v>71</v>
      </c>
      <c r="G111" s="12">
        <v>44543</v>
      </c>
      <c r="H111" s="69" t="s">
        <v>903</v>
      </c>
      <c r="I111" s="15">
        <v>64</v>
      </c>
      <c r="J111" s="15">
        <v>61</v>
      </c>
      <c r="K111" s="15">
        <v>19</v>
      </c>
      <c r="L111" s="15">
        <v>9</v>
      </c>
      <c r="M111" s="73">
        <v>18.544</v>
      </c>
      <c r="N111" s="104">
        <v>18.544</v>
      </c>
      <c r="O111" s="57">
        <v>7000</v>
      </c>
      <c r="P111" s="58">
        <f t="shared" si="1"/>
        <v>129808</v>
      </c>
    </row>
    <row r="112" spans="1:16" ht="28.5" customHeight="1" x14ac:dyDescent="0.2">
      <c r="A112" s="100"/>
      <c r="B112" s="100"/>
      <c r="C112" s="65" t="s">
        <v>1235</v>
      </c>
      <c r="D112" s="70" t="s">
        <v>57</v>
      </c>
      <c r="E112" s="12">
        <v>44538</v>
      </c>
      <c r="F112" s="68" t="s">
        <v>71</v>
      </c>
      <c r="G112" s="12">
        <v>44543</v>
      </c>
      <c r="H112" s="69" t="s">
        <v>903</v>
      </c>
      <c r="I112" s="15">
        <v>98</v>
      </c>
      <c r="J112" s="15">
        <v>64</v>
      </c>
      <c r="K112" s="15">
        <v>36</v>
      </c>
      <c r="L112" s="15">
        <v>19</v>
      </c>
      <c r="M112" s="73">
        <v>56.448</v>
      </c>
      <c r="N112" s="104">
        <v>57</v>
      </c>
      <c r="O112" s="57">
        <v>7000</v>
      </c>
      <c r="P112" s="58">
        <f t="shared" si="1"/>
        <v>399000</v>
      </c>
    </row>
    <row r="113" spans="1:16" ht="28.5" customHeight="1" x14ac:dyDescent="0.2">
      <c r="A113" s="100"/>
      <c r="B113" s="100"/>
      <c r="C113" s="65" t="s">
        <v>1236</v>
      </c>
      <c r="D113" s="70" t="s">
        <v>57</v>
      </c>
      <c r="E113" s="12">
        <v>44538</v>
      </c>
      <c r="F113" s="68" t="s">
        <v>71</v>
      </c>
      <c r="G113" s="12">
        <v>44543</v>
      </c>
      <c r="H113" s="69" t="s">
        <v>903</v>
      </c>
      <c r="I113" s="15">
        <v>85</v>
      </c>
      <c r="J113" s="15">
        <v>58</v>
      </c>
      <c r="K113" s="15">
        <v>26</v>
      </c>
      <c r="L113" s="15">
        <v>18</v>
      </c>
      <c r="M113" s="73">
        <v>32.045000000000002</v>
      </c>
      <c r="N113" s="104">
        <v>32.045000000000002</v>
      </c>
      <c r="O113" s="57">
        <v>7000</v>
      </c>
      <c r="P113" s="58">
        <f t="shared" si="1"/>
        <v>224315</v>
      </c>
    </row>
    <row r="114" spans="1:16" ht="28.5" customHeight="1" x14ac:dyDescent="0.2">
      <c r="A114" s="100"/>
      <c r="B114" s="100"/>
      <c r="C114" s="65" t="s">
        <v>1237</v>
      </c>
      <c r="D114" s="70" t="s">
        <v>57</v>
      </c>
      <c r="E114" s="12">
        <v>44538</v>
      </c>
      <c r="F114" s="68" t="s">
        <v>71</v>
      </c>
      <c r="G114" s="12">
        <v>44543</v>
      </c>
      <c r="H114" s="69" t="s">
        <v>903</v>
      </c>
      <c r="I114" s="15">
        <v>92</v>
      </c>
      <c r="J114" s="15">
        <v>57</v>
      </c>
      <c r="K114" s="15">
        <v>31</v>
      </c>
      <c r="L114" s="15">
        <v>27</v>
      </c>
      <c r="M114" s="73">
        <v>40.640999999999998</v>
      </c>
      <c r="N114" s="104">
        <v>40.640999999999998</v>
      </c>
      <c r="O114" s="57">
        <v>7000</v>
      </c>
      <c r="P114" s="58">
        <f t="shared" si="1"/>
        <v>284487</v>
      </c>
    </row>
    <row r="115" spans="1:16" ht="28.5" customHeight="1" x14ac:dyDescent="0.2">
      <c r="A115" s="100"/>
      <c r="B115" s="100"/>
      <c r="C115" s="65" t="s">
        <v>1238</v>
      </c>
      <c r="D115" s="70" t="s">
        <v>57</v>
      </c>
      <c r="E115" s="12">
        <v>44538</v>
      </c>
      <c r="F115" s="68" t="s">
        <v>71</v>
      </c>
      <c r="G115" s="12">
        <v>44543</v>
      </c>
      <c r="H115" s="69" t="s">
        <v>903</v>
      </c>
      <c r="I115" s="15">
        <v>65</v>
      </c>
      <c r="J115" s="15">
        <v>51</v>
      </c>
      <c r="K115" s="15">
        <v>8</v>
      </c>
      <c r="L115" s="15">
        <v>2</v>
      </c>
      <c r="M115" s="73">
        <v>6.63</v>
      </c>
      <c r="N115" s="104">
        <v>6.63</v>
      </c>
      <c r="O115" s="57">
        <v>7000</v>
      </c>
      <c r="P115" s="58">
        <f t="shared" si="1"/>
        <v>46410</v>
      </c>
    </row>
    <row r="116" spans="1:16" ht="28.5" customHeight="1" x14ac:dyDescent="0.2">
      <c r="A116" s="100"/>
      <c r="B116" s="100"/>
      <c r="C116" s="65" t="s">
        <v>1239</v>
      </c>
      <c r="D116" s="70" t="s">
        <v>57</v>
      </c>
      <c r="E116" s="12">
        <v>44538</v>
      </c>
      <c r="F116" s="68" t="s">
        <v>71</v>
      </c>
      <c r="G116" s="12">
        <v>44543</v>
      </c>
      <c r="H116" s="69" t="s">
        <v>903</v>
      </c>
      <c r="I116" s="15">
        <v>107</v>
      </c>
      <c r="J116" s="15">
        <v>9</v>
      </c>
      <c r="K116" s="15">
        <v>9</v>
      </c>
      <c r="L116" s="15">
        <v>7</v>
      </c>
      <c r="M116" s="73">
        <v>2.16675</v>
      </c>
      <c r="N116" s="104">
        <v>7</v>
      </c>
      <c r="O116" s="57">
        <v>7000</v>
      </c>
      <c r="P116" s="58">
        <f t="shared" si="1"/>
        <v>49000</v>
      </c>
    </row>
    <row r="117" spans="1:16" ht="28.5" customHeight="1" x14ac:dyDescent="0.2">
      <c r="A117" s="100"/>
      <c r="B117" s="100"/>
      <c r="C117" s="65" t="s">
        <v>1240</v>
      </c>
      <c r="D117" s="70" t="s">
        <v>57</v>
      </c>
      <c r="E117" s="12">
        <v>44538</v>
      </c>
      <c r="F117" s="68" t="s">
        <v>71</v>
      </c>
      <c r="G117" s="12">
        <v>44543</v>
      </c>
      <c r="H117" s="69" t="s">
        <v>903</v>
      </c>
      <c r="I117" s="15">
        <v>57</v>
      </c>
      <c r="J117" s="15">
        <v>38</v>
      </c>
      <c r="K117" s="15">
        <v>12</v>
      </c>
      <c r="L117" s="15">
        <v>2</v>
      </c>
      <c r="M117" s="73">
        <v>6.4980000000000002</v>
      </c>
      <c r="N117" s="104">
        <v>7</v>
      </c>
      <c r="O117" s="57">
        <v>7000</v>
      </c>
      <c r="P117" s="58">
        <f t="shared" si="1"/>
        <v>49000</v>
      </c>
    </row>
    <row r="118" spans="1:16" ht="28.5" customHeight="1" x14ac:dyDescent="0.2">
      <c r="A118" s="100"/>
      <c r="B118" s="100"/>
      <c r="C118" s="65" t="s">
        <v>1241</v>
      </c>
      <c r="D118" s="70" t="s">
        <v>57</v>
      </c>
      <c r="E118" s="12">
        <v>44538</v>
      </c>
      <c r="F118" s="68" t="s">
        <v>71</v>
      </c>
      <c r="G118" s="12">
        <v>44543</v>
      </c>
      <c r="H118" s="69" t="s">
        <v>903</v>
      </c>
      <c r="I118" s="15">
        <v>113</v>
      </c>
      <c r="J118" s="15">
        <v>64</v>
      </c>
      <c r="K118" s="15">
        <v>32</v>
      </c>
      <c r="L118" s="15">
        <v>28</v>
      </c>
      <c r="M118" s="73">
        <v>57.856000000000002</v>
      </c>
      <c r="N118" s="104">
        <v>57.856000000000002</v>
      </c>
      <c r="O118" s="57">
        <v>7000</v>
      </c>
      <c r="P118" s="58">
        <f t="shared" si="1"/>
        <v>404992</v>
      </c>
    </row>
    <row r="119" spans="1:16" ht="28.5" customHeight="1" x14ac:dyDescent="0.2">
      <c r="A119" s="100"/>
      <c r="B119" s="100"/>
      <c r="C119" s="65" t="s">
        <v>1242</v>
      </c>
      <c r="D119" s="70" t="s">
        <v>57</v>
      </c>
      <c r="E119" s="12">
        <v>44538</v>
      </c>
      <c r="F119" s="68" t="s">
        <v>71</v>
      </c>
      <c r="G119" s="12">
        <v>44543</v>
      </c>
      <c r="H119" s="69" t="s">
        <v>903</v>
      </c>
      <c r="I119" s="15">
        <v>81</v>
      </c>
      <c r="J119" s="15">
        <v>53</v>
      </c>
      <c r="K119" s="15">
        <v>15</v>
      </c>
      <c r="L119" s="15">
        <v>10</v>
      </c>
      <c r="M119" s="73">
        <v>16.098749999999999</v>
      </c>
      <c r="N119" s="104">
        <v>16.098749999999999</v>
      </c>
      <c r="O119" s="57">
        <v>7000</v>
      </c>
      <c r="P119" s="58">
        <f t="shared" si="1"/>
        <v>112691.25</v>
      </c>
    </row>
    <row r="120" spans="1:16" ht="28.5" customHeight="1" x14ac:dyDescent="0.2">
      <c r="A120" s="100"/>
      <c r="B120" s="100"/>
      <c r="C120" s="65" t="s">
        <v>1243</v>
      </c>
      <c r="D120" s="70" t="s">
        <v>57</v>
      </c>
      <c r="E120" s="12">
        <v>44538</v>
      </c>
      <c r="F120" s="68" t="s">
        <v>71</v>
      </c>
      <c r="G120" s="12">
        <v>44543</v>
      </c>
      <c r="H120" s="69" t="s">
        <v>903</v>
      </c>
      <c r="I120" s="15">
        <v>55</v>
      </c>
      <c r="J120" s="15">
        <v>55</v>
      </c>
      <c r="K120" s="15">
        <v>12</v>
      </c>
      <c r="L120" s="15">
        <v>8</v>
      </c>
      <c r="M120" s="73">
        <v>9.0749999999999993</v>
      </c>
      <c r="N120" s="104">
        <v>9.0749999999999993</v>
      </c>
      <c r="O120" s="57">
        <v>7000</v>
      </c>
      <c r="P120" s="58">
        <f t="shared" si="1"/>
        <v>63524.999999999993</v>
      </c>
    </row>
    <row r="121" spans="1:16" ht="28.5" customHeight="1" x14ac:dyDescent="0.2">
      <c r="A121" s="100"/>
      <c r="B121" s="100"/>
      <c r="C121" s="65" t="s">
        <v>1244</v>
      </c>
      <c r="D121" s="70" t="s">
        <v>57</v>
      </c>
      <c r="E121" s="12">
        <v>44538</v>
      </c>
      <c r="F121" s="68" t="s">
        <v>71</v>
      </c>
      <c r="G121" s="12">
        <v>44543</v>
      </c>
      <c r="H121" s="69" t="s">
        <v>903</v>
      </c>
      <c r="I121" s="15">
        <v>94</v>
      </c>
      <c r="J121" s="15">
        <v>54</v>
      </c>
      <c r="K121" s="15">
        <v>34</v>
      </c>
      <c r="L121" s="15">
        <v>20</v>
      </c>
      <c r="M121" s="73">
        <v>43.146000000000001</v>
      </c>
      <c r="N121" s="104">
        <v>43.146000000000001</v>
      </c>
      <c r="O121" s="57">
        <v>7000</v>
      </c>
      <c r="P121" s="58">
        <f t="shared" si="1"/>
        <v>302022</v>
      </c>
    </row>
    <row r="122" spans="1:16" ht="28.5" customHeight="1" x14ac:dyDescent="0.2">
      <c r="A122" s="100"/>
      <c r="B122" s="100"/>
      <c r="C122" s="65" t="s">
        <v>1245</v>
      </c>
      <c r="D122" s="70" t="s">
        <v>57</v>
      </c>
      <c r="E122" s="12">
        <v>44538</v>
      </c>
      <c r="F122" s="68" t="s">
        <v>71</v>
      </c>
      <c r="G122" s="12">
        <v>44543</v>
      </c>
      <c r="H122" s="69" t="s">
        <v>903</v>
      </c>
      <c r="I122" s="15">
        <v>48</v>
      </c>
      <c r="J122" s="15">
        <v>48</v>
      </c>
      <c r="K122" s="15">
        <v>124</v>
      </c>
      <c r="L122" s="15">
        <v>30</v>
      </c>
      <c r="M122" s="73">
        <v>71.424000000000007</v>
      </c>
      <c r="N122" s="104">
        <v>72</v>
      </c>
      <c r="O122" s="57">
        <v>7000</v>
      </c>
      <c r="P122" s="58">
        <f t="shared" si="1"/>
        <v>504000</v>
      </c>
    </row>
    <row r="123" spans="1:16" ht="28.5" customHeight="1" x14ac:dyDescent="0.2">
      <c r="A123" s="100"/>
      <c r="B123" s="101"/>
      <c r="C123" s="65" t="s">
        <v>1246</v>
      </c>
      <c r="D123" s="70" t="s">
        <v>57</v>
      </c>
      <c r="E123" s="12">
        <v>44538</v>
      </c>
      <c r="F123" s="68" t="s">
        <v>71</v>
      </c>
      <c r="G123" s="12">
        <v>44543</v>
      </c>
      <c r="H123" s="69" t="s">
        <v>903</v>
      </c>
      <c r="I123" s="15">
        <v>55</v>
      </c>
      <c r="J123" s="15">
        <v>55</v>
      </c>
      <c r="K123" s="15">
        <v>38</v>
      </c>
      <c r="L123" s="15">
        <v>42</v>
      </c>
      <c r="M123" s="73">
        <v>28.737500000000001</v>
      </c>
      <c r="N123" s="104">
        <v>42</v>
      </c>
      <c r="O123" s="57">
        <v>7000</v>
      </c>
      <c r="P123" s="58">
        <f t="shared" si="1"/>
        <v>294000</v>
      </c>
    </row>
    <row r="124" spans="1:16" ht="28.5" customHeight="1" x14ac:dyDescent="0.2">
      <c r="A124" s="100"/>
      <c r="B124" s="100" t="s">
        <v>1247</v>
      </c>
      <c r="C124" s="65" t="s">
        <v>1248</v>
      </c>
      <c r="D124" s="70" t="s">
        <v>57</v>
      </c>
      <c r="E124" s="12">
        <v>44538</v>
      </c>
      <c r="F124" s="68" t="s">
        <v>71</v>
      </c>
      <c r="G124" s="12">
        <v>44543</v>
      </c>
      <c r="H124" s="69" t="s">
        <v>903</v>
      </c>
      <c r="I124" s="15">
        <v>78</v>
      </c>
      <c r="J124" s="15">
        <v>46</v>
      </c>
      <c r="K124" s="15">
        <v>23</v>
      </c>
      <c r="L124" s="15">
        <v>17</v>
      </c>
      <c r="M124" s="73">
        <v>20.631</v>
      </c>
      <c r="N124" s="104">
        <v>20.631</v>
      </c>
      <c r="O124" s="57">
        <v>7000</v>
      </c>
      <c r="P124" s="58">
        <f t="shared" si="1"/>
        <v>144417</v>
      </c>
    </row>
    <row r="125" spans="1:16" ht="22.5" customHeight="1" x14ac:dyDescent="0.2">
      <c r="A125" s="159" t="s">
        <v>30</v>
      </c>
      <c r="B125" s="160"/>
      <c r="C125" s="160"/>
      <c r="D125" s="160"/>
      <c r="E125" s="160"/>
      <c r="F125" s="160"/>
      <c r="G125" s="160"/>
      <c r="H125" s="160"/>
      <c r="I125" s="160"/>
      <c r="J125" s="160"/>
      <c r="K125" s="160"/>
      <c r="L125" s="161"/>
      <c r="M125" s="71">
        <f>SUBTOTAL(109,Table22457891011234567891011121314151617181920212223[KG VOLUME])</f>
        <v>2517.3590000000004</v>
      </c>
      <c r="N125" s="61">
        <f>SUM(N3:N124)</f>
        <v>2599.00225</v>
      </c>
      <c r="O125" s="162">
        <f>SUM(P3:P124)</f>
        <v>18193015.75</v>
      </c>
      <c r="P125" s="163"/>
    </row>
    <row r="126" spans="1:16" ht="18" customHeight="1" x14ac:dyDescent="0.2">
      <c r="A126" s="78"/>
      <c r="B126" s="49" t="s">
        <v>42</v>
      </c>
      <c r="C126" s="48"/>
      <c r="D126" s="50" t="s">
        <v>43</v>
      </c>
      <c r="E126" s="78"/>
      <c r="F126" s="78"/>
      <c r="G126" s="78"/>
      <c r="H126" s="78"/>
      <c r="I126" s="78"/>
      <c r="J126" s="78"/>
      <c r="K126" s="78"/>
      <c r="L126" s="78"/>
      <c r="M126" s="79"/>
      <c r="N126" s="80" t="s">
        <v>52</v>
      </c>
      <c r="O126" s="81"/>
      <c r="P126" s="81">
        <v>0</v>
      </c>
    </row>
    <row r="127" spans="1:16" ht="18" customHeight="1" thickBot="1" x14ac:dyDescent="0.25">
      <c r="A127" s="78"/>
      <c r="B127" s="49"/>
      <c r="C127" s="48"/>
      <c r="D127" s="50"/>
      <c r="E127" s="78"/>
      <c r="F127" s="78"/>
      <c r="G127" s="78"/>
      <c r="H127" s="78"/>
      <c r="I127" s="78"/>
      <c r="J127" s="78"/>
      <c r="K127" s="78"/>
      <c r="L127" s="78"/>
      <c r="M127" s="79"/>
      <c r="N127" s="82" t="s">
        <v>53</v>
      </c>
      <c r="O127" s="83"/>
      <c r="P127" s="83">
        <f>O125-P126</f>
        <v>18193015.75</v>
      </c>
    </row>
    <row r="128" spans="1:16" ht="18" customHeight="1" x14ac:dyDescent="0.2">
      <c r="A128" s="10"/>
      <c r="H128" s="56"/>
      <c r="N128" s="55" t="s">
        <v>31</v>
      </c>
      <c r="P128" s="62">
        <f>P127*1%</f>
        <v>181930.1575</v>
      </c>
    </row>
    <row r="129" spans="1:16" ht="18" customHeight="1" thickBot="1" x14ac:dyDescent="0.25">
      <c r="A129" s="10"/>
      <c r="H129" s="56"/>
      <c r="N129" s="55" t="s">
        <v>54</v>
      </c>
      <c r="P129" s="64">
        <f>P127*2%</f>
        <v>363860.315</v>
      </c>
    </row>
    <row r="130" spans="1:16" ht="18" customHeight="1" x14ac:dyDescent="0.2">
      <c r="A130" s="10"/>
      <c r="H130" s="56"/>
      <c r="N130" s="59" t="s">
        <v>32</v>
      </c>
      <c r="O130" s="60"/>
      <c r="P130" s="63">
        <f>P127+P128-P129</f>
        <v>18011085.592499997</v>
      </c>
    </row>
    <row r="132" spans="1:16" x14ac:dyDescent="0.2">
      <c r="A132" s="10"/>
      <c r="H132" s="56"/>
      <c r="P132" s="64"/>
    </row>
    <row r="133" spans="1:16" x14ac:dyDescent="0.2">
      <c r="A133" s="10"/>
      <c r="H133" s="56"/>
      <c r="O133" s="51"/>
      <c r="P133" s="64"/>
    </row>
    <row r="134" spans="1:16" s="3" customFormat="1" x14ac:dyDescent="0.25">
      <c r="A134" s="10"/>
      <c r="B134" s="2"/>
      <c r="C134" s="2"/>
      <c r="E134" s="11"/>
      <c r="H134" s="56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6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6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6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6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6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6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6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56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56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56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56"/>
      <c r="N145" s="14"/>
      <c r="O145" s="14"/>
      <c r="P145" s="14"/>
    </row>
  </sheetData>
  <mergeCells count="2">
    <mergeCell ref="A125:L125"/>
    <mergeCell ref="O125:P125"/>
  </mergeCells>
  <conditionalFormatting sqref="C3:C124">
    <cfRule type="duplicateValues" dxfId="1247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2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.85546875" style="3" customWidth="1"/>
    <col min="5" max="5" width="9.140625" style="11" customWidth="1"/>
    <col min="6" max="6" width="16.5703125" style="3" customWidth="1"/>
    <col min="7" max="7" width="9.5703125" style="3" customWidth="1"/>
    <col min="8" max="8" width="16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710937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6">
        <v>404380</v>
      </c>
      <c r="B3" s="96" t="s">
        <v>1249</v>
      </c>
      <c r="C3" s="107" t="s">
        <v>1250</v>
      </c>
      <c r="D3" s="68" t="s">
        <v>57</v>
      </c>
      <c r="E3" s="94">
        <v>44539</v>
      </c>
      <c r="F3" s="1" t="s">
        <v>71</v>
      </c>
      <c r="G3" s="94">
        <v>44543</v>
      </c>
      <c r="H3" s="1" t="s">
        <v>903</v>
      </c>
      <c r="I3" s="1">
        <v>86</v>
      </c>
      <c r="J3" s="1">
        <v>60</v>
      </c>
      <c r="K3" s="1">
        <v>31</v>
      </c>
      <c r="L3" s="1">
        <v>10</v>
      </c>
      <c r="M3" s="72">
        <v>39.99</v>
      </c>
      <c r="N3" s="88">
        <v>39.99</v>
      </c>
      <c r="O3" s="57">
        <v>7000</v>
      </c>
      <c r="P3" s="58">
        <f t="shared" ref="P3:P21" si="0">N3*O3</f>
        <v>279930</v>
      </c>
    </row>
    <row r="4" spans="1:16" ht="26.25" customHeight="1" x14ac:dyDescent="0.2">
      <c r="A4" s="97"/>
      <c r="B4" s="97"/>
      <c r="C4" s="65" t="s">
        <v>1251</v>
      </c>
      <c r="D4" s="70" t="s">
        <v>57</v>
      </c>
      <c r="E4" s="12">
        <v>44539</v>
      </c>
      <c r="F4" s="68" t="s">
        <v>71</v>
      </c>
      <c r="G4" s="12">
        <v>44543</v>
      </c>
      <c r="H4" s="69" t="s">
        <v>903</v>
      </c>
      <c r="I4" s="15">
        <v>85</v>
      </c>
      <c r="J4" s="15">
        <v>56</v>
      </c>
      <c r="K4" s="15">
        <v>35</v>
      </c>
      <c r="L4" s="15">
        <v>24</v>
      </c>
      <c r="M4" s="73">
        <v>41.65</v>
      </c>
      <c r="N4" s="88">
        <v>41.65</v>
      </c>
      <c r="O4" s="57">
        <v>7000</v>
      </c>
      <c r="P4" s="58">
        <f t="shared" si="0"/>
        <v>291550</v>
      </c>
    </row>
    <row r="5" spans="1:16" ht="26.25" customHeight="1" x14ac:dyDescent="0.2">
      <c r="A5" s="97"/>
      <c r="B5" s="97"/>
      <c r="C5" s="65" t="s">
        <v>1252</v>
      </c>
      <c r="D5" s="70" t="s">
        <v>57</v>
      </c>
      <c r="E5" s="12">
        <v>44539</v>
      </c>
      <c r="F5" s="68" t="s">
        <v>71</v>
      </c>
      <c r="G5" s="12">
        <v>44543</v>
      </c>
      <c r="H5" s="69" t="s">
        <v>903</v>
      </c>
      <c r="I5" s="15">
        <v>72</v>
      </c>
      <c r="J5" s="15">
        <v>50</v>
      </c>
      <c r="K5" s="15">
        <v>18</v>
      </c>
      <c r="L5" s="15">
        <v>4</v>
      </c>
      <c r="M5" s="73">
        <v>16.2</v>
      </c>
      <c r="N5" s="88">
        <v>16.2</v>
      </c>
      <c r="O5" s="57">
        <v>7000</v>
      </c>
      <c r="P5" s="58">
        <f t="shared" si="0"/>
        <v>113400</v>
      </c>
    </row>
    <row r="6" spans="1:16" ht="26.25" customHeight="1" x14ac:dyDescent="0.2">
      <c r="A6" s="97"/>
      <c r="B6" s="97"/>
      <c r="C6" s="65" t="s">
        <v>1253</v>
      </c>
      <c r="D6" s="70" t="s">
        <v>57</v>
      </c>
      <c r="E6" s="12">
        <v>44539</v>
      </c>
      <c r="F6" s="68" t="s">
        <v>71</v>
      </c>
      <c r="G6" s="12">
        <v>44543</v>
      </c>
      <c r="H6" s="69" t="s">
        <v>903</v>
      </c>
      <c r="I6" s="15">
        <v>91</v>
      </c>
      <c r="J6" s="15">
        <v>54</v>
      </c>
      <c r="K6" s="15">
        <v>30</v>
      </c>
      <c r="L6" s="15">
        <v>11</v>
      </c>
      <c r="M6" s="73">
        <v>36.854999999999997</v>
      </c>
      <c r="N6" s="88">
        <v>36.854999999999997</v>
      </c>
      <c r="O6" s="57">
        <v>7000</v>
      </c>
      <c r="P6" s="58">
        <f t="shared" si="0"/>
        <v>257984.99999999997</v>
      </c>
    </row>
    <row r="7" spans="1:16" ht="26.25" customHeight="1" x14ac:dyDescent="0.2">
      <c r="A7" s="97"/>
      <c r="B7" s="97"/>
      <c r="C7" s="65" t="s">
        <v>1254</v>
      </c>
      <c r="D7" s="70" t="s">
        <v>57</v>
      </c>
      <c r="E7" s="12">
        <v>44539</v>
      </c>
      <c r="F7" s="68" t="s">
        <v>71</v>
      </c>
      <c r="G7" s="12">
        <v>44543</v>
      </c>
      <c r="H7" s="69" t="s">
        <v>903</v>
      </c>
      <c r="I7" s="15">
        <v>35</v>
      </c>
      <c r="J7" s="15">
        <v>30</v>
      </c>
      <c r="K7" s="15">
        <v>16</v>
      </c>
      <c r="L7" s="15">
        <v>1</v>
      </c>
      <c r="M7" s="73">
        <v>4.2</v>
      </c>
      <c r="N7" s="88">
        <v>4.2</v>
      </c>
      <c r="O7" s="57">
        <v>7000</v>
      </c>
      <c r="P7" s="58">
        <f t="shared" si="0"/>
        <v>29400</v>
      </c>
    </row>
    <row r="8" spans="1:16" ht="26.25" customHeight="1" x14ac:dyDescent="0.2">
      <c r="A8" s="97"/>
      <c r="B8" s="97"/>
      <c r="C8" s="65" t="s">
        <v>1255</v>
      </c>
      <c r="D8" s="70" t="s">
        <v>57</v>
      </c>
      <c r="E8" s="12">
        <v>44539</v>
      </c>
      <c r="F8" s="68" t="s">
        <v>71</v>
      </c>
      <c r="G8" s="12">
        <v>44543</v>
      </c>
      <c r="H8" s="69" t="s">
        <v>903</v>
      </c>
      <c r="I8" s="15">
        <v>61</v>
      </c>
      <c r="J8" s="15">
        <v>61</v>
      </c>
      <c r="K8" s="15">
        <v>30</v>
      </c>
      <c r="L8" s="15">
        <v>4</v>
      </c>
      <c r="M8" s="73">
        <v>27.907499999999999</v>
      </c>
      <c r="N8" s="88">
        <v>27.907499999999999</v>
      </c>
      <c r="O8" s="57">
        <v>7000</v>
      </c>
      <c r="P8" s="58">
        <f t="shared" si="0"/>
        <v>195352.5</v>
      </c>
    </row>
    <row r="9" spans="1:16" ht="26.25" customHeight="1" x14ac:dyDescent="0.2">
      <c r="A9" s="97"/>
      <c r="B9" s="97"/>
      <c r="C9" s="65" t="s">
        <v>1256</v>
      </c>
      <c r="D9" s="70" t="s">
        <v>57</v>
      </c>
      <c r="E9" s="12">
        <v>44539</v>
      </c>
      <c r="F9" s="68" t="s">
        <v>71</v>
      </c>
      <c r="G9" s="12">
        <v>44543</v>
      </c>
      <c r="H9" s="69" t="s">
        <v>903</v>
      </c>
      <c r="I9" s="15">
        <v>68</v>
      </c>
      <c r="J9" s="15">
        <v>30</v>
      </c>
      <c r="K9" s="15">
        <v>24</v>
      </c>
      <c r="L9" s="15">
        <v>11</v>
      </c>
      <c r="M9" s="73">
        <v>12.24</v>
      </c>
      <c r="N9" s="88">
        <v>12.24</v>
      </c>
      <c r="O9" s="57">
        <v>7000</v>
      </c>
      <c r="P9" s="58">
        <f t="shared" si="0"/>
        <v>85680</v>
      </c>
    </row>
    <row r="10" spans="1:16" ht="26.25" customHeight="1" x14ac:dyDescent="0.2">
      <c r="A10" s="97"/>
      <c r="B10" s="97"/>
      <c r="C10" s="65" t="s">
        <v>1257</v>
      </c>
      <c r="D10" s="70" t="s">
        <v>57</v>
      </c>
      <c r="E10" s="12">
        <v>44539</v>
      </c>
      <c r="F10" s="68" t="s">
        <v>71</v>
      </c>
      <c r="G10" s="12">
        <v>44543</v>
      </c>
      <c r="H10" s="69" t="s">
        <v>903</v>
      </c>
      <c r="I10" s="15">
        <v>88</v>
      </c>
      <c r="J10" s="15">
        <v>58</v>
      </c>
      <c r="K10" s="15">
        <v>36</v>
      </c>
      <c r="L10" s="15">
        <v>24</v>
      </c>
      <c r="M10" s="73">
        <v>45.936</v>
      </c>
      <c r="N10" s="88">
        <v>45.936</v>
      </c>
      <c r="O10" s="57">
        <v>7000</v>
      </c>
      <c r="P10" s="58">
        <f t="shared" si="0"/>
        <v>321552</v>
      </c>
    </row>
    <row r="11" spans="1:16" ht="26.25" customHeight="1" x14ac:dyDescent="0.2">
      <c r="A11" s="97"/>
      <c r="B11" s="97"/>
      <c r="C11" s="65" t="s">
        <v>1258</v>
      </c>
      <c r="D11" s="70" t="s">
        <v>57</v>
      </c>
      <c r="E11" s="12">
        <v>44539</v>
      </c>
      <c r="F11" s="68" t="s">
        <v>71</v>
      </c>
      <c r="G11" s="12">
        <v>44543</v>
      </c>
      <c r="H11" s="69" t="s">
        <v>903</v>
      </c>
      <c r="I11" s="15">
        <v>61</v>
      </c>
      <c r="J11" s="15">
        <v>41</v>
      </c>
      <c r="K11" s="15">
        <v>25</v>
      </c>
      <c r="L11" s="15">
        <v>2</v>
      </c>
      <c r="M11" s="73">
        <v>15.63125</v>
      </c>
      <c r="N11" s="88">
        <v>15.63125</v>
      </c>
      <c r="O11" s="57">
        <v>7000</v>
      </c>
      <c r="P11" s="58">
        <f t="shared" si="0"/>
        <v>109418.75</v>
      </c>
    </row>
    <row r="12" spans="1:16" ht="26.25" customHeight="1" x14ac:dyDescent="0.2">
      <c r="A12" s="97"/>
      <c r="B12" s="97"/>
      <c r="C12" s="65" t="s">
        <v>1259</v>
      </c>
      <c r="D12" s="70" t="s">
        <v>57</v>
      </c>
      <c r="E12" s="12">
        <v>44539</v>
      </c>
      <c r="F12" s="68" t="s">
        <v>71</v>
      </c>
      <c r="G12" s="12">
        <v>44543</v>
      </c>
      <c r="H12" s="69" t="s">
        <v>903</v>
      </c>
      <c r="I12" s="15">
        <v>23</v>
      </c>
      <c r="J12" s="15">
        <v>22</v>
      </c>
      <c r="K12" s="15">
        <v>10</v>
      </c>
      <c r="L12" s="15">
        <v>2</v>
      </c>
      <c r="M12" s="73">
        <v>1.2649999999999999</v>
      </c>
      <c r="N12" s="88">
        <v>2</v>
      </c>
      <c r="O12" s="57">
        <v>7000</v>
      </c>
      <c r="P12" s="58">
        <f t="shared" si="0"/>
        <v>14000</v>
      </c>
    </row>
    <row r="13" spans="1:16" ht="26.25" customHeight="1" x14ac:dyDescent="0.2">
      <c r="A13" s="97"/>
      <c r="B13" s="97"/>
      <c r="C13" s="65" t="s">
        <v>1260</v>
      </c>
      <c r="D13" s="70" t="s">
        <v>57</v>
      </c>
      <c r="E13" s="12">
        <v>44539</v>
      </c>
      <c r="F13" s="68" t="s">
        <v>71</v>
      </c>
      <c r="G13" s="12">
        <v>44543</v>
      </c>
      <c r="H13" s="69" t="s">
        <v>903</v>
      </c>
      <c r="I13" s="15">
        <v>100</v>
      </c>
      <c r="J13" s="15">
        <v>62</v>
      </c>
      <c r="K13" s="15">
        <v>27</v>
      </c>
      <c r="L13" s="15">
        <v>22</v>
      </c>
      <c r="M13" s="73">
        <v>41.85</v>
      </c>
      <c r="N13" s="88">
        <v>41.85</v>
      </c>
      <c r="O13" s="57">
        <v>7000</v>
      </c>
      <c r="P13" s="58">
        <f t="shared" si="0"/>
        <v>292950</v>
      </c>
    </row>
    <row r="14" spans="1:16" ht="26.25" customHeight="1" x14ac:dyDescent="0.2">
      <c r="A14" s="97"/>
      <c r="B14" s="97"/>
      <c r="C14" s="65" t="s">
        <v>1261</v>
      </c>
      <c r="D14" s="70" t="s">
        <v>57</v>
      </c>
      <c r="E14" s="12">
        <v>44539</v>
      </c>
      <c r="F14" s="68" t="s">
        <v>71</v>
      </c>
      <c r="G14" s="12">
        <v>44543</v>
      </c>
      <c r="H14" s="69" t="s">
        <v>903</v>
      </c>
      <c r="I14" s="15">
        <v>62</v>
      </c>
      <c r="J14" s="15">
        <v>52</v>
      </c>
      <c r="K14" s="15">
        <v>25</v>
      </c>
      <c r="L14" s="15">
        <v>4</v>
      </c>
      <c r="M14" s="73">
        <v>20.149999999999999</v>
      </c>
      <c r="N14" s="88">
        <v>20.149999999999999</v>
      </c>
      <c r="O14" s="57">
        <v>7000</v>
      </c>
      <c r="P14" s="58">
        <f t="shared" si="0"/>
        <v>141050</v>
      </c>
    </row>
    <row r="15" spans="1:16" ht="26.25" customHeight="1" x14ac:dyDescent="0.2">
      <c r="A15" s="97"/>
      <c r="B15" s="97"/>
      <c r="C15" s="65" t="s">
        <v>1262</v>
      </c>
      <c r="D15" s="70" t="s">
        <v>57</v>
      </c>
      <c r="E15" s="12">
        <v>44539</v>
      </c>
      <c r="F15" s="68" t="s">
        <v>71</v>
      </c>
      <c r="G15" s="12">
        <v>44543</v>
      </c>
      <c r="H15" s="69" t="s">
        <v>903</v>
      </c>
      <c r="I15" s="15">
        <v>51</v>
      </c>
      <c r="J15" s="15">
        <v>37</v>
      </c>
      <c r="K15" s="15">
        <v>11</v>
      </c>
      <c r="L15" s="15">
        <v>1</v>
      </c>
      <c r="M15" s="73">
        <v>5.1892500000000004</v>
      </c>
      <c r="N15" s="88">
        <v>5.1892500000000004</v>
      </c>
      <c r="O15" s="57">
        <v>7000</v>
      </c>
      <c r="P15" s="58">
        <f t="shared" si="0"/>
        <v>36324.75</v>
      </c>
    </row>
    <row r="16" spans="1:16" ht="26.25" customHeight="1" x14ac:dyDescent="0.2">
      <c r="A16" s="97"/>
      <c r="B16" s="97"/>
      <c r="C16" s="65" t="s">
        <v>1263</v>
      </c>
      <c r="D16" s="70" t="s">
        <v>57</v>
      </c>
      <c r="E16" s="12">
        <v>44539</v>
      </c>
      <c r="F16" s="68" t="s">
        <v>71</v>
      </c>
      <c r="G16" s="12">
        <v>44543</v>
      </c>
      <c r="H16" s="69" t="s">
        <v>903</v>
      </c>
      <c r="I16" s="15">
        <v>71</v>
      </c>
      <c r="J16" s="15">
        <v>61</v>
      </c>
      <c r="K16" s="15">
        <v>21</v>
      </c>
      <c r="L16" s="15">
        <v>6</v>
      </c>
      <c r="M16" s="73">
        <v>22.737749999999998</v>
      </c>
      <c r="N16" s="88">
        <v>22.737749999999998</v>
      </c>
      <c r="O16" s="57">
        <v>7000</v>
      </c>
      <c r="P16" s="58">
        <f t="shared" si="0"/>
        <v>159164.25</v>
      </c>
    </row>
    <row r="17" spans="1:16" ht="26.25" customHeight="1" x14ac:dyDescent="0.2">
      <c r="A17" s="97"/>
      <c r="B17" s="97"/>
      <c r="C17" s="65" t="s">
        <v>1264</v>
      </c>
      <c r="D17" s="70" t="s">
        <v>57</v>
      </c>
      <c r="E17" s="12">
        <v>44539</v>
      </c>
      <c r="F17" s="68" t="s">
        <v>71</v>
      </c>
      <c r="G17" s="12">
        <v>44543</v>
      </c>
      <c r="H17" s="69" t="s">
        <v>903</v>
      </c>
      <c r="I17" s="15">
        <v>152</v>
      </c>
      <c r="J17" s="15">
        <v>12</v>
      </c>
      <c r="K17" s="15">
        <v>12</v>
      </c>
      <c r="L17" s="15">
        <v>9</v>
      </c>
      <c r="M17" s="73">
        <v>5.4720000000000004</v>
      </c>
      <c r="N17" s="88">
        <v>10</v>
      </c>
      <c r="O17" s="57">
        <v>7000</v>
      </c>
      <c r="P17" s="58">
        <f t="shared" si="0"/>
        <v>70000</v>
      </c>
    </row>
    <row r="18" spans="1:16" ht="26.25" customHeight="1" x14ac:dyDescent="0.2">
      <c r="A18" s="97"/>
      <c r="B18" s="97"/>
      <c r="C18" s="65" t="s">
        <v>1265</v>
      </c>
      <c r="D18" s="70" t="s">
        <v>57</v>
      </c>
      <c r="E18" s="12">
        <v>44539</v>
      </c>
      <c r="F18" s="68" t="s">
        <v>71</v>
      </c>
      <c r="G18" s="12">
        <v>44543</v>
      </c>
      <c r="H18" s="69" t="s">
        <v>903</v>
      </c>
      <c r="I18" s="15">
        <v>56</v>
      </c>
      <c r="J18" s="15">
        <v>42</v>
      </c>
      <c r="K18" s="15">
        <v>20</v>
      </c>
      <c r="L18" s="15">
        <v>3</v>
      </c>
      <c r="M18" s="73">
        <v>11.76</v>
      </c>
      <c r="N18" s="88">
        <v>11.76</v>
      </c>
      <c r="O18" s="57">
        <v>7000</v>
      </c>
      <c r="P18" s="58">
        <f t="shared" si="0"/>
        <v>82320</v>
      </c>
    </row>
    <row r="19" spans="1:16" ht="26.25" customHeight="1" x14ac:dyDescent="0.2">
      <c r="A19" s="97"/>
      <c r="B19" s="97"/>
      <c r="C19" s="65" t="s">
        <v>1266</v>
      </c>
      <c r="D19" s="70" t="s">
        <v>57</v>
      </c>
      <c r="E19" s="12">
        <v>44539</v>
      </c>
      <c r="F19" s="68" t="s">
        <v>71</v>
      </c>
      <c r="G19" s="12">
        <v>44543</v>
      </c>
      <c r="H19" s="69" t="s">
        <v>903</v>
      </c>
      <c r="I19" s="15">
        <v>55</v>
      </c>
      <c r="J19" s="15">
        <v>50</v>
      </c>
      <c r="K19" s="15">
        <v>33</v>
      </c>
      <c r="L19" s="15">
        <v>11</v>
      </c>
      <c r="M19" s="73">
        <v>22.6875</v>
      </c>
      <c r="N19" s="88">
        <v>22.6875</v>
      </c>
      <c r="O19" s="57">
        <v>7000</v>
      </c>
      <c r="P19" s="58">
        <f t="shared" si="0"/>
        <v>158812.5</v>
      </c>
    </row>
    <row r="20" spans="1:16" ht="26.25" customHeight="1" x14ac:dyDescent="0.2">
      <c r="A20" s="97"/>
      <c r="B20" s="98"/>
      <c r="C20" s="65" t="s">
        <v>1267</v>
      </c>
      <c r="D20" s="70" t="s">
        <v>57</v>
      </c>
      <c r="E20" s="12">
        <v>44539</v>
      </c>
      <c r="F20" s="68" t="s">
        <v>71</v>
      </c>
      <c r="G20" s="12">
        <v>44543</v>
      </c>
      <c r="H20" s="69" t="s">
        <v>903</v>
      </c>
      <c r="I20" s="15">
        <v>30</v>
      </c>
      <c r="J20" s="15">
        <v>34</v>
      </c>
      <c r="K20" s="15">
        <v>11</v>
      </c>
      <c r="L20" s="15">
        <v>1</v>
      </c>
      <c r="M20" s="73">
        <v>2.8050000000000002</v>
      </c>
      <c r="N20" s="88">
        <v>2.8050000000000002</v>
      </c>
      <c r="O20" s="57">
        <v>7000</v>
      </c>
      <c r="P20" s="58">
        <f t="shared" si="0"/>
        <v>19635</v>
      </c>
    </row>
    <row r="21" spans="1:16" ht="26.25" customHeight="1" x14ac:dyDescent="0.2">
      <c r="A21" s="97"/>
      <c r="B21" s="97" t="s">
        <v>1268</v>
      </c>
      <c r="C21" s="65" t="s">
        <v>1269</v>
      </c>
      <c r="D21" s="70" t="s">
        <v>57</v>
      </c>
      <c r="E21" s="12">
        <v>44539</v>
      </c>
      <c r="F21" s="68" t="s">
        <v>71</v>
      </c>
      <c r="G21" s="12">
        <v>44543</v>
      </c>
      <c r="H21" s="69" t="s">
        <v>903</v>
      </c>
      <c r="I21" s="15">
        <v>45</v>
      </c>
      <c r="J21" s="15">
        <v>32</v>
      </c>
      <c r="K21" s="15">
        <v>19</v>
      </c>
      <c r="L21" s="15">
        <v>2</v>
      </c>
      <c r="M21" s="73">
        <v>6.84</v>
      </c>
      <c r="N21" s="88">
        <v>6.84</v>
      </c>
      <c r="O21" s="57">
        <v>7000</v>
      </c>
      <c r="P21" s="58">
        <f t="shared" si="0"/>
        <v>47880</v>
      </c>
    </row>
    <row r="22" spans="1:16" ht="22.5" customHeight="1" x14ac:dyDescent="0.2">
      <c r="A22" s="159" t="s">
        <v>30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1"/>
      <c r="M22" s="71">
        <f>SUBTOTAL(109,Table2245789101123456789101112131415161718192021222324[KG VOLUME])</f>
        <v>381.36624999999992</v>
      </c>
      <c r="N22" s="61">
        <f>SUM(N3:N21)</f>
        <v>386.62924999999996</v>
      </c>
      <c r="O22" s="162">
        <f>SUM(P3:P21)</f>
        <v>2706404.75</v>
      </c>
      <c r="P22" s="163"/>
    </row>
    <row r="23" spans="1:16" ht="18" customHeight="1" x14ac:dyDescent="0.2">
      <c r="A23" s="78"/>
      <c r="B23" s="49" t="s">
        <v>42</v>
      </c>
      <c r="C23" s="48"/>
      <c r="D23" s="50" t="s">
        <v>43</v>
      </c>
      <c r="E23" s="78"/>
      <c r="F23" s="78"/>
      <c r="G23" s="78"/>
      <c r="H23" s="78"/>
      <c r="I23" s="78"/>
      <c r="J23" s="78"/>
      <c r="K23" s="78"/>
      <c r="L23" s="78"/>
      <c r="M23" s="79"/>
      <c r="N23" s="80" t="s">
        <v>52</v>
      </c>
      <c r="O23" s="81"/>
      <c r="P23" s="81">
        <v>0</v>
      </c>
    </row>
    <row r="24" spans="1:16" ht="18" customHeight="1" thickBot="1" x14ac:dyDescent="0.25">
      <c r="A24" s="78"/>
      <c r="B24" s="49"/>
      <c r="C24" s="48"/>
      <c r="D24" s="50"/>
      <c r="E24" s="78"/>
      <c r="F24" s="78"/>
      <c r="G24" s="78"/>
      <c r="H24" s="78"/>
      <c r="I24" s="78"/>
      <c r="J24" s="78"/>
      <c r="K24" s="78"/>
      <c r="L24" s="78"/>
      <c r="M24" s="79"/>
      <c r="N24" s="82" t="s">
        <v>53</v>
      </c>
      <c r="O24" s="83"/>
      <c r="P24" s="83">
        <f>O22-P23</f>
        <v>2706404.75</v>
      </c>
    </row>
    <row r="25" spans="1:16" ht="18" customHeight="1" x14ac:dyDescent="0.2">
      <c r="A25" s="10"/>
      <c r="H25" s="56"/>
      <c r="N25" s="55" t="s">
        <v>31</v>
      </c>
      <c r="P25" s="62">
        <f>P24*1%</f>
        <v>27064.047500000001</v>
      </c>
    </row>
    <row r="26" spans="1:16" ht="18" customHeight="1" thickBot="1" x14ac:dyDescent="0.25">
      <c r="A26" s="10"/>
      <c r="H26" s="56"/>
      <c r="N26" s="55" t="s">
        <v>54</v>
      </c>
      <c r="P26" s="64">
        <f>P24*2%</f>
        <v>54128.095000000001</v>
      </c>
    </row>
    <row r="27" spans="1:16" ht="18" customHeight="1" x14ac:dyDescent="0.2">
      <c r="A27" s="10"/>
      <c r="H27" s="56"/>
      <c r="N27" s="59" t="s">
        <v>32</v>
      </c>
      <c r="O27" s="60"/>
      <c r="P27" s="63">
        <f>P24+P25-P26</f>
        <v>2679340.7024999997</v>
      </c>
    </row>
    <row r="29" spans="1:16" x14ac:dyDescent="0.2">
      <c r="A29" s="10"/>
      <c r="H29" s="56"/>
      <c r="P29" s="64"/>
    </row>
    <row r="30" spans="1:16" x14ac:dyDescent="0.2">
      <c r="A30" s="10"/>
      <c r="H30" s="56"/>
      <c r="O30" s="51"/>
      <c r="P30" s="6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</sheetData>
  <mergeCells count="2">
    <mergeCell ref="A22:L22"/>
    <mergeCell ref="O22:P22"/>
  </mergeCells>
  <conditionalFormatting sqref="C3:C21">
    <cfRule type="duplicateValues" dxfId="1231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"/>
  <sheetViews>
    <sheetView zoomScale="110" zoomScaleNormal="110" workbookViewId="0">
      <pane xSplit="3" ySplit="2" topLeftCell="D45" activePane="bottomRight" state="frozen"/>
      <selection activeCell="H12" sqref="H12"/>
      <selection pane="topRight" activeCell="H12" sqref="H12"/>
      <selection pane="bottomLeft" activeCell="H12" sqref="H12"/>
      <selection pane="bottomRight" activeCell="H51" sqref="H51"/>
    </sheetView>
  </sheetViews>
  <sheetFormatPr defaultRowHeight="15" x14ac:dyDescent="0.2"/>
  <cols>
    <col min="1" max="1" width="8" style="4" customWidth="1"/>
    <col min="2" max="2" width="19.5703125" style="2" customWidth="1"/>
    <col min="3" max="3" width="16.140625" style="2" customWidth="1"/>
    <col min="4" max="4" width="9.5703125" style="3" customWidth="1"/>
    <col min="5" max="5" width="9" style="11" customWidth="1"/>
    <col min="6" max="6" width="15.8554687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6">
        <v>405846</v>
      </c>
      <c r="B3" s="96" t="s">
        <v>1270</v>
      </c>
      <c r="C3" s="1" t="s">
        <v>1271</v>
      </c>
      <c r="D3" s="68" t="s">
        <v>57</v>
      </c>
      <c r="E3" s="94">
        <v>44539</v>
      </c>
      <c r="F3" s="1" t="s">
        <v>71</v>
      </c>
      <c r="G3" s="94">
        <v>44543</v>
      </c>
      <c r="H3" s="1" t="s">
        <v>1328</v>
      </c>
      <c r="I3" s="1">
        <v>78</v>
      </c>
      <c r="J3" s="1">
        <v>26</v>
      </c>
      <c r="K3" s="1">
        <v>14</v>
      </c>
      <c r="L3" s="1">
        <v>8</v>
      </c>
      <c r="M3" s="72">
        <v>7.0979999999999999</v>
      </c>
      <c r="N3" s="88">
        <v>8</v>
      </c>
      <c r="O3" s="57">
        <v>7000</v>
      </c>
      <c r="P3" s="58">
        <f t="shared" ref="P3:P57" si="0">N3*O3</f>
        <v>56000</v>
      </c>
    </row>
    <row r="4" spans="1:16" ht="26.25" customHeight="1" x14ac:dyDescent="0.2">
      <c r="A4" s="97"/>
      <c r="B4" s="97"/>
      <c r="C4" s="1" t="s">
        <v>1272</v>
      </c>
      <c r="D4" s="68" t="s">
        <v>57</v>
      </c>
      <c r="E4" s="94">
        <v>44539</v>
      </c>
      <c r="F4" s="1" t="s">
        <v>71</v>
      </c>
      <c r="G4" s="94">
        <v>44543</v>
      </c>
      <c r="H4" s="1" t="s">
        <v>1328</v>
      </c>
      <c r="I4" s="1">
        <v>80</v>
      </c>
      <c r="J4" s="1">
        <v>57</v>
      </c>
      <c r="K4" s="1">
        <v>25</v>
      </c>
      <c r="L4" s="1">
        <v>6</v>
      </c>
      <c r="M4" s="72">
        <v>28.5</v>
      </c>
      <c r="N4" s="88">
        <v>30</v>
      </c>
      <c r="O4" s="57">
        <v>7000</v>
      </c>
      <c r="P4" s="58">
        <f t="shared" si="0"/>
        <v>210000</v>
      </c>
    </row>
    <row r="5" spans="1:16" ht="26.25" customHeight="1" x14ac:dyDescent="0.2">
      <c r="A5" s="97"/>
      <c r="B5" s="97"/>
      <c r="C5" s="1" t="s">
        <v>1273</v>
      </c>
      <c r="D5" s="68" t="s">
        <v>57</v>
      </c>
      <c r="E5" s="94">
        <v>44539</v>
      </c>
      <c r="F5" s="1" t="s">
        <v>71</v>
      </c>
      <c r="G5" s="94">
        <v>44543</v>
      </c>
      <c r="H5" s="1" t="s">
        <v>1328</v>
      </c>
      <c r="I5" s="1">
        <v>56</v>
      </c>
      <c r="J5" s="1">
        <v>33</v>
      </c>
      <c r="K5" s="1">
        <v>10</v>
      </c>
      <c r="L5" s="1">
        <v>2</v>
      </c>
      <c r="M5" s="72">
        <v>4.62</v>
      </c>
      <c r="N5" s="88">
        <v>4.62</v>
      </c>
      <c r="O5" s="57">
        <v>7000</v>
      </c>
      <c r="P5" s="58">
        <f t="shared" si="0"/>
        <v>32340</v>
      </c>
    </row>
    <row r="6" spans="1:16" ht="26.25" customHeight="1" x14ac:dyDescent="0.2">
      <c r="A6" s="97"/>
      <c r="B6" s="97"/>
      <c r="C6" s="65" t="s">
        <v>1274</v>
      </c>
      <c r="D6" s="70" t="s">
        <v>57</v>
      </c>
      <c r="E6" s="12">
        <v>44539</v>
      </c>
      <c r="F6" s="68" t="s">
        <v>71</v>
      </c>
      <c r="G6" s="12">
        <v>44543</v>
      </c>
      <c r="H6" s="69" t="s">
        <v>1328</v>
      </c>
      <c r="I6" s="15">
        <v>53</v>
      </c>
      <c r="J6" s="15">
        <v>30</v>
      </c>
      <c r="K6" s="15">
        <v>13</v>
      </c>
      <c r="L6" s="15">
        <v>3</v>
      </c>
      <c r="M6" s="73">
        <v>5.1675000000000004</v>
      </c>
      <c r="N6" s="88">
        <v>5.1675000000000004</v>
      </c>
      <c r="O6" s="57">
        <v>7000</v>
      </c>
      <c r="P6" s="58">
        <f t="shared" si="0"/>
        <v>36172.5</v>
      </c>
    </row>
    <row r="7" spans="1:16" ht="26.25" customHeight="1" x14ac:dyDescent="0.2">
      <c r="A7" s="97"/>
      <c r="B7" s="97"/>
      <c r="C7" s="65" t="s">
        <v>1275</v>
      </c>
      <c r="D7" s="70" t="s">
        <v>57</v>
      </c>
      <c r="E7" s="12">
        <v>44539</v>
      </c>
      <c r="F7" s="68" t="s">
        <v>71</v>
      </c>
      <c r="G7" s="12">
        <v>44543</v>
      </c>
      <c r="H7" s="69" t="s">
        <v>1328</v>
      </c>
      <c r="I7" s="15">
        <v>90</v>
      </c>
      <c r="J7" s="15">
        <v>66</v>
      </c>
      <c r="K7" s="15">
        <v>30</v>
      </c>
      <c r="L7" s="15">
        <v>18</v>
      </c>
      <c r="M7" s="73">
        <v>44.55</v>
      </c>
      <c r="N7" s="88">
        <v>44.55</v>
      </c>
      <c r="O7" s="57">
        <v>7000</v>
      </c>
      <c r="P7" s="58">
        <f t="shared" si="0"/>
        <v>311850</v>
      </c>
    </row>
    <row r="8" spans="1:16" ht="26.25" customHeight="1" x14ac:dyDescent="0.2">
      <c r="A8" s="97"/>
      <c r="B8" s="97"/>
      <c r="C8" s="65" t="s">
        <v>1276</v>
      </c>
      <c r="D8" s="70" t="s">
        <v>57</v>
      </c>
      <c r="E8" s="12">
        <v>44539</v>
      </c>
      <c r="F8" s="68" t="s">
        <v>71</v>
      </c>
      <c r="G8" s="12">
        <v>44543</v>
      </c>
      <c r="H8" s="69" t="s">
        <v>1328</v>
      </c>
      <c r="I8" s="15">
        <v>97</v>
      </c>
      <c r="J8" s="15">
        <v>64</v>
      </c>
      <c r="K8" s="15">
        <v>38</v>
      </c>
      <c r="L8" s="15">
        <v>30</v>
      </c>
      <c r="M8" s="73">
        <v>58.975999999999999</v>
      </c>
      <c r="N8" s="88">
        <v>58.975999999999999</v>
      </c>
      <c r="O8" s="57">
        <v>7000</v>
      </c>
      <c r="P8" s="58">
        <f t="shared" si="0"/>
        <v>412832</v>
      </c>
    </row>
    <row r="9" spans="1:16" ht="26.25" customHeight="1" x14ac:dyDescent="0.2">
      <c r="A9" s="97"/>
      <c r="B9" s="97"/>
      <c r="C9" s="65" t="s">
        <v>1277</v>
      </c>
      <c r="D9" s="70" t="s">
        <v>57</v>
      </c>
      <c r="E9" s="12">
        <v>44539</v>
      </c>
      <c r="F9" s="68" t="s">
        <v>71</v>
      </c>
      <c r="G9" s="12">
        <v>44543</v>
      </c>
      <c r="H9" s="69" t="s">
        <v>1328</v>
      </c>
      <c r="I9" s="15">
        <v>55</v>
      </c>
      <c r="J9" s="15">
        <v>36</v>
      </c>
      <c r="K9" s="15">
        <v>32</v>
      </c>
      <c r="L9" s="15">
        <v>5</v>
      </c>
      <c r="M9" s="73">
        <v>15.84</v>
      </c>
      <c r="N9" s="88">
        <v>15.84</v>
      </c>
      <c r="O9" s="57">
        <v>7000</v>
      </c>
      <c r="P9" s="58">
        <f t="shared" si="0"/>
        <v>110880</v>
      </c>
    </row>
    <row r="10" spans="1:16" ht="26.25" customHeight="1" x14ac:dyDescent="0.2">
      <c r="A10" s="97"/>
      <c r="B10" s="97"/>
      <c r="C10" s="65" t="s">
        <v>1278</v>
      </c>
      <c r="D10" s="70" t="s">
        <v>57</v>
      </c>
      <c r="E10" s="12">
        <v>44539</v>
      </c>
      <c r="F10" s="68" t="s">
        <v>71</v>
      </c>
      <c r="G10" s="12">
        <v>44543</v>
      </c>
      <c r="H10" s="69" t="s">
        <v>1328</v>
      </c>
      <c r="I10" s="15">
        <v>93</v>
      </c>
      <c r="J10" s="15">
        <v>67</v>
      </c>
      <c r="K10" s="15">
        <v>25</v>
      </c>
      <c r="L10" s="15">
        <v>8</v>
      </c>
      <c r="M10" s="73">
        <v>38.943750000000001</v>
      </c>
      <c r="N10" s="88">
        <v>38.943750000000001</v>
      </c>
      <c r="O10" s="57">
        <v>7000</v>
      </c>
      <c r="P10" s="58">
        <f t="shared" si="0"/>
        <v>272606.25</v>
      </c>
    </row>
    <row r="11" spans="1:16" ht="26.25" customHeight="1" x14ac:dyDescent="0.2">
      <c r="A11" s="97"/>
      <c r="B11" s="97"/>
      <c r="C11" s="65" t="s">
        <v>1279</v>
      </c>
      <c r="D11" s="70" t="s">
        <v>57</v>
      </c>
      <c r="E11" s="12">
        <v>44539</v>
      </c>
      <c r="F11" s="68" t="s">
        <v>71</v>
      </c>
      <c r="G11" s="12">
        <v>44543</v>
      </c>
      <c r="H11" s="69" t="s">
        <v>1328</v>
      </c>
      <c r="I11" s="15">
        <v>67</v>
      </c>
      <c r="J11" s="15">
        <v>40</v>
      </c>
      <c r="K11" s="15">
        <v>26</v>
      </c>
      <c r="L11" s="15">
        <v>6</v>
      </c>
      <c r="M11" s="73">
        <v>17.420000000000002</v>
      </c>
      <c r="N11" s="88">
        <v>18</v>
      </c>
      <c r="O11" s="57">
        <v>7000</v>
      </c>
      <c r="P11" s="58">
        <f t="shared" si="0"/>
        <v>126000</v>
      </c>
    </row>
    <row r="12" spans="1:16" ht="26.25" customHeight="1" x14ac:dyDescent="0.2">
      <c r="A12" s="97"/>
      <c r="B12" s="97"/>
      <c r="C12" s="65" t="s">
        <v>1280</v>
      </c>
      <c r="D12" s="70" t="s">
        <v>57</v>
      </c>
      <c r="E12" s="12">
        <v>44539</v>
      </c>
      <c r="F12" s="68" t="s">
        <v>71</v>
      </c>
      <c r="G12" s="12">
        <v>44543</v>
      </c>
      <c r="H12" s="69" t="s">
        <v>1328</v>
      </c>
      <c r="I12" s="15">
        <v>98</v>
      </c>
      <c r="J12" s="15">
        <v>55</v>
      </c>
      <c r="K12" s="15">
        <v>38</v>
      </c>
      <c r="L12" s="15">
        <v>23</v>
      </c>
      <c r="M12" s="73">
        <v>51.204999999999998</v>
      </c>
      <c r="N12" s="88">
        <v>51.204999999999998</v>
      </c>
      <c r="O12" s="57">
        <v>7000</v>
      </c>
      <c r="P12" s="58">
        <f t="shared" si="0"/>
        <v>358435</v>
      </c>
    </row>
    <row r="13" spans="1:16" ht="26.25" customHeight="1" x14ac:dyDescent="0.2">
      <c r="A13" s="97"/>
      <c r="B13" s="97"/>
      <c r="C13" s="65" t="s">
        <v>1281</v>
      </c>
      <c r="D13" s="70" t="s">
        <v>57</v>
      </c>
      <c r="E13" s="12">
        <v>44539</v>
      </c>
      <c r="F13" s="68" t="s">
        <v>71</v>
      </c>
      <c r="G13" s="12">
        <v>44543</v>
      </c>
      <c r="H13" s="69" t="s">
        <v>1328</v>
      </c>
      <c r="I13" s="15">
        <v>64</v>
      </c>
      <c r="J13" s="15">
        <v>42</v>
      </c>
      <c r="K13" s="15">
        <v>14</v>
      </c>
      <c r="L13" s="15">
        <v>6</v>
      </c>
      <c r="M13" s="73">
        <v>9.4079999999999995</v>
      </c>
      <c r="N13" s="88">
        <v>10</v>
      </c>
      <c r="O13" s="57">
        <v>7000</v>
      </c>
      <c r="P13" s="58">
        <f t="shared" si="0"/>
        <v>70000</v>
      </c>
    </row>
    <row r="14" spans="1:16" ht="26.25" customHeight="1" x14ac:dyDescent="0.2">
      <c r="A14" s="97"/>
      <c r="B14" s="97"/>
      <c r="C14" s="65" t="s">
        <v>1282</v>
      </c>
      <c r="D14" s="70" t="s">
        <v>57</v>
      </c>
      <c r="E14" s="12">
        <v>44539</v>
      </c>
      <c r="F14" s="68" t="s">
        <v>71</v>
      </c>
      <c r="G14" s="12">
        <v>44543</v>
      </c>
      <c r="H14" s="69" t="s">
        <v>1328</v>
      </c>
      <c r="I14" s="15">
        <v>20</v>
      </c>
      <c r="J14" s="15">
        <v>28</v>
      </c>
      <c r="K14" s="15">
        <v>8</v>
      </c>
      <c r="L14" s="15">
        <v>1</v>
      </c>
      <c r="M14" s="73">
        <v>1.1200000000000001</v>
      </c>
      <c r="N14" s="88">
        <v>1.1200000000000001</v>
      </c>
      <c r="O14" s="57">
        <v>7000</v>
      </c>
      <c r="P14" s="58">
        <f t="shared" si="0"/>
        <v>7840.0000000000009</v>
      </c>
    </row>
    <row r="15" spans="1:16" ht="26.25" customHeight="1" x14ac:dyDescent="0.2">
      <c r="A15" s="97"/>
      <c r="B15" s="97"/>
      <c r="C15" s="65" t="s">
        <v>1283</v>
      </c>
      <c r="D15" s="70" t="s">
        <v>57</v>
      </c>
      <c r="E15" s="12">
        <v>44539</v>
      </c>
      <c r="F15" s="68" t="s">
        <v>71</v>
      </c>
      <c r="G15" s="12">
        <v>44543</v>
      </c>
      <c r="H15" s="69" t="s">
        <v>1328</v>
      </c>
      <c r="I15" s="15">
        <v>95</v>
      </c>
      <c r="J15" s="15">
        <v>56</v>
      </c>
      <c r="K15" s="15">
        <v>32</v>
      </c>
      <c r="L15" s="15">
        <v>24</v>
      </c>
      <c r="M15" s="73">
        <v>42.56</v>
      </c>
      <c r="N15" s="88">
        <v>42.56</v>
      </c>
      <c r="O15" s="57">
        <v>7000</v>
      </c>
      <c r="P15" s="58">
        <f t="shared" si="0"/>
        <v>297920</v>
      </c>
    </row>
    <row r="16" spans="1:16" ht="26.25" customHeight="1" x14ac:dyDescent="0.2">
      <c r="A16" s="97"/>
      <c r="B16" s="97"/>
      <c r="C16" s="65" t="s">
        <v>1284</v>
      </c>
      <c r="D16" s="70" t="s">
        <v>57</v>
      </c>
      <c r="E16" s="12">
        <v>44539</v>
      </c>
      <c r="F16" s="68" t="s">
        <v>71</v>
      </c>
      <c r="G16" s="12">
        <v>44543</v>
      </c>
      <c r="H16" s="69" t="s">
        <v>1328</v>
      </c>
      <c r="I16" s="15">
        <v>94</v>
      </c>
      <c r="J16" s="15">
        <v>64</v>
      </c>
      <c r="K16" s="15">
        <v>34</v>
      </c>
      <c r="L16" s="15">
        <v>24</v>
      </c>
      <c r="M16" s="73">
        <v>51.136000000000003</v>
      </c>
      <c r="N16" s="88">
        <v>51.136000000000003</v>
      </c>
      <c r="O16" s="57">
        <v>7000</v>
      </c>
      <c r="P16" s="58">
        <f t="shared" si="0"/>
        <v>357952</v>
      </c>
    </row>
    <row r="17" spans="1:16" ht="26.25" customHeight="1" x14ac:dyDescent="0.2">
      <c r="A17" s="97"/>
      <c r="B17" s="97"/>
      <c r="C17" s="65" t="s">
        <v>1285</v>
      </c>
      <c r="D17" s="70" t="s">
        <v>57</v>
      </c>
      <c r="E17" s="12">
        <v>44539</v>
      </c>
      <c r="F17" s="68" t="s">
        <v>71</v>
      </c>
      <c r="G17" s="12">
        <v>44543</v>
      </c>
      <c r="H17" s="69" t="s">
        <v>1328</v>
      </c>
      <c r="I17" s="15">
        <v>96</v>
      </c>
      <c r="J17" s="15">
        <v>54</v>
      </c>
      <c r="K17" s="15">
        <v>31</v>
      </c>
      <c r="L17" s="15">
        <v>35</v>
      </c>
      <c r="M17" s="73">
        <v>40.176000000000002</v>
      </c>
      <c r="N17" s="88">
        <v>40.176000000000002</v>
      </c>
      <c r="O17" s="57">
        <v>7000</v>
      </c>
      <c r="P17" s="58">
        <f t="shared" si="0"/>
        <v>281232</v>
      </c>
    </row>
    <row r="18" spans="1:16" ht="26.25" customHeight="1" x14ac:dyDescent="0.2">
      <c r="A18" s="97"/>
      <c r="B18" s="97"/>
      <c r="C18" s="65" t="s">
        <v>1286</v>
      </c>
      <c r="D18" s="70" t="s">
        <v>57</v>
      </c>
      <c r="E18" s="12">
        <v>44539</v>
      </c>
      <c r="F18" s="68" t="s">
        <v>71</v>
      </c>
      <c r="G18" s="12">
        <v>44543</v>
      </c>
      <c r="H18" s="69" t="s">
        <v>1328</v>
      </c>
      <c r="I18" s="15">
        <v>100</v>
      </c>
      <c r="J18" s="15">
        <v>57</v>
      </c>
      <c r="K18" s="15">
        <v>36</v>
      </c>
      <c r="L18" s="15">
        <v>24</v>
      </c>
      <c r="M18" s="73">
        <v>51.3</v>
      </c>
      <c r="N18" s="88">
        <v>52</v>
      </c>
      <c r="O18" s="57">
        <v>7000</v>
      </c>
      <c r="P18" s="58">
        <f t="shared" si="0"/>
        <v>364000</v>
      </c>
    </row>
    <row r="19" spans="1:16" ht="26.25" customHeight="1" x14ac:dyDescent="0.2">
      <c r="A19" s="97"/>
      <c r="B19" s="97"/>
      <c r="C19" s="65" t="s">
        <v>1287</v>
      </c>
      <c r="D19" s="70" t="s">
        <v>57</v>
      </c>
      <c r="E19" s="12">
        <v>44539</v>
      </c>
      <c r="F19" s="68" t="s">
        <v>71</v>
      </c>
      <c r="G19" s="12">
        <v>44543</v>
      </c>
      <c r="H19" s="69" t="s">
        <v>1328</v>
      </c>
      <c r="I19" s="15">
        <v>72</v>
      </c>
      <c r="J19" s="15">
        <v>66</v>
      </c>
      <c r="K19" s="15">
        <v>20</v>
      </c>
      <c r="L19" s="15">
        <v>10</v>
      </c>
      <c r="M19" s="73">
        <v>23.76</v>
      </c>
      <c r="N19" s="88">
        <v>23.76</v>
      </c>
      <c r="O19" s="57">
        <v>7000</v>
      </c>
      <c r="P19" s="58">
        <f t="shared" si="0"/>
        <v>166320</v>
      </c>
    </row>
    <row r="20" spans="1:16" ht="26.25" customHeight="1" x14ac:dyDescent="0.2">
      <c r="A20" s="97"/>
      <c r="B20" s="97"/>
      <c r="C20" s="65" t="s">
        <v>1288</v>
      </c>
      <c r="D20" s="70" t="s">
        <v>57</v>
      </c>
      <c r="E20" s="12">
        <v>44539</v>
      </c>
      <c r="F20" s="68" t="s">
        <v>71</v>
      </c>
      <c r="G20" s="12">
        <v>44543</v>
      </c>
      <c r="H20" s="69" t="s">
        <v>1328</v>
      </c>
      <c r="I20" s="15">
        <v>62</v>
      </c>
      <c r="J20" s="15">
        <v>43</v>
      </c>
      <c r="K20" s="15">
        <v>36</v>
      </c>
      <c r="L20" s="15">
        <v>13</v>
      </c>
      <c r="M20" s="73">
        <v>23.994</v>
      </c>
      <c r="N20" s="88">
        <v>23.994</v>
      </c>
      <c r="O20" s="57">
        <v>7000</v>
      </c>
      <c r="P20" s="58">
        <f t="shared" si="0"/>
        <v>167958</v>
      </c>
    </row>
    <row r="21" spans="1:16" ht="26.25" customHeight="1" x14ac:dyDescent="0.2">
      <c r="A21" s="97"/>
      <c r="B21" s="97"/>
      <c r="C21" s="65" t="s">
        <v>1289</v>
      </c>
      <c r="D21" s="70" t="s">
        <v>57</v>
      </c>
      <c r="E21" s="12">
        <v>44539</v>
      </c>
      <c r="F21" s="68" t="s">
        <v>71</v>
      </c>
      <c r="G21" s="12">
        <v>44543</v>
      </c>
      <c r="H21" s="69" t="s">
        <v>1328</v>
      </c>
      <c r="I21" s="15">
        <v>88</v>
      </c>
      <c r="J21" s="15">
        <v>55</v>
      </c>
      <c r="K21" s="15">
        <v>32</v>
      </c>
      <c r="L21" s="15">
        <v>14</v>
      </c>
      <c r="M21" s="73">
        <v>38.72</v>
      </c>
      <c r="N21" s="88">
        <v>38.72</v>
      </c>
      <c r="O21" s="57">
        <v>7000</v>
      </c>
      <c r="P21" s="58">
        <f t="shared" si="0"/>
        <v>271040</v>
      </c>
    </row>
    <row r="22" spans="1:16" ht="26.25" customHeight="1" x14ac:dyDescent="0.2">
      <c r="A22" s="97"/>
      <c r="B22" s="97"/>
      <c r="C22" s="65" t="s">
        <v>1290</v>
      </c>
      <c r="D22" s="70" t="s">
        <v>57</v>
      </c>
      <c r="E22" s="12">
        <v>44539</v>
      </c>
      <c r="F22" s="68" t="s">
        <v>71</v>
      </c>
      <c r="G22" s="12">
        <v>44543</v>
      </c>
      <c r="H22" s="69" t="s">
        <v>1328</v>
      </c>
      <c r="I22" s="15">
        <v>58</v>
      </c>
      <c r="J22" s="15">
        <v>30</v>
      </c>
      <c r="K22" s="15">
        <v>15</v>
      </c>
      <c r="L22" s="15">
        <v>4</v>
      </c>
      <c r="M22" s="73">
        <v>6.5250000000000004</v>
      </c>
      <c r="N22" s="88">
        <v>6.5250000000000004</v>
      </c>
      <c r="O22" s="57">
        <v>7000</v>
      </c>
      <c r="P22" s="58">
        <f t="shared" si="0"/>
        <v>45675</v>
      </c>
    </row>
    <row r="23" spans="1:16" ht="26.25" customHeight="1" x14ac:dyDescent="0.2">
      <c r="A23" s="97"/>
      <c r="B23" s="97"/>
      <c r="C23" s="65" t="s">
        <v>1291</v>
      </c>
      <c r="D23" s="70" t="s">
        <v>57</v>
      </c>
      <c r="E23" s="12">
        <v>44539</v>
      </c>
      <c r="F23" s="68" t="s">
        <v>71</v>
      </c>
      <c r="G23" s="12">
        <v>44543</v>
      </c>
      <c r="H23" s="69" t="s">
        <v>1328</v>
      </c>
      <c r="I23" s="15">
        <v>60</v>
      </c>
      <c r="J23" s="15">
        <v>54</v>
      </c>
      <c r="K23" s="15">
        <v>17</v>
      </c>
      <c r="L23" s="15">
        <v>6</v>
      </c>
      <c r="M23" s="73">
        <v>13.77</v>
      </c>
      <c r="N23" s="88">
        <v>13.77</v>
      </c>
      <c r="O23" s="57">
        <v>7000</v>
      </c>
      <c r="P23" s="58">
        <f t="shared" si="0"/>
        <v>96390</v>
      </c>
    </row>
    <row r="24" spans="1:16" ht="26.25" customHeight="1" x14ac:dyDescent="0.2">
      <c r="A24" s="97"/>
      <c r="B24" s="97"/>
      <c r="C24" s="65" t="s">
        <v>1292</v>
      </c>
      <c r="D24" s="70" t="s">
        <v>57</v>
      </c>
      <c r="E24" s="12">
        <v>44539</v>
      </c>
      <c r="F24" s="68" t="s">
        <v>71</v>
      </c>
      <c r="G24" s="12">
        <v>44543</v>
      </c>
      <c r="H24" s="69" t="s">
        <v>1328</v>
      </c>
      <c r="I24" s="15">
        <v>67</v>
      </c>
      <c r="J24" s="15">
        <v>60</v>
      </c>
      <c r="K24" s="15">
        <v>24</v>
      </c>
      <c r="L24" s="15">
        <v>13</v>
      </c>
      <c r="M24" s="73">
        <v>24.12</v>
      </c>
      <c r="N24" s="88">
        <v>24.12</v>
      </c>
      <c r="O24" s="57">
        <v>7000</v>
      </c>
      <c r="P24" s="58">
        <f t="shared" si="0"/>
        <v>168840</v>
      </c>
    </row>
    <row r="25" spans="1:16" ht="26.25" customHeight="1" x14ac:dyDescent="0.2">
      <c r="A25" s="97"/>
      <c r="B25" s="97"/>
      <c r="C25" s="65" t="s">
        <v>1293</v>
      </c>
      <c r="D25" s="70" t="s">
        <v>57</v>
      </c>
      <c r="E25" s="12">
        <v>44539</v>
      </c>
      <c r="F25" s="68" t="s">
        <v>71</v>
      </c>
      <c r="G25" s="12">
        <v>44543</v>
      </c>
      <c r="H25" s="69" t="s">
        <v>1328</v>
      </c>
      <c r="I25" s="15">
        <v>87</v>
      </c>
      <c r="J25" s="15">
        <v>57</v>
      </c>
      <c r="K25" s="15">
        <v>32</v>
      </c>
      <c r="L25" s="15">
        <v>28</v>
      </c>
      <c r="M25" s="73">
        <v>39.671999999999997</v>
      </c>
      <c r="N25" s="88">
        <v>39.671999999999997</v>
      </c>
      <c r="O25" s="57">
        <v>7000</v>
      </c>
      <c r="P25" s="58">
        <f t="shared" si="0"/>
        <v>277704</v>
      </c>
    </row>
    <row r="26" spans="1:16" ht="26.25" customHeight="1" x14ac:dyDescent="0.2">
      <c r="A26" s="97"/>
      <c r="B26" s="97"/>
      <c r="C26" s="65" t="s">
        <v>1294</v>
      </c>
      <c r="D26" s="70" t="s">
        <v>57</v>
      </c>
      <c r="E26" s="12">
        <v>44539</v>
      </c>
      <c r="F26" s="68" t="s">
        <v>71</v>
      </c>
      <c r="G26" s="12">
        <v>44543</v>
      </c>
      <c r="H26" s="69" t="s">
        <v>1328</v>
      </c>
      <c r="I26" s="15">
        <v>73</v>
      </c>
      <c r="J26" s="15">
        <v>62</v>
      </c>
      <c r="K26" s="15">
        <v>28</v>
      </c>
      <c r="L26" s="15">
        <v>7</v>
      </c>
      <c r="M26" s="73">
        <v>31.681999999999999</v>
      </c>
      <c r="N26" s="88">
        <v>31.681999999999999</v>
      </c>
      <c r="O26" s="57">
        <v>7000</v>
      </c>
      <c r="P26" s="58">
        <f t="shared" si="0"/>
        <v>221774</v>
      </c>
    </row>
    <row r="27" spans="1:16" ht="26.25" customHeight="1" x14ac:dyDescent="0.2">
      <c r="A27" s="97"/>
      <c r="B27" s="97"/>
      <c r="C27" s="65" t="s">
        <v>1295</v>
      </c>
      <c r="D27" s="70" t="s">
        <v>57</v>
      </c>
      <c r="E27" s="12">
        <v>44539</v>
      </c>
      <c r="F27" s="68" t="s">
        <v>71</v>
      </c>
      <c r="G27" s="12">
        <v>44543</v>
      </c>
      <c r="H27" s="69" t="s">
        <v>1328</v>
      </c>
      <c r="I27" s="15">
        <v>100</v>
      </c>
      <c r="J27" s="15">
        <v>60</v>
      </c>
      <c r="K27" s="15">
        <v>27</v>
      </c>
      <c r="L27" s="15">
        <v>33</v>
      </c>
      <c r="M27" s="73">
        <v>40.5</v>
      </c>
      <c r="N27" s="88">
        <v>42</v>
      </c>
      <c r="O27" s="57">
        <v>7000</v>
      </c>
      <c r="P27" s="58">
        <f t="shared" si="0"/>
        <v>294000</v>
      </c>
    </row>
    <row r="28" spans="1:16" ht="26.25" customHeight="1" x14ac:dyDescent="0.2">
      <c r="A28" s="97"/>
      <c r="B28" s="97"/>
      <c r="C28" s="65" t="s">
        <v>1296</v>
      </c>
      <c r="D28" s="70" t="s">
        <v>57</v>
      </c>
      <c r="E28" s="12">
        <v>44539</v>
      </c>
      <c r="F28" s="68" t="s">
        <v>71</v>
      </c>
      <c r="G28" s="12">
        <v>44543</v>
      </c>
      <c r="H28" s="69" t="s">
        <v>1328</v>
      </c>
      <c r="I28" s="15">
        <v>80</v>
      </c>
      <c r="J28" s="15">
        <v>59</v>
      </c>
      <c r="K28" s="15">
        <v>20</v>
      </c>
      <c r="L28" s="15">
        <v>15</v>
      </c>
      <c r="M28" s="73">
        <v>23.6</v>
      </c>
      <c r="N28" s="88">
        <v>23.6</v>
      </c>
      <c r="O28" s="57">
        <v>7000</v>
      </c>
      <c r="P28" s="58">
        <f t="shared" si="0"/>
        <v>165200</v>
      </c>
    </row>
    <row r="29" spans="1:16" ht="26.25" customHeight="1" x14ac:dyDescent="0.2">
      <c r="A29" s="97"/>
      <c r="B29" s="97"/>
      <c r="C29" s="65" t="s">
        <v>1297</v>
      </c>
      <c r="D29" s="70" t="s">
        <v>57</v>
      </c>
      <c r="E29" s="12">
        <v>44539</v>
      </c>
      <c r="F29" s="68" t="s">
        <v>71</v>
      </c>
      <c r="G29" s="12">
        <v>44543</v>
      </c>
      <c r="H29" s="69" t="s">
        <v>1328</v>
      </c>
      <c r="I29" s="15">
        <v>70</v>
      </c>
      <c r="J29" s="15">
        <v>65</v>
      </c>
      <c r="K29" s="15">
        <v>26</v>
      </c>
      <c r="L29" s="15">
        <v>3</v>
      </c>
      <c r="M29" s="73">
        <v>29.574999999999999</v>
      </c>
      <c r="N29" s="88">
        <v>29.574999999999999</v>
      </c>
      <c r="O29" s="57">
        <v>7000</v>
      </c>
      <c r="P29" s="58">
        <f t="shared" si="0"/>
        <v>207025</v>
      </c>
    </row>
    <row r="30" spans="1:16" ht="26.25" customHeight="1" x14ac:dyDescent="0.2">
      <c r="A30" s="97"/>
      <c r="B30" s="97"/>
      <c r="C30" s="65" t="s">
        <v>1298</v>
      </c>
      <c r="D30" s="70" t="s">
        <v>57</v>
      </c>
      <c r="E30" s="12">
        <v>44539</v>
      </c>
      <c r="F30" s="68" t="s">
        <v>71</v>
      </c>
      <c r="G30" s="12">
        <v>44543</v>
      </c>
      <c r="H30" s="69" t="s">
        <v>1328</v>
      </c>
      <c r="I30" s="15">
        <v>14</v>
      </c>
      <c r="J30" s="15">
        <v>14</v>
      </c>
      <c r="K30" s="15">
        <v>8</v>
      </c>
      <c r="L30" s="15">
        <v>1</v>
      </c>
      <c r="M30" s="73">
        <v>0.39200000000000002</v>
      </c>
      <c r="N30" s="88">
        <v>2</v>
      </c>
      <c r="O30" s="57">
        <v>7000</v>
      </c>
      <c r="P30" s="58">
        <f t="shared" si="0"/>
        <v>14000</v>
      </c>
    </row>
    <row r="31" spans="1:16" ht="26.25" customHeight="1" x14ac:dyDescent="0.2">
      <c r="A31" s="97"/>
      <c r="B31" s="97"/>
      <c r="C31" s="1" t="s">
        <v>1299</v>
      </c>
      <c r="D31" s="68" t="s">
        <v>57</v>
      </c>
      <c r="E31" s="94">
        <v>44539</v>
      </c>
      <c r="F31" s="1" t="s">
        <v>71</v>
      </c>
      <c r="G31" s="94">
        <v>44543</v>
      </c>
      <c r="H31" s="1" t="s">
        <v>1328</v>
      </c>
      <c r="I31" s="1">
        <v>44</v>
      </c>
      <c r="J31" s="1">
        <v>25</v>
      </c>
      <c r="K31" s="1">
        <v>13</v>
      </c>
      <c r="L31" s="1">
        <v>3</v>
      </c>
      <c r="M31" s="72">
        <v>3.5750000000000002</v>
      </c>
      <c r="N31" s="88">
        <v>3.5750000000000002</v>
      </c>
      <c r="O31" s="57">
        <v>7000</v>
      </c>
      <c r="P31" s="58">
        <f t="shared" si="0"/>
        <v>25025</v>
      </c>
    </row>
    <row r="32" spans="1:16" ht="26.25" customHeight="1" x14ac:dyDescent="0.2">
      <c r="A32" s="97"/>
      <c r="B32" s="97"/>
      <c r="C32" s="1" t="s">
        <v>1300</v>
      </c>
      <c r="D32" s="68" t="s">
        <v>57</v>
      </c>
      <c r="E32" s="94">
        <v>44539</v>
      </c>
      <c r="F32" s="1" t="s">
        <v>71</v>
      </c>
      <c r="G32" s="94">
        <v>44543</v>
      </c>
      <c r="H32" s="1" t="s">
        <v>1328</v>
      </c>
      <c r="I32" s="1">
        <v>97</v>
      </c>
      <c r="J32" s="1">
        <v>56</v>
      </c>
      <c r="K32" s="1">
        <v>37</v>
      </c>
      <c r="L32" s="1">
        <v>21</v>
      </c>
      <c r="M32" s="72">
        <v>50.246000000000002</v>
      </c>
      <c r="N32" s="88">
        <v>50.246000000000002</v>
      </c>
      <c r="O32" s="57">
        <v>7000</v>
      </c>
      <c r="P32" s="58">
        <f t="shared" si="0"/>
        <v>351722</v>
      </c>
    </row>
    <row r="33" spans="1:16" ht="26.25" customHeight="1" x14ac:dyDescent="0.2">
      <c r="A33" s="97"/>
      <c r="B33" s="97"/>
      <c r="C33" s="1" t="s">
        <v>1301</v>
      </c>
      <c r="D33" s="68" t="s">
        <v>57</v>
      </c>
      <c r="E33" s="94">
        <v>44539</v>
      </c>
      <c r="F33" s="1" t="s">
        <v>71</v>
      </c>
      <c r="G33" s="94">
        <v>44543</v>
      </c>
      <c r="H33" s="1" t="s">
        <v>1328</v>
      </c>
      <c r="I33" s="1">
        <v>72</v>
      </c>
      <c r="J33" s="1">
        <v>62</v>
      </c>
      <c r="K33" s="1">
        <v>22</v>
      </c>
      <c r="L33" s="1">
        <v>5</v>
      </c>
      <c r="M33" s="72">
        <v>24.552</v>
      </c>
      <c r="N33" s="88">
        <v>24.552</v>
      </c>
      <c r="O33" s="57">
        <v>7000</v>
      </c>
      <c r="P33" s="58">
        <f t="shared" si="0"/>
        <v>171864</v>
      </c>
    </row>
    <row r="34" spans="1:16" ht="26.25" customHeight="1" x14ac:dyDescent="0.2">
      <c r="A34" s="97"/>
      <c r="B34" s="97"/>
      <c r="C34" s="1" t="s">
        <v>1302</v>
      </c>
      <c r="D34" s="68" t="s">
        <v>57</v>
      </c>
      <c r="E34" s="94">
        <v>44539</v>
      </c>
      <c r="F34" s="1" t="s">
        <v>71</v>
      </c>
      <c r="G34" s="94">
        <v>44543</v>
      </c>
      <c r="H34" s="1" t="s">
        <v>1328</v>
      </c>
      <c r="I34" s="1">
        <v>87</v>
      </c>
      <c r="J34" s="1">
        <v>55</v>
      </c>
      <c r="K34" s="1">
        <v>15</v>
      </c>
      <c r="L34" s="1">
        <v>5</v>
      </c>
      <c r="M34" s="72">
        <v>17.943750000000001</v>
      </c>
      <c r="N34" s="88">
        <v>17.943750000000001</v>
      </c>
      <c r="O34" s="57">
        <v>7000</v>
      </c>
      <c r="P34" s="58">
        <f t="shared" si="0"/>
        <v>125606.25000000001</v>
      </c>
    </row>
    <row r="35" spans="1:16" ht="26.25" customHeight="1" x14ac:dyDescent="0.2">
      <c r="A35" s="97"/>
      <c r="B35" s="97"/>
      <c r="C35" s="1" t="s">
        <v>1303</v>
      </c>
      <c r="D35" s="68" t="s">
        <v>57</v>
      </c>
      <c r="E35" s="94">
        <v>44539</v>
      </c>
      <c r="F35" s="1" t="s">
        <v>71</v>
      </c>
      <c r="G35" s="94">
        <v>44543</v>
      </c>
      <c r="H35" s="1" t="s">
        <v>1328</v>
      </c>
      <c r="I35" s="1">
        <v>72</v>
      </c>
      <c r="J35" s="1">
        <v>50</v>
      </c>
      <c r="K35" s="1">
        <v>27</v>
      </c>
      <c r="L35" s="1">
        <v>3</v>
      </c>
      <c r="M35" s="72">
        <v>24.3</v>
      </c>
      <c r="N35" s="88">
        <v>25</v>
      </c>
      <c r="O35" s="57">
        <v>7000</v>
      </c>
      <c r="P35" s="58">
        <f t="shared" si="0"/>
        <v>175000</v>
      </c>
    </row>
    <row r="36" spans="1:16" ht="26.25" customHeight="1" x14ac:dyDescent="0.2">
      <c r="A36" s="97"/>
      <c r="B36" s="97"/>
      <c r="C36" s="1" t="s">
        <v>1304</v>
      </c>
      <c r="D36" s="68" t="s">
        <v>57</v>
      </c>
      <c r="E36" s="94">
        <v>44539</v>
      </c>
      <c r="F36" s="1" t="s">
        <v>71</v>
      </c>
      <c r="G36" s="94">
        <v>44543</v>
      </c>
      <c r="H36" s="1" t="s">
        <v>1328</v>
      </c>
      <c r="I36" s="1">
        <v>82</v>
      </c>
      <c r="J36" s="1">
        <v>58</v>
      </c>
      <c r="K36" s="1">
        <v>22</v>
      </c>
      <c r="L36" s="1">
        <v>11</v>
      </c>
      <c r="M36" s="72">
        <v>26.158000000000001</v>
      </c>
      <c r="N36" s="88">
        <v>26.158000000000001</v>
      </c>
      <c r="O36" s="57">
        <v>7000</v>
      </c>
      <c r="P36" s="58">
        <f t="shared" si="0"/>
        <v>183106</v>
      </c>
    </row>
    <row r="37" spans="1:16" ht="26.25" customHeight="1" x14ac:dyDescent="0.2">
      <c r="A37" s="97"/>
      <c r="B37" s="97"/>
      <c r="C37" s="1" t="s">
        <v>1305</v>
      </c>
      <c r="D37" s="68" t="s">
        <v>57</v>
      </c>
      <c r="E37" s="94">
        <v>44539</v>
      </c>
      <c r="F37" s="1" t="s">
        <v>71</v>
      </c>
      <c r="G37" s="94">
        <v>44543</v>
      </c>
      <c r="H37" s="1" t="s">
        <v>1328</v>
      </c>
      <c r="I37" s="1">
        <v>83</v>
      </c>
      <c r="J37" s="1">
        <v>52</v>
      </c>
      <c r="K37" s="1">
        <v>22</v>
      </c>
      <c r="L37" s="1">
        <v>7</v>
      </c>
      <c r="M37" s="72">
        <v>23.738</v>
      </c>
      <c r="N37" s="88">
        <v>23.738</v>
      </c>
      <c r="O37" s="57">
        <v>7000</v>
      </c>
      <c r="P37" s="58">
        <f t="shared" si="0"/>
        <v>166166</v>
      </c>
    </row>
    <row r="38" spans="1:16" ht="26.25" customHeight="1" x14ac:dyDescent="0.2">
      <c r="A38" s="97"/>
      <c r="B38" s="97"/>
      <c r="C38" s="1" t="s">
        <v>1306</v>
      </c>
      <c r="D38" s="68" t="s">
        <v>57</v>
      </c>
      <c r="E38" s="94">
        <v>44539</v>
      </c>
      <c r="F38" s="1" t="s">
        <v>71</v>
      </c>
      <c r="G38" s="94">
        <v>44543</v>
      </c>
      <c r="H38" s="1" t="s">
        <v>1328</v>
      </c>
      <c r="I38" s="1">
        <v>60</v>
      </c>
      <c r="J38" s="1">
        <v>57</v>
      </c>
      <c r="K38" s="1">
        <v>20</v>
      </c>
      <c r="L38" s="1">
        <v>6</v>
      </c>
      <c r="M38" s="72">
        <v>17.100000000000001</v>
      </c>
      <c r="N38" s="88">
        <v>17.100000000000001</v>
      </c>
      <c r="O38" s="57">
        <v>7000</v>
      </c>
      <c r="P38" s="58">
        <f t="shared" si="0"/>
        <v>119700.00000000001</v>
      </c>
    </row>
    <row r="39" spans="1:16" ht="26.25" customHeight="1" x14ac:dyDescent="0.2">
      <c r="A39" s="97"/>
      <c r="B39" s="97"/>
      <c r="C39" s="1" t="s">
        <v>1307</v>
      </c>
      <c r="D39" s="68" t="s">
        <v>57</v>
      </c>
      <c r="E39" s="94">
        <v>44539</v>
      </c>
      <c r="F39" s="1" t="s">
        <v>71</v>
      </c>
      <c r="G39" s="94">
        <v>44543</v>
      </c>
      <c r="H39" s="1" t="s">
        <v>1328</v>
      </c>
      <c r="I39" s="1">
        <v>100</v>
      </c>
      <c r="J39" s="1">
        <v>62</v>
      </c>
      <c r="K39" s="1">
        <v>53</v>
      </c>
      <c r="L39" s="1">
        <v>19</v>
      </c>
      <c r="M39" s="72">
        <v>82.15</v>
      </c>
      <c r="N39" s="88">
        <v>82.15</v>
      </c>
      <c r="O39" s="57">
        <v>7000</v>
      </c>
      <c r="P39" s="58">
        <f t="shared" si="0"/>
        <v>575050</v>
      </c>
    </row>
    <row r="40" spans="1:16" ht="26.25" customHeight="1" x14ac:dyDescent="0.2">
      <c r="A40" s="97"/>
      <c r="B40" s="97"/>
      <c r="C40" s="65" t="s">
        <v>1308</v>
      </c>
      <c r="D40" s="70" t="s">
        <v>57</v>
      </c>
      <c r="E40" s="12">
        <v>44539</v>
      </c>
      <c r="F40" s="68" t="s">
        <v>71</v>
      </c>
      <c r="G40" s="12">
        <v>44543</v>
      </c>
      <c r="H40" s="69" t="s">
        <v>1328</v>
      </c>
      <c r="I40" s="15">
        <v>92</v>
      </c>
      <c r="J40" s="15">
        <v>57</v>
      </c>
      <c r="K40" s="15">
        <v>27</v>
      </c>
      <c r="L40" s="15">
        <v>22</v>
      </c>
      <c r="M40" s="73">
        <v>35.396999999999998</v>
      </c>
      <c r="N40" s="88">
        <v>36</v>
      </c>
      <c r="O40" s="57">
        <v>7000</v>
      </c>
      <c r="P40" s="58">
        <f t="shared" si="0"/>
        <v>252000</v>
      </c>
    </row>
    <row r="41" spans="1:16" ht="26.25" customHeight="1" x14ac:dyDescent="0.2">
      <c r="A41" s="97"/>
      <c r="B41" s="97"/>
      <c r="C41" s="65" t="s">
        <v>1309</v>
      </c>
      <c r="D41" s="70" t="s">
        <v>57</v>
      </c>
      <c r="E41" s="12">
        <v>44539</v>
      </c>
      <c r="F41" s="68" t="s">
        <v>71</v>
      </c>
      <c r="G41" s="12">
        <v>44543</v>
      </c>
      <c r="H41" s="69" t="s">
        <v>1328</v>
      </c>
      <c r="I41" s="15">
        <v>30</v>
      </c>
      <c r="J41" s="15">
        <v>26</v>
      </c>
      <c r="K41" s="15">
        <v>15</v>
      </c>
      <c r="L41" s="15">
        <v>2</v>
      </c>
      <c r="M41" s="73">
        <v>2.9249999999999998</v>
      </c>
      <c r="N41" s="88">
        <v>2.9249999999999998</v>
      </c>
      <c r="O41" s="57">
        <v>7000</v>
      </c>
      <c r="P41" s="58">
        <f t="shared" si="0"/>
        <v>20475</v>
      </c>
    </row>
    <row r="42" spans="1:16" ht="26.25" customHeight="1" x14ac:dyDescent="0.2">
      <c r="A42" s="97"/>
      <c r="B42" s="97"/>
      <c r="C42" s="65" t="s">
        <v>1310</v>
      </c>
      <c r="D42" s="70" t="s">
        <v>57</v>
      </c>
      <c r="E42" s="12">
        <v>44539</v>
      </c>
      <c r="F42" s="68" t="s">
        <v>71</v>
      </c>
      <c r="G42" s="12">
        <v>44543</v>
      </c>
      <c r="H42" s="69" t="s">
        <v>1328</v>
      </c>
      <c r="I42" s="15">
        <v>110</v>
      </c>
      <c r="J42" s="15">
        <v>16</v>
      </c>
      <c r="K42" s="15">
        <v>7</v>
      </c>
      <c r="L42" s="15">
        <v>5</v>
      </c>
      <c r="M42" s="73">
        <v>3.08</v>
      </c>
      <c r="N42" s="88">
        <v>5</v>
      </c>
      <c r="O42" s="57">
        <v>7000</v>
      </c>
      <c r="P42" s="58">
        <f t="shared" si="0"/>
        <v>35000</v>
      </c>
    </row>
    <row r="43" spans="1:16" ht="26.25" customHeight="1" x14ac:dyDescent="0.2">
      <c r="A43" s="97"/>
      <c r="B43" s="97"/>
      <c r="C43" s="65" t="s">
        <v>1311</v>
      </c>
      <c r="D43" s="70" t="s">
        <v>57</v>
      </c>
      <c r="E43" s="12">
        <v>44539</v>
      </c>
      <c r="F43" s="68" t="s">
        <v>71</v>
      </c>
      <c r="G43" s="12">
        <v>44543</v>
      </c>
      <c r="H43" s="69" t="s">
        <v>1328</v>
      </c>
      <c r="I43" s="15">
        <v>55</v>
      </c>
      <c r="J43" s="15">
        <v>44</v>
      </c>
      <c r="K43" s="15">
        <v>32</v>
      </c>
      <c r="L43" s="15">
        <v>2</v>
      </c>
      <c r="M43" s="73">
        <v>19.36</v>
      </c>
      <c r="N43" s="88">
        <v>20</v>
      </c>
      <c r="O43" s="57">
        <v>7000</v>
      </c>
      <c r="P43" s="58">
        <f t="shared" si="0"/>
        <v>140000</v>
      </c>
    </row>
    <row r="44" spans="1:16" ht="26.25" customHeight="1" x14ac:dyDescent="0.2">
      <c r="A44" s="97"/>
      <c r="B44" s="97"/>
      <c r="C44" s="65" t="s">
        <v>1312</v>
      </c>
      <c r="D44" s="70" t="s">
        <v>57</v>
      </c>
      <c r="E44" s="12">
        <v>44539</v>
      </c>
      <c r="F44" s="68" t="s">
        <v>71</v>
      </c>
      <c r="G44" s="12">
        <v>44543</v>
      </c>
      <c r="H44" s="69" t="s">
        <v>1328</v>
      </c>
      <c r="I44" s="15">
        <v>24</v>
      </c>
      <c r="J44" s="15">
        <v>17</v>
      </c>
      <c r="K44" s="15">
        <v>10</v>
      </c>
      <c r="L44" s="15">
        <v>1</v>
      </c>
      <c r="M44" s="73">
        <v>1.02</v>
      </c>
      <c r="N44" s="88">
        <v>1.02</v>
      </c>
      <c r="O44" s="57">
        <v>7000</v>
      </c>
      <c r="P44" s="58">
        <f t="shared" si="0"/>
        <v>7140</v>
      </c>
    </row>
    <row r="45" spans="1:16" ht="26.25" customHeight="1" x14ac:dyDescent="0.2">
      <c r="A45" s="97"/>
      <c r="B45" s="98"/>
      <c r="C45" s="65" t="s">
        <v>1313</v>
      </c>
      <c r="D45" s="70" t="s">
        <v>57</v>
      </c>
      <c r="E45" s="12">
        <v>44539</v>
      </c>
      <c r="F45" s="68" t="s">
        <v>71</v>
      </c>
      <c r="G45" s="12">
        <v>44543</v>
      </c>
      <c r="H45" s="69" t="s">
        <v>1328</v>
      </c>
      <c r="I45" s="15">
        <v>22</v>
      </c>
      <c r="J45" s="15">
        <v>22</v>
      </c>
      <c r="K45" s="15">
        <v>4</v>
      </c>
      <c r="L45" s="15">
        <v>1</v>
      </c>
      <c r="M45" s="73">
        <v>0.48399999999999999</v>
      </c>
      <c r="N45" s="88">
        <v>2</v>
      </c>
      <c r="O45" s="57">
        <v>7000</v>
      </c>
      <c r="P45" s="58">
        <f t="shared" si="0"/>
        <v>14000</v>
      </c>
    </row>
    <row r="46" spans="1:16" ht="26.25" customHeight="1" x14ac:dyDescent="0.2">
      <c r="A46" s="97"/>
      <c r="B46" s="97" t="s">
        <v>1314</v>
      </c>
      <c r="C46" s="65" t="s">
        <v>1315</v>
      </c>
      <c r="D46" s="70" t="s">
        <v>57</v>
      </c>
      <c r="E46" s="12">
        <v>44539</v>
      </c>
      <c r="F46" s="68" t="s">
        <v>71</v>
      </c>
      <c r="G46" s="12">
        <v>44543</v>
      </c>
      <c r="H46" s="69" t="s">
        <v>1328</v>
      </c>
      <c r="I46" s="15">
        <v>37</v>
      </c>
      <c r="J46" s="15">
        <v>24</v>
      </c>
      <c r="K46" s="15">
        <v>17</v>
      </c>
      <c r="L46" s="15">
        <v>5</v>
      </c>
      <c r="M46" s="73">
        <v>3.774</v>
      </c>
      <c r="N46" s="88">
        <v>5</v>
      </c>
      <c r="O46" s="57">
        <v>7000</v>
      </c>
      <c r="P46" s="58">
        <f t="shared" si="0"/>
        <v>35000</v>
      </c>
    </row>
    <row r="47" spans="1:16" ht="26.25" customHeight="1" x14ac:dyDescent="0.2">
      <c r="A47" s="97"/>
      <c r="B47" s="98"/>
      <c r="C47" s="65" t="s">
        <v>1316</v>
      </c>
      <c r="D47" s="70" t="s">
        <v>57</v>
      </c>
      <c r="E47" s="12">
        <v>44539</v>
      </c>
      <c r="F47" s="68" t="s">
        <v>71</v>
      </c>
      <c r="G47" s="12">
        <v>44543</v>
      </c>
      <c r="H47" s="69" t="s">
        <v>1328</v>
      </c>
      <c r="I47" s="15">
        <v>45</v>
      </c>
      <c r="J47" s="15">
        <v>25</v>
      </c>
      <c r="K47" s="15">
        <v>17</v>
      </c>
      <c r="L47" s="15">
        <v>1</v>
      </c>
      <c r="M47" s="73">
        <v>4.78125</v>
      </c>
      <c r="N47" s="88">
        <v>4.78125</v>
      </c>
      <c r="O47" s="57">
        <v>7000</v>
      </c>
      <c r="P47" s="58">
        <f t="shared" si="0"/>
        <v>33468.75</v>
      </c>
    </row>
    <row r="48" spans="1:16" ht="26.25" customHeight="1" x14ac:dyDescent="0.2">
      <c r="A48" s="97"/>
      <c r="B48" s="97" t="s">
        <v>1317</v>
      </c>
      <c r="C48" s="65" t="s">
        <v>1318</v>
      </c>
      <c r="D48" s="70" t="s">
        <v>57</v>
      </c>
      <c r="E48" s="12">
        <v>44539</v>
      </c>
      <c r="F48" s="68" t="s">
        <v>71</v>
      </c>
      <c r="G48" s="12">
        <v>44543</v>
      </c>
      <c r="H48" s="69" t="s">
        <v>1328</v>
      </c>
      <c r="I48" s="15">
        <v>32</v>
      </c>
      <c r="J48" s="15">
        <v>28</v>
      </c>
      <c r="K48" s="15">
        <v>25</v>
      </c>
      <c r="L48" s="15">
        <v>4</v>
      </c>
      <c r="M48" s="73">
        <v>5.6</v>
      </c>
      <c r="N48" s="88">
        <v>5.6</v>
      </c>
      <c r="O48" s="57">
        <v>7000</v>
      </c>
      <c r="P48" s="58">
        <f t="shared" si="0"/>
        <v>39200</v>
      </c>
    </row>
    <row r="49" spans="1:16" ht="26.25" customHeight="1" x14ac:dyDescent="0.2">
      <c r="A49" s="97"/>
      <c r="B49" s="97"/>
      <c r="C49" s="65" t="s">
        <v>1319</v>
      </c>
      <c r="D49" s="70" t="s">
        <v>57</v>
      </c>
      <c r="E49" s="12">
        <v>44539</v>
      </c>
      <c r="F49" s="68" t="s">
        <v>71</v>
      </c>
      <c r="G49" s="12">
        <v>44543</v>
      </c>
      <c r="H49" s="69" t="s">
        <v>1328</v>
      </c>
      <c r="I49" s="15">
        <v>82</v>
      </c>
      <c r="J49" s="15">
        <v>54</v>
      </c>
      <c r="K49" s="15">
        <v>32</v>
      </c>
      <c r="L49" s="15">
        <v>16</v>
      </c>
      <c r="M49" s="73">
        <v>35.423999999999999</v>
      </c>
      <c r="N49" s="88">
        <v>36</v>
      </c>
      <c r="O49" s="57">
        <v>7000</v>
      </c>
      <c r="P49" s="58">
        <f t="shared" si="0"/>
        <v>252000</v>
      </c>
    </row>
    <row r="50" spans="1:16" ht="26.25" customHeight="1" x14ac:dyDescent="0.2">
      <c r="A50" s="97"/>
      <c r="B50" s="97"/>
      <c r="C50" s="65" t="s">
        <v>1320</v>
      </c>
      <c r="D50" s="70" t="s">
        <v>57</v>
      </c>
      <c r="E50" s="12">
        <v>44539</v>
      </c>
      <c r="F50" s="68" t="s">
        <v>71</v>
      </c>
      <c r="G50" s="12">
        <v>44543</v>
      </c>
      <c r="H50" s="69" t="s">
        <v>1328</v>
      </c>
      <c r="I50" s="15">
        <v>62</v>
      </c>
      <c r="J50" s="15">
        <v>62</v>
      </c>
      <c r="K50" s="15">
        <v>45</v>
      </c>
      <c r="L50" s="15">
        <v>20</v>
      </c>
      <c r="M50" s="73">
        <v>43.244999999999997</v>
      </c>
      <c r="N50" s="88">
        <v>43.244999999999997</v>
      </c>
      <c r="O50" s="57">
        <v>7000</v>
      </c>
      <c r="P50" s="58">
        <f t="shared" si="0"/>
        <v>302715</v>
      </c>
    </row>
    <row r="51" spans="1:16" ht="26.25" customHeight="1" x14ac:dyDescent="0.2">
      <c r="A51" s="97"/>
      <c r="B51" s="97"/>
      <c r="C51" s="65" t="s">
        <v>1321</v>
      </c>
      <c r="D51" s="70" t="s">
        <v>57</v>
      </c>
      <c r="E51" s="12">
        <v>44539</v>
      </c>
      <c r="F51" s="68" t="s">
        <v>71</v>
      </c>
      <c r="G51" s="12">
        <v>44543</v>
      </c>
      <c r="H51" s="69" t="s">
        <v>1328</v>
      </c>
      <c r="I51" s="15">
        <v>20</v>
      </c>
      <c r="J51" s="15">
        <v>15</v>
      </c>
      <c r="K51" s="15">
        <v>28</v>
      </c>
      <c r="L51" s="15">
        <v>1</v>
      </c>
      <c r="M51" s="73">
        <v>2.1</v>
      </c>
      <c r="N51" s="88">
        <v>2.1</v>
      </c>
      <c r="O51" s="57">
        <v>7000</v>
      </c>
      <c r="P51" s="58">
        <f t="shared" si="0"/>
        <v>14700</v>
      </c>
    </row>
    <row r="52" spans="1:16" ht="26.25" customHeight="1" x14ac:dyDescent="0.2">
      <c r="A52" s="97"/>
      <c r="B52" s="97"/>
      <c r="C52" s="65" t="s">
        <v>1322</v>
      </c>
      <c r="D52" s="70" t="s">
        <v>57</v>
      </c>
      <c r="E52" s="12">
        <v>44539</v>
      </c>
      <c r="F52" s="68" t="s">
        <v>71</v>
      </c>
      <c r="G52" s="12">
        <v>44543</v>
      </c>
      <c r="H52" s="69" t="s">
        <v>1328</v>
      </c>
      <c r="I52" s="15">
        <v>30</v>
      </c>
      <c r="J52" s="15">
        <v>34</v>
      </c>
      <c r="K52" s="15">
        <v>16</v>
      </c>
      <c r="L52" s="15">
        <v>3</v>
      </c>
      <c r="M52" s="73">
        <v>4.08</v>
      </c>
      <c r="N52" s="88">
        <v>4.08</v>
      </c>
      <c r="O52" s="57">
        <v>7000</v>
      </c>
      <c r="P52" s="58">
        <f t="shared" si="0"/>
        <v>28560</v>
      </c>
    </row>
    <row r="53" spans="1:16" ht="26.25" customHeight="1" x14ac:dyDescent="0.2">
      <c r="A53" s="97"/>
      <c r="B53" s="97"/>
      <c r="C53" s="65" t="s">
        <v>1323</v>
      </c>
      <c r="D53" s="70" t="s">
        <v>57</v>
      </c>
      <c r="E53" s="12">
        <v>44539</v>
      </c>
      <c r="F53" s="68" t="s">
        <v>71</v>
      </c>
      <c r="G53" s="12">
        <v>44543</v>
      </c>
      <c r="H53" s="69" t="s">
        <v>1328</v>
      </c>
      <c r="I53" s="15">
        <v>45</v>
      </c>
      <c r="J53" s="15">
        <v>35</v>
      </c>
      <c r="K53" s="15">
        <v>15</v>
      </c>
      <c r="L53" s="15">
        <v>5</v>
      </c>
      <c r="M53" s="73">
        <v>5.90625</v>
      </c>
      <c r="N53" s="88">
        <v>5.90625</v>
      </c>
      <c r="O53" s="57">
        <v>7000</v>
      </c>
      <c r="P53" s="58">
        <f t="shared" si="0"/>
        <v>41343.75</v>
      </c>
    </row>
    <row r="54" spans="1:16" ht="26.25" customHeight="1" x14ac:dyDescent="0.2">
      <c r="A54" s="97"/>
      <c r="B54" s="97"/>
      <c r="C54" s="65" t="s">
        <v>1324</v>
      </c>
      <c r="D54" s="70" t="s">
        <v>57</v>
      </c>
      <c r="E54" s="12">
        <v>44539</v>
      </c>
      <c r="F54" s="68" t="s">
        <v>71</v>
      </c>
      <c r="G54" s="12">
        <v>44543</v>
      </c>
      <c r="H54" s="69" t="s">
        <v>1328</v>
      </c>
      <c r="I54" s="15">
        <v>44</v>
      </c>
      <c r="J54" s="15">
        <v>34</v>
      </c>
      <c r="K54" s="15">
        <v>27</v>
      </c>
      <c r="L54" s="15">
        <v>25</v>
      </c>
      <c r="M54" s="73">
        <v>10.098000000000001</v>
      </c>
      <c r="N54" s="88">
        <v>25</v>
      </c>
      <c r="O54" s="57">
        <v>7000</v>
      </c>
      <c r="P54" s="58">
        <f t="shared" si="0"/>
        <v>175000</v>
      </c>
    </row>
    <row r="55" spans="1:16" ht="26.25" customHeight="1" x14ac:dyDescent="0.2">
      <c r="A55" s="97"/>
      <c r="B55" s="97"/>
      <c r="C55" s="65" t="s">
        <v>1325</v>
      </c>
      <c r="D55" s="70" t="s">
        <v>57</v>
      </c>
      <c r="E55" s="12">
        <v>44539</v>
      </c>
      <c r="F55" s="68" t="s">
        <v>71</v>
      </c>
      <c r="G55" s="12">
        <v>44543</v>
      </c>
      <c r="H55" s="69" t="s">
        <v>1328</v>
      </c>
      <c r="I55" s="15">
        <v>48</v>
      </c>
      <c r="J55" s="15">
        <v>35</v>
      </c>
      <c r="K55" s="15">
        <v>38</v>
      </c>
      <c r="L55" s="15">
        <v>32</v>
      </c>
      <c r="M55" s="73">
        <v>15.96</v>
      </c>
      <c r="N55" s="88">
        <v>32</v>
      </c>
      <c r="O55" s="57">
        <v>7000</v>
      </c>
      <c r="P55" s="58">
        <f t="shared" si="0"/>
        <v>224000</v>
      </c>
    </row>
    <row r="56" spans="1:16" ht="26.25" customHeight="1" x14ac:dyDescent="0.2">
      <c r="A56" s="97"/>
      <c r="B56" s="97"/>
      <c r="C56" s="65" t="s">
        <v>1326</v>
      </c>
      <c r="D56" s="70" t="s">
        <v>57</v>
      </c>
      <c r="E56" s="12">
        <v>44539</v>
      </c>
      <c r="F56" s="68" t="s">
        <v>71</v>
      </c>
      <c r="G56" s="12">
        <v>44543</v>
      </c>
      <c r="H56" s="69" t="s">
        <v>1328</v>
      </c>
      <c r="I56" s="15">
        <v>78</v>
      </c>
      <c r="J56" s="15">
        <v>60</v>
      </c>
      <c r="K56" s="15">
        <v>34</v>
      </c>
      <c r="L56" s="15">
        <v>35</v>
      </c>
      <c r="M56" s="73">
        <v>39.78</v>
      </c>
      <c r="N56" s="88">
        <v>39.78</v>
      </c>
      <c r="O56" s="57">
        <v>7000</v>
      </c>
      <c r="P56" s="58">
        <f t="shared" si="0"/>
        <v>278460</v>
      </c>
    </row>
    <row r="57" spans="1:16" ht="26.25" customHeight="1" x14ac:dyDescent="0.2">
      <c r="A57" s="97"/>
      <c r="B57" s="97"/>
      <c r="C57" s="65" t="s">
        <v>1327</v>
      </c>
      <c r="D57" s="70" t="s">
        <v>57</v>
      </c>
      <c r="E57" s="12">
        <v>44539</v>
      </c>
      <c r="F57" s="68" t="s">
        <v>71</v>
      </c>
      <c r="G57" s="12">
        <v>44543</v>
      </c>
      <c r="H57" s="69" t="s">
        <v>1328</v>
      </c>
      <c r="I57" s="15">
        <v>85</v>
      </c>
      <c r="J57" s="15">
        <v>40</v>
      </c>
      <c r="K57" s="15">
        <v>22</v>
      </c>
      <c r="L57" s="15">
        <v>20</v>
      </c>
      <c r="M57" s="73">
        <v>18.7</v>
      </c>
      <c r="N57" s="88">
        <v>20</v>
      </c>
      <c r="O57" s="57">
        <v>7000</v>
      </c>
      <c r="P57" s="58">
        <f t="shared" si="0"/>
        <v>140000</v>
      </c>
    </row>
    <row r="58" spans="1:16" ht="22.5" customHeight="1" x14ac:dyDescent="0.2">
      <c r="A58" s="159" t="s">
        <v>30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1"/>
      <c r="M58" s="71">
        <f>SUBTOTAL(109,Table224578910112345678910111213141516171819202122232425[KG VOLUME])</f>
        <v>1285.8074999999994</v>
      </c>
      <c r="N58" s="61">
        <f>SUM(N3:N57)</f>
        <v>1332.6124999999997</v>
      </c>
      <c r="O58" s="162">
        <f>SUM(P3:P57)</f>
        <v>9328287.5</v>
      </c>
      <c r="P58" s="163"/>
    </row>
    <row r="59" spans="1:16" ht="18" customHeight="1" x14ac:dyDescent="0.2">
      <c r="A59" s="78"/>
      <c r="B59" s="49" t="s">
        <v>42</v>
      </c>
      <c r="C59" s="48"/>
      <c r="D59" s="50" t="s">
        <v>43</v>
      </c>
      <c r="E59" s="78"/>
      <c r="F59" s="78"/>
      <c r="G59" s="78"/>
      <c r="H59" s="78"/>
      <c r="I59" s="78"/>
      <c r="J59" s="78"/>
      <c r="K59" s="78"/>
      <c r="L59" s="78"/>
      <c r="M59" s="79"/>
      <c r="N59" s="80" t="s">
        <v>52</v>
      </c>
      <c r="O59" s="81"/>
      <c r="P59" s="81">
        <v>0</v>
      </c>
    </row>
    <row r="60" spans="1:16" ht="18" customHeight="1" thickBot="1" x14ac:dyDescent="0.25">
      <c r="A60" s="78"/>
      <c r="B60" s="49"/>
      <c r="C60" s="48"/>
      <c r="D60" s="50"/>
      <c r="E60" s="78"/>
      <c r="F60" s="78"/>
      <c r="G60" s="78"/>
      <c r="H60" s="78"/>
      <c r="I60" s="78"/>
      <c r="J60" s="78"/>
      <c r="K60" s="78"/>
      <c r="L60" s="78"/>
      <c r="M60" s="79"/>
      <c r="N60" s="82" t="s">
        <v>53</v>
      </c>
      <c r="O60" s="83"/>
      <c r="P60" s="83">
        <f>O58-P59</f>
        <v>9328287.5</v>
      </c>
    </row>
    <row r="61" spans="1:16" ht="18" customHeight="1" x14ac:dyDescent="0.2">
      <c r="A61" s="10"/>
      <c r="H61" s="56"/>
      <c r="N61" s="55" t="s">
        <v>31</v>
      </c>
      <c r="P61" s="62">
        <f>P60*1%</f>
        <v>93282.875</v>
      </c>
    </row>
    <row r="62" spans="1:16" ht="18" customHeight="1" thickBot="1" x14ac:dyDescent="0.25">
      <c r="A62" s="10"/>
      <c r="H62" s="56"/>
      <c r="N62" s="55" t="s">
        <v>54</v>
      </c>
      <c r="P62" s="64">
        <f>P60*2%</f>
        <v>186565.75</v>
      </c>
    </row>
    <row r="63" spans="1:16" ht="18" customHeight="1" x14ac:dyDescent="0.2">
      <c r="A63" s="10"/>
      <c r="H63" s="56"/>
      <c r="N63" s="59" t="s">
        <v>32</v>
      </c>
      <c r="O63" s="60"/>
      <c r="P63" s="63">
        <f>P60+P61-P62</f>
        <v>9235004.625</v>
      </c>
    </row>
    <row r="65" spans="1:16" x14ac:dyDescent="0.2">
      <c r="A65" s="10"/>
      <c r="H65" s="56"/>
      <c r="P65" s="64"/>
    </row>
    <row r="66" spans="1:16" x14ac:dyDescent="0.2">
      <c r="A66" s="10"/>
      <c r="H66" s="56"/>
      <c r="O66" s="51"/>
      <c r="P66" s="64"/>
    </row>
    <row r="67" spans="1:16" s="3" customFormat="1" x14ac:dyDescent="0.25">
      <c r="A67" s="10"/>
      <c r="B67" s="2"/>
      <c r="C67" s="2"/>
      <c r="E67" s="11"/>
      <c r="H67" s="56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6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6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6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6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6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6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6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6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6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6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6"/>
      <c r="N78" s="14"/>
      <c r="O78" s="14"/>
      <c r="P78" s="14"/>
    </row>
  </sheetData>
  <mergeCells count="2">
    <mergeCell ref="A58:L58"/>
    <mergeCell ref="O58:P58"/>
  </mergeCells>
  <conditionalFormatting sqref="C3:C57">
    <cfRule type="duplicateValues" dxfId="1215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2"/>
  <sheetViews>
    <sheetView zoomScale="110" zoomScaleNormal="110" workbookViewId="0">
      <pane xSplit="3" ySplit="2" topLeftCell="D30" activePane="bottomRight" state="frozen"/>
      <selection activeCell="H12" sqref="H12"/>
      <selection pane="topRight" activeCell="H12" sqref="H12"/>
      <selection pane="bottomLeft" activeCell="H12" sqref="H12"/>
      <selection pane="bottomRight" activeCell="N91" sqref="N3:N91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9.7109375" style="3" customWidth="1"/>
    <col min="5" max="5" width="8.85546875" style="11" customWidth="1"/>
    <col min="6" max="6" width="16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405848</v>
      </c>
      <c r="B3" s="99" t="s">
        <v>1329</v>
      </c>
      <c r="C3" s="90" t="s">
        <v>1330</v>
      </c>
      <c r="D3" s="102" t="s">
        <v>57</v>
      </c>
      <c r="E3" s="91">
        <v>44539</v>
      </c>
      <c r="F3" s="90" t="s">
        <v>71</v>
      </c>
      <c r="G3" s="91">
        <v>44543</v>
      </c>
      <c r="H3" s="90" t="s">
        <v>1328</v>
      </c>
      <c r="I3" s="90">
        <v>89</v>
      </c>
      <c r="J3" s="90">
        <v>58</v>
      </c>
      <c r="K3" s="90">
        <v>25</v>
      </c>
      <c r="L3" s="90">
        <v>26</v>
      </c>
      <c r="M3" s="106">
        <v>32.262500000000003</v>
      </c>
      <c r="N3" s="104">
        <v>32.262500000000003</v>
      </c>
      <c r="O3" s="57">
        <v>7000</v>
      </c>
      <c r="P3" s="58">
        <f t="shared" ref="P3:P66" si="0">N3*O3</f>
        <v>225837.50000000003</v>
      </c>
    </row>
    <row r="4" spans="1:16" ht="26.25" customHeight="1" x14ac:dyDescent="0.2">
      <c r="A4" s="100"/>
      <c r="B4" s="100"/>
      <c r="C4" s="90" t="s">
        <v>1331</v>
      </c>
      <c r="D4" s="102" t="s">
        <v>57</v>
      </c>
      <c r="E4" s="91">
        <v>44539</v>
      </c>
      <c r="F4" s="90" t="s">
        <v>71</v>
      </c>
      <c r="G4" s="91">
        <v>44543</v>
      </c>
      <c r="H4" s="90" t="s">
        <v>1328</v>
      </c>
      <c r="I4" s="90">
        <v>59</v>
      </c>
      <c r="J4" s="90">
        <v>38</v>
      </c>
      <c r="K4" s="90">
        <v>54</v>
      </c>
      <c r="L4" s="90">
        <v>17</v>
      </c>
      <c r="M4" s="106">
        <v>30.266999999999999</v>
      </c>
      <c r="N4" s="104">
        <v>30.266999999999999</v>
      </c>
      <c r="O4" s="57">
        <v>7000</v>
      </c>
      <c r="P4" s="58">
        <f t="shared" si="0"/>
        <v>211869</v>
      </c>
    </row>
    <row r="5" spans="1:16" ht="26.25" customHeight="1" x14ac:dyDescent="0.2">
      <c r="A5" s="100"/>
      <c r="B5" s="100"/>
      <c r="C5" s="15" t="s">
        <v>1332</v>
      </c>
      <c r="D5" s="70" t="s">
        <v>57</v>
      </c>
      <c r="E5" s="12">
        <v>44539</v>
      </c>
      <c r="F5" s="1" t="s">
        <v>71</v>
      </c>
      <c r="G5" s="12">
        <v>44543</v>
      </c>
      <c r="H5" s="125" t="s">
        <v>1328</v>
      </c>
      <c r="I5" s="15">
        <v>47</v>
      </c>
      <c r="J5" s="15">
        <v>33</v>
      </c>
      <c r="K5" s="15">
        <v>26</v>
      </c>
      <c r="L5" s="15">
        <v>3</v>
      </c>
      <c r="M5" s="126">
        <v>10.0815</v>
      </c>
      <c r="N5" s="104">
        <v>10.0815</v>
      </c>
      <c r="O5" s="57">
        <v>7000</v>
      </c>
      <c r="P5" s="58">
        <f t="shared" si="0"/>
        <v>70570.5</v>
      </c>
    </row>
    <row r="6" spans="1:16" ht="26.25" customHeight="1" x14ac:dyDescent="0.2">
      <c r="A6" s="100"/>
      <c r="B6" s="100"/>
      <c r="C6" s="15" t="s">
        <v>1333</v>
      </c>
      <c r="D6" s="70" t="s">
        <v>57</v>
      </c>
      <c r="E6" s="12">
        <v>44539</v>
      </c>
      <c r="F6" s="1" t="s">
        <v>71</v>
      </c>
      <c r="G6" s="12">
        <v>44543</v>
      </c>
      <c r="H6" s="125" t="s">
        <v>1328</v>
      </c>
      <c r="I6" s="15">
        <v>48</v>
      </c>
      <c r="J6" s="15">
        <v>38</v>
      </c>
      <c r="K6" s="15">
        <v>38</v>
      </c>
      <c r="L6" s="15">
        <v>14</v>
      </c>
      <c r="M6" s="126">
        <v>17.327999999999999</v>
      </c>
      <c r="N6" s="104">
        <v>18</v>
      </c>
      <c r="O6" s="57">
        <v>7000</v>
      </c>
      <c r="P6" s="58">
        <f t="shared" si="0"/>
        <v>126000</v>
      </c>
    </row>
    <row r="7" spans="1:16" ht="26.25" customHeight="1" x14ac:dyDescent="0.2">
      <c r="A7" s="100"/>
      <c r="B7" s="100"/>
      <c r="C7" s="15" t="s">
        <v>1334</v>
      </c>
      <c r="D7" s="70" t="s">
        <v>57</v>
      </c>
      <c r="E7" s="12">
        <v>44539</v>
      </c>
      <c r="F7" s="1" t="s">
        <v>71</v>
      </c>
      <c r="G7" s="12">
        <v>44543</v>
      </c>
      <c r="H7" s="125" t="s">
        <v>1328</v>
      </c>
      <c r="I7" s="15">
        <v>47</v>
      </c>
      <c r="J7" s="15">
        <v>33</v>
      </c>
      <c r="K7" s="15">
        <v>17</v>
      </c>
      <c r="L7" s="15">
        <v>3</v>
      </c>
      <c r="M7" s="126">
        <v>6.5917500000000002</v>
      </c>
      <c r="N7" s="104">
        <v>6.5917500000000002</v>
      </c>
      <c r="O7" s="57">
        <v>7000</v>
      </c>
      <c r="P7" s="58">
        <f t="shared" si="0"/>
        <v>46142.25</v>
      </c>
    </row>
    <row r="8" spans="1:16" ht="26.25" customHeight="1" x14ac:dyDescent="0.2">
      <c r="A8" s="100"/>
      <c r="B8" s="100"/>
      <c r="C8" s="15" t="s">
        <v>1335</v>
      </c>
      <c r="D8" s="70" t="s">
        <v>57</v>
      </c>
      <c r="E8" s="12">
        <v>44539</v>
      </c>
      <c r="F8" s="1" t="s">
        <v>71</v>
      </c>
      <c r="G8" s="12">
        <v>44543</v>
      </c>
      <c r="H8" s="125" t="s">
        <v>1328</v>
      </c>
      <c r="I8" s="15">
        <v>53</v>
      </c>
      <c r="J8" s="15">
        <v>32</v>
      </c>
      <c r="K8" s="15">
        <v>26</v>
      </c>
      <c r="L8" s="15">
        <v>4</v>
      </c>
      <c r="M8" s="126">
        <v>11.023999999999999</v>
      </c>
      <c r="N8" s="104">
        <v>11.023999999999999</v>
      </c>
      <c r="O8" s="57">
        <v>7000</v>
      </c>
      <c r="P8" s="58">
        <f t="shared" si="0"/>
        <v>77168</v>
      </c>
    </row>
    <row r="9" spans="1:16" ht="26.25" customHeight="1" x14ac:dyDescent="0.2">
      <c r="A9" s="100"/>
      <c r="B9" s="100"/>
      <c r="C9" s="15" t="s">
        <v>1336</v>
      </c>
      <c r="D9" s="70" t="s">
        <v>57</v>
      </c>
      <c r="E9" s="12">
        <v>44539</v>
      </c>
      <c r="F9" s="1" t="s">
        <v>71</v>
      </c>
      <c r="G9" s="12">
        <v>44543</v>
      </c>
      <c r="H9" s="125" t="s">
        <v>1328</v>
      </c>
      <c r="I9" s="15">
        <v>59</v>
      </c>
      <c r="J9" s="15">
        <v>36</v>
      </c>
      <c r="K9" s="15">
        <v>17</v>
      </c>
      <c r="L9" s="15">
        <v>5</v>
      </c>
      <c r="M9" s="126">
        <v>9.0269999999999992</v>
      </c>
      <c r="N9" s="104">
        <v>9.0269999999999992</v>
      </c>
      <c r="O9" s="57">
        <v>7000</v>
      </c>
      <c r="P9" s="58">
        <f t="shared" si="0"/>
        <v>63188.999999999993</v>
      </c>
    </row>
    <row r="10" spans="1:16" ht="26.25" customHeight="1" x14ac:dyDescent="0.2">
      <c r="A10" s="100"/>
      <c r="B10" s="100"/>
      <c r="C10" s="15" t="s">
        <v>1337</v>
      </c>
      <c r="D10" s="70" t="s">
        <v>57</v>
      </c>
      <c r="E10" s="12">
        <v>44539</v>
      </c>
      <c r="F10" s="1" t="s">
        <v>71</v>
      </c>
      <c r="G10" s="12">
        <v>44543</v>
      </c>
      <c r="H10" s="125" t="s">
        <v>1328</v>
      </c>
      <c r="I10" s="15">
        <v>64</v>
      </c>
      <c r="J10" s="15">
        <v>62</v>
      </c>
      <c r="K10" s="15">
        <v>27</v>
      </c>
      <c r="L10" s="15">
        <v>6</v>
      </c>
      <c r="M10" s="126">
        <v>26.783999999999999</v>
      </c>
      <c r="N10" s="104">
        <v>26.783999999999999</v>
      </c>
      <c r="O10" s="57">
        <v>7000</v>
      </c>
      <c r="P10" s="58">
        <f t="shared" si="0"/>
        <v>187488</v>
      </c>
    </row>
    <row r="11" spans="1:16" ht="26.25" customHeight="1" x14ac:dyDescent="0.2">
      <c r="A11" s="100"/>
      <c r="B11" s="100"/>
      <c r="C11" s="15" t="s">
        <v>1338</v>
      </c>
      <c r="D11" s="70" t="s">
        <v>57</v>
      </c>
      <c r="E11" s="12">
        <v>44539</v>
      </c>
      <c r="F11" s="1" t="s">
        <v>71</v>
      </c>
      <c r="G11" s="12">
        <v>44543</v>
      </c>
      <c r="H11" s="125" t="s">
        <v>1328</v>
      </c>
      <c r="I11" s="15">
        <v>85</v>
      </c>
      <c r="J11" s="15">
        <v>45</v>
      </c>
      <c r="K11" s="15">
        <v>11</v>
      </c>
      <c r="L11" s="15">
        <v>3</v>
      </c>
      <c r="M11" s="126">
        <v>10.518750000000001</v>
      </c>
      <c r="N11" s="104">
        <v>10.518750000000001</v>
      </c>
      <c r="O11" s="57">
        <v>7000</v>
      </c>
      <c r="P11" s="58">
        <f t="shared" si="0"/>
        <v>73631.25</v>
      </c>
    </row>
    <row r="12" spans="1:16" ht="26.25" customHeight="1" x14ac:dyDescent="0.2">
      <c r="A12" s="100"/>
      <c r="B12" s="100"/>
      <c r="C12" s="15" t="s">
        <v>1339</v>
      </c>
      <c r="D12" s="70" t="s">
        <v>57</v>
      </c>
      <c r="E12" s="12">
        <v>44539</v>
      </c>
      <c r="F12" s="1" t="s">
        <v>71</v>
      </c>
      <c r="G12" s="12">
        <v>44543</v>
      </c>
      <c r="H12" s="125" t="s">
        <v>1328</v>
      </c>
      <c r="I12" s="15">
        <v>77</v>
      </c>
      <c r="J12" s="15">
        <v>65</v>
      </c>
      <c r="K12" s="15">
        <v>22</v>
      </c>
      <c r="L12" s="15">
        <v>15</v>
      </c>
      <c r="M12" s="126">
        <v>27.5275</v>
      </c>
      <c r="N12" s="104">
        <v>27.5275</v>
      </c>
      <c r="O12" s="57">
        <v>7000</v>
      </c>
      <c r="P12" s="58">
        <f t="shared" si="0"/>
        <v>192692.5</v>
      </c>
    </row>
    <row r="13" spans="1:16" ht="26.25" customHeight="1" x14ac:dyDescent="0.2">
      <c r="A13" s="100"/>
      <c r="B13" s="100"/>
      <c r="C13" s="15" t="s">
        <v>1340</v>
      </c>
      <c r="D13" s="70" t="s">
        <v>57</v>
      </c>
      <c r="E13" s="12">
        <v>44539</v>
      </c>
      <c r="F13" s="1" t="s">
        <v>71</v>
      </c>
      <c r="G13" s="12">
        <v>44543</v>
      </c>
      <c r="H13" s="125" t="s">
        <v>1328</v>
      </c>
      <c r="I13" s="15">
        <v>87</v>
      </c>
      <c r="J13" s="15">
        <v>60</v>
      </c>
      <c r="K13" s="15">
        <v>12</v>
      </c>
      <c r="L13" s="15">
        <v>7</v>
      </c>
      <c r="M13" s="126">
        <v>15.66</v>
      </c>
      <c r="N13" s="104">
        <v>15.66</v>
      </c>
      <c r="O13" s="57">
        <v>7000</v>
      </c>
      <c r="P13" s="58">
        <f t="shared" si="0"/>
        <v>109620</v>
      </c>
    </row>
    <row r="14" spans="1:16" ht="26.25" customHeight="1" x14ac:dyDescent="0.2">
      <c r="A14" s="100"/>
      <c r="B14" s="100"/>
      <c r="C14" s="15" t="s">
        <v>1341</v>
      </c>
      <c r="D14" s="70" t="s">
        <v>57</v>
      </c>
      <c r="E14" s="12">
        <v>44539</v>
      </c>
      <c r="F14" s="1" t="s">
        <v>71</v>
      </c>
      <c r="G14" s="12">
        <v>44543</v>
      </c>
      <c r="H14" s="125" t="s">
        <v>1328</v>
      </c>
      <c r="I14" s="15">
        <v>67</v>
      </c>
      <c r="J14" s="15">
        <v>60</v>
      </c>
      <c r="K14" s="15">
        <v>12</v>
      </c>
      <c r="L14" s="15">
        <v>7</v>
      </c>
      <c r="M14" s="126">
        <v>12.06</v>
      </c>
      <c r="N14" s="104">
        <v>12.06</v>
      </c>
      <c r="O14" s="57">
        <v>7000</v>
      </c>
      <c r="P14" s="58">
        <f t="shared" si="0"/>
        <v>84420</v>
      </c>
    </row>
    <row r="15" spans="1:16" ht="26.25" customHeight="1" x14ac:dyDescent="0.2">
      <c r="A15" s="100"/>
      <c r="B15" s="100"/>
      <c r="C15" s="15" t="s">
        <v>1342</v>
      </c>
      <c r="D15" s="70" t="s">
        <v>57</v>
      </c>
      <c r="E15" s="12">
        <v>44539</v>
      </c>
      <c r="F15" s="1" t="s">
        <v>71</v>
      </c>
      <c r="G15" s="12">
        <v>44543</v>
      </c>
      <c r="H15" s="125" t="s">
        <v>1328</v>
      </c>
      <c r="I15" s="15">
        <v>60</v>
      </c>
      <c r="J15" s="15">
        <v>57</v>
      </c>
      <c r="K15" s="15">
        <v>11</v>
      </c>
      <c r="L15" s="15">
        <v>5</v>
      </c>
      <c r="M15" s="126">
        <v>9.4049999999999994</v>
      </c>
      <c r="N15" s="104">
        <v>10</v>
      </c>
      <c r="O15" s="57">
        <v>7000</v>
      </c>
      <c r="P15" s="58">
        <f t="shared" si="0"/>
        <v>70000</v>
      </c>
    </row>
    <row r="16" spans="1:16" ht="26.25" customHeight="1" x14ac:dyDescent="0.2">
      <c r="A16" s="100"/>
      <c r="B16" s="100"/>
      <c r="C16" s="15" t="s">
        <v>1343</v>
      </c>
      <c r="D16" s="70" t="s">
        <v>57</v>
      </c>
      <c r="E16" s="12">
        <v>44539</v>
      </c>
      <c r="F16" s="1" t="s">
        <v>71</v>
      </c>
      <c r="G16" s="12">
        <v>44543</v>
      </c>
      <c r="H16" s="125" t="s">
        <v>1328</v>
      </c>
      <c r="I16" s="15">
        <v>92</v>
      </c>
      <c r="J16" s="15">
        <v>66</v>
      </c>
      <c r="K16" s="15">
        <v>32</v>
      </c>
      <c r="L16" s="15">
        <v>17</v>
      </c>
      <c r="M16" s="126">
        <v>48.576000000000001</v>
      </c>
      <c r="N16" s="104">
        <v>48.576000000000001</v>
      </c>
      <c r="O16" s="57">
        <v>7000</v>
      </c>
      <c r="P16" s="58">
        <f t="shared" si="0"/>
        <v>340032</v>
      </c>
    </row>
    <row r="17" spans="1:16" ht="26.25" customHeight="1" x14ac:dyDescent="0.2">
      <c r="A17" s="100"/>
      <c r="B17" s="100"/>
      <c r="C17" s="15" t="s">
        <v>1344</v>
      </c>
      <c r="D17" s="70" t="s">
        <v>57</v>
      </c>
      <c r="E17" s="12">
        <v>44539</v>
      </c>
      <c r="F17" s="1" t="s">
        <v>71</v>
      </c>
      <c r="G17" s="12">
        <v>44543</v>
      </c>
      <c r="H17" s="125" t="s">
        <v>1328</v>
      </c>
      <c r="I17" s="15">
        <v>85</v>
      </c>
      <c r="J17" s="15">
        <v>56</v>
      </c>
      <c r="K17" s="15">
        <v>16</v>
      </c>
      <c r="L17" s="15">
        <v>6</v>
      </c>
      <c r="M17" s="126">
        <v>19.04</v>
      </c>
      <c r="N17" s="104">
        <v>19.04</v>
      </c>
      <c r="O17" s="57">
        <v>7000</v>
      </c>
      <c r="P17" s="58">
        <f t="shared" si="0"/>
        <v>133280</v>
      </c>
    </row>
    <row r="18" spans="1:16" ht="26.25" customHeight="1" x14ac:dyDescent="0.2">
      <c r="A18" s="100"/>
      <c r="B18" s="100"/>
      <c r="C18" s="15" t="s">
        <v>1345</v>
      </c>
      <c r="D18" s="70" t="s">
        <v>57</v>
      </c>
      <c r="E18" s="12">
        <v>44539</v>
      </c>
      <c r="F18" s="1" t="s">
        <v>71</v>
      </c>
      <c r="G18" s="12">
        <v>44543</v>
      </c>
      <c r="H18" s="125" t="s">
        <v>1328</v>
      </c>
      <c r="I18" s="15">
        <v>93</v>
      </c>
      <c r="J18" s="15">
        <v>58</v>
      </c>
      <c r="K18" s="15">
        <v>27</v>
      </c>
      <c r="L18" s="15">
        <v>3</v>
      </c>
      <c r="M18" s="126">
        <v>36.409500000000001</v>
      </c>
      <c r="N18" s="104">
        <v>37</v>
      </c>
      <c r="O18" s="57">
        <v>7000</v>
      </c>
      <c r="P18" s="58">
        <f t="shared" si="0"/>
        <v>259000</v>
      </c>
    </row>
    <row r="19" spans="1:16" ht="26.25" customHeight="1" x14ac:dyDescent="0.2">
      <c r="A19" s="100"/>
      <c r="B19" s="100"/>
      <c r="C19" s="15" t="s">
        <v>1346</v>
      </c>
      <c r="D19" s="70" t="s">
        <v>57</v>
      </c>
      <c r="E19" s="12">
        <v>44539</v>
      </c>
      <c r="F19" s="1" t="s">
        <v>71</v>
      </c>
      <c r="G19" s="12">
        <v>44543</v>
      </c>
      <c r="H19" s="125" t="s">
        <v>1328</v>
      </c>
      <c r="I19" s="15">
        <v>72</v>
      </c>
      <c r="J19" s="15">
        <v>47</v>
      </c>
      <c r="K19" s="15">
        <v>27</v>
      </c>
      <c r="L19" s="15">
        <v>6</v>
      </c>
      <c r="M19" s="126">
        <v>22.841999999999999</v>
      </c>
      <c r="N19" s="104">
        <v>22.841999999999999</v>
      </c>
      <c r="O19" s="57">
        <v>7000</v>
      </c>
      <c r="P19" s="58">
        <f t="shared" si="0"/>
        <v>159894</v>
      </c>
    </row>
    <row r="20" spans="1:16" ht="26.25" customHeight="1" x14ac:dyDescent="0.2">
      <c r="A20" s="100"/>
      <c r="B20" s="100"/>
      <c r="C20" s="15" t="s">
        <v>1347</v>
      </c>
      <c r="D20" s="70" t="s">
        <v>57</v>
      </c>
      <c r="E20" s="12">
        <v>44539</v>
      </c>
      <c r="F20" s="1" t="s">
        <v>71</v>
      </c>
      <c r="G20" s="12">
        <v>44543</v>
      </c>
      <c r="H20" s="125" t="s">
        <v>1328</v>
      </c>
      <c r="I20" s="15">
        <v>102</v>
      </c>
      <c r="J20" s="15">
        <v>64</v>
      </c>
      <c r="K20" s="15">
        <v>14</v>
      </c>
      <c r="L20" s="15">
        <v>14</v>
      </c>
      <c r="M20" s="126">
        <v>22.847999999999999</v>
      </c>
      <c r="N20" s="104">
        <v>22.847999999999999</v>
      </c>
      <c r="O20" s="57">
        <v>7000</v>
      </c>
      <c r="P20" s="58">
        <f t="shared" si="0"/>
        <v>159936</v>
      </c>
    </row>
    <row r="21" spans="1:16" ht="26.25" customHeight="1" x14ac:dyDescent="0.2">
      <c r="A21" s="100"/>
      <c r="B21" s="100"/>
      <c r="C21" s="15" t="s">
        <v>1348</v>
      </c>
      <c r="D21" s="70" t="s">
        <v>57</v>
      </c>
      <c r="E21" s="12">
        <v>44539</v>
      </c>
      <c r="F21" s="1" t="s">
        <v>71</v>
      </c>
      <c r="G21" s="12">
        <v>44543</v>
      </c>
      <c r="H21" s="125" t="s">
        <v>1328</v>
      </c>
      <c r="I21" s="15">
        <v>77</v>
      </c>
      <c r="J21" s="15">
        <v>54</v>
      </c>
      <c r="K21" s="15">
        <v>18</v>
      </c>
      <c r="L21" s="15">
        <v>9</v>
      </c>
      <c r="M21" s="126">
        <v>18.710999999999999</v>
      </c>
      <c r="N21" s="104">
        <v>18.710999999999999</v>
      </c>
      <c r="O21" s="57">
        <v>7000</v>
      </c>
      <c r="P21" s="58">
        <f t="shared" si="0"/>
        <v>130976.99999999999</v>
      </c>
    </row>
    <row r="22" spans="1:16" ht="26.25" customHeight="1" x14ac:dyDescent="0.2">
      <c r="A22" s="100"/>
      <c r="B22" s="100"/>
      <c r="C22" s="15" t="s">
        <v>1349</v>
      </c>
      <c r="D22" s="70" t="s">
        <v>57</v>
      </c>
      <c r="E22" s="12">
        <v>44539</v>
      </c>
      <c r="F22" s="1" t="s">
        <v>71</v>
      </c>
      <c r="G22" s="12">
        <v>44543</v>
      </c>
      <c r="H22" s="125" t="s">
        <v>1328</v>
      </c>
      <c r="I22" s="15">
        <v>87</v>
      </c>
      <c r="J22" s="15">
        <v>58</v>
      </c>
      <c r="K22" s="15">
        <v>34</v>
      </c>
      <c r="L22" s="15">
        <v>13</v>
      </c>
      <c r="M22" s="126">
        <v>42.890999999999998</v>
      </c>
      <c r="N22" s="104">
        <v>42.890999999999998</v>
      </c>
      <c r="O22" s="57">
        <v>7000</v>
      </c>
      <c r="P22" s="58">
        <f t="shared" si="0"/>
        <v>300237</v>
      </c>
    </row>
    <row r="23" spans="1:16" ht="26.25" customHeight="1" x14ac:dyDescent="0.2">
      <c r="A23" s="100"/>
      <c r="B23" s="100"/>
      <c r="C23" s="15" t="s">
        <v>1350</v>
      </c>
      <c r="D23" s="70" t="s">
        <v>57</v>
      </c>
      <c r="E23" s="12">
        <v>44539</v>
      </c>
      <c r="F23" s="1" t="s">
        <v>71</v>
      </c>
      <c r="G23" s="12">
        <v>44543</v>
      </c>
      <c r="H23" s="125" t="s">
        <v>1328</v>
      </c>
      <c r="I23" s="15">
        <v>72</v>
      </c>
      <c r="J23" s="15">
        <v>62</v>
      </c>
      <c r="K23" s="15">
        <v>21</v>
      </c>
      <c r="L23" s="15">
        <v>5</v>
      </c>
      <c r="M23" s="126">
        <v>23.436</v>
      </c>
      <c r="N23" s="104">
        <v>24</v>
      </c>
      <c r="O23" s="57">
        <v>7000</v>
      </c>
      <c r="P23" s="58">
        <f t="shared" si="0"/>
        <v>168000</v>
      </c>
    </row>
    <row r="24" spans="1:16" ht="26.25" customHeight="1" x14ac:dyDescent="0.2">
      <c r="A24" s="100"/>
      <c r="B24" s="100"/>
      <c r="C24" s="15" t="s">
        <v>1351</v>
      </c>
      <c r="D24" s="70" t="s">
        <v>57</v>
      </c>
      <c r="E24" s="12">
        <v>44539</v>
      </c>
      <c r="F24" s="1" t="s">
        <v>71</v>
      </c>
      <c r="G24" s="12">
        <v>44543</v>
      </c>
      <c r="H24" s="125" t="s">
        <v>1328</v>
      </c>
      <c r="I24" s="15">
        <v>44</v>
      </c>
      <c r="J24" s="15">
        <v>42</v>
      </c>
      <c r="K24" s="15">
        <v>12</v>
      </c>
      <c r="L24" s="15">
        <v>3</v>
      </c>
      <c r="M24" s="126">
        <v>5.5439999999999996</v>
      </c>
      <c r="N24" s="104">
        <v>5.5439999999999996</v>
      </c>
      <c r="O24" s="57">
        <v>7000</v>
      </c>
      <c r="P24" s="58">
        <f t="shared" si="0"/>
        <v>38808</v>
      </c>
    </row>
    <row r="25" spans="1:16" ht="26.25" customHeight="1" x14ac:dyDescent="0.2">
      <c r="A25" s="100"/>
      <c r="B25" s="100"/>
      <c r="C25" s="15" t="s">
        <v>1352</v>
      </c>
      <c r="D25" s="70" t="s">
        <v>57</v>
      </c>
      <c r="E25" s="12">
        <v>44539</v>
      </c>
      <c r="F25" s="1" t="s">
        <v>71</v>
      </c>
      <c r="G25" s="12">
        <v>44543</v>
      </c>
      <c r="H25" s="125" t="s">
        <v>1328</v>
      </c>
      <c r="I25" s="15">
        <v>82</v>
      </c>
      <c r="J25" s="15">
        <v>66</v>
      </c>
      <c r="K25" s="15">
        <v>37</v>
      </c>
      <c r="L25" s="15">
        <v>48</v>
      </c>
      <c r="M25" s="126">
        <v>50.061</v>
      </c>
      <c r="N25" s="104">
        <v>50.061</v>
      </c>
      <c r="O25" s="57">
        <v>7000</v>
      </c>
      <c r="P25" s="58">
        <f t="shared" si="0"/>
        <v>350427</v>
      </c>
    </row>
    <row r="26" spans="1:16" ht="26.25" customHeight="1" x14ac:dyDescent="0.2">
      <c r="A26" s="100"/>
      <c r="B26" s="100"/>
      <c r="C26" s="15" t="s">
        <v>1353</v>
      </c>
      <c r="D26" s="70" t="s">
        <v>57</v>
      </c>
      <c r="E26" s="12">
        <v>44539</v>
      </c>
      <c r="F26" s="1" t="s">
        <v>71</v>
      </c>
      <c r="G26" s="12">
        <v>44543</v>
      </c>
      <c r="H26" s="125" t="s">
        <v>1328</v>
      </c>
      <c r="I26" s="15">
        <v>65</v>
      </c>
      <c r="J26" s="15">
        <v>58</v>
      </c>
      <c r="K26" s="15">
        <v>16</v>
      </c>
      <c r="L26" s="15">
        <v>5</v>
      </c>
      <c r="M26" s="126">
        <v>15.08</v>
      </c>
      <c r="N26" s="104">
        <v>15.08</v>
      </c>
      <c r="O26" s="57">
        <v>7000</v>
      </c>
      <c r="P26" s="58">
        <f t="shared" si="0"/>
        <v>105560</v>
      </c>
    </row>
    <row r="27" spans="1:16" ht="26.25" customHeight="1" x14ac:dyDescent="0.2">
      <c r="A27" s="100"/>
      <c r="B27" s="100"/>
      <c r="C27" s="15" t="s">
        <v>1354</v>
      </c>
      <c r="D27" s="70" t="s">
        <v>57</v>
      </c>
      <c r="E27" s="12">
        <v>44539</v>
      </c>
      <c r="F27" s="1" t="s">
        <v>71</v>
      </c>
      <c r="G27" s="12">
        <v>44543</v>
      </c>
      <c r="H27" s="125" t="s">
        <v>1328</v>
      </c>
      <c r="I27" s="15">
        <v>82</v>
      </c>
      <c r="J27" s="15">
        <v>55</v>
      </c>
      <c r="K27" s="15">
        <v>18</v>
      </c>
      <c r="L27" s="15">
        <v>17</v>
      </c>
      <c r="M27" s="126">
        <v>20.295000000000002</v>
      </c>
      <c r="N27" s="104">
        <v>21</v>
      </c>
      <c r="O27" s="57">
        <v>7000</v>
      </c>
      <c r="P27" s="58">
        <f t="shared" si="0"/>
        <v>147000</v>
      </c>
    </row>
    <row r="28" spans="1:16" ht="26.25" customHeight="1" x14ac:dyDescent="0.2">
      <c r="A28" s="100"/>
      <c r="B28" s="100"/>
      <c r="C28" s="15" t="s">
        <v>1355</v>
      </c>
      <c r="D28" s="70" t="s">
        <v>57</v>
      </c>
      <c r="E28" s="12">
        <v>44539</v>
      </c>
      <c r="F28" s="1" t="s">
        <v>71</v>
      </c>
      <c r="G28" s="12">
        <v>44543</v>
      </c>
      <c r="H28" s="125" t="s">
        <v>1328</v>
      </c>
      <c r="I28" s="15">
        <v>33</v>
      </c>
      <c r="J28" s="15">
        <v>33</v>
      </c>
      <c r="K28" s="15">
        <v>33</v>
      </c>
      <c r="L28" s="15">
        <v>7</v>
      </c>
      <c r="M28" s="126">
        <v>8.9842499999999994</v>
      </c>
      <c r="N28" s="104">
        <v>8.9842499999999994</v>
      </c>
      <c r="O28" s="57">
        <v>7000</v>
      </c>
      <c r="P28" s="58">
        <f t="shared" si="0"/>
        <v>62889.749999999993</v>
      </c>
    </row>
    <row r="29" spans="1:16" ht="26.25" customHeight="1" x14ac:dyDescent="0.2">
      <c r="A29" s="100"/>
      <c r="B29" s="100"/>
      <c r="C29" s="15" t="s">
        <v>1356</v>
      </c>
      <c r="D29" s="70" t="s">
        <v>57</v>
      </c>
      <c r="E29" s="12">
        <v>44539</v>
      </c>
      <c r="F29" s="1" t="s">
        <v>71</v>
      </c>
      <c r="G29" s="12">
        <v>44543</v>
      </c>
      <c r="H29" s="125" t="s">
        <v>1328</v>
      </c>
      <c r="I29" s="15">
        <v>60</v>
      </c>
      <c r="J29" s="15">
        <v>42</v>
      </c>
      <c r="K29" s="15">
        <v>24</v>
      </c>
      <c r="L29" s="15">
        <v>21</v>
      </c>
      <c r="M29" s="126">
        <v>15.12</v>
      </c>
      <c r="N29" s="104">
        <v>21</v>
      </c>
      <c r="O29" s="57">
        <v>7000</v>
      </c>
      <c r="P29" s="58">
        <f t="shared" si="0"/>
        <v>147000</v>
      </c>
    </row>
    <row r="30" spans="1:16" ht="26.25" customHeight="1" x14ac:dyDescent="0.2">
      <c r="A30" s="100"/>
      <c r="B30" s="100"/>
      <c r="C30" s="15" t="s">
        <v>1357</v>
      </c>
      <c r="D30" s="70" t="s">
        <v>57</v>
      </c>
      <c r="E30" s="12">
        <v>44539</v>
      </c>
      <c r="F30" s="1" t="s">
        <v>71</v>
      </c>
      <c r="G30" s="12">
        <v>44543</v>
      </c>
      <c r="H30" s="125" t="s">
        <v>1328</v>
      </c>
      <c r="I30" s="15">
        <v>106</v>
      </c>
      <c r="J30" s="15">
        <v>57</v>
      </c>
      <c r="K30" s="15">
        <v>34</v>
      </c>
      <c r="L30" s="15">
        <v>29</v>
      </c>
      <c r="M30" s="126">
        <v>51.356999999999999</v>
      </c>
      <c r="N30" s="104">
        <v>52</v>
      </c>
      <c r="O30" s="57">
        <v>7000</v>
      </c>
      <c r="P30" s="58">
        <f t="shared" si="0"/>
        <v>364000</v>
      </c>
    </row>
    <row r="31" spans="1:16" ht="26.25" customHeight="1" x14ac:dyDescent="0.2">
      <c r="A31" s="100"/>
      <c r="B31" s="100"/>
      <c r="C31" s="15" t="s">
        <v>1358</v>
      </c>
      <c r="D31" s="70" t="s">
        <v>57</v>
      </c>
      <c r="E31" s="12">
        <v>44539</v>
      </c>
      <c r="F31" s="1" t="s">
        <v>71</v>
      </c>
      <c r="G31" s="12">
        <v>44543</v>
      </c>
      <c r="H31" s="125" t="s">
        <v>1328</v>
      </c>
      <c r="I31" s="15">
        <v>42</v>
      </c>
      <c r="J31" s="15">
        <v>37</v>
      </c>
      <c r="K31" s="15">
        <v>14</v>
      </c>
      <c r="L31" s="15">
        <v>1</v>
      </c>
      <c r="M31" s="126">
        <v>5.4390000000000001</v>
      </c>
      <c r="N31" s="104">
        <v>6</v>
      </c>
      <c r="O31" s="57">
        <v>7000</v>
      </c>
      <c r="P31" s="58">
        <f t="shared" si="0"/>
        <v>42000</v>
      </c>
    </row>
    <row r="32" spans="1:16" ht="26.25" customHeight="1" x14ac:dyDescent="0.2">
      <c r="A32" s="100"/>
      <c r="B32" s="100"/>
      <c r="C32" s="15" t="s">
        <v>1359</v>
      </c>
      <c r="D32" s="70" t="s">
        <v>57</v>
      </c>
      <c r="E32" s="12">
        <v>44539</v>
      </c>
      <c r="F32" s="1" t="s">
        <v>71</v>
      </c>
      <c r="G32" s="12">
        <v>44543</v>
      </c>
      <c r="H32" s="125" t="s">
        <v>1328</v>
      </c>
      <c r="I32" s="15">
        <v>62</v>
      </c>
      <c r="J32" s="15">
        <v>47</v>
      </c>
      <c r="K32" s="15">
        <v>40</v>
      </c>
      <c r="L32" s="15">
        <v>7</v>
      </c>
      <c r="M32" s="126">
        <v>29.14</v>
      </c>
      <c r="N32" s="104">
        <v>29.14</v>
      </c>
      <c r="O32" s="57">
        <v>7000</v>
      </c>
      <c r="P32" s="58">
        <f t="shared" si="0"/>
        <v>203980</v>
      </c>
    </row>
    <row r="33" spans="1:16" ht="26.25" customHeight="1" x14ac:dyDescent="0.2">
      <c r="A33" s="100"/>
      <c r="B33" s="100"/>
      <c r="C33" s="15" t="s">
        <v>1360</v>
      </c>
      <c r="D33" s="70" t="s">
        <v>57</v>
      </c>
      <c r="E33" s="12">
        <v>44539</v>
      </c>
      <c r="F33" s="1" t="s">
        <v>71</v>
      </c>
      <c r="G33" s="12">
        <v>44543</v>
      </c>
      <c r="H33" s="125" t="s">
        <v>1328</v>
      </c>
      <c r="I33" s="15">
        <v>36</v>
      </c>
      <c r="J33" s="15">
        <v>26</v>
      </c>
      <c r="K33" s="15">
        <v>16</v>
      </c>
      <c r="L33" s="15">
        <v>1</v>
      </c>
      <c r="M33" s="126">
        <v>3.7440000000000002</v>
      </c>
      <c r="N33" s="104">
        <v>3.7440000000000002</v>
      </c>
      <c r="O33" s="57">
        <v>7000</v>
      </c>
      <c r="P33" s="58">
        <f t="shared" si="0"/>
        <v>26208</v>
      </c>
    </row>
    <row r="34" spans="1:16" ht="26.25" customHeight="1" x14ac:dyDescent="0.2">
      <c r="A34" s="100"/>
      <c r="B34" s="100"/>
      <c r="C34" s="15" t="s">
        <v>1361</v>
      </c>
      <c r="D34" s="70" t="s">
        <v>57</v>
      </c>
      <c r="E34" s="12">
        <v>44539</v>
      </c>
      <c r="F34" s="1" t="s">
        <v>71</v>
      </c>
      <c r="G34" s="12">
        <v>44543</v>
      </c>
      <c r="H34" s="125" t="s">
        <v>1328</v>
      </c>
      <c r="I34" s="15">
        <v>70</v>
      </c>
      <c r="J34" s="15">
        <v>63</v>
      </c>
      <c r="K34" s="15">
        <v>21</v>
      </c>
      <c r="L34" s="15">
        <v>9</v>
      </c>
      <c r="M34" s="126">
        <v>23.1525</v>
      </c>
      <c r="N34" s="104">
        <v>23.1525</v>
      </c>
      <c r="O34" s="57">
        <v>7000</v>
      </c>
      <c r="P34" s="58">
        <f t="shared" si="0"/>
        <v>162067.5</v>
      </c>
    </row>
    <row r="35" spans="1:16" ht="26.25" customHeight="1" x14ac:dyDescent="0.2">
      <c r="A35" s="100"/>
      <c r="B35" s="100"/>
      <c r="C35" s="15" t="s">
        <v>1362</v>
      </c>
      <c r="D35" s="70" t="s">
        <v>57</v>
      </c>
      <c r="E35" s="12">
        <v>44539</v>
      </c>
      <c r="F35" s="1" t="s">
        <v>71</v>
      </c>
      <c r="G35" s="12">
        <v>44543</v>
      </c>
      <c r="H35" s="125" t="s">
        <v>1328</v>
      </c>
      <c r="I35" s="15">
        <v>68</v>
      </c>
      <c r="J35" s="15">
        <v>57</v>
      </c>
      <c r="K35" s="15">
        <v>21</v>
      </c>
      <c r="L35" s="15">
        <v>3</v>
      </c>
      <c r="M35" s="126">
        <v>20.349</v>
      </c>
      <c r="N35" s="104">
        <v>21</v>
      </c>
      <c r="O35" s="57">
        <v>7000</v>
      </c>
      <c r="P35" s="58">
        <f t="shared" si="0"/>
        <v>147000</v>
      </c>
    </row>
    <row r="36" spans="1:16" ht="26.25" customHeight="1" x14ac:dyDescent="0.2">
      <c r="A36" s="100"/>
      <c r="B36" s="100"/>
      <c r="C36" s="15" t="s">
        <v>1363</v>
      </c>
      <c r="D36" s="70" t="s">
        <v>57</v>
      </c>
      <c r="E36" s="12">
        <v>44539</v>
      </c>
      <c r="F36" s="1" t="s">
        <v>71</v>
      </c>
      <c r="G36" s="12">
        <v>44543</v>
      </c>
      <c r="H36" s="125" t="s">
        <v>1328</v>
      </c>
      <c r="I36" s="15">
        <v>92</v>
      </c>
      <c r="J36" s="15">
        <v>64</v>
      </c>
      <c r="K36" s="15">
        <v>27</v>
      </c>
      <c r="L36" s="15">
        <v>23</v>
      </c>
      <c r="M36" s="126">
        <v>39.744</v>
      </c>
      <c r="N36" s="104">
        <v>39.744</v>
      </c>
      <c r="O36" s="57">
        <v>7000</v>
      </c>
      <c r="P36" s="58">
        <f t="shared" si="0"/>
        <v>278208</v>
      </c>
    </row>
    <row r="37" spans="1:16" ht="26.25" customHeight="1" x14ac:dyDescent="0.2">
      <c r="A37" s="100"/>
      <c r="B37" s="100"/>
      <c r="C37" s="15" t="s">
        <v>1364</v>
      </c>
      <c r="D37" s="70" t="s">
        <v>57</v>
      </c>
      <c r="E37" s="12">
        <v>44539</v>
      </c>
      <c r="F37" s="1" t="s">
        <v>71</v>
      </c>
      <c r="G37" s="12">
        <v>44543</v>
      </c>
      <c r="H37" s="125" t="s">
        <v>1328</v>
      </c>
      <c r="I37" s="15">
        <v>85</v>
      </c>
      <c r="J37" s="15">
        <v>63</v>
      </c>
      <c r="K37" s="15">
        <v>29</v>
      </c>
      <c r="L37" s="15">
        <v>23</v>
      </c>
      <c r="M37" s="126">
        <v>38.823749999999997</v>
      </c>
      <c r="N37" s="104">
        <v>38.823749999999997</v>
      </c>
      <c r="O37" s="57">
        <v>7000</v>
      </c>
      <c r="P37" s="58">
        <f t="shared" si="0"/>
        <v>271766.25</v>
      </c>
    </row>
    <row r="38" spans="1:16" ht="26.25" customHeight="1" x14ac:dyDescent="0.2">
      <c r="A38" s="100"/>
      <c r="B38" s="100"/>
      <c r="C38" s="15" t="s">
        <v>1365</v>
      </c>
      <c r="D38" s="70" t="s">
        <v>57</v>
      </c>
      <c r="E38" s="12">
        <v>44539</v>
      </c>
      <c r="F38" s="1" t="s">
        <v>71</v>
      </c>
      <c r="G38" s="12">
        <v>44543</v>
      </c>
      <c r="H38" s="125" t="s">
        <v>1328</v>
      </c>
      <c r="I38" s="15">
        <v>67</v>
      </c>
      <c r="J38" s="15">
        <v>34</v>
      </c>
      <c r="K38" s="15">
        <v>34</v>
      </c>
      <c r="L38" s="15">
        <v>14</v>
      </c>
      <c r="M38" s="126">
        <v>19.363</v>
      </c>
      <c r="N38" s="104">
        <v>20</v>
      </c>
      <c r="O38" s="57">
        <v>7000</v>
      </c>
      <c r="P38" s="58">
        <f t="shared" si="0"/>
        <v>140000</v>
      </c>
    </row>
    <row r="39" spans="1:16" ht="26.25" customHeight="1" x14ac:dyDescent="0.2">
      <c r="A39" s="100"/>
      <c r="B39" s="100"/>
      <c r="C39" s="15" t="s">
        <v>1366</v>
      </c>
      <c r="D39" s="70" t="s">
        <v>57</v>
      </c>
      <c r="E39" s="12">
        <v>44539</v>
      </c>
      <c r="F39" s="1" t="s">
        <v>71</v>
      </c>
      <c r="G39" s="12">
        <v>44543</v>
      </c>
      <c r="H39" s="125" t="s">
        <v>1328</v>
      </c>
      <c r="I39" s="15">
        <v>98</v>
      </c>
      <c r="J39" s="15">
        <v>62</v>
      </c>
      <c r="K39" s="15">
        <v>27</v>
      </c>
      <c r="L39" s="15">
        <v>15</v>
      </c>
      <c r="M39" s="126">
        <v>41.012999999999998</v>
      </c>
      <c r="N39" s="104">
        <v>41.012999999999998</v>
      </c>
      <c r="O39" s="57">
        <v>7000</v>
      </c>
      <c r="P39" s="58">
        <f t="shared" si="0"/>
        <v>287091</v>
      </c>
    </row>
    <row r="40" spans="1:16" ht="26.25" customHeight="1" x14ac:dyDescent="0.2">
      <c r="A40" s="100"/>
      <c r="B40" s="100"/>
      <c r="C40" s="15" t="s">
        <v>1367</v>
      </c>
      <c r="D40" s="70" t="s">
        <v>57</v>
      </c>
      <c r="E40" s="12">
        <v>44539</v>
      </c>
      <c r="F40" s="1" t="s">
        <v>71</v>
      </c>
      <c r="G40" s="12">
        <v>44543</v>
      </c>
      <c r="H40" s="125" t="s">
        <v>1328</v>
      </c>
      <c r="I40" s="15">
        <v>77</v>
      </c>
      <c r="J40" s="15">
        <v>65</v>
      </c>
      <c r="K40" s="15">
        <v>28</v>
      </c>
      <c r="L40" s="15">
        <v>14</v>
      </c>
      <c r="M40" s="126">
        <v>35.034999999999997</v>
      </c>
      <c r="N40" s="104">
        <v>35.034999999999997</v>
      </c>
      <c r="O40" s="57">
        <v>7000</v>
      </c>
      <c r="P40" s="58">
        <f t="shared" si="0"/>
        <v>245244.99999999997</v>
      </c>
    </row>
    <row r="41" spans="1:16" ht="26.25" customHeight="1" x14ac:dyDescent="0.2">
      <c r="A41" s="100"/>
      <c r="B41" s="100"/>
      <c r="C41" s="15" t="s">
        <v>1368</v>
      </c>
      <c r="D41" s="70" t="s">
        <v>57</v>
      </c>
      <c r="E41" s="12">
        <v>44539</v>
      </c>
      <c r="F41" s="1" t="s">
        <v>71</v>
      </c>
      <c r="G41" s="12">
        <v>44543</v>
      </c>
      <c r="H41" s="125" t="s">
        <v>1328</v>
      </c>
      <c r="I41" s="15">
        <v>72</v>
      </c>
      <c r="J41" s="15">
        <v>63</v>
      </c>
      <c r="K41" s="15">
        <v>25</v>
      </c>
      <c r="L41" s="15">
        <v>9</v>
      </c>
      <c r="M41" s="126">
        <v>28.35</v>
      </c>
      <c r="N41" s="104">
        <v>29</v>
      </c>
      <c r="O41" s="57">
        <v>7000</v>
      </c>
      <c r="P41" s="58">
        <f t="shared" si="0"/>
        <v>203000</v>
      </c>
    </row>
    <row r="42" spans="1:16" ht="26.25" customHeight="1" x14ac:dyDescent="0.2">
      <c r="A42" s="100"/>
      <c r="B42" s="100"/>
      <c r="C42" s="15" t="s">
        <v>1369</v>
      </c>
      <c r="D42" s="70" t="s">
        <v>57</v>
      </c>
      <c r="E42" s="12">
        <v>44539</v>
      </c>
      <c r="F42" s="1" t="s">
        <v>71</v>
      </c>
      <c r="G42" s="12">
        <v>44543</v>
      </c>
      <c r="H42" s="125" t="s">
        <v>1328</v>
      </c>
      <c r="I42" s="15">
        <v>17</v>
      </c>
      <c r="J42" s="15">
        <v>16</v>
      </c>
      <c r="K42" s="15">
        <v>12</v>
      </c>
      <c r="L42" s="15">
        <v>23</v>
      </c>
      <c r="M42" s="126">
        <v>0.81599999999999995</v>
      </c>
      <c r="N42" s="104">
        <v>23</v>
      </c>
      <c r="O42" s="57">
        <v>7000</v>
      </c>
      <c r="P42" s="58">
        <f t="shared" si="0"/>
        <v>161000</v>
      </c>
    </row>
    <row r="43" spans="1:16" ht="26.25" customHeight="1" x14ac:dyDescent="0.2">
      <c r="A43" s="100"/>
      <c r="B43" s="100"/>
      <c r="C43" s="15" t="s">
        <v>1370</v>
      </c>
      <c r="D43" s="70" t="s">
        <v>57</v>
      </c>
      <c r="E43" s="12">
        <v>44539</v>
      </c>
      <c r="F43" s="1" t="s">
        <v>71</v>
      </c>
      <c r="G43" s="12">
        <v>44543</v>
      </c>
      <c r="H43" s="125" t="s">
        <v>1328</v>
      </c>
      <c r="I43" s="15">
        <v>17</v>
      </c>
      <c r="J43" s="15">
        <v>16</v>
      </c>
      <c r="K43" s="15">
        <v>12</v>
      </c>
      <c r="L43" s="15">
        <v>23</v>
      </c>
      <c r="M43" s="126">
        <v>0.81599999999999995</v>
      </c>
      <c r="N43" s="104">
        <v>23</v>
      </c>
      <c r="O43" s="57">
        <v>7000</v>
      </c>
      <c r="P43" s="58">
        <f t="shared" si="0"/>
        <v>161000</v>
      </c>
    </row>
    <row r="44" spans="1:16" ht="26.25" customHeight="1" x14ac:dyDescent="0.2">
      <c r="A44" s="100"/>
      <c r="B44" s="100"/>
      <c r="C44" s="15" t="s">
        <v>1371</v>
      </c>
      <c r="D44" s="70" t="s">
        <v>57</v>
      </c>
      <c r="E44" s="12">
        <v>44539</v>
      </c>
      <c r="F44" s="1" t="s">
        <v>71</v>
      </c>
      <c r="G44" s="12">
        <v>44543</v>
      </c>
      <c r="H44" s="125" t="s">
        <v>1328</v>
      </c>
      <c r="I44" s="15">
        <v>52</v>
      </c>
      <c r="J44" s="15">
        <v>16</v>
      </c>
      <c r="K44" s="15">
        <v>16</v>
      </c>
      <c r="L44" s="15">
        <v>3</v>
      </c>
      <c r="M44" s="126">
        <v>3.3279999999999998</v>
      </c>
      <c r="N44" s="104">
        <v>4</v>
      </c>
      <c r="O44" s="57">
        <v>7000</v>
      </c>
      <c r="P44" s="58">
        <f t="shared" si="0"/>
        <v>28000</v>
      </c>
    </row>
    <row r="45" spans="1:16" ht="26.25" customHeight="1" x14ac:dyDescent="0.2">
      <c r="A45" s="100"/>
      <c r="B45" s="100"/>
      <c r="C45" s="15" t="s">
        <v>1372</v>
      </c>
      <c r="D45" s="70" t="s">
        <v>57</v>
      </c>
      <c r="E45" s="12">
        <v>44539</v>
      </c>
      <c r="F45" s="1" t="s">
        <v>71</v>
      </c>
      <c r="G45" s="12">
        <v>44543</v>
      </c>
      <c r="H45" s="125" t="s">
        <v>1328</v>
      </c>
      <c r="I45" s="15">
        <v>74</v>
      </c>
      <c r="J45" s="15">
        <v>56</v>
      </c>
      <c r="K45" s="15">
        <v>18</v>
      </c>
      <c r="L45" s="15">
        <v>10</v>
      </c>
      <c r="M45" s="126">
        <v>18.648</v>
      </c>
      <c r="N45" s="104">
        <v>18.648</v>
      </c>
      <c r="O45" s="57">
        <v>7000</v>
      </c>
      <c r="P45" s="58">
        <f t="shared" si="0"/>
        <v>130536</v>
      </c>
    </row>
    <row r="46" spans="1:16" ht="26.25" customHeight="1" x14ac:dyDescent="0.2">
      <c r="A46" s="100"/>
      <c r="B46" s="100"/>
      <c r="C46" s="15" t="s">
        <v>1373</v>
      </c>
      <c r="D46" s="70" t="s">
        <v>57</v>
      </c>
      <c r="E46" s="12">
        <v>44539</v>
      </c>
      <c r="F46" s="1" t="s">
        <v>71</v>
      </c>
      <c r="G46" s="12">
        <v>44543</v>
      </c>
      <c r="H46" s="125" t="s">
        <v>1328</v>
      </c>
      <c r="I46" s="15">
        <v>62</v>
      </c>
      <c r="J46" s="15">
        <v>52</v>
      </c>
      <c r="K46" s="15">
        <v>27</v>
      </c>
      <c r="L46" s="15">
        <v>10</v>
      </c>
      <c r="M46" s="126">
        <v>21.762</v>
      </c>
      <c r="N46" s="104">
        <v>21.762</v>
      </c>
      <c r="O46" s="57">
        <v>7000</v>
      </c>
      <c r="P46" s="58">
        <f t="shared" si="0"/>
        <v>152334</v>
      </c>
    </row>
    <row r="47" spans="1:16" ht="26.25" customHeight="1" x14ac:dyDescent="0.2">
      <c r="A47" s="100"/>
      <c r="B47" s="100"/>
      <c r="C47" s="15" t="s">
        <v>1374</v>
      </c>
      <c r="D47" s="70" t="s">
        <v>57</v>
      </c>
      <c r="E47" s="12">
        <v>44539</v>
      </c>
      <c r="F47" s="1" t="s">
        <v>71</v>
      </c>
      <c r="G47" s="12">
        <v>44543</v>
      </c>
      <c r="H47" s="125" t="s">
        <v>1328</v>
      </c>
      <c r="I47" s="15">
        <v>77</v>
      </c>
      <c r="J47" s="15">
        <v>57</v>
      </c>
      <c r="K47" s="15">
        <v>25</v>
      </c>
      <c r="L47" s="15">
        <v>14</v>
      </c>
      <c r="M47" s="126">
        <v>27.431249999999999</v>
      </c>
      <c r="N47" s="104">
        <v>28</v>
      </c>
      <c r="O47" s="57">
        <v>7000</v>
      </c>
      <c r="P47" s="58">
        <f t="shared" si="0"/>
        <v>196000</v>
      </c>
    </row>
    <row r="48" spans="1:16" ht="26.25" customHeight="1" x14ac:dyDescent="0.2">
      <c r="A48" s="100"/>
      <c r="B48" s="100"/>
      <c r="C48" s="15" t="s">
        <v>1375</v>
      </c>
      <c r="D48" s="70" t="s">
        <v>57</v>
      </c>
      <c r="E48" s="12">
        <v>44539</v>
      </c>
      <c r="F48" s="1" t="s">
        <v>71</v>
      </c>
      <c r="G48" s="12">
        <v>44543</v>
      </c>
      <c r="H48" s="125" t="s">
        <v>1328</v>
      </c>
      <c r="I48" s="15">
        <v>37</v>
      </c>
      <c r="J48" s="15">
        <v>37</v>
      </c>
      <c r="K48" s="15">
        <v>20</v>
      </c>
      <c r="L48" s="15">
        <v>10</v>
      </c>
      <c r="M48" s="126">
        <v>6.8449999999999998</v>
      </c>
      <c r="N48" s="104">
        <v>10</v>
      </c>
      <c r="O48" s="57">
        <v>7000</v>
      </c>
      <c r="P48" s="58">
        <f t="shared" si="0"/>
        <v>70000</v>
      </c>
    </row>
    <row r="49" spans="1:16" ht="26.25" customHeight="1" x14ac:dyDescent="0.2">
      <c r="A49" s="100"/>
      <c r="B49" s="100"/>
      <c r="C49" s="15" t="s">
        <v>1376</v>
      </c>
      <c r="D49" s="70" t="s">
        <v>57</v>
      </c>
      <c r="E49" s="12">
        <v>44539</v>
      </c>
      <c r="F49" s="1" t="s">
        <v>71</v>
      </c>
      <c r="G49" s="12">
        <v>44543</v>
      </c>
      <c r="H49" s="125" t="s">
        <v>1328</v>
      </c>
      <c r="I49" s="15">
        <v>56</v>
      </c>
      <c r="J49" s="15">
        <v>56</v>
      </c>
      <c r="K49" s="15">
        <v>24</v>
      </c>
      <c r="L49" s="15">
        <v>8</v>
      </c>
      <c r="M49" s="126">
        <v>18.815999999999999</v>
      </c>
      <c r="N49" s="104">
        <v>18.815999999999999</v>
      </c>
      <c r="O49" s="57">
        <v>7000</v>
      </c>
      <c r="P49" s="58">
        <f t="shared" si="0"/>
        <v>131712</v>
      </c>
    </row>
    <row r="50" spans="1:16" ht="26.25" customHeight="1" x14ac:dyDescent="0.2">
      <c r="A50" s="100"/>
      <c r="B50" s="100"/>
      <c r="C50" s="15" t="s">
        <v>1377</v>
      </c>
      <c r="D50" s="70" t="s">
        <v>57</v>
      </c>
      <c r="E50" s="12">
        <v>44539</v>
      </c>
      <c r="F50" s="1" t="s">
        <v>71</v>
      </c>
      <c r="G50" s="12">
        <v>44543</v>
      </c>
      <c r="H50" s="125" t="s">
        <v>1328</v>
      </c>
      <c r="I50" s="15">
        <v>54</v>
      </c>
      <c r="J50" s="15">
        <v>49</v>
      </c>
      <c r="K50" s="15">
        <v>37</v>
      </c>
      <c r="L50" s="15">
        <v>22</v>
      </c>
      <c r="M50" s="126">
        <v>24.4755</v>
      </c>
      <c r="N50" s="104">
        <v>25</v>
      </c>
      <c r="O50" s="57">
        <v>7000</v>
      </c>
      <c r="P50" s="58">
        <f t="shared" si="0"/>
        <v>175000</v>
      </c>
    </row>
    <row r="51" spans="1:16" ht="26.25" customHeight="1" x14ac:dyDescent="0.2">
      <c r="A51" s="100"/>
      <c r="B51" s="100"/>
      <c r="C51" s="15" t="s">
        <v>1378</v>
      </c>
      <c r="D51" s="70" t="s">
        <v>57</v>
      </c>
      <c r="E51" s="12">
        <v>44539</v>
      </c>
      <c r="F51" s="1" t="s">
        <v>71</v>
      </c>
      <c r="G51" s="12">
        <v>44543</v>
      </c>
      <c r="H51" s="125" t="s">
        <v>1328</v>
      </c>
      <c r="I51" s="15">
        <v>69</v>
      </c>
      <c r="J51" s="15">
        <v>54</v>
      </c>
      <c r="K51" s="15">
        <v>30</v>
      </c>
      <c r="L51" s="15">
        <v>10</v>
      </c>
      <c r="M51" s="126">
        <v>27.945</v>
      </c>
      <c r="N51" s="104">
        <v>27.945</v>
      </c>
      <c r="O51" s="57">
        <v>7000</v>
      </c>
      <c r="P51" s="58">
        <f t="shared" si="0"/>
        <v>195615</v>
      </c>
    </row>
    <row r="52" spans="1:16" ht="26.25" customHeight="1" x14ac:dyDescent="0.2">
      <c r="A52" s="100"/>
      <c r="B52" s="100"/>
      <c r="C52" s="15" t="s">
        <v>1379</v>
      </c>
      <c r="D52" s="70" t="s">
        <v>57</v>
      </c>
      <c r="E52" s="12">
        <v>44539</v>
      </c>
      <c r="F52" s="1" t="s">
        <v>71</v>
      </c>
      <c r="G52" s="12">
        <v>44543</v>
      </c>
      <c r="H52" s="125" t="s">
        <v>1328</v>
      </c>
      <c r="I52" s="15">
        <v>63</v>
      </c>
      <c r="J52" s="15">
        <v>52</v>
      </c>
      <c r="K52" s="15">
        <v>18</v>
      </c>
      <c r="L52" s="15">
        <v>3</v>
      </c>
      <c r="M52" s="126">
        <v>14.742000000000001</v>
      </c>
      <c r="N52" s="104">
        <v>14.742000000000001</v>
      </c>
      <c r="O52" s="57">
        <v>7000</v>
      </c>
      <c r="P52" s="58">
        <f t="shared" si="0"/>
        <v>103194</v>
      </c>
    </row>
    <row r="53" spans="1:16" ht="26.25" customHeight="1" x14ac:dyDescent="0.2">
      <c r="A53" s="100"/>
      <c r="B53" s="100"/>
      <c r="C53" s="15" t="s">
        <v>1380</v>
      </c>
      <c r="D53" s="70" t="s">
        <v>57</v>
      </c>
      <c r="E53" s="12">
        <v>44539</v>
      </c>
      <c r="F53" s="1" t="s">
        <v>71</v>
      </c>
      <c r="G53" s="12">
        <v>44543</v>
      </c>
      <c r="H53" s="125" t="s">
        <v>1328</v>
      </c>
      <c r="I53" s="15">
        <v>57</v>
      </c>
      <c r="J53" s="15">
        <v>42</v>
      </c>
      <c r="K53" s="15">
        <v>42</v>
      </c>
      <c r="L53" s="15">
        <v>16</v>
      </c>
      <c r="M53" s="126">
        <v>25.137</v>
      </c>
      <c r="N53" s="104">
        <v>25.137</v>
      </c>
      <c r="O53" s="57">
        <v>7000</v>
      </c>
      <c r="P53" s="58">
        <f t="shared" si="0"/>
        <v>175959</v>
      </c>
    </row>
    <row r="54" spans="1:16" ht="26.25" customHeight="1" x14ac:dyDescent="0.2">
      <c r="A54" s="100"/>
      <c r="B54" s="100"/>
      <c r="C54" s="15" t="s">
        <v>1381</v>
      </c>
      <c r="D54" s="70" t="s">
        <v>57</v>
      </c>
      <c r="E54" s="12">
        <v>44539</v>
      </c>
      <c r="F54" s="1" t="s">
        <v>71</v>
      </c>
      <c r="G54" s="12">
        <v>44543</v>
      </c>
      <c r="H54" s="125" t="s">
        <v>1328</v>
      </c>
      <c r="I54" s="15">
        <v>45</v>
      </c>
      <c r="J54" s="15">
        <v>37</v>
      </c>
      <c r="K54" s="15">
        <v>27</v>
      </c>
      <c r="L54" s="15">
        <v>1</v>
      </c>
      <c r="M54" s="126">
        <v>11.23875</v>
      </c>
      <c r="N54" s="104">
        <v>11.23875</v>
      </c>
      <c r="O54" s="57">
        <v>7000</v>
      </c>
      <c r="P54" s="58">
        <f t="shared" si="0"/>
        <v>78671.25</v>
      </c>
    </row>
    <row r="55" spans="1:16" ht="26.25" customHeight="1" x14ac:dyDescent="0.2">
      <c r="A55" s="100"/>
      <c r="B55" s="100"/>
      <c r="C55" s="15" t="s">
        <v>1382</v>
      </c>
      <c r="D55" s="70" t="s">
        <v>57</v>
      </c>
      <c r="E55" s="12">
        <v>44539</v>
      </c>
      <c r="F55" s="1" t="s">
        <v>71</v>
      </c>
      <c r="G55" s="12">
        <v>44543</v>
      </c>
      <c r="H55" s="125" t="s">
        <v>1328</v>
      </c>
      <c r="I55" s="15">
        <v>117</v>
      </c>
      <c r="J55" s="15">
        <v>45</v>
      </c>
      <c r="K55" s="15">
        <v>22</v>
      </c>
      <c r="L55" s="15">
        <v>22</v>
      </c>
      <c r="M55" s="126">
        <v>28.9575</v>
      </c>
      <c r="N55" s="104">
        <v>28.9575</v>
      </c>
      <c r="O55" s="57">
        <v>7000</v>
      </c>
      <c r="P55" s="58">
        <f t="shared" si="0"/>
        <v>202702.5</v>
      </c>
    </row>
    <row r="56" spans="1:16" ht="26.25" customHeight="1" x14ac:dyDescent="0.2">
      <c r="A56" s="100"/>
      <c r="B56" s="100"/>
      <c r="C56" s="15" t="s">
        <v>1383</v>
      </c>
      <c r="D56" s="70" t="s">
        <v>57</v>
      </c>
      <c r="E56" s="12">
        <v>44539</v>
      </c>
      <c r="F56" s="1" t="s">
        <v>71</v>
      </c>
      <c r="G56" s="12">
        <v>44543</v>
      </c>
      <c r="H56" s="125" t="s">
        <v>1328</v>
      </c>
      <c r="I56" s="15">
        <v>70</v>
      </c>
      <c r="J56" s="15">
        <v>46</v>
      </c>
      <c r="K56" s="15">
        <v>30</v>
      </c>
      <c r="L56" s="15">
        <v>12</v>
      </c>
      <c r="M56" s="126">
        <v>24.15</v>
      </c>
      <c r="N56" s="104">
        <v>24.15</v>
      </c>
      <c r="O56" s="57">
        <v>7000</v>
      </c>
      <c r="P56" s="58">
        <f t="shared" si="0"/>
        <v>169050</v>
      </c>
    </row>
    <row r="57" spans="1:16" ht="26.25" customHeight="1" x14ac:dyDescent="0.2">
      <c r="A57" s="100"/>
      <c r="B57" s="100"/>
      <c r="C57" s="15" t="s">
        <v>1384</v>
      </c>
      <c r="D57" s="70" t="s">
        <v>57</v>
      </c>
      <c r="E57" s="12">
        <v>44539</v>
      </c>
      <c r="F57" s="1" t="s">
        <v>71</v>
      </c>
      <c r="G57" s="12">
        <v>44543</v>
      </c>
      <c r="H57" s="125" t="s">
        <v>1328</v>
      </c>
      <c r="I57" s="15">
        <v>76</v>
      </c>
      <c r="J57" s="15">
        <v>26</v>
      </c>
      <c r="K57" s="15">
        <v>20</v>
      </c>
      <c r="L57" s="15">
        <v>8</v>
      </c>
      <c r="M57" s="126">
        <v>9.8800000000000008</v>
      </c>
      <c r="N57" s="104">
        <v>9.8800000000000008</v>
      </c>
      <c r="O57" s="57">
        <v>7000</v>
      </c>
      <c r="P57" s="58">
        <f t="shared" si="0"/>
        <v>69160</v>
      </c>
    </row>
    <row r="58" spans="1:16" ht="26.25" customHeight="1" x14ac:dyDescent="0.2">
      <c r="A58" s="100"/>
      <c r="B58" s="100"/>
      <c r="C58" s="15" t="s">
        <v>1385</v>
      </c>
      <c r="D58" s="70" t="s">
        <v>57</v>
      </c>
      <c r="E58" s="12">
        <v>44539</v>
      </c>
      <c r="F58" s="1" t="s">
        <v>71</v>
      </c>
      <c r="G58" s="12">
        <v>44543</v>
      </c>
      <c r="H58" s="125" t="s">
        <v>1328</v>
      </c>
      <c r="I58" s="15">
        <v>100</v>
      </c>
      <c r="J58" s="15">
        <v>11</v>
      </c>
      <c r="K58" s="15">
        <v>11</v>
      </c>
      <c r="L58" s="15">
        <v>3</v>
      </c>
      <c r="M58" s="126">
        <v>3.0249999999999999</v>
      </c>
      <c r="N58" s="104">
        <v>3.0249999999999999</v>
      </c>
      <c r="O58" s="57">
        <v>7000</v>
      </c>
      <c r="P58" s="58">
        <f t="shared" si="0"/>
        <v>21175</v>
      </c>
    </row>
    <row r="59" spans="1:16" ht="26.25" customHeight="1" x14ac:dyDescent="0.2">
      <c r="A59" s="100"/>
      <c r="B59" s="100"/>
      <c r="C59" s="15" t="s">
        <v>1386</v>
      </c>
      <c r="D59" s="70" t="s">
        <v>57</v>
      </c>
      <c r="E59" s="12">
        <v>44539</v>
      </c>
      <c r="F59" s="1" t="s">
        <v>71</v>
      </c>
      <c r="G59" s="12">
        <v>44543</v>
      </c>
      <c r="H59" s="125" t="s">
        <v>1328</v>
      </c>
      <c r="I59" s="15">
        <v>72</v>
      </c>
      <c r="J59" s="15">
        <v>20</v>
      </c>
      <c r="K59" s="15">
        <v>12</v>
      </c>
      <c r="L59" s="15">
        <v>1</v>
      </c>
      <c r="M59" s="126">
        <v>4.32</v>
      </c>
      <c r="N59" s="104">
        <v>5</v>
      </c>
      <c r="O59" s="57">
        <v>7000</v>
      </c>
      <c r="P59" s="58">
        <f t="shared" si="0"/>
        <v>35000</v>
      </c>
    </row>
    <row r="60" spans="1:16" ht="26.25" customHeight="1" x14ac:dyDescent="0.2">
      <c r="A60" s="100"/>
      <c r="B60" s="100"/>
      <c r="C60" s="15" t="s">
        <v>1387</v>
      </c>
      <c r="D60" s="70" t="s">
        <v>57</v>
      </c>
      <c r="E60" s="12">
        <v>44539</v>
      </c>
      <c r="F60" s="1" t="s">
        <v>71</v>
      </c>
      <c r="G60" s="12">
        <v>44543</v>
      </c>
      <c r="H60" s="125" t="s">
        <v>1328</v>
      </c>
      <c r="I60" s="15">
        <v>39</v>
      </c>
      <c r="J60" s="15">
        <v>28</v>
      </c>
      <c r="K60" s="15">
        <v>25</v>
      </c>
      <c r="L60" s="15">
        <v>6</v>
      </c>
      <c r="M60" s="126">
        <v>6.8250000000000002</v>
      </c>
      <c r="N60" s="104">
        <v>6.8250000000000002</v>
      </c>
      <c r="O60" s="57">
        <v>7000</v>
      </c>
      <c r="P60" s="58">
        <f t="shared" si="0"/>
        <v>47775</v>
      </c>
    </row>
    <row r="61" spans="1:16" ht="26.25" customHeight="1" x14ac:dyDescent="0.2">
      <c r="A61" s="100"/>
      <c r="B61" s="100"/>
      <c r="C61" s="15" t="s">
        <v>1388</v>
      </c>
      <c r="D61" s="70" t="s">
        <v>57</v>
      </c>
      <c r="E61" s="12">
        <v>44539</v>
      </c>
      <c r="F61" s="1" t="s">
        <v>71</v>
      </c>
      <c r="G61" s="12">
        <v>44543</v>
      </c>
      <c r="H61" s="125" t="s">
        <v>1328</v>
      </c>
      <c r="I61" s="15">
        <v>48</v>
      </c>
      <c r="J61" s="15">
        <v>26</v>
      </c>
      <c r="K61" s="15">
        <v>26</v>
      </c>
      <c r="L61" s="15">
        <v>2</v>
      </c>
      <c r="M61" s="126">
        <v>8.1120000000000001</v>
      </c>
      <c r="N61" s="104">
        <v>8.1120000000000001</v>
      </c>
      <c r="O61" s="57">
        <v>7000</v>
      </c>
      <c r="P61" s="58">
        <f t="shared" si="0"/>
        <v>56784</v>
      </c>
    </row>
    <row r="62" spans="1:16" ht="26.25" customHeight="1" x14ac:dyDescent="0.2">
      <c r="A62" s="100"/>
      <c r="B62" s="100"/>
      <c r="C62" s="15" t="s">
        <v>1389</v>
      </c>
      <c r="D62" s="70" t="s">
        <v>57</v>
      </c>
      <c r="E62" s="12">
        <v>44539</v>
      </c>
      <c r="F62" s="1" t="s">
        <v>71</v>
      </c>
      <c r="G62" s="12">
        <v>44543</v>
      </c>
      <c r="H62" s="125" t="s">
        <v>1328</v>
      </c>
      <c r="I62" s="15">
        <v>50</v>
      </c>
      <c r="J62" s="15">
        <v>32</v>
      </c>
      <c r="K62" s="15">
        <v>28</v>
      </c>
      <c r="L62" s="15">
        <v>12</v>
      </c>
      <c r="M62" s="126">
        <v>11.2</v>
      </c>
      <c r="N62" s="104">
        <v>12</v>
      </c>
      <c r="O62" s="57">
        <v>7000</v>
      </c>
      <c r="P62" s="58">
        <f t="shared" si="0"/>
        <v>84000</v>
      </c>
    </row>
    <row r="63" spans="1:16" ht="26.25" customHeight="1" x14ac:dyDescent="0.2">
      <c r="A63" s="100"/>
      <c r="B63" s="100"/>
      <c r="C63" s="15" t="s">
        <v>1390</v>
      </c>
      <c r="D63" s="70" t="s">
        <v>57</v>
      </c>
      <c r="E63" s="12">
        <v>44539</v>
      </c>
      <c r="F63" s="1" t="s">
        <v>71</v>
      </c>
      <c r="G63" s="12">
        <v>44543</v>
      </c>
      <c r="H63" s="125" t="s">
        <v>1328</v>
      </c>
      <c r="I63" s="15">
        <v>43</v>
      </c>
      <c r="J63" s="15">
        <v>35</v>
      </c>
      <c r="K63" s="15">
        <v>28</v>
      </c>
      <c r="L63" s="15">
        <v>6</v>
      </c>
      <c r="M63" s="126">
        <v>10.535</v>
      </c>
      <c r="N63" s="104">
        <v>10.535</v>
      </c>
      <c r="O63" s="57">
        <v>7000</v>
      </c>
      <c r="P63" s="58">
        <f t="shared" si="0"/>
        <v>73745</v>
      </c>
    </row>
    <row r="64" spans="1:16" ht="26.25" customHeight="1" x14ac:dyDescent="0.2">
      <c r="A64" s="100"/>
      <c r="B64" s="100"/>
      <c r="C64" s="15" t="s">
        <v>1391</v>
      </c>
      <c r="D64" s="70" t="s">
        <v>57</v>
      </c>
      <c r="E64" s="12">
        <v>44539</v>
      </c>
      <c r="F64" s="1" t="s">
        <v>71</v>
      </c>
      <c r="G64" s="12">
        <v>44543</v>
      </c>
      <c r="H64" s="125" t="s">
        <v>1328</v>
      </c>
      <c r="I64" s="15">
        <v>43</v>
      </c>
      <c r="J64" s="15">
        <v>23</v>
      </c>
      <c r="K64" s="15">
        <v>20</v>
      </c>
      <c r="L64" s="15">
        <v>14</v>
      </c>
      <c r="M64" s="126">
        <v>4.9450000000000003</v>
      </c>
      <c r="N64" s="104">
        <v>14</v>
      </c>
      <c r="O64" s="57">
        <v>7000</v>
      </c>
      <c r="P64" s="58">
        <f t="shared" si="0"/>
        <v>98000</v>
      </c>
    </row>
    <row r="65" spans="1:16" ht="26.25" customHeight="1" x14ac:dyDescent="0.2">
      <c r="A65" s="100"/>
      <c r="B65" s="100"/>
      <c r="C65" s="15" t="s">
        <v>1392</v>
      </c>
      <c r="D65" s="70" t="s">
        <v>57</v>
      </c>
      <c r="E65" s="12">
        <v>44539</v>
      </c>
      <c r="F65" s="1" t="s">
        <v>71</v>
      </c>
      <c r="G65" s="12">
        <v>44543</v>
      </c>
      <c r="H65" s="125" t="s">
        <v>1328</v>
      </c>
      <c r="I65" s="15">
        <v>33</v>
      </c>
      <c r="J65" s="15">
        <v>33</v>
      </c>
      <c r="K65" s="15">
        <v>33</v>
      </c>
      <c r="L65" s="15">
        <v>13</v>
      </c>
      <c r="M65" s="126">
        <v>8.9842499999999994</v>
      </c>
      <c r="N65" s="104">
        <v>13</v>
      </c>
      <c r="O65" s="57">
        <v>7000</v>
      </c>
      <c r="P65" s="58">
        <f t="shared" si="0"/>
        <v>91000</v>
      </c>
    </row>
    <row r="66" spans="1:16" ht="26.25" customHeight="1" x14ac:dyDescent="0.2">
      <c r="A66" s="100"/>
      <c r="B66" s="100"/>
      <c r="C66" s="15" t="s">
        <v>1393</v>
      </c>
      <c r="D66" s="70" t="s">
        <v>57</v>
      </c>
      <c r="E66" s="12">
        <v>44539</v>
      </c>
      <c r="F66" s="1" t="s">
        <v>71</v>
      </c>
      <c r="G66" s="12">
        <v>44543</v>
      </c>
      <c r="H66" s="125" t="s">
        <v>1328</v>
      </c>
      <c r="I66" s="15">
        <v>42</v>
      </c>
      <c r="J66" s="15">
        <v>32</v>
      </c>
      <c r="K66" s="15">
        <v>19</v>
      </c>
      <c r="L66" s="15">
        <v>2</v>
      </c>
      <c r="M66" s="126">
        <v>6.3840000000000003</v>
      </c>
      <c r="N66" s="104">
        <v>7</v>
      </c>
      <c r="O66" s="57">
        <v>7000</v>
      </c>
      <c r="P66" s="58">
        <f t="shared" si="0"/>
        <v>49000</v>
      </c>
    </row>
    <row r="67" spans="1:16" ht="26.25" customHeight="1" x14ac:dyDescent="0.2">
      <c r="A67" s="100"/>
      <c r="B67" s="100"/>
      <c r="C67" s="15" t="s">
        <v>1394</v>
      </c>
      <c r="D67" s="70" t="s">
        <v>57</v>
      </c>
      <c r="E67" s="12">
        <v>44539</v>
      </c>
      <c r="F67" s="1" t="s">
        <v>71</v>
      </c>
      <c r="G67" s="12">
        <v>44543</v>
      </c>
      <c r="H67" s="125" t="s">
        <v>1328</v>
      </c>
      <c r="I67" s="15">
        <v>47</v>
      </c>
      <c r="J67" s="15">
        <v>33</v>
      </c>
      <c r="K67" s="15">
        <v>17</v>
      </c>
      <c r="L67" s="15">
        <v>2</v>
      </c>
      <c r="M67" s="126">
        <v>6.5917500000000002</v>
      </c>
      <c r="N67" s="104">
        <v>6.5917500000000002</v>
      </c>
      <c r="O67" s="57">
        <v>7000</v>
      </c>
      <c r="P67" s="58">
        <f t="shared" ref="P67:P91" si="1">N67*O67</f>
        <v>46142.25</v>
      </c>
    </row>
    <row r="68" spans="1:16" ht="26.25" customHeight="1" x14ac:dyDescent="0.2">
      <c r="A68" s="100"/>
      <c r="B68" s="100"/>
      <c r="C68" s="15" t="s">
        <v>1395</v>
      </c>
      <c r="D68" s="70" t="s">
        <v>57</v>
      </c>
      <c r="E68" s="12">
        <v>44539</v>
      </c>
      <c r="F68" s="1" t="s">
        <v>71</v>
      </c>
      <c r="G68" s="12">
        <v>44543</v>
      </c>
      <c r="H68" s="125" t="s">
        <v>1328</v>
      </c>
      <c r="I68" s="15">
        <v>34</v>
      </c>
      <c r="J68" s="15">
        <v>20</v>
      </c>
      <c r="K68" s="15">
        <v>16</v>
      </c>
      <c r="L68" s="15">
        <v>1</v>
      </c>
      <c r="M68" s="126">
        <v>2.72</v>
      </c>
      <c r="N68" s="104">
        <v>2.72</v>
      </c>
      <c r="O68" s="57">
        <v>7000</v>
      </c>
      <c r="P68" s="58">
        <f t="shared" si="1"/>
        <v>19040</v>
      </c>
    </row>
    <row r="69" spans="1:16" ht="26.25" customHeight="1" x14ac:dyDescent="0.2">
      <c r="A69" s="100"/>
      <c r="B69" s="100"/>
      <c r="C69" s="15" t="s">
        <v>1396</v>
      </c>
      <c r="D69" s="70" t="s">
        <v>57</v>
      </c>
      <c r="E69" s="12">
        <v>44539</v>
      </c>
      <c r="F69" s="1" t="s">
        <v>71</v>
      </c>
      <c r="G69" s="12">
        <v>44543</v>
      </c>
      <c r="H69" s="125" t="s">
        <v>1328</v>
      </c>
      <c r="I69" s="15">
        <v>65</v>
      </c>
      <c r="J69" s="15">
        <v>49</v>
      </c>
      <c r="K69" s="15">
        <v>17</v>
      </c>
      <c r="L69" s="15">
        <v>10</v>
      </c>
      <c r="M69" s="126">
        <v>13.536250000000001</v>
      </c>
      <c r="N69" s="104">
        <v>13.536250000000001</v>
      </c>
      <c r="O69" s="57">
        <v>7000</v>
      </c>
      <c r="P69" s="58">
        <f t="shared" si="1"/>
        <v>94753.75</v>
      </c>
    </row>
    <row r="70" spans="1:16" ht="26.25" customHeight="1" x14ac:dyDescent="0.2">
      <c r="A70" s="100"/>
      <c r="B70" s="100"/>
      <c r="C70" s="15" t="s">
        <v>1397</v>
      </c>
      <c r="D70" s="70" t="s">
        <v>57</v>
      </c>
      <c r="E70" s="12">
        <v>44539</v>
      </c>
      <c r="F70" s="1" t="s">
        <v>71</v>
      </c>
      <c r="G70" s="12">
        <v>44543</v>
      </c>
      <c r="H70" s="125" t="s">
        <v>1328</v>
      </c>
      <c r="I70" s="15">
        <v>145</v>
      </c>
      <c r="J70" s="15">
        <v>44</v>
      </c>
      <c r="K70" s="15">
        <v>10</v>
      </c>
      <c r="L70" s="15">
        <v>3</v>
      </c>
      <c r="M70" s="126">
        <v>15.95</v>
      </c>
      <c r="N70" s="104">
        <v>15.95</v>
      </c>
      <c r="O70" s="57">
        <v>7000</v>
      </c>
      <c r="P70" s="58">
        <f t="shared" si="1"/>
        <v>111650</v>
      </c>
    </row>
    <row r="71" spans="1:16" ht="26.25" customHeight="1" x14ac:dyDescent="0.2">
      <c r="A71" s="100"/>
      <c r="B71" s="100"/>
      <c r="C71" s="15" t="s">
        <v>1398</v>
      </c>
      <c r="D71" s="70" t="s">
        <v>57</v>
      </c>
      <c r="E71" s="12">
        <v>44539</v>
      </c>
      <c r="F71" s="1" t="s">
        <v>71</v>
      </c>
      <c r="G71" s="12">
        <v>44543</v>
      </c>
      <c r="H71" s="125" t="s">
        <v>1328</v>
      </c>
      <c r="I71" s="15">
        <v>48</v>
      </c>
      <c r="J71" s="15">
        <v>38</v>
      </c>
      <c r="K71" s="15">
        <v>18</v>
      </c>
      <c r="L71" s="15">
        <v>5</v>
      </c>
      <c r="M71" s="126">
        <v>8.2080000000000002</v>
      </c>
      <c r="N71" s="104">
        <v>8.2080000000000002</v>
      </c>
      <c r="O71" s="57">
        <v>7000</v>
      </c>
      <c r="P71" s="58">
        <f t="shared" si="1"/>
        <v>57456</v>
      </c>
    </row>
    <row r="72" spans="1:16" ht="26.25" customHeight="1" x14ac:dyDescent="0.2">
      <c r="A72" s="100"/>
      <c r="B72" s="100"/>
      <c r="C72" s="15" t="s">
        <v>1399</v>
      </c>
      <c r="D72" s="70" t="s">
        <v>57</v>
      </c>
      <c r="E72" s="12">
        <v>44539</v>
      </c>
      <c r="F72" s="1" t="s">
        <v>71</v>
      </c>
      <c r="G72" s="12">
        <v>44543</v>
      </c>
      <c r="H72" s="125" t="s">
        <v>1328</v>
      </c>
      <c r="I72" s="15">
        <v>93</v>
      </c>
      <c r="J72" s="15">
        <v>8</v>
      </c>
      <c r="K72" s="15">
        <v>8</v>
      </c>
      <c r="L72" s="15">
        <v>2</v>
      </c>
      <c r="M72" s="126">
        <v>1.488</v>
      </c>
      <c r="N72" s="104">
        <v>3</v>
      </c>
      <c r="O72" s="57">
        <v>7000</v>
      </c>
      <c r="P72" s="58">
        <f t="shared" si="1"/>
        <v>21000</v>
      </c>
    </row>
    <row r="73" spans="1:16" ht="26.25" customHeight="1" x14ac:dyDescent="0.2">
      <c r="A73" s="100"/>
      <c r="B73" s="100"/>
      <c r="C73" s="15" t="s">
        <v>1400</v>
      </c>
      <c r="D73" s="70" t="s">
        <v>57</v>
      </c>
      <c r="E73" s="12">
        <v>44539</v>
      </c>
      <c r="F73" s="1" t="s">
        <v>71</v>
      </c>
      <c r="G73" s="12">
        <v>44543</v>
      </c>
      <c r="H73" s="125" t="s">
        <v>1328</v>
      </c>
      <c r="I73" s="15">
        <v>75</v>
      </c>
      <c r="J73" s="15">
        <v>47</v>
      </c>
      <c r="K73" s="15">
        <v>30</v>
      </c>
      <c r="L73" s="15">
        <v>5</v>
      </c>
      <c r="M73" s="126">
        <v>26.4375</v>
      </c>
      <c r="N73" s="104">
        <v>27</v>
      </c>
      <c r="O73" s="57">
        <v>7000</v>
      </c>
      <c r="P73" s="58">
        <f t="shared" si="1"/>
        <v>189000</v>
      </c>
    </row>
    <row r="74" spans="1:16" ht="26.25" customHeight="1" x14ac:dyDescent="0.2">
      <c r="A74" s="100"/>
      <c r="B74" s="100"/>
      <c r="C74" s="15" t="s">
        <v>1401</v>
      </c>
      <c r="D74" s="70" t="s">
        <v>57</v>
      </c>
      <c r="E74" s="12">
        <v>44539</v>
      </c>
      <c r="F74" s="1" t="s">
        <v>71</v>
      </c>
      <c r="G74" s="12">
        <v>44543</v>
      </c>
      <c r="H74" s="125" t="s">
        <v>1328</v>
      </c>
      <c r="I74" s="15">
        <v>210</v>
      </c>
      <c r="J74" s="15">
        <v>6</v>
      </c>
      <c r="K74" s="15">
        <v>6</v>
      </c>
      <c r="L74" s="15">
        <v>1</v>
      </c>
      <c r="M74" s="126">
        <v>1.89</v>
      </c>
      <c r="N74" s="104">
        <v>1.89</v>
      </c>
      <c r="O74" s="57">
        <v>7000</v>
      </c>
      <c r="P74" s="58">
        <f t="shared" si="1"/>
        <v>13230</v>
      </c>
    </row>
    <row r="75" spans="1:16" ht="26.25" customHeight="1" x14ac:dyDescent="0.2">
      <c r="A75" s="100"/>
      <c r="B75" s="100"/>
      <c r="C75" s="15" t="s">
        <v>1402</v>
      </c>
      <c r="D75" s="70" t="s">
        <v>57</v>
      </c>
      <c r="E75" s="12">
        <v>44539</v>
      </c>
      <c r="F75" s="1" t="s">
        <v>71</v>
      </c>
      <c r="G75" s="12">
        <v>44543</v>
      </c>
      <c r="H75" s="125" t="s">
        <v>1328</v>
      </c>
      <c r="I75" s="15">
        <v>115</v>
      </c>
      <c r="J75" s="15">
        <v>12</v>
      </c>
      <c r="K75" s="15">
        <v>12</v>
      </c>
      <c r="L75" s="15">
        <v>1</v>
      </c>
      <c r="M75" s="126">
        <v>4.1399999999999997</v>
      </c>
      <c r="N75" s="104">
        <v>4.1399999999999997</v>
      </c>
      <c r="O75" s="57">
        <v>7000</v>
      </c>
      <c r="P75" s="58">
        <f t="shared" si="1"/>
        <v>28979.999999999996</v>
      </c>
    </row>
    <row r="76" spans="1:16" ht="26.25" customHeight="1" x14ac:dyDescent="0.2">
      <c r="A76" s="100"/>
      <c r="B76" s="100"/>
      <c r="C76" s="15" t="s">
        <v>1403</v>
      </c>
      <c r="D76" s="70" t="s">
        <v>57</v>
      </c>
      <c r="E76" s="12">
        <v>44539</v>
      </c>
      <c r="F76" s="1" t="s">
        <v>71</v>
      </c>
      <c r="G76" s="12">
        <v>44543</v>
      </c>
      <c r="H76" s="125" t="s">
        <v>1328</v>
      </c>
      <c r="I76" s="15">
        <v>48</v>
      </c>
      <c r="J76" s="15">
        <v>36</v>
      </c>
      <c r="K76" s="15">
        <v>27</v>
      </c>
      <c r="L76" s="15">
        <v>1</v>
      </c>
      <c r="M76" s="126">
        <v>11.664</v>
      </c>
      <c r="N76" s="104">
        <v>11.664</v>
      </c>
      <c r="O76" s="57">
        <v>7000</v>
      </c>
      <c r="P76" s="58">
        <f t="shared" si="1"/>
        <v>81648</v>
      </c>
    </row>
    <row r="77" spans="1:16" ht="26.25" customHeight="1" x14ac:dyDescent="0.2">
      <c r="A77" s="100"/>
      <c r="B77" s="100"/>
      <c r="C77" s="15" t="s">
        <v>1404</v>
      </c>
      <c r="D77" s="70" t="s">
        <v>57</v>
      </c>
      <c r="E77" s="12">
        <v>44539</v>
      </c>
      <c r="F77" s="1" t="s">
        <v>71</v>
      </c>
      <c r="G77" s="12">
        <v>44543</v>
      </c>
      <c r="H77" s="125" t="s">
        <v>1328</v>
      </c>
      <c r="I77" s="15">
        <v>37</v>
      </c>
      <c r="J77" s="15">
        <v>37</v>
      </c>
      <c r="K77" s="15">
        <v>27</v>
      </c>
      <c r="L77" s="15">
        <v>4</v>
      </c>
      <c r="M77" s="126">
        <v>9.2407500000000002</v>
      </c>
      <c r="N77" s="104">
        <v>9.2407500000000002</v>
      </c>
      <c r="O77" s="57">
        <v>7000</v>
      </c>
      <c r="P77" s="58">
        <f t="shared" si="1"/>
        <v>64685.25</v>
      </c>
    </row>
    <row r="78" spans="1:16" ht="26.25" customHeight="1" x14ac:dyDescent="0.2">
      <c r="A78" s="100"/>
      <c r="B78" s="100"/>
      <c r="C78" s="15" t="s">
        <v>1405</v>
      </c>
      <c r="D78" s="70" t="s">
        <v>57</v>
      </c>
      <c r="E78" s="12">
        <v>44539</v>
      </c>
      <c r="F78" s="1" t="s">
        <v>71</v>
      </c>
      <c r="G78" s="12">
        <v>44543</v>
      </c>
      <c r="H78" s="125" t="s">
        <v>1328</v>
      </c>
      <c r="I78" s="15">
        <v>40</v>
      </c>
      <c r="J78" s="15">
        <v>34</v>
      </c>
      <c r="K78" s="15">
        <v>25</v>
      </c>
      <c r="L78" s="15">
        <v>5</v>
      </c>
      <c r="M78" s="126">
        <v>8.5</v>
      </c>
      <c r="N78" s="104">
        <v>10</v>
      </c>
      <c r="O78" s="57">
        <v>7000</v>
      </c>
      <c r="P78" s="58">
        <f t="shared" si="1"/>
        <v>70000</v>
      </c>
    </row>
    <row r="79" spans="1:16" ht="26.25" customHeight="1" x14ac:dyDescent="0.2">
      <c r="A79" s="100"/>
      <c r="B79" s="100"/>
      <c r="C79" s="15" t="s">
        <v>1406</v>
      </c>
      <c r="D79" s="70" t="s">
        <v>57</v>
      </c>
      <c r="E79" s="12">
        <v>44539</v>
      </c>
      <c r="F79" s="1" t="s">
        <v>71</v>
      </c>
      <c r="G79" s="12">
        <v>44543</v>
      </c>
      <c r="H79" s="125" t="s">
        <v>1328</v>
      </c>
      <c r="I79" s="15">
        <v>67</v>
      </c>
      <c r="J79" s="15">
        <v>32</v>
      </c>
      <c r="K79" s="15">
        <v>32</v>
      </c>
      <c r="L79" s="15">
        <v>15</v>
      </c>
      <c r="M79" s="126">
        <v>17.152000000000001</v>
      </c>
      <c r="N79" s="104">
        <v>17.152000000000001</v>
      </c>
      <c r="O79" s="57">
        <v>7000</v>
      </c>
      <c r="P79" s="58">
        <f t="shared" si="1"/>
        <v>120064</v>
      </c>
    </row>
    <row r="80" spans="1:16" ht="26.25" customHeight="1" x14ac:dyDescent="0.2">
      <c r="A80" s="100"/>
      <c r="B80" s="100"/>
      <c r="C80" s="15" t="s">
        <v>1407</v>
      </c>
      <c r="D80" s="70" t="s">
        <v>57</v>
      </c>
      <c r="E80" s="12">
        <v>44539</v>
      </c>
      <c r="F80" s="1" t="s">
        <v>71</v>
      </c>
      <c r="G80" s="12">
        <v>44543</v>
      </c>
      <c r="H80" s="125" t="s">
        <v>1328</v>
      </c>
      <c r="I80" s="15">
        <v>94</v>
      </c>
      <c r="J80" s="15">
        <v>63</v>
      </c>
      <c r="K80" s="15">
        <v>28</v>
      </c>
      <c r="L80" s="15">
        <v>22</v>
      </c>
      <c r="M80" s="126">
        <v>41.454000000000001</v>
      </c>
      <c r="N80" s="104">
        <v>42</v>
      </c>
      <c r="O80" s="57">
        <v>7000</v>
      </c>
      <c r="P80" s="58">
        <f t="shared" si="1"/>
        <v>294000</v>
      </c>
    </row>
    <row r="81" spans="1:16" ht="26.25" customHeight="1" x14ac:dyDescent="0.2">
      <c r="A81" s="100"/>
      <c r="B81" s="100"/>
      <c r="C81" s="15" t="s">
        <v>1408</v>
      </c>
      <c r="D81" s="70" t="s">
        <v>57</v>
      </c>
      <c r="E81" s="12">
        <v>44539</v>
      </c>
      <c r="F81" s="1" t="s">
        <v>71</v>
      </c>
      <c r="G81" s="12">
        <v>44543</v>
      </c>
      <c r="H81" s="125" t="s">
        <v>1328</v>
      </c>
      <c r="I81" s="15">
        <v>92</v>
      </c>
      <c r="J81" s="15">
        <v>64</v>
      </c>
      <c r="K81" s="15">
        <v>32</v>
      </c>
      <c r="L81" s="15">
        <v>18</v>
      </c>
      <c r="M81" s="126">
        <v>47.103999999999999</v>
      </c>
      <c r="N81" s="104">
        <v>47.103999999999999</v>
      </c>
      <c r="O81" s="57">
        <v>7000</v>
      </c>
      <c r="P81" s="58">
        <f t="shared" si="1"/>
        <v>329728</v>
      </c>
    </row>
    <row r="82" spans="1:16" ht="26.25" customHeight="1" x14ac:dyDescent="0.2">
      <c r="A82" s="100"/>
      <c r="B82" s="100"/>
      <c r="C82" s="15" t="s">
        <v>1409</v>
      </c>
      <c r="D82" s="70" t="s">
        <v>57</v>
      </c>
      <c r="E82" s="12">
        <v>44539</v>
      </c>
      <c r="F82" s="1" t="s">
        <v>71</v>
      </c>
      <c r="G82" s="12">
        <v>44543</v>
      </c>
      <c r="H82" s="125" t="s">
        <v>1328</v>
      </c>
      <c r="I82" s="15">
        <v>77</v>
      </c>
      <c r="J82" s="15">
        <v>64</v>
      </c>
      <c r="K82" s="15">
        <v>24</v>
      </c>
      <c r="L82" s="15">
        <v>9</v>
      </c>
      <c r="M82" s="126">
        <v>29.568000000000001</v>
      </c>
      <c r="N82" s="104">
        <v>29.568000000000001</v>
      </c>
      <c r="O82" s="57">
        <v>7000</v>
      </c>
      <c r="P82" s="58">
        <f t="shared" si="1"/>
        <v>206976</v>
      </c>
    </row>
    <row r="83" spans="1:16" ht="26.25" customHeight="1" x14ac:dyDescent="0.2">
      <c r="A83" s="100"/>
      <c r="B83" s="100"/>
      <c r="C83" s="15" t="s">
        <v>1410</v>
      </c>
      <c r="D83" s="70" t="s">
        <v>57</v>
      </c>
      <c r="E83" s="12">
        <v>44539</v>
      </c>
      <c r="F83" s="1" t="s">
        <v>71</v>
      </c>
      <c r="G83" s="12">
        <v>44543</v>
      </c>
      <c r="H83" s="125" t="s">
        <v>1328</v>
      </c>
      <c r="I83" s="15">
        <v>84</v>
      </c>
      <c r="J83" s="15">
        <v>45</v>
      </c>
      <c r="K83" s="15">
        <v>26</v>
      </c>
      <c r="L83" s="15">
        <v>13</v>
      </c>
      <c r="M83" s="126">
        <v>24.57</v>
      </c>
      <c r="N83" s="104">
        <v>24.57</v>
      </c>
      <c r="O83" s="57">
        <v>7000</v>
      </c>
      <c r="P83" s="58">
        <f t="shared" si="1"/>
        <v>171990</v>
      </c>
    </row>
    <row r="84" spans="1:16" ht="26.25" customHeight="1" x14ac:dyDescent="0.2">
      <c r="A84" s="100"/>
      <c r="B84" s="100"/>
      <c r="C84" s="15" t="s">
        <v>1411</v>
      </c>
      <c r="D84" s="70" t="s">
        <v>57</v>
      </c>
      <c r="E84" s="12">
        <v>44539</v>
      </c>
      <c r="F84" s="1" t="s">
        <v>71</v>
      </c>
      <c r="G84" s="12">
        <v>44543</v>
      </c>
      <c r="H84" s="125" t="s">
        <v>1328</v>
      </c>
      <c r="I84" s="15">
        <v>50</v>
      </c>
      <c r="J84" s="15">
        <v>40</v>
      </c>
      <c r="K84" s="15">
        <v>27</v>
      </c>
      <c r="L84" s="15">
        <v>10</v>
      </c>
      <c r="M84" s="126">
        <v>13.5</v>
      </c>
      <c r="N84" s="104">
        <v>15</v>
      </c>
      <c r="O84" s="57">
        <v>7000</v>
      </c>
      <c r="P84" s="58">
        <f t="shared" si="1"/>
        <v>105000</v>
      </c>
    </row>
    <row r="85" spans="1:16" ht="26.25" customHeight="1" x14ac:dyDescent="0.2">
      <c r="A85" s="100"/>
      <c r="B85" s="100"/>
      <c r="C85" s="15" t="s">
        <v>1412</v>
      </c>
      <c r="D85" s="70" t="s">
        <v>57</v>
      </c>
      <c r="E85" s="12">
        <v>44539</v>
      </c>
      <c r="F85" s="1" t="s">
        <v>71</v>
      </c>
      <c r="G85" s="12">
        <v>44543</v>
      </c>
      <c r="H85" s="125" t="s">
        <v>1328</v>
      </c>
      <c r="I85" s="15">
        <v>74</v>
      </c>
      <c r="J85" s="15">
        <v>60</v>
      </c>
      <c r="K85" s="15">
        <v>20</v>
      </c>
      <c r="L85" s="15">
        <v>11</v>
      </c>
      <c r="M85" s="126">
        <v>22.2</v>
      </c>
      <c r="N85" s="104">
        <v>22.2</v>
      </c>
      <c r="O85" s="57">
        <v>7000</v>
      </c>
      <c r="P85" s="58">
        <f t="shared" si="1"/>
        <v>155400</v>
      </c>
    </row>
    <row r="86" spans="1:16" ht="26.25" customHeight="1" x14ac:dyDescent="0.2">
      <c r="A86" s="100"/>
      <c r="B86" s="100"/>
      <c r="C86" s="15" t="s">
        <v>1413</v>
      </c>
      <c r="D86" s="70" t="s">
        <v>57</v>
      </c>
      <c r="E86" s="12">
        <v>44539</v>
      </c>
      <c r="F86" s="1" t="s">
        <v>71</v>
      </c>
      <c r="G86" s="12">
        <v>44543</v>
      </c>
      <c r="H86" s="125" t="s">
        <v>1328</v>
      </c>
      <c r="I86" s="15">
        <v>96</v>
      </c>
      <c r="J86" s="15">
        <v>56</v>
      </c>
      <c r="K86" s="15">
        <v>32</v>
      </c>
      <c r="L86" s="15">
        <v>21</v>
      </c>
      <c r="M86" s="126">
        <v>43.008000000000003</v>
      </c>
      <c r="N86" s="104">
        <v>43.008000000000003</v>
      </c>
      <c r="O86" s="57">
        <v>7000</v>
      </c>
      <c r="P86" s="58">
        <f t="shared" si="1"/>
        <v>301056</v>
      </c>
    </row>
    <row r="87" spans="1:16" ht="26.25" customHeight="1" x14ac:dyDescent="0.2">
      <c r="A87" s="100"/>
      <c r="B87" s="100"/>
      <c r="C87" s="15" t="s">
        <v>1414</v>
      </c>
      <c r="D87" s="70" t="s">
        <v>57</v>
      </c>
      <c r="E87" s="12">
        <v>44539</v>
      </c>
      <c r="F87" s="1" t="s">
        <v>71</v>
      </c>
      <c r="G87" s="12">
        <v>44543</v>
      </c>
      <c r="H87" s="125" t="s">
        <v>1328</v>
      </c>
      <c r="I87" s="15">
        <v>92</v>
      </c>
      <c r="J87" s="15">
        <v>67</v>
      </c>
      <c r="K87" s="15">
        <v>28</v>
      </c>
      <c r="L87" s="15">
        <v>23</v>
      </c>
      <c r="M87" s="126">
        <v>43.148000000000003</v>
      </c>
      <c r="N87" s="104">
        <v>43.148000000000003</v>
      </c>
      <c r="O87" s="57">
        <v>7000</v>
      </c>
      <c r="P87" s="58">
        <f t="shared" si="1"/>
        <v>302036</v>
      </c>
    </row>
    <row r="88" spans="1:16" ht="26.25" customHeight="1" x14ac:dyDescent="0.2">
      <c r="A88" s="100"/>
      <c r="B88" s="100"/>
      <c r="C88" s="15" t="s">
        <v>1415</v>
      </c>
      <c r="D88" s="70" t="s">
        <v>57</v>
      </c>
      <c r="E88" s="12">
        <v>44539</v>
      </c>
      <c r="F88" s="1" t="s">
        <v>71</v>
      </c>
      <c r="G88" s="12">
        <v>44543</v>
      </c>
      <c r="H88" s="125" t="s">
        <v>1328</v>
      </c>
      <c r="I88" s="15">
        <v>38</v>
      </c>
      <c r="J88" s="15">
        <v>32</v>
      </c>
      <c r="K88" s="15">
        <v>22</v>
      </c>
      <c r="L88" s="15">
        <v>6</v>
      </c>
      <c r="M88" s="126">
        <v>6.6879999999999997</v>
      </c>
      <c r="N88" s="104">
        <v>6.6879999999999997</v>
      </c>
      <c r="O88" s="57">
        <v>7000</v>
      </c>
      <c r="P88" s="58">
        <f t="shared" si="1"/>
        <v>46816</v>
      </c>
    </row>
    <row r="89" spans="1:16" ht="26.25" customHeight="1" x14ac:dyDescent="0.2">
      <c r="A89" s="100"/>
      <c r="B89" s="100"/>
      <c r="C89" s="15" t="s">
        <v>1416</v>
      </c>
      <c r="D89" s="70" t="s">
        <v>57</v>
      </c>
      <c r="E89" s="12">
        <v>44539</v>
      </c>
      <c r="F89" s="1" t="s">
        <v>71</v>
      </c>
      <c r="G89" s="12">
        <v>44543</v>
      </c>
      <c r="H89" s="125" t="s">
        <v>1328</v>
      </c>
      <c r="I89" s="15">
        <v>52</v>
      </c>
      <c r="J89" s="15">
        <v>20</v>
      </c>
      <c r="K89" s="15">
        <v>27</v>
      </c>
      <c r="L89" s="15">
        <v>27</v>
      </c>
      <c r="M89" s="126">
        <v>7.02</v>
      </c>
      <c r="N89" s="104">
        <v>27</v>
      </c>
      <c r="O89" s="57">
        <v>7000</v>
      </c>
      <c r="P89" s="58">
        <f t="shared" si="1"/>
        <v>189000</v>
      </c>
    </row>
    <row r="90" spans="1:16" ht="26.25" customHeight="1" x14ac:dyDescent="0.2">
      <c r="A90" s="100"/>
      <c r="B90" s="100"/>
      <c r="C90" s="15" t="s">
        <v>1417</v>
      </c>
      <c r="D90" s="70" t="s">
        <v>57</v>
      </c>
      <c r="E90" s="12">
        <v>44539</v>
      </c>
      <c r="F90" s="1" t="s">
        <v>71</v>
      </c>
      <c r="G90" s="12">
        <v>44543</v>
      </c>
      <c r="H90" s="125" t="s">
        <v>1328</v>
      </c>
      <c r="I90" s="15">
        <v>80</v>
      </c>
      <c r="J90" s="15">
        <v>38</v>
      </c>
      <c r="K90" s="15">
        <v>15</v>
      </c>
      <c r="L90" s="15">
        <v>8</v>
      </c>
      <c r="M90" s="126">
        <v>11.4</v>
      </c>
      <c r="N90" s="104">
        <v>12</v>
      </c>
      <c r="O90" s="57">
        <v>7000</v>
      </c>
      <c r="P90" s="58">
        <f t="shared" si="1"/>
        <v>84000</v>
      </c>
    </row>
    <row r="91" spans="1:16" ht="26.25" customHeight="1" x14ac:dyDescent="0.2">
      <c r="A91" s="100"/>
      <c r="B91" s="100"/>
      <c r="C91" s="15" t="s">
        <v>1418</v>
      </c>
      <c r="D91" s="70" t="s">
        <v>57</v>
      </c>
      <c r="E91" s="12">
        <v>44539</v>
      </c>
      <c r="F91" s="1" t="s">
        <v>71</v>
      </c>
      <c r="G91" s="12">
        <v>44543</v>
      </c>
      <c r="H91" s="125" t="s">
        <v>1328</v>
      </c>
      <c r="I91" s="15">
        <v>98</v>
      </c>
      <c r="J91" s="15">
        <v>58</v>
      </c>
      <c r="K91" s="15">
        <v>23</v>
      </c>
      <c r="L91" s="15">
        <v>30</v>
      </c>
      <c r="M91" s="126">
        <v>32.683</v>
      </c>
      <c r="N91" s="104">
        <v>32.683</v>
      </c>
      <c r="O91" s="57">
        <v>7000</v>
      </c>
      <c r="P91" s="58">
        <f t="shared" si="1"/>
        <v>228781</v>
      </c>
    </row>
    <row r="92" spans="1:16" ht="22.5" customHeight="1" x14ac:dyDescent="0.2">
      <c r="A92" s="159" t="s">
        <v>30</v>
      </c>
      <c r="B92" s="160"/>
      <c r="C92" s="160"/>
      <c r="D92" s="160"/>
      <c r="E92" s="160"/>
      <c r="F92" s="160"/>
      <c r="G92" s="160"/>
      <c r="H92" s="160"/>
      <c r="I92" s="160"/>
      <c r="J92" s="160"/>
      <c r="K92" s="160"/>
      <c r="L92" s="161"/>
      <c r="M92" s="71">
        <f>SUBTOTAL(109,Table22457891011234567891011121314151617181920212223242526[KG VOLUME])</f>
        <v>1683.0645000000009</v>
      </c>
      <c r="N92" s="61">
        <f>SUM(N3:N91)</f>
        <v>1785.8685000000009</v>
      </c>
      <c r="O92" s="162">
        <f>SUM(P3:P91)</f>
        <v>12501079.5</v>
      </c>
      <c r="P92" s="163"/>
    </row>
    <row r="93" spans="1:16" ht="18" customHeight="1" x14ac:dyDescent="0.2">
      <c r="A93" s="78"/>
      <c r="B93" s="49" t="s">
        <v>42</v>
      </c>
      <c r="C93" s="48"/>
      <c r="D93" s="50" t="s">
        <v>43</v>
      </c>
      <c r="E93" s="78"/>
      <c r="F93" s="78"/>
      <c r="G93" s="78"/>
      <c r="H93" s="78"/>
      <c r="I93" s="78"/>
      <c r="J93" s="78"/>
      <c r="K93" s="78"/>
      <c r="L93" s="78"/>
      <c r="M93" s="79"/>
      <c r="N93" s="80" t="s">
        <v>52</v>
      </c>
      <c r="O93" s="81"/>
      <c r="P93" s="81">
        <v>0</v>
      </c>
    </row>
    <row r="94" spans="1:16" ht="18" customHeight="1" thickBot="1" x14ac:dyDescent="0.25">
      <c r="A94" s="78"/>
      <c r="B94" s="49"/>
      <c r="C94" s="48"/>
      <c r="D94" s="50"/>
      <c r="E94" s="78"/>
      <c r="F94" s="78"/>
      <c r="G94" s="78"/>
      <c r="H94" s="78"/>
      <c r="I94" s="78"/>
      <c r="J94" s="78"/>
      <c r="K94" s="78"/>
      <c r="L94" s="78"/>
      <c r="M94" s="79"/>
      <c r="N94" s="82" t="s">
        <v>53</v>
      </c>
      <c r="O94" s="83"/>
      <c r="P94" s="83">
        <f>O92-P93</f>
        <v>12501079.5</v>
      </c>
    </row>
    <row r="95" spans="1:16" ht="18" customHeight="1" x14ac:dyDescent="0.2">
      <c r="A95" s="10"/>
      <c r="H95" s="56"/>
      <c r="N95" s="55" t="s">
        <v>31</v>
      </c>
      <c r="P95" s="62">
        <f>P94*1%</f>
        <v>125010.795</v>
      </c>
    </row>
    <row r="96" spans="1:16" ht="18" customHeight="1" thickBot="1" x14ac:dyDescent="0.25">
      <c r="A96" s="10"/>
      <c r="H96" s="56"/>
      <c r="N96" s="55" t="s">
        <v>54</v>
      </c>
      <c r="P96" s="64">
        <f>P94*2%</f>
        <v>250021.59</v>
      </c>
    </row>
    <row r="97" spans="1:16" ht="18" customHeight="1" x14ac:dyDescent="0.2">
      <c r="A97" s="10"/>
      <c r="H97" s="56"/>
      <c r="N97" s="59" t="s">
        <v>32</v>
      </c>
      <c r="O97" s="60"/>
      <c r="P97" s="63">
        <f>P94+P95-P96</f>
        <v>12376068.705</v>
      </c>
    </row>
    <row r="99" spans="1:16" x14ac:dyDescent="0.2">
      <c r="A99" s="10"/>
      <c r="H99" s="56"/>
      <c r="P99" s="64"/>
    </row>
    <row r="100" spans="1:16" x14ac:dyDescent="0.2">
      <c r="A100" s="10"/>
      <c r="H100" s="56"/>
      <c r="O100" s="51"/>
      <c r="P100" s="64"/>
    </row>
    <row r="101" spans="1:16" s="3" customFormat="1" x14ac:dyDescent="0.25">
      <c r="A101" s="10"/>
      <c r="B101" s="2"/>
      <c r="C101" s="2"/>
      <c r="E101" s="11"/>
      <c r="H101" s="56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6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6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6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6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6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6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6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56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56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6"/>
      <c r="N111" s="14"/>
      <c r="O111" s="14"/>
      <c r="P111" s="14"/>
    </row>
    <row r="112" spans="1:16" s="3" customFormat="1" x14ac:dyDescent="0.25">
      <c r="A112" s="10"/>
      <c r="B112" s="2"/>
      <c r="C112" s="2"/>
      <c r="E112" s="11"/>
      <c r="H112" s="56"/>
      <c r="N112" s="14"/>
      <c r="O112" s="14"/>
      <c r="P112" s="14"/>
    </row>
  </sheetData>
  <mergeCells count="2">
    <mergeCell ref="A92:L92"/>
    <mergeCell ref="O92:P92"/>
  </mergeCells>
  <conditionalFormatting sqref="C3:C91">
    <cfRule type="duplicateValues" dxfId="1199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A26" sqref="A3:XFD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85546875" style="2" customWidth="1"/>
    <col min="4" max="4" width="9.42578125" style="3" customWidth="1"/>
    <col min="5" max="5" width="9.42578125" style="11" customWidth="1"/>
    <col min="6" max="6" width="16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2.5" customHeight="1" x14ac:dyDescent="0.2">
      <c r="A3" s="99">
        <v>406117</v>
      </c>
      <c r="B3" s="99" t="s">
        <v>1419</v>
      </c>
      <c r="C3" s="90" t="s">
        <v>1420</v>
      </c>
      <c r="D3" s="102" t="s">
        <v>57</v>
      </c>
      <c r="E3" s="91">
        <v>44540</v>
      </c>
      <c r="F3" s="90" t="s">
        <v>59</v>
      </c>
      <c r="G3" s="91">
        <v>44545</v>
      </c>
      <c r="H3" s="90" t="s">
        <v>1328</v>
      </c>
      <c r="I3" s="90">
        <v>111</v>
      </c>
      <c r="J3" s="90">
        <v>60</v>
      </c>
      <c r="K3" s="90">
        <v>27</v>
      </c>
      <c r="L3" s="90">
        <v>16</v>
      </c>
      <c r="M3" s="92">
        <v>44.954999999999998</v>
      </c>
      <c r="N3" s="104">
        <v>44.954999999999998</v>
      </c>
      <c r="O3" s="57">
        <v>7000</v>
      </c>
      <c r="P3" s="58">
        <f t="shared" ref="P3:P26" si="0">N3*O3</f>
        <v>314685</v>
      </c>
    </row>
    <row r="4" spans="1:16" ht="22.5" customHeight="1" x14ac:dyDescent="0.2">
      <c r="A4" s="100"/>
      <c r="B4" s="100"/>
      <c r="C4" s="90" t="s">
        <v>1421</v>
      </c>
      <c r="D4" s="102" t="s">
        <v>57</v>
      </c>
      <c r="E4" s="91">
        <v>44540</v>
      </c>
      <c r="F4" s="90" t="s">
        <v>59</v>
      </c>
      <c r="G4" s="91">
        <v>44545</v>
      </c>
      <c r="H4" s="90" t="s">
        <v>1328</v>
      </c>
      <c r="I4" s="90">
        <v>45</v>
      </c>
      <c r="J4" s="90">
        <v>45</v>
      </c>
      <c r="K4" s="90">
        <v>21</v>
      </c>
      <c r="L4" s="90">
        <v>16</v>
      </c>
      <c r="M4" s="92">
        <v>10.63125</v>
      </c>
      <c r="N4" s="104">
        <v>16</v>
      </c>
      <c r="O4" s="57">
        <v>7000</v>
      </c>
      <c r="P4" s="58">
        <f t="shared" si="0"/>
        <v>112000</v>
      </c>
    </row>
    <row r="5" spans="1:16" ht="22.5" customHeight="1" x14ac:dyDescent="0.2">
      <c r="A5" s="100"/>
      <c r="B5" s="100"/>
      <c r="C5" s="15" t="s">
        <v>1422</v>
      </c>
      <c r="D5" s="70" t="s">
        <v>57</v>
      </c>
      <c r="E5" s="12">
        <v>44540</v>
      </c>
      <c r="F5" s="1" t="s">
        <v>59</v>
      </c>
      <c r="G5" s="12">
        <v>44545</v>
      </c>
      <c r="H5" s="125" t="s">
        <v>1328</v>
      </c>
      <c r="I5" s="15">
        <v>46</v>
      </c>
      <c r="J5" s="15">
        <v>32</v>
      </c>
      <c r="K5" s="15">
        <v>17</v>
      </c>
      <c r="L5" s="15">
        <v>2</v>
      </c>
      <c r="M5" s="126">
        <v>6.2560000000000002</v>
      </c>
      <c r="N5" s="104">
        <v>6.2560000000000002</v>
      </c>
      <c r="O5" s="57">
        <v>7000</v>
      </c>
      <c r="P5" s="58">
        <f t="shared" si="0"/>
        <v>43792</v>
      </c>
    </row>
    <row r="6" spans="1:16" ht="22.5" customHeight="1" x14ac:dyDescent="0.2">
      <c r="A6" s="100"/>
      <c r="B6" s="100"/>
      <c r="C6" s="15" t="s">
        <v>1423</v>
      </c>
      <c r="D6" s="70" t="s">
        <v>57</v>
      </c>
      <c r="E6" s="12">
        <v>44540</v>
      </c>
      <c r="F6" s="1" t="s">
        <v>59</v>
      </c>
      <c r="G6" s="12">
        <v>44545</v>
      </c>
      <c r="H6" s="125" t="s">
        <v>1328</v>
      </c>
      <c r="I6" s="15">
        <v>37</v>
      </c>
      <c r="J6" s="15">
        <v>22</v>
      </c>
      <c r="K6" s="15">
        <v>48</v>
      </c>
      <c r="L6" s="15">
        <v>1</v>
      </c>
      <c r="M6" s="126">
        <v>9.7680000000000007</v>
      </c>
      <c r="N6" s="104">
        <v>9.7680000000000007</v>
      </c>
      <c r="O6" s="57">
        <v>7000</v>
      </c>
      <c r="P6" s="58">
        <f t="shared" si="0"/>
        <v>68376</v>
      </c>
    </row>
    <row r="7" spans="1:16" ht="22.5" customHeight="1" x14ac:dyDescent="0.2">
      <c r="A7" s="100"/>
      <c r="B7" s="100"/>
      <c r="C7" s="15" t="s">
        <v>1424</v>
      </c>
      <c r="D7" s="70" t="s">
        <v>57</v>
      </c>
      <c r="E7" s="12">
        <v>44540</v>
      </c>
      <c r="F7" s="1" t="s">
        <v>59</v>
      </c>
      <c r="G7" s="12">
        <v>44545</v>
      </c>
      <c r="H7" s="125" t="s">
        <v>1328</v>
      </c>
      <c r="I7" s="15">
        <v>38</v>
      </c>
      <c r="J7" s="15">
        <v>27</v>
      </c>
      <c r="K7" s="15">
        <v>7</v>
      </c>
      <c r="L7" s="15">
        <v>1</v>
      </c>
      <c r="M7" s="126">
        <v>1.7955000000000001</v>
      </c>
      <c r="N7" s="104">
        <v>1.7955000000000001</v>
      </c>
      <c r="O7" s="57">
        <v>7000</v>
      </c>
      <c r="P7" s="58">
        <f t="shared" si="0"/>
        <v>12568.5</v>
      </c>
    </row>
    <row r="8" spans="1:16" ht="22.5" customHeight="1" x14ac:dyDescent="0.2">
      <c r="A8" s="100"/>
      <c r="B8" s="100"/>
      <c r="C8" s="15" t="s">
        <v>1425</v>
      </c>
      <c r="D8" s="70" t="s">
        <v>57</v>
      </c>
      <c r="E8" s="12">
        <v>44540</v>
      </c>
      <c r="F8" s="1" t="s">
        <v>59</v>
      </c>
      <c r="G8" s="12">
        <v>44545</v>
      </c>
      <c r="H8" s="125" t="s">
        <v>1328</v>
      </c>
      <c r="I8" s="15">
        <v>128</v>
      </c>
      <c r="J8" s="15">
        <v>36</v>
      </c>
      <c r="K8" s="15">
        <v>20</v>
      </c>
      <c r="L8" s="15">
        <v>25</v>
      </c>
      <c r="M8" s="126">
        <v>23.04</v>
      </c>
      <c r="N8" s="104">
        <v>25</v>
      </c>
      <c r="O8" s="57">
        <v>7000</v>
      </c>
      <c r="P8" s="58">
        <f t="shared" si="0"/>
        <v>175000</v>
      </c>
    </row>
    <row r="9" spans="1:16" ht="22.5" customHeight="1" x14ac:dyDescent="0.2">
      <c r="A9" s="100"/>
      <c r="B9" s="100"/>
      <c r="C9" s="15" t="s">
        <v>1426</v>
      </c>
      <c r="D9" s="70" t="s">
        <v>57</v>
      </c>
      <c r="E9" s="12">
        <v>44540</v>
      </c>
      <c r="F9" s="1" t="s">
        <v>59</v>
      </c>
      <c r="G9" s="12">
        <v>44545</v>
      </c>
      <c r="H9" s="125" t="s">
        <v>1328</v>
      </c>
      <c r="I9" s="15">
        <v>86</v>
      </c>
      <c r="J9" s="15">
        <v>54</v>
      </c>
      <c r="K9" s="15">
        <v>32</v>
      </c>
      <c r="L9" s="15">
        <v>27</v>
      </c>
      <c r="M9" s="126">
        <v>37.152000000000001</v>
      </c>
      <c r="N9" s="104">
        <v>37.152000000000001</v>
      </c>
      <c r="O9" s="57">
        <v>7000</v>
      </c>
      <c r="P9" s="58">
        <f t="shared" si="0"/>
        <v>260064</v>
      </c>
    </row>
    <row r="10" spans="1:16" ht="22.5" customHeight="1" x14ac:dyDescent="0.2">
      <c r="A10" s="100"/>
      <c r="B10" s="100"/>
      <c r="C10" s="15" t="s">
        <v>1427</v>
      </c>
      <c r="D10" s="70" t="s">
        <v>57</v>
      </c>
      <c r="E10" s="12">
        <v>44540</v>
      </c>
      <c r="F10" s="1" t="s">
        <v>59</v>
      </c>
      <c r="G10" s="12">
        <v>44545</v>
      </c>
      <c r="H10" s="125" t="s">
        <v>1328</v>
      </c>
      <c r="I10" s="15">
        <v>78</v>
      </c>
      <c r="J10" s="15">
        <v>62</v>
      </c>
      <c r="K10" s="15">
        <v>27</v>
      </c>
      <c r="L10" s="15">
        <v>11</v>
      </c>
      <c r="M10" s="126">
        <v>32.643000000000001</v>
      </c>
      <c r="N10" s="104">
        <v>32.643000000000001</v>
      </c>
      <c r="O10" s="57">
        <v>7000</v>
      </c>
      <c r="P10" s="58">
        <f t="shared" si="0"/>
        <v>228501</v>
      </c>
    </row>
    <row r="11" spans="1:16" ht="22.5" customHeight="1" x14ac:dyDescent="0.2">
      <c r="A11" s="100"/>
      <c r="B11" s="100"/>
      <c r="C11" s="15" t="s">
        <v>1428</v>
      </c>
      <c r="D11" s="70" t="s">
        <v>57</v>
      </c>
      <c r="E11" s="12">
        <v>44540</v>
      </c>
      <c r="F11" s="1" t="s">
        <v>59</v>
      </c>
      <c r="G11" s="12">
        <v>44545</v>
      </c>
      <c r="H11" s="125" t="s">
        <v>1328</v>
      </c>
      <c r="I11" s="15">
        <v>62</v>
      </c>
      <c r="J11" s="15">
        <v>72</v>
      </c>
      <c r="K11" s="15">
        <v>6</v>
      </c>
      <c r="L11" s="15">
        <v>5</v>
      </c>
      <c r="M11" s="126">
        <v>6.6959999999999997</v>
      </c>
      <c r="N11" s="104">
        <v>6.6959999999999997</v>
      </c>
      <c r="O11" s="57">
        <v>7000</v>
      </c>
      <c r="P11" s="58">
        <f t="shared" si="0"/>
        <v>46872</v>
      </c>
    </row>
    <row r="12" spans="1:16" ht="22.5" customHeight="1" x14ac:dyDescent="0.2">
      <c r="A12" s="100"/>
      <c r="B12" s="100"/>
      <c r="C12" s="15" t="s">
        <v>1429</v>
      </c>
      <c r="D12" s="70" t="s">
        <v>57</v>
      </c>
      <c r="E12" s="12">
        <v>44540</v>
      </c>
      <c r="F12" s="1" t="s">
        <v>59</v>
      </c>
      <c r="G12" s="12">
        <v>44545</v>
      </c>
      <c r="H12" s="125" t="s">
        <v>1328</v>
      </c>
      <c r="I12" s="15">
        <v>54</v>
      </c>
      <c r="J12" s="15">
        <v>34</v>
      </c>
      <c r="K12" s="15">
        <v>16</v>
      </c>
      <c r="L12" s="15">
        <v>1</v>
      </c>
      <c r="M12" s="126">
        <v>7.3440000000000003</v>
      </c>
      <c r="N12" s="104">
        <v>8</v>
      </c>
      <c r="O12" s="57">
        <v>7000</v>
      </c>
      <c r="P12" s="58">
        <f t="shared" si="0"/>
        <v>56000</v>
      </c>
    </row>
    <row r="13" spans="1:16" ht="22.5" customHeight="1" x14ac:dyDescent="0.2">
      <c r="A13" s="100"/>
      <c r="B13" s="100"/>
      <c r="C13" s="15" t="s">
        <v>1430</v>
      </c>
      <c r="D13" s="70" t="s">
        <v>57</v>
      </c>
      <c r="E13" s="12">
        <v>44540</v>
      </c>
      <c r="F13" s="1" t="s">
        <v>59</v>
      </c>
      <c r="G13" s="12">
        <v>44545</v>
      </c>
      <c r="H13" s="125" t="s">
        <v>1328</v>
      </c>
      <c r="I13" s="15">
        <v>102</v>
      </c>
      <c r="J13" s="15">
        <v>56</v>
      </c>
      <c r="K13" s="15">
        <v>17</v>
      </c>
      <c r="L13" s="15">
        <v>5</v>
      </c>
      <c r="M13" s="126">
        <v>24.276</v>
      </c>
      <c r="N13" s="104">
        <v>24.276</v>
      </c>
      <c r="O13" s="57">
        <v>7000</v>
      </c>
      <c r="P13" s="58">
        <f t="shared" si="0"/>
        <v>169932</v>
      </c>
    </row>
    <row r="14" spans="1:16" ht="22.5" customHeight="1" x14ac:dyDescent="0.2">
      <c r="A14" s="100"/>
      <c r="B14" s="100"/>
      <c r="C14" s="15" t="s">
        <v>1431</v>
      </c>
      <c r="D14" s="70" t="s">
        <v>57</v>
      </c>
      <c r="E14" s="12">
        <v>44540</v>
      </c>
      <c r="F14" s="1" t="s">
        <v>59</v>
      </c>
      <c r="G14" s="12">
        <v>44545</v>
      </c>
      <c r="H14" s="125" t="s">
        <v>1328</v>
      </c>
      <c r="I14" s="15">
        <v>180</v>
      </c>
      <c r="J14" s="15">
        <v>13</v>
      </c>
      <c r="K14" s="15">
        <v>8</v>
      </c>
      <c r="L14" s="15">
        <v>8</v>
      </c>
      <c r="M14" s="126">
        <v>4.68</v>
      </c>
      <c r="N14" s="104">
        <v>8</v>
      </c>
      <c r="O14" s="57">
        <v>7000</v>
      </c>
      <c r="P14" s="58">
        <f t="shared" si="0"/>
        <v>56000</v>
      </c>
    </row>
    <row r="15" spans="1:16" ht="22.5" customHeight="1" x14ac:dyDescent="0.2">
      <c r="A15" s="100"/>
      <c r="B15" s="100"/>
      <c r="C15" s="15" t="s">
        <v>1432</v>
      </c>
      <c r="D15" s="70" t="s">
        <v>57</v>
      </c>
      <c r="E15" s="12">
        <v>44540</v>
      </c>
      <c r="F15" s="1" t="s">
        <v>59</v>
      </c>
      <c r="G15" s="12">
        <v>44545</v>
      </c>
      <c r="H15" s="125" t="s">
        <v>1328</v>
      </c>
      <c r="I15" s="15">
        <v>60</v>
      </c>
      <c r="J15" s="15">
        <v>34</v>
      </c>
      <c r="K15" s="15">
        <v>23</v>
      </c>
      <c r="L15" s="15">
        <v>29</v>
      </c>
      <c r="M15" s="126">
        <v>11.73</v>
      </c>
      <c r="N15" s="104">
        <v>29</v>
      </c>
      <c r="O15" s="57">
        <v>7000</v>
      </c>
      <c r="P15" s="58">
        <f t="shared" si="0"/>
        <v>203000</v>
      </c>
    </row>
    <row r="16" spans="1:16" ht="22.5" customHeight="1" x14ac:dyDescent="0.2">
      <c r="A16" s="100"/>
      <c r="B16" s="100"/>
      <c r="C16" s="15" t="s">
        <v>1433</v>
      </c>
      <c r="D16" s="70" t="s">
        <v>57</v>
      </c>
      <c r="E16" s="12">
        <v>44540</v>
      </c>
      <c r="F16" s="1" t="s">
        <v>59</v>
      </c>
      <c r="G16" s="12">
        <v>44545</v>
      </c>
      <c r="H16" s="125" t="s">
        <v>1328</v>
      </c>
      <c r="I16" s="15">
        <v>36</v>
      </c>
      <c r="J16" s="15">
        <v>30</v>
      </c>
      <c r="K16" s="15">
        <v>17</v>
      </c>
      <c r="L16" s="15">
        <v>2</v>
      </c>
      <c r="M16" s="126">
        <v>4.59</v>
      </c>
      <c r="N16" s="104">
        <v>4.59</v>
      </c>
      <c r="O16" s="57">
        <v>7000</v>
      </c>
      <c r="P16" s="58">
        <f t="shared" si="0"/>
        <v>32130</v>
      </c>
    </row>
    <row r="17" spans="1:16" ht="22.5" customHeight="1" x14ac:dyDescent="0.2">
      <c r="A17" s="100"/>
      <c r="B17" s="100"/>
      <c r="C17" s="15" t="s">
        <v>1434</v>
      </c>
      <c r="D17" s="70" t="s">
        <v>57</v>
      </c>
      <c r="E17" s="12">
        <v>44540</v>
      </c>
      <c r="F17" s="1" t="s">
        <v>59</v>
      </c>
      <c r="G17" s="12">
        <v>44545</v>
      </c>
      <c r="H17" s="125" t="s">
        <v>1328</v>
      </c>
      <c r="I17" s="15">
        <v>84</v>
      </c>
      <c r="J17" s="15">
        <v>42</v>
      </c>
      <c r="K17" s="15">
        <v>22</v>
      </c>
      <c r="L17" s="15">
        <v>10</v>
      </c>
      <c r="M17" s="126">
        <v>19.404</v>
      </c>
      <c r="N17" s="104">
        <v>20</v>
      </c>
      <c r="O17" s="57">
        <v>7000</v>
      </c>
      <c r="P17" s="58">
        <f t="shared" si="0"/>
        <v>140000</v>
      </c>
    </row>
    <row r="18" spans="1:16" ht="22.5" customHeight="1" x14ac:dyDescent="0.2">
      <c r="A18" s="100"/>
      <c r="B18" s="100"/>
      <c r="C18" s="15" t="s">
        <v>1435</v>
      </c>
      <c r="D18" s="70" t="s">
        <v>57</v>
      </c>
      <c r="E18" s="12">
        <v>44540</v>
      </c>
      <c r="F18" s="1" t="s">
        <v>59</v>
      </c>
      <c r="G18" s="12">
        <v>44545</v>
      </c>
      <c r="H18" s="125" t="s">
        <v>1328</v>
      </c>
      <c r="I18" s="15">
        <v>97</v>
      </c>
      <c r="J18" s="15">
        <v>48</v>
      </c>
      <c r="K18" s="15">
        <v>32</v>
      </c>
      <c r="L18" s="15">
        <v>21</v>
      </c>
      <c r="M18" s="126">
        <v>37.247999999999998</v>
      </c>
      <c r="N18" s="104">
        <v>37.247999999999998</v>
      </c>
      <c r="O18" s="57">
        <v>7000</v>
      </c>
      <c r="P18" s="58">
        <f t="shared" si="0"/>
        <v>260735.99999999997</v>
      </c>
    </row>
    <row r="19" spans="1:16" ht="22.5" customHeight="1" x14ac:dyDescent="0.2">
      <c r="A19" s="100"/>
      <c r="B19" s="100"/>
      <c r="C19" s="15" t="s">
        <v>1436</v>
      </c>
      <c r="D19" s="70" t="s">
        <v>57</v>
      </c>
      <c r="E19" s="12">
        <v>44540</v>
      </c>
      <c r="F19" s="1" t="s">
        <v>59</v>
      </c>
      <c r="G19" s="12">
        <v>44545</v>
      </c>
      <c r="H19" s="125" t="s">
        <v>1328</v>
      </c>
      <c r="I19" s="15">
        <v>84</v>
      </c>
      <c r="J19" s="15">
        <v>40</v>
      </c>
      <c r="K19" s="15">
        <v>37</v>
      </c>
      <c r="L19" s="15">
        <v>31</v>
      </c>
      <c r="M19" s="126">
        <v>31.08</v>
      </c>
      <c r="N19" s="104">
        <v>31.08</v>
      </c>
      <c r="O19" s="57">
        <v>7000</v>
      </c>
      <c r="P19" s="58">
        <f t="shared" si="0"/>
        <v>217560</v>
      </c>
    </row>
    <row r="20" spans="1:16" ht="22.5" customHeight="1" x14ac:dyDescent="0.2">
      <c r="A20" s="100"/>
      <c r="B20" s="100"/>
      <c r="C20" s="90" t="s">
        <v>1437</v>
      </c>
      <c r="D20" s="102" t="s">
        <v>57</v>
      </c>
      <c r="E20" s="91">
        <v>44540</v>
      </c>
      <c r="F20" s="90" t="s">
        <v>59</v>
      </c>
      <c r="G20" s="91">
        <v>44545</v>
      </c>
      <c r="H20" s="90" t="s">
        <v>1328</v>
      </c>
      <c r="I20" s="90">
        <v>40</v>
      </c>
      <c r="J20" s="90">
        <v>54</v>
      </c>
      <c r="K20" s="90">
        <v>27</v>
      </c>
      <c r="L20" s="90">
        <v>21</v>
      </c>
      <c r="M20" s="92">
        <v>14.58</v>
      </c>
      <c r="N20" s="104">
        <v>21</v>
      </c>
      <c r="O20" s="57">
        <v>7000</v>
      </c>
      <c r="P20" s="58">
        <f t="shared" si="0"/>
        <v>147000</v>
      </c>
    </row>
    <row r="21" spans="1:16" ht="22.5" customHeight="1" x14ac:dyDescent="0.2">
      <c r="A21" s="100"/>
      <c r="B21" s="100"/>
      <c r="C21" s="15" t="s">
        <v>1438</v>
      </c>
      <c r="D21" s="70" t="s">
        <v>57</v>
      </c>
      <c r="E21" s="12">
        <v>44540</v>
      </c>
      <c r="F21" s="1" t="s">
        <v>59</v>
      </c>
      <c r="G21" s="12">
        <v>44545</v>
      </c>
      <c r="H21" s="125" t="s">
        <v>1328</v>
      </c>
      <c r="I21" s="15">
        <v>73</v>
      </c>
      <c r="J21" s="15">
        <v>56</v>
      </c>
      <c r="K21" s="15">
        <v>38</v>
      </c>
      <c r="L21" s="15">
        <v>35</v>
      </c>
      <c r="M21" s="126">
        <v>38.835999999999999</v>
      </c>
      <c r="N21" s="104">
        <v>38.835999999999999</v>
      </c>
      <c r="O21" s="57">
        <v>7000</v>
      </c>
      <c r="P21" s="58">
        <f t="shared" si="0"/>
        <v>271852</v>
      </c>
    </row>
    <row r="22" spans="1:16" ht="22.5" customHeight="1" x14ac:dyDescent="0.2">
      <c r="A22" s="100"/>
      <c r="B22" s="100"/>
      <c r="C22" s="15" t="s">
        <v>1439</v>
      </c>
      <c r="D22" s="70" t="s">
        <v>57</v>
      </c>
      <c r="E22" s="12">
        <v>44540</v>
      </c>
      <c r="F22" s="1" t="s">
        <v>59</v>
      </c>
      <c r="G22" s="12">
        <v>44545</v>
      </c>
      <c r="H22" s="125" t="s">
        <v>1328</v>
      </c>
      <c r="I22" s="15">
        <v>54</v>
      </c>
      <c r="J22" s="15">
        <v>44</v>
      </c>
      <c r="K22" s="15">
        <v>36</v>
      </c>
      <c r="L22" s="15">
        <v>10</v>
      </c>
      <c r="M22" s="126">
        <v>21.384</v>
      </c>
      <c r="N22" s="104">
        <v>22</v>
      </c>
      <c r="O22" s="57">
        <v>7000</v>
      </c>
      <c r="P22" s="58">
        <f t="shared" si="0"/>
        <v>154000</v>
      </c>
    </row>
    <row r="23" spans="1:16" ht="22.5" customHeight="1" x14ac:dyDescent="0.2">
      <c r="A23" s="100"/>
      <c r="B23" s="101"/>
      <c r="C23" s="15" t="s">
        <v>1440</v>
      </c>
      <c r="D23" s="70" t="s">
        <v>57</v>
      </c>
      <c r="E23" s="12">
        <v>44540</v>
      </c>
      <c r="F23" s="1" t="s">
        <v>59</v>
      </c>
      <c r="G23" s="12">
        <v>44545</v>
      </c>
      <c r="H23" s="125" t="s">
        <v>1328</v>
      </c>
      <c r="I23" s="15">
        <v>65</v>
      </c>
      <c r="J23" s="15">
        <v>42</v>
      </c>
      <c r="K23" s="15">
        <v>15</v>
      </c>
      <c r="L23" s="15">
        <v>5</v>
      </c>
      <c r="M23" s="126">
        <v>10.237500000000001</v>
      </c>
      <c r="N23" s="104">
        <v>10.237500000000001</v>
      </c>
      <c r="O23" s="57">
        <v>7000</v>
      </c>
      <c r="P23" s="58">
        <f t="shared" si="0"/>
        <v>71662.5</v>
      </c>
    </row>
    <row r="24" spans="1:16" ht="22.5" customHeight="1" x14ac:dyDescent="0.2">
      <c r="A24" s="100"/>
      <c r="B24" s="100" t="s">
        <v>1441</v>
      </c>
      <c r="C24" s="15" t="s">
        <v>1442</v>
      </c>
      <c r="D24" s="70" t="s">
        <v>57</v>
      </c>
      <c r="E24" s="12">
        <v>44540</v>
      </c>
      <c r="F24" s="1" t="s">
        <v>59</v>
      </c>
      <c r="G24" s="12">
        <v>44545</v>
      </c>
      <c r="H24" s="125" t="s">
        <v>1328</v>
      </c>
      <c r="I24" s="15">
        <v>93</v>
      </c>
      <c r="J24" s="15">
        <v>52</v>
      </c>
      <c r="K24" s="15">
        <v>25</v>
      </c>
      <c r="L24" s="15">
        <v>28</v>
      </c>
      <c r="M24" s="126">
        <v>30.225000000000001</v>
      </c>
      <c r="N24" s="104">
        <v>30.225000000000001</v>
      </c>
      <c r="O24" s="57">
        <v>7000</v>
      </c>
      <c r="P24" s="58">
        <f t="shared" si="0"/>
        <v>211575</v>
      </c>
    </row>
    <row r="25" spans="1:16" ht="22.5" customHeight="1" x14ac:dyDescent="0.2">
      <c r="A25" s="100"/>
      <c r="B25" s="100"/>
      <c r="C25" s="90" t="s">
        <v>1443</v>
      </c>
      <c r="D25" s="102" t="s">
        <v>57</v>
      </c>
      <c r="E25" s="91">
        <v>44540</v>
      </c>
      <c r="F25" s="90" t="s">
        <v>59</v>
      </c>
      <c r="G25" s="91">
        <v>44545</v>
      </c>
      <c r="H25" s="90" t="s">
        <v>1328</v>
      </c>
      <c r="I25" s="90">
        <v>52</v>
      </c>
      <c r="J25" s="90">
        <v>17</v>
      </c>
      <c r="K25" s="90">
        <v>13</v>
      </c>
      <c r="L25" s="90">
        <v>1</v>
      </c>
      <c r="M25" s="92">
        <v>2.8730000000000002</v>
      </c>
      <c r="N25" s="104">
        <v>2.8730000000000002</v>
      </c>
      <c r="O25" s="57">
        <v>7000</v>
      </c>
      <c r="P25" s="58">
        <f t="shared" si="0"/>
        <v>20111</v>
      </c>
    </row>
    <row r="26" spans="1:16" ht="22.5" customHeight="1" x14ac:dyDescent="0.2">
      <c r="A26" s="100"/>
      <c r="B26" s="100"/>
      <c r="C26" s="15" t="s">
        <v>1444</v>
      </c>
      <c r="D26" s="70" t="s">
        <v>57</v>
      </c>
      <c r="E26" s="12">
        <v>44540</v>
      </c>
      <c r="F26" s="1" t="s">
        <v>59</v>
      </c>
      <c r="G26" s="12">
        <v>44545</v>
      </c>
      <c r="H26" s="125" t="s">
        <v>1328</v>
      </c>
      <c r="I26" s="15">
        <v>60</v>
      </c>
      <c r="J26" s="15">
        <v>40</v>
      </c>
      <c r="K26" s="15">
        <v>15</v>
      </c>
      <c r="L26" s="15">
        <v>4</v>
      </c>
      <c r="M26" s="126">
        <v>9</v>
      </c>
      <c r="N26" s="104">
        <v>9</v>
      </c>
      <c r="O26" s="57">
        <v>7000</v>
      </c>
      <c r="P26" s="58">
        <f t="shared" si="0"/>
        <v>63000</v>
      </c>
    </row>
    <row r="27" spans="1:16" ht="22.5" customHeight="1" x14ac:dyDescent="0.2">
      <c r="A27" s="159" t="s">
        <v>30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M27" s="71">
        <f>SUBTOTAL(109,Table2245789101123456789101112131415161718192021222324252627[KG VOLUME])</f>
        <v>440.42425000000003</v>
      </c>
      <c r="N27" s="61">
        <f>SUM(N3:N26)</f>
        <v>476.63100000000003</v>
      </c>
      <c r="O27" s="162">
        <f>SUM(P3:P26)</f>
        <v>3336417</v>
      </c>
      <c r="P27" s="163"/>
    </row>
    <row r="28" spans="1:16" ht="18" customHeight="1" x14ac:dyDescent="0.2">
      <c r="A28" s="78"/>
      <c r="B28" s="49" t="s">
        <v>42</v>
      </c>
      <c r="C28" s="48"/>
      <c r="D28" s="50" t="s">
        <v>43</v>
      </c>
      <c r="E28" s="78"/>
      <c r="F28" s="78"/>
      <c r="G28" s="78"/>
      <c r="H28" s="78"/>
      <c r="I28" s="78"/>
      <c r="J28" s="78"/>
      <c r="K28" s="78"/>
      <c r="L28" s="78"/>
      <c r="M28" s="79"/>
      <c r="N28" s="80" t="s">
        <v>52</v>
      </c>
      <c r="O28" s="81"/>
      <c r="P28" s="81">
        <v>0</v>
      </c>
    </row>
    <row r="29" spans="1:16" ht="18" customHeight="1" thickBot="1" x14ac:dyDescent="0.25">
      <c r="A29" s="78"/>
      <c r="B29" s="49"/>
      <c r="C29" s="48"/>
      <c r="D29" s="50"/>
      <c r="E29" s="78"/>
      <c r="F29" s="78"/>
      <c r="G29" s="78"/>
      <c r="H29" s="78"/>
      <c r="I29" s="78"/>
      <c r="J29" s="78"/>
      <c r="K29" s="78"/>
      <c r="L29" s="78"/>
      <c r="M29" s="79"/>
      <c r="N29" s="82" t="s">
        <v>53</v>
      </c>
      <c r="O29" s="83"/>
      <c r="P29" s="83">
        <f>O27-P28</f>
        <v>3336417</v>
      </c>
    </row>
    <row r="30" spans="1:16" ht="18" customHeight="1" x14ac:dyDescent="0.2">
      <c r="A30" s="10"/>
      <c r="H30" s="56"/>
      <c r="N30" s="55" t="s">
        <v>31</v>
      </c>
      <c r="P30" s="62">
        <f>P29*1%</f>
        <v>33364.17</v>
      </c>
    </row>
    <row r="31" spans="1:16" ht="18" customHeight="1" thickBot="1" x14ac:dyDescent="0.25">
      <c r="A31" s="10"/>
      <c r="H31" s="56"/>
      <c r="N31" s="55" t="s">
        <v>54</v>
      </c>
      <c r="P31" s="64">
        <f>P29*2%</f>
        <v>66728.34</v>
      </c>
    </row>
    <row r="32" spans="1:16" ht="18" customHeight="1" x14ac:dyDescent="0.2">
      <c r="A32" s="10"/>
      <c r="H32" s="56"/>
      <c r="N32" s="59" t="s">
        <v>32</v>
      </c>
      <c r="O32" s="60"/>
      <c r="P32" s="63">
        <f>P29+P30-P31</f>
        <v>3303052.83</v>
      </c>
    </row>
    <row r="34" spans="1:16" x14ac:dyDescent="0.2">
      <c r="A34" s="10"/>
      <c r="H34" s="56"/>
      <c r="P34" s="64"/>
    </row>
    <row r="35" spans="1:16" x14ac:dyDescent="0.2">
      <c r="A35" s="10"/>
      <c r="H35" s="56"/>
      <c r="O35" s="51"/>
      <c r="P35" s="6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</sheetData>
  <mergeCells count="2">
    <mergeCell ref="A27:L27"/>
    <mergeCell ref="O27:P27"/>
  </mergeCells>
  <conditionalFormatting sqref="C3:C26">
    <cfRule type="duplicateValues" dxfId="1183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8"/>
  <sheetViews>
    <sheetView zoomScale="110" zoomScaleNormal="110" workbookViewId="0">
      <pane xSplit="3" ySplit="2" topLeftCell="D144" activePane="bottomRight" state="frozen"/>
      <selection activeCell="H12" sqref="H12"/>
      <selection pane="topRight" activeCell="H12" sqref="H12"/>
      <selection pane="bottomLeft" activeCell="H12" sqref="H12"/>
      <selection pane="bottomRight" activeCell="G10" sqref="G10"/>
    </sheetView>
  </sheetViews>
  <sheetFormatPr defaultRowHeight="15" x14ac:dyDescent="0.2"/>
  <cols>
    <col min="1" max="1" width="8" style="4" customWidth="1"/>
    <col min="2" max="2" width="19.5703125" style="2" customWidth="1"/>
    <col min="3" max="3" width="16.7109375" style="2" customWidth="1"/>
    <col min="4" max="4" width="9.140625" style="3" customWidth="1"/>
    <col min="5" max="5" width="9" style="11" customWidth="1"/>
    <col min="6" max="6" width="16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406452</v>
      </c>
      <c r="B3" s="99" t="s">
        <v>1445</v>
      </c>
      <c r="C3" s="1" t="s">
        <v>1446</v>
      </c>
      <c r="D3" s="102" t="s">
        <v>57</v>
      </c>
      <c r="E3" s="91">
        <v>44540</v>
      </c>
      <c r="F3" s="90" t="s">
        <v>59</v>
      </c>
      <c r="G3" s="91">
        <v>44545</v>
      </c>
      <c r="H3" s="90" t="s">
        <v>1328</v>
      </c>
      <c r="I3" s="90">
        <v>89</v>
      </c>
      <c r="J3" s="90">
        <v>53</v>
      </c>
      <c r="K3" s="90">
        <v>22</v>
      </c>
      <c r="L3" s="90">
        <v>6</v>
      </c>
      <c r="M3" s="92">
        <v>25.9435</v>
      </c>
      <c r="N3" s="104">
        <v>25.9435</v>
      </c>
      <c r="O3" s="57">
        <v>7000</v>
      </c>
      <c r="P3" s="58">
        <f t="shared" ref="P3:P66" si="0">N3*O3</f>
        <v>181604.5</v>
      </c>
    </row>
    <row r="4" spans="1:16" ht="26.25" customHeight="1" x14ac:dyDescent="0.2">
      <c r="A4" s="100"/>
      <c r="B4" s="100"/>
      <c r="C4" s="1" t="s">
        <v>1447</v>
      </c>
      <c r="D4" s="102" t="s">
        <v>57</v>
      </c>
      <c r="E4" s="91">
        <v>44540</v>
      </c>
      <c r="F4" s="90" t="s">
        <v>59</v>
      </c>
      <c r="G4" s="91">
        <v>44545</v>
      </c>
      <c r="H4" s="90" t="s">
        <v>1328</v>
      </c>
      <c r="I4" s="90">
        <v>58</v>
      </c>
      <c r="J4" s="90">
        <v>44</v>
      </c>
      <c r="K4" s="90">
        <v>25</v>
      </c>
      <c r="L4" s="90">
        <v>35</v>
      </c>
      <c r="M4" s="92">
        <v>15.95</v>
      </c>
      <c r="N4" s="104">
        <v>35</v>
      </c>
      <c r="O4" s="57">
        <v>7000</v>
      </c>
      <c r="P4" s="58">
        <f t="shared" si="0"/>
        <v>245000</v>
      </c>
    </row>
    <row r="5" spans="1:16" ht="26.25" customHeight="1" x14ac:dyDescent="0.2">
      <c r="A5" s="100"/>
      <c r="B5" s="100"/>
      <c r="C5" s="15" t="s">
        <v>1448</v>
      </c>
      <c r="D5" s="70" t="s">
        <v>57</v>
      </c>
      <c r="E5" s="134">
        <v>44540</v>
      </c>
      <c r="F5" s="1" t="s">
        <v>59</v>
      </c>
      <c r="G5" s="134">
        <v>44545</v>
      </c>
      <c r="H5" s="125" t="s">
        <v>1328</v>
      </c>
      <c r="I5" s="15">
        <v>50</v>
      </c>
      <c r="J5" s="15">
        <v>50</v>
      </c>
      <c r="K5" s="15">
        <v>23</v>
      </c>
      <c r="L5" s="15">
        <v>47</v>
      </c>
      <c r="M5" s="73">
        <v>14.375</v>
      </c>
      <c r="N5" s="104">
        <v>48</v>
      </c>
      <c r="O5" s="57">
        <v>7000</v>
      </c>
      <c r="P5" s="58">
        <f t="shared" si="0"/>
        <v>336000</v>
      </c>
    </row>
    <row r="6" spans="1:16" ht="26.25" customHeight="1" x14ac:dyDescent="0.2">
      <c r="A6" s="100"/>
      <c r="B6" s="100"/>
      <c r="C6" s="15" t="s">
        <v>1449</v>
      </c>
      <c r="D6" s="70" t="s">
        <v>57</v>
      </c>
      <c r="E6" s="134">
        <v>44540</v>
      </c>
      <c r="F6" s="1" t="s">
        <v>59</v>
      </c>
      <c r="G6" s="134">
        <v>44545</v>
      </c>
      <c r="H6" s="125" t="s">
        <v>1328</v>
      </c>
      <c r="I6" s="15">
        <v>50</v>
      </c>
      <c r="J6" s="15">
        <v>40</v>
      </c>
      <c r="K6" s="15">
        <v>46</v>
      </c>
      <c r="L6" s="15">
        <v>8</v>
      </c>
      <c r="M6" s="73">
        <v>23</v>
      </c>
      <c r="N6" s="104">
        <v>23</v>
      </c>
      <c r="O6" s="57">
        <v>7000</v>
      </c>
      <c r="P6" s="58">
        <f t="shared" si="0"/>
        <v>161000</v>
      </c>
    </row>
    <row r="7" spans="1:16" ht="26.25" customHeight="1" x14ac:dyDescent="0.2">
      <c r="A7" s="100"/>
      <c r="B7" s="100"/>
      <c r="C7" s="15" t="s">
        <v>1450</v>
      </c>
      <c r="D7" s="70" t="s">
        <v>57</v>
      </c>
      <c r="E7" s="134">
        <v>44540</v>
      </c>
      <c r="F7" s="1" t="s">
        <v>59</v>
      </c>
      <c r="G7" s="134">
        <v>44545</v>
      </c>
      <c r="H7" s="125" t="s">
        <v>1328</v>
      </c>
      <c r="I7" s="15">
        <v>79</v>
      </c>
      <c r="J7" s="15">
        <v>46</v>
      </c>
      <c r="K7" s="15">
        <v>32</v>
      </c>
      <c r="L7" s="15">
        <v>10</v>
      </c>
      <c r="M7" s="73">
        <v>29.071999999999999</v>
      </c>
      <c r="N7" s="104">
        <v>29.071999999999999</v>
      </c>
      <c r="O7" s="57">
        <v>7000</v>
      </c>
      <c r="P7" s="58">
        <f t="shared" si="0"/>
        <v>203504</v>
      </c>
    </row>
    <row r="8" spans="1:16" ht="26.25" customHeight="1" x14ac:dyDescent="0.2">
      <c r="A8" s="100"/>
      <c r="B8" s="100"/>
      <c r="C8" s="15" t="s">
        <v>1451</v>
      </c>
      <c r="D8" s="70" t="s">
        <v>57</v>
      </c>
      <c r="E8" s="134">
        <v>44540</v>
      </c>
      <c r="F8" s="1" t="s">
        <v>59</v>
      </c>
      <c r="G8" s="134">
        <v>44545</v>
      </c>
      <c r="H8" s="125" t="s">
        <v>1328</v>
      </c>
      <c r="I8" s="15">
        <v>68</v>
      </c>
      <c r="J8" s="15">
        <v>55</v>
      </c>
      <c r="K8" s="15">
        <v>28</v>
      </c>
      <c r="L8" s="15">
        <v>7</v>
      </c>
      <c r="M8" s="73">
        <v>26.18</v>
      </c>
      <c r="N8" s="104">
        <v>26.18</v>
      </c>
      <c r="O8" s="57">
        <v>7000</v>
      </c>
      <c r="P8" s="58">
        <f t="shared" si="0"/>
        <v>183260</v>
      </c>
    </row>
    <row r="9" spans="1:16" ht="26.25" customHeight="1" x14ac:dyDescent="0.2">
      <c r="A9" s="100"/>
      <c r="B9" s="100"/>
      <c r="C9" s="15" t="s">
        <v>1452</v>
      </c>
      <c r="D9" s="70" t="s">
        <v>57</v>
      </c>
      <c r="E9" s="134">
        <v>44540</v>
      </c>
      <c r="F9" s="1" t="s">
        <v>59</v>
      </c>
      <c r="G9" s="134">
        <v>44545</v>
      </c>
      <c r="H9" s="125" t="s">
        <v>1328</v>
      </c>
      <c r="I9" s="15">
        <v>60</v>
      </c>
      <c r="J9" s="15">
        <v>66</v>
      </c>
      <c r="K9" s="15">
        <v>22</v>
      </c>
      <c r="L9" s="15">
        <v>5</v>
      </c>
      <c r="M9" s="73">
        <v>21.78</v>
      </c>
      <c r="N9" s="104">
        <v>21.78</v>
      </c>
      <c r="O9" s="57">
        <v>7000</v>
      </c>
      <c r="P9" s="58">
        <f t="shared" si="0"/>
        <v>152460</v>
      </c>
    </row>
    <row r="10" spans="1:16" ht="26.25" customHeight="1" x14ac:dyDescent="0.2">
      <c r="A10" s="100"/>
      <c r="B10" s="100"/>
      <c r="C10" s="15" t="s">
        <v>1453</v>
      </c>
      <c r="D10" s="70" t="s">
        <v>57</v>
      </c>
      <c r="E10" s="134">
        <v>44540</v>
      </c>
      <c r="F10" s="1" t="s">
        <v>59</v>
      </c>
      <c r="G10" s="134">
        <v>44545</v>
      </c>
      <c r="H10" s="125" t="s">
        <v>1328</v>
      </c>
      <c r="I10" s="15">
        <v>32</v>
      </c>
      <c r="J10" s="15">
        <v>32</v>
      </c>
      <c r="K10" s="15">
        <v>32</v>
      </c>
      <c r="L10" s="15">
        <v>16</v>
      </c>
      <c r="M10" s="73">
        <v>8.1920000000000002</v>
      </c>
      <c r="N10" s="104">
        <v>16</v>
      </c>
      <c r="O10" s="57">
        <v>7000</v>
      </c>
      <c r="P10" s="58">
        <f t="shared" si="0"/>
        <v>112000</v>
      </c>
    </row>
    <row r="11" spans="1:16" ht="26.25" customHeight="1" x14ac:dyDescent="0.2">
      <c r="A11" s="100"/>
      <c r="B11" s="100"/>
      <c r="C11" s="15" t="s">
        <v>1454</v>
      </c>
      <c r="D11" s="70" t="s">
        <v>57</v>
      </c>
      <c r="E11" s="134">
        <v>44540</v>
      </c>
      <c r="F11" s="1" t="s">
        <v>59</v>
      </c>
      <c r="G11" s="134">
        <v>44545</v>
      </c>
      <c r="H11" s="125" t="s">
        <v>1328</v>
      </c>
      <c r="I11" s="15">
        <v>70</v>
      </c>
      <c r="J11" s="15">
        <v>60</v>
      </c>
      <c r="K11" s="15">
        <v>32</v>
      </c>
      <c r="L11" s="15">
        <v>6</v>
      </c>
      <c r="M11" s="73">
        <v>33.6</v>
      </c>
      <c r="N11" s="104">
        <v>33.6</v>
      </c>
      <c r="O11" s="57">
        <v>7000</v>
      </c>
      <c r="P11" s="58">
        <f t="shared" si="0"/>
        <v>235200</v>
      </c>
    </row>
    <row r="12" spans="1:16" ht="26.25" customHeight="1" x14ac:dyDescent="0.2">
      <c r="A12" s="100"/>
      <c r="B12" s="100"/>
      <c r="C12" s="15" t="s">
        <v>1455</v>
      </c>
      <c r="D12" s="70" t="s">
        <v>57</v>
      </c>
      <c r="E12" s="134">
        <v>44540</v>
      </c>
      <c r="F12" s="1" t="s">
        <v>59</v>
      </c>
      <c r="G12" s="134">
        <v>44545</v>
      </c>
      <c r="H12" s="125" t="s">
        <v>1328</v>
      </c>
      <c r="I12" s="15">
        <v>58</v>
      </c>
      <c r="J12" s="15">
        <v>42</v>
      </c>
      <c r="K12" s="15">
        <v>30</v>
      </c>
      <c r="L12" s="15">
        <v>15</v>
      </c>
      <c r="M12" s="73">
        <v>18.27</v>
      </c>
      <c r="N12" s="104">
        <v>18.27</v>
      </c>
      <c r="O12" s="57">
        <v>7000</v>
      </c>
      <c r="P12" s="58">
        <f t="shared" si="0"/>
        <v>127890</v>
      </c>
    </row>
    <row r="13" spans="1:16" ht="26.25" customHeight="1" x14ac:dyDescent="0.2">
      <c r="A13" s="100"/>
      <c r="B13" s="100"/>
      <c r="C13" s="15" t="s">
        <v>1456</v>
      </c>
      <c r="D13" s="70" t="s">
        <v>57</v>
      </c>
      <c r="E13" s="134">
        <v>44540</v>
      </c>
      <c r="F13" s="1" t="s">
        <v>59</v>
      </c>
      <c r="G13" s="134">
        <v>44545</v>
      </c>
      <c r="H13" s="125" t="s">
        <v>1328</v>
      </c>
      <c r="I13" s="15">
        <v>95</v>
      </c>
      <c r="J13" s="15">
        <v>30</v>
      </c>
      <c r="K13" s="15">
        <v>12</v>
      </c>
      <c r="L13" s="15">
        <v>5</v>
      </c>
      <c r="M13" s="73">
        <v>8.5500000000000007</v>
      </c>
      <c r="N13" s="104">
        <v>8.5500000000000007</v>
      </c>
      <c r="O13" s="57">
        <v>7000</v>
      </c>
      <c r="P13" s="58">
        <f t="shared" si="0"/>
        <v>59850.000000000007</v>
      </c>
    </row>
    <row r="14" spans="1:16" ht="26.25" customHeight="1" x14ac:dyDescent="0.2">
      <c r="A14" s="100"/>
      <c r="B14" s="100"/>
      <c r="C14" s="15" t="s">
        <v>1457</v>
      </c>
      <c r="D14" s="70" t="s">
        <v>57</v>
      </c>
      <c r="E14" s="134">
        <v>44540</v>
      </c>
      <c r="F14" s="1" t="s">
        <v>59</v>
      </c>
      <c r="G14" s="134">
        <v>44545</v>
      </c>
      <c r="H14" s="125" t="s">
        <v>1328</v>
      </c>
      <c r="I14" s="15">
        <v>97</v>
      </c>
      <c r="J14" s="15">
        <v>66</v>
      </c>
      <c r="K14" s="15">
        <v>32</v>
      </c>
      <c r="L14" s="15">
        <v>25</v>
      </c>
      <c r="M14" s="73">
        <v>51.216000000000001</v>
      </c>
      <c r="N14" s="104">
        <v>51.216000000000001</v>
      </c>
      <c r="O14" s="57">
        <v>7000</v>
      </c>
      <c r="P14" s="58">
        <f t="shared" si="0"/>
        <v>358512</v>
      </c>
    </row>
    <row r="15" spans="1:16" ht="26.25" customHeight="1" x14ac:dyDescent="0.2">
      <c r="A15" s="100"/>
      <c r="B15" s="100"/>
      <c r="C15" s="15" t="s">
        <v>1458</v>
      </c>
      <c r="D15" s="70" t="s">
        <v>57</v>
      </c>
      <c r="E15" s="134">
        <v>44540</v>
      </c>
      <c r="F15" s="1" t="s">
        <v>59</v>
      </c>
      <c r="G15" s="134">
        <v>44545</v>
      </c>
      <c r="H15" s="125" t="s">
        <v>1328</v>
      </c>
      <c r="I15" s="15">
        <v>50</v>
      </c>
      <c r="J15" s="15">
        <v>48</v>
      </c>
      <c r="K15" s="15">
        <v>35</v>
      </c>
      <c r="L15" s="15">
        <v>33</v>
      </c>
      <c r="M15" s="73">
        <v>21</v>
      </c>
      <c r="N15" s="104">
        <v>33</v>
      </c>
      <c r="O15" s="57">
        <v>7000</v>
      </c>
      <c r="P15" s="58">
        <f t="shared" si="0"/>
        <v>231000</v>
      </c>
    </row>
    <row r="16" spans="1:16" ht="26.25" customHeight="1" x14ac:dyDescent="0.2">
      <c r="A16" s="100"/>
      <c r="B16" s="100"/>
      <c r="C16" s="15" t="s">
        <v>1459</v>
      </c>
      <c r="D16" s="70" t="s">
        <v>57</v>
      </c>
      <c r="E16" s="134">
        <v>44540</v>
      </c>
      <c r="F16" s="1" t="s">
        <v>59</v>
      </c>
      <c r="G16" s="134">
        <v>44545</v>
      </c>
      <c r="H16" s="125" t="s">
        <v>1328</v>
      </c>
      <c r="I16" s="15">
        <v>82</v>
      </c>
      <c r="J16" s="15">
        <v>69</v>
      </c>
      <c r="K16" s="15">
        <v>24</v>
      </c>
      <c r="L16" s="15">
        <v>4</v>
      </c>
      <c r="M16" s="73">
        <v>33.948</v>
      </c>
      <c r="N16" s="104">
        <v>33.948</v>
      </c>
      <c r="O16" s="57">
        <v>7000</v>
      </c>
      <c r="P16" s="58">
        <f t="shared" si="0"/>
        <v>237636</v>
      </c>
    </row>
    <row r="17" spans="1:16" ht="26.25" customHeight="1" x14ac:dyDescent="0.2">
      <c r="A17" s="100"/>
      <c r="B17" s="100"/>
      <c r="C17" s="15" t="s">
        <v>1460</v>
      </c>
      <c r="D17" s="70" t="s">
        <v>57</v>
      </c>
      <c r="E17" s="134">
        <v>44540</v>
      </c>
      <c r="F17" s="1" t="s">
        <v>59</v>
      </c>
      <c r="G17" s="134">
        <v>44545</v>
      </c>
      <c r="H17" s="125" t="s">
        <v>1328</v>
      </c>
      <c r="I17" s="15">
        <v>88</v>
      </c>
      <c r="J17" s="15">
        <v>68</v>
      </c>
      <c r="K17" s="15">
        <v>26</v>
      </c>
      <c r="L17" s="15">
        <v>21</v>
      </c>
      <c r="M17" s="73">
        <v>38.896000000000001</v>
      </c>
      <c r="N17" s="104">
        <v>38.896000000000001</v>
      </c>
      <c r="O17" s="57">
        <v>7000</v>
      </c>
      <c r="P17" s="58">
        <f t="shared" si="0"/>
        <v>272272</v>
      </c>
    </row>
    <row r="18" spans="1:16" ht="26.25" customHeight="1" x14ac:dyDescent="0.2">
      <c r="A18" s="100"/>
      <c r="B18" s="100"/>
      <c r="C18" s="15" t="s">
        <v>1461</v>
      </c>
      <c r="D18" s="70" t="s">
        <v>57</v>
      </c>
      <c r="E18" s="134">
        <v>44540</v>
      </c>
      <c r="F18" s="1" t="s">
        <v>59</v>
      </c>
      <c r="G18" s="134">
        <v>44545</v>
      </c>
      <c r="H18" s="125" t="s">
        <v>1328</v>
      </c>
      <c r="I18" s="15">
        <v>62</v>
      </c>
      <c r="J18" s="15">
        <v>46</v>
      </c>
      <c r="K18" s="15">
        <v>17</v>
      </c>
      <c r="L18" s="15">
        <v>8</v>
      </c>
      <c r="M18" s="73">
        <v>12.121</v>
      </c>
      <c r="N18" s="104">
        <v>12.121</v>
      </c>
      <c r="O18" s="57">
        <v>7000</v>
      </c>
      <c r="P18" s="58">
        <f t="shared" si="0"/>
        <v>84847</v>
      </c>
    </row>
    <row r="19" spans="1:16" ht="26.25" customHeight="1" x14ac:dyDescent="0.2">
      <c r="A19" s="100"/>
      <c r="B19" s="100"/>
      <c r="C19" s="15" t="s">
        <v>1462</v>
      </c>
      <c r="D19" s="70" t="s">
        <v>57</v>
      </c>
      <c r="E19" s="134">
        <v>44540</v>
      </c>
      <c r="F19" s="1" t="s">
        <v>59</v>
      </c>
      <c r="G19" s="134">
        <v>44545</v>
      </c>
      <c r="H19" s="125" t="s">
        <v>1328</v>
      </c>
      <c r="I19" s="15">
        <v>87</v>
      </c>
      <c r="J19" s="15">
        <v>45</v>
      </c>
      <c r="K19" s="15">
        <v>32</v>
      </c>
      <c r="L19" s="15">
        <v>24</v>
      </c>
      <c r="M19" s="73">
        <v>31.32</v>
      </c>
      <c r="N19" s="104">
        <v>32</v>
      </c>
      <c r="O19" s="57">
        <v>7000</v>
      </c>
      <c r="P19" s="58">
        <f t="shared" si="0"/>
        <v>224000</v>
      </c>
    </row>
    <row r="20" spans="1:16" ht="26.25" customHeight="1" x14ac:dyDescent="0.2">
      <c r="A20" s="100"/>
      <c r="B20" s="100"/>
      <c r="C20" s="15" t="s">
        <v>1463</v>
      </c>
      <c r="D20" s="70" t="s">
        <v>57</v>
      </c>
      <c r="E20" s="134">
        <v>44540</v>
      </c>
      <c r="F20" s="1" t="s">
        <v>59</v>
      </c>
      <c r="G20" s="134">
        <v>44545</v>
      </c>
      <c r="H20" s="125" t="s">
        <v>1328</v>
      </c>
      <c r="I20" s="15">
        <v>45</v>
      </c>
      <c r="J20" s="15">
        <v>26</v>
      </c>
      <c r="K20" s="15">
        <v>26</v>
      </c>
      <c r="L20" s="15">
        <v>6</v>
      </c>
      <c r="M20" s="73">
        <v>7.6050000000000004</v>
      </c>
      <c r="N20" s="104">
        <v>7.6050000000000004</v>
      </c>
      <c r="O20" s="57">
        <v>7000</v>
      </c>
      <c r="P20" s="58">
        <f t="shared" si="0"/>
        <v>53235</v>
      </c>
    </row>
    <row r="21" spans="1:16" ht="26.25" customHeight="1" x14ac:dyDescent="0.2">
      <c r="A21" s="100"/>
      <c r="B21" s="100"/>
      <c r="C21" s="15" t="s">
        <v>1464</v>
      </c>
      <c r="D21" s="70" t="s">
        <v>57</v>
      </c>
      <c r="E21" s="134">
        <v>44540</v>
      </c>
      <c r="F21" s="1" t="s">
        <v>59</v>
      </c>
      <c r="G21" s="134">
        <v>44545</v>
      </c>
      <c r="H21" s="125" t="s">
        <v>1328</v>
      </c>
      <c r="I21" s="15">
        <v>56</v>
      </c>
      <c r="J21" s="15">
        <v>40</v>
      </c>
      <c r="K21" s="15">
        <v>18</v>
      </c>
      <c r="L21" s="15">
        <v>6</v>
      </c>
      <c r="M21" s="73">
        <v>10.08</v>
      </c>
      <c r="N21" s="104">
        <v>10.08</v>
      </c>
      <c r="O21" s="57">
        <v>7000</v>
      </c>
      <c r="P21" s="58">
        <f t="shared" si="0"/>
        <v>70560</v>
      </c>
    </row>
    <row r="22" spans="1:16" ht="26.25" customHeight="1" x14ac:dyDescent="0.2">
      <c r="A22" s="100"/>
      <c r="B22" s="100"/>
      <c r="C22" s="15" t="s">
        <v>1465</v>
      </c>
      <c r="D22" s="70" t="s">
        <v>57</v>
      </c>
      <c r="E22" s="134">
        <v>44540</v>
      </c>
      <c r="F22" s="1" t="s">
        <v>59</v>
      </c>
      <c r="G22" s="134">
        <v>44545</v>
      </c>
      <c r="H22" s="125" t="s">
        <v>1328</v>
      </c>
      <c r="I22" s="15">
        <v>67</v>
      </c>
      <c r="J22" s="15">
        <v>56</v>
      </c>
      <c r="K22" s="15">
        <v>30</v>
      </c>
      <c r="L22" s="15">
        <v>10</v>
      </c>
      <c r="M22" s="73">
        <v>28.14</v>
      </c>
      <c r="N22" s="104">
        <v>28.14</v>
      </c>
      <c r="O22" s="57">
        <v>7000</v>
      </c>
      <c r="P22" s="58">
        <f t="shared" si="0"/>
        <v>196980</v>
      </c>
    </row>
    <row r="23" spans="1:16" ht="26.25" customHeight="1" x14ac:dyDescent="0.2">
      <c r="A23" s="100"/>
      <c r="B23" s="100"/>
      <c r="C23" s="15" t="s">
        <v>1466</v>
      </c>
      <c r="D23" s="70" t="s">
        <v>57</v>
      </c>
      <c r="E23" s="134">
        <v>44540</v>
      </c>
      <c r="F23" s="1" t="s">
        <v>59</v>
      </c>
      <c r="G23" s="134">
        <v>44545</v>
      </c>
      <c r="H23" s="125" t="s">
        <v>1328</v>
      </c>
      <c r="I23" s="15">
        <v>40</v>
      </c>
      <c r="J23" s="15">
        <v>40</v>
      </c>
      <c r="K23" s="15">
        <v>38</v>
      </c>
      <c r="L23" s="15">
        <v>13</v>
      </c>
      <c r="M23" s="73">
        <v>15.2</v>
      </c>
      <c r="N23" s="104">
        <v>15.2</v>
      </c>
      <c r="O23" s="57">
        <v>7000</v>
      </c>
      <c r="P23" s="58">
        <f t="shared" si="0"/>
        <v>106400</v>
      </c>
    </row>
    <row r="24" spans="1:16" ht="26.25" customHeight="1" x14ac:dyDescent="0.2">
      <c r="A24" s="100"/>
      <c r="B24" s="100"/>
      <c r="C24" s="15" t="s">
        <v>1467</v>
      </c>
      <c r="D24" s="70" t="s">
        <v>57</v>
      </c>
      <c r="E24" s="134">
        <v>44540</v>
      </c>
      <c r="F24" s="1" t="s">
        <v>59</v>
      </c>
      <c r="G24" s="134">
        <v>44545</v>
      </c>
      <c r="H24" s="125" t="s">
        <v>1328</v>
      </c>
      <c r="I24" s="15">
        <v>58</v>
      </c>
      <c r="J24" s="15">
        <v>44</v>
      </c>
      <c r="K24" s="15">
        <v>15</v>
      </c>
      <c r="L24" s="15">
        <v>5</v>
      </c>
      <c r="M24" s="73">
        <v>9.57</v>
      </c>
      <c r="N24" s="104">
        <v>9.57</v>
      </c>
      <c r="O24" s="57">
        <v>7000</v>
      </c>
      <c r="P24" s="58">
        <f t="shared" si="0"/>
        <v>66990</v>
      </c>
    </row>
    <row r="25" spans="1:16" ht="26.25" customHeight="1" x14ac:dyDescent="0.2">
      <c r="A25" s="100"/>
      <c r="B25" s="100"/>
      <c r="C25" s="15" t="s">
        <v>1468</v>
      </c>
      <c r="D25" s="70" t="s">
        <v>57</v>
      </c>
      <c r="E25" s="134">
        <v>44540</v>
      </c>
      <c r="F25" s="1" t="s">
        <v>59</v>
      </c>
      <c r="G25" s="134">
        <v>44545</v>
      </c>
      <c r="H25" s="125" t="s">
        <v>1328</v>
      </c>
      <c r="I25" s="15">
        <v>95</v>
      </c>
      <c r="J25" s="15">
        <v>55</v>
      </c>
      <c r="K25" s="15">
        <v>47</v>
      </c>
      <c r="L25" s="15">
        <v>21</v>
      </c>
      <c r="M25" s="73">
        <v>61.393749999999997</v>
      </c>
      <c r="N25" s="104">
        <v>62</v>
      </c>
      <c r="O25" s="57">
        <v>7000</v>
      </c>
      <c r="P25" s="58">
        <f t="shared" si="0"/>
        <v>434000</v>
      </c>
    </row>
    <row r="26" spans="1:16" ht="26.25" customHeight="1" x14ac:dyDescent="0.2">
      <c r="A26" s="100"/>
      <c r="B26" s="100"/>
      <c r="C26" s="15" t="s">
        <v>1469</v>
      </c>
      <c r="D26" s="70" t="s">
        <v>57</v>
      </c>
      <c r="E26" s="134">
        <v>44540</v>
      </c>
      <c r="F26" s="1" t="s">
        <v>59</v>
      </c>
      <c r="G26" s="134">
        <v>44545</v>
      </c>
      <c r="H26" s="125" t="s">
        <v>1328</v>
      </c>
      <c r="I26" s="15">
        <v>95</v>
      </c>
      <c r="J26" s="15">
        <v>60</v>
      </c>
      <c r="K26" s="15">
        <v>35</v>
      </c>
      <c r="L26" s="15">
        <v>24</v>
      </c>
      <c r="M26" s="73">
        <v>49.875</v>
      </c>
      <c r="N26" s="104">
        <v>49.875</v>
      </c>
      <c r="O26" s="57">
        <v>7000</v>
      </c>
      <c r="P26" s="58">
        <f t="shared" si="0"/>
        <v>349125</v>
      </c>
    </row>
    <row r="27" spans="1:16" ht="26.25" customHeight="1" x14ac:dyDescent="0.2">
      <c r="A27" s="100"/>
      <c r="B27" s="100"/>
      <c r="C27" s="15" t="s">
        <v>1470</v>
      </c>
      <c r="D27" s="70" t="s">
        <v>57</v>
      </c>
      <c r="E27" s="134">
        <v>44540</v>
      </c>
      <c r="F27" s="1" t="s">
        <v>59</v>
      </c>
      <c r="G27" s="134">
        <v>44545</v>
      </c>
      <c r="H27" s="125" t="s">
        <v>1328</v>
      </c>
      <c r="I27" s="15">
        <v>100</v>
      </c>
      <c r="J27" s="15">
        <v>58</v>
      </c>
      <c r="K27" s="15">
        <v>32</v>
      </c>
      <c r="L27" s="15">
        <v>34</v>
      </c>
      <c r="M27" s="73">
        <v>46.4</v>
      </c>
      <c r="N27" s="104">
        <v>47</v>
      </c>
      <c r="O27" s="57">
        <v>7000</v>
      </c>
      <c r="P27" s="58">
        <f t="shared" si="0"/>
        <v>329000</v>
      </c>
    </row>
    <row r="28" spans="1:16" ht="26.25" customHeight="1" x14ac:dyDescent="0.2">
      <c r="A28" s="100"/>
      <c r="B28" s="100"/>
      <c r="C28" s="15" t="s">
        <v>1471</v>
      </c>
      <c r="D28" s="70" t="s">
        <v>57</v>
      </c>
      <c r="E28" s="134">
        <v>44540</v>
      </c>
      <c r="F28" s="1" t="s">
        <v>59</v>
      </c>
      <c r="G28" s="134">
        <v>44545</v>
      </c>
      <c r="H28" s="125" t="s">
        <v>1328</v>
      </c>
      <c r="I28" s="15">
        <v>78</v>
      </c>
      <c r="J28" s="15">
        <v>64</v>
      </c>
      <c r="K28" s="15">
        <v>28</v>
      </c>
      <c r="L28" s="15">
        <v>32</v>
      </c>
      <c r="M28" s="73">
        <v>34.944000000000003</v>
      </c>
      <c r="N28" s="104">
        <v>34.944000000000003</v>
      </c>
      <c r="O28" s="57">
        <v>7000</v>
      </c>
      <c r="P28" s="58">
        <f t="shared" si="0"/>
        <v>244608.00000000003</v>
      </c>
    </row>
    <row r="29" spans="1:16" ht="26.25" customHeight="1" x14ac:dyDescent="0.2">
      <c r="A29" s="100"/>
      <c r="B29" s="100"/>
      <c r="C29" s="15" t="s">
        <v>1472</v>
      </c>
      <c r="D29" s="70" t="s">
        <v>57</v>
      </c>
      <c r="E29" s="134">
        <v>44540</v>
      </c>
      <c r="F29" s="1" t="s">
        <v>59</v>
      </c>
      <c r="G29" s="134">
        <v>44545</v>
      </c>
      <c r="H29" s="125" t="s">
        <v>1328</v>
      </c>
      <c r="I29" s="15">
        <v>84</v>
      </c>
      <c r="J29" s="15">
        <v>50</v>
      </c>
      <c r="K29" s="15">
        <v>27</v>
      </c>
      <c r="L29" s="15">
        <v>11</v>
      </c>
      <c r="M29" s="73">
        <v>28.35</v>
      </c>
      <c r="N29" s="104">
        <v>29</v>
      </c>
      <c r="O29" s="57">
        <v>7000</v>
      </c>
      <c r="P29" s="58">
        <f t="shared" si="0"/>
        <v>203000</v>
      </c>
    </row>
    <row r="30" spans="1:16" ht="26.25" customHeight="1" x14ac:dyDescent="0.2">
      <c r="A30" s="100"/>
      <c r="B30" s="100"/>
      <c r="C30" s="15" t="s">
        <v>1473</v>
      </c>
      <c r="D30" s="70" t="s">
        <v>57</v>
      </c>
      <c r="E30" s="134">
        <v>44540</v>
      </c>
      <c r="F30" s="1" t="s">
        <v>59</v>
      </c>
      <c r="G30" s="134">
        <v>44545</v>
      </c>
      <c r="H30" s="125" t="s">
        <v>1328</v>
      </c>
      <c r="I30" s="15">
        <v>100</v>
      </c>
      <c r="J30" s="15">
        <v>55</v>
      </c>
      <c r="K30" s="15">
        <v>27</v>
      </c>
      <c r="L30" s="15">
        <v>13</v>
      </c>
      <c r="M30" s="73">
        <v>37.125</v>
      </c>
      <c r="N30" s="104">
        <v>37.125</v>
      </c>
      <c r="O30" s="57">
        <v>7000</v>
      </c>
      <c r="P30" s="58">
        <f t="shared" si="0"/>
        <v>259875</v>
      </c>
    </row>
    <row r="31" spans="1:16" ht="26.25" customHeight="1" x14ac:dyDescent="0.2">
      <c r="A31" s="100"/>
      <c r="B31" s="100"/>
      <c r="C31" s="15" t="s">
        <v>1474</v>
      </c>
      <c r="D31" s="70" t="s">
        <v>57</v>
      </c>
      <c r="E31" s="134">
        <v>44540</v>
      </c>
      <c r="F31" s="1" t="s">
        <v>59</v>
      </c>
      <c r="G31" s="134">
        <v>44545</v>
      </c>
      <c r="H31" s="125" t="s">
        <v>1328</v>
      </c>
      <c r="I31" s="15">
        <v>55</v>
      </c>
      <c r="J31" s="15">
        <v>38</v>
      </c>
      <c r="K31" s="15">
        <v>25</v>
      </c>
      <c r="L31" s="15">
        <v>5</v>
      </c>
      <c r="M31" s="73">
        <v>13.0625</v>
      </c>
      <c r="N31" s="104">
        <v>13.0625</v>
      </c>
      <c r="O31" s="57">
        <v>7000</v>
      </c>
      <c r="P31" s="58">
        <f t="shared" si="0"/>
        <v>91437.5</v>
      </c>
    </row>
    <row r="32" spans="1:16" ht="26.25" customHeight="1" x14ac:dyDescent="0.2">
      <c r="A32" s="100"/>
      <c r="B32" s="100"/>
      <c r="C32" s="15" t="s">
        <v>1475</v>
      </c>
      <c r="D32" s="70" t="s">
        <v>57</v>
      </c>
      <c r="E32" s="134">
        <v>44540</v>
      </c>
      <c r="F32" s="1" t="s">
        <v>59</v>
      </c>
      <c r="G32" s="134">
        <v>44545</v>
      </c>
      <c r="H32" s="125" t="s">
        <v>1328</v>
      </c>
      <c r="I32" s="15">
        <v>96</v>
      </c>
      <c r="J32" s="15">
        <v>54</v>
      </c>
      <c r="K32" s="15">
        <v>35</v>
      </c>
      <c r="L32" s="15">
        <v>17</v>
      </c>
      <c r="M32" s="73">
        <v>45.36</v>
      </c>
      <c r="N32" s="104">
        <v>46</v>
      </c>
      <c r="O32" s="57">
        <v>7000</v>
      </c>
      <c r="P32" s="58">
        <f t="shared" si="0"/>
        <v>322000</v>
      </c>
    </row>
    <row r="33" spans="1:16" ht="26.25" customHeight="1" x14ac:dyDescent="0.2">
      <c r="A33" s="100"/>
      <c r="B33" s="100"/>
      <c r="C33" s="15" t="s">
        <v>1476</v>
      </c>
      <c r="D33" s="70" t="s">
        <v>57</v>
      </c>
      <c r="E33" s="134">
        <v>44540</v>
      </c>
      <c r="F33" s="1" t="s">
        <v>59</v>
      </c>
      <c r="G33" s="134">
        <v>44545</v>
      </c>
      <c r="H33" s="125" t="s">
        <v>1328</v>
      </c>
      <c r="I33" s="15">
        <v>76</v>
      </c>
      <c r="J33" s="15">
        <v>54</v>
      </c>
      <c r="K33" s="15">
        <v>27</v>
      </c>
      <c r="L33" s="15">
        <v>23</v>
      </c>
      <c r="M33" s="73">
        <v>27.702000000000002</v>
      </c>
      <c r="N33" s="104">
        <v>27.702000000000002</v>
      </c>
      <c r="O33" s="57">
        <v>7000</v>
      </c>
      <c r="P33" s="58">
        <f t="shared" si="0"/>
        <v>193914</v>
      </c>
    </row>
    <row r="34" spans="1:16" ht="26.25" customHeight="1" x14ac:dyDescent="0.2">
      <c r="A34" s="100"/>
      <c r="B34" s="100"/>
      <c r="C34" s="15" t="s">
        <v>1477</v>
      </c>
      <c r="D34" s="70" t="s">
        <v>57</v>
      </c>
      <c r="E34" s="134">
        <v>44540</v>
      </c>
      <c r="F34" s="1" t="s">
        <v>59</v>
      </c>
      <c r="G34" s="134">
        <v>44545</v>
      </c>
      <c r="H34" s="125" t="s">
        <v>1328</v>
      </c>
      <c r="I34" s="15">
        <v>32</v>
      </c>
      <c r="J34" s="15">
        <v>32</v>
      </c>
      <c r="K34" s="15">
        <v>20</v>
      </c>
      <c r="L34" s="15">
        <v>26</v>
      </c>
      <c r="M34" s="73">
        <v>5.12</v>
      </c>
      <c r="N34" s="104">
        <v>26</v>
      </c>
      <c r="O34" s="57">
        <v>7000</v>
      </c>
      <c r="P34" s="58">
        <f t="shared" si="0"/>
        <v>182000</v>
      </c>
    </row>
    <row r="35" spans="1:16" ht="26.25" customHeight="1" x14ac:dyDescent="0.2">
      <c r="A35" s="100"/>
      <c r="B35" s="100"/>
      <c r="C35" s="15" t="s">
        <v>1478</v>
      </c>
      <c r="D35" s="70" t="s">
        <v>57</v>
      </c>
      <c r="E35" s="134">
        <v>44540</v>
      </c>
      <c r="F35" s="1" t="s">
        <v>59</v>
      </c>
      <c r="G35" s="134">
        <v>44545</v>
      </c>
      <c r="H35" s="125" t="s">
        <v>1328</v>
      </c>
      <c r="I35" s="15">
        <v>57</v>
      </c>
      <c r="J35" s="15">
        <v>28</v>
      </c>
      <c r="K35" s="15">
        <v>24</v>
      </c>
      <c r="L35" s="15">
        <v>9</v>
      </c>
      <c r="M35" s="73">
        <v>9.5760000000000005</v>
      </c>
      <c r="N35" s="104">
        <v>9.5760000000000005</v>
      </c>
      <c r="O35" s="57">
        <v>7000</v>
      </c>
      <c r="P35" s="58">
        <f t="shared" si="0"/>
        <v>67032</v>
      </c>
    </row>
    <row r="36" spans="1:16" ht="26.25" customHeight="1" x14ac:dyDescent="0.2">
      <c r="A36" s="100"/>
      <c r="B36" s="100"/>
      <c r="C36" s="15" t="s">
        <v>1479</v>
      </c>
      <c r="D36" s="70" t="s">
        <v>57</v>
      </c>
      <c r="E36" s="134">
        <v>44540</v>
      </c>
      <c r="F36" s="1" t="s">
        <v>59</v>
      </c>
      <c r="G36" s="134">
        <v>44545</v>
      </c>
      <c r="H36" s="125" t="s">
        <v>1328</v>
      </c>
      <c r="I36" s="15">
        <v>37</v>
      </c>
      <c r="J36" s="15">
        <v>28</v>
      </c>
      <c r="K36" s="15">
        <v>22</v>
      </c>
      <c r="L36" s="15">
        <v>8</v>
      </c>
      <c r="M36" s="73">
        <v>5.6980000000000004</v>
      </c>
      <c r="N36" s="104">
        <v>8</v>
      </c>
      <c r="O36" s="57">
        <v>7000</v>
      </c>
      <c r="P36" s="58">
        <f t="shared" si="0"/>
        <v>56000</v>
      </c>
    </row>
    <row r="37" spans="1:16" ht="26.25" customHeight="1" x14ac:dyDescent="0.2">
      <c r="A37" s="100"/>
      <c r="B37" s="100"/>
      <c r="C37" s="15" t="s">
        <v>1480</v>
      </c>
      <c r="D37" s="70" t="s">
        <v>57</v>
      </c>
      <c r="E37" s="134">
        <v>44540</v>
      </c>
      <c r="F37" s="1" t="s">
        <v>59</v>
      </c>
      <c r="G37" s="134">
        <v>44545</v>
      </c>
      <c r="H37" s="125" t="s">
        <v>1328</v>
      </c>
      <c r="I37" s="15">
        <v>62</v>
      </c>
      <c r="J37" s="15">
        <v>44</v>
      </c>
      <c r="K37" s="15">
        <v>37</v>
      </c>
      <c r="L37" s="15">
        <v>7</v>
      </c>
      <c r="M37" s="73">
        <v>25.234000000000002</v>
      </c>
      <c r="N37" s="104">
        <v>25.234000000000002</v>
      </c>
      <c r="O37" s="57">
        <v>7000</v>
      </c>
      <c r="P37" s="58">
        <f t="shared" si="0"/>
        <v>176638</v>
      </c>
    </row>
    <row r="38" spans="1:16" ht="26.25" customHeight="1" x14ac:dyDescent="0.2">
      <c r="A38" s="100"/>
      <c r="B38" s="100"/>
      <c r="C38" s="15" t="s">
        <v>1481</v>
      </c>
      <c r="D38" s="70" t="s">
        <v>57</v>
      </c>
      <c r="E38" s="134">
        <v>44540</v>
      </c>
      <c r="F38" s="1" t="s">
        <v>59</v>
      </c>
      <c r="G38" s="134">
        <v>44545</v>
      </c>
      <c r="H38" s="125" t="s">
        <v>1328</v>
      </c>
      <c r="I38" s="15">
        <v>77</v>
      </c>
      <c r="J38" s="15">
        <v>57</v>
      </c>
      <c r="K38" s="15">
        <v>30</v>
      </c>
      <c r="L38" s="15">
        <v>17</v>
      </c>
      <c r="M38" s="73">
        <v>32.917499999999997</v>
      </c>
      <c r="N38" s="104">
        <v>32.917499999999997</v>
      </c>
      <c r="O38" s="57">
        <v>7000</v>
      </c>
      <c r="P38" s="58">
        <f t="shared" si="0"/>
        <v>230422.49999999997</v>
      </c>
    </row>
    <row r="39" spans="1:16" ht="26.25" customHeight="1" x14ac:dyDescent="0.2">
      <c r="A39" s="100"/>
      <c r="B39" s="100"/>
      <c r="C39" s="15" t="s">
        <v>1482</v>
      </c>
      <c r="D39" s="70" t="s">
        <v>57</v>
      </c>
      <c r="E39" s="134">
        <v>44540</v>
      </c>
      <c r="F39" s="1" t="s">
        <v>59</v>
      </c>
      <c r="G39" s="134">
        <v>44545</v>
      </c>
      <c r="H39" s="125" t="s">
        <v>1328</v>
      </c>
      <c r="I39" s="15">
        <v>78</v>
      </c>
      <c r="J39" s="15">
        <v>18</v>
      </c>
      <c r="K39" s="15">
        <v>18</v>
      </c>
      <c r="L39" s="15">
        <v>4</v>
      </c>
      <c r="M39" s="73">
        <v>6.3179999999999996</v>
      </c>
      <c r="N39" s="104">
        <v>7</v>
      </c>
      <c r="O39" s="57">
        <v>7000</v>
      </c>
      <c r="P39" s="58">
        <f t="shared" si="0"/>
        <v>49000</v>
      </c>
    </row>
    <row r="40" spans="1:16" ht="26.25" customHeight="1" x14ac:dyDescent="0.2">
      <c r="A40" s="100"/>
      <c r="B40" s="100"/>
      <c r="C40" s="15" t="s">
        <v>1483</v>
      </c>
      <c r="D40" s="70" t="s">
        <v>57</v>
      </c>
      <c r="E40" s="134">
        <v>44540</v>
      </c>
      <c r="F40" s="1" t="s">
        <v>59</v>
      </c>
      <c r="G40" s="134">
        <v>44545</v>
      </c>
      <c r="H40" s="125" t="s">
        <v>1328</v>
      </c>
      <c r="I40" s="15">
        <v>55</v>
      </c>
      <c r="J40" s="15">
        <v>40</v>
      </c>
      <c r="K40" s="15">
        <v>27</v>
      </c>
      <c r="L40" s="15">
        <v>1</v>
      </c>
      <c r="M40" s="73">
        <v>14.85</v>
      </c>
      <c r="N40" s="104">
        <v>14.85</v>
      </c>
      <c r="O40" s="57">
        <v>7000</v>
      </c>
      <c r="P40" s="58">
        <f t="shared" si="0"/>
        <v>103950</v>
      </c>
    </row>
    <row r="41" spans="1:16" ht="26.25" customHeight="1" x14ac:dyDescent="0.2">
      <c r="A41" s="100"/>
      <c r="B41" s="100"/>
      <c r="C41" s="15" t="s">
        <v>1484</v>
      </c>
      <c r="D41" s="70" t="s">
        <v>57</v>
      </c>
      <c r="E41" s="134">
        <v>44540</v>
      </c>
      <c r="F41" s="1" t="s">
        <v>59</v>
      </c>
      <c r="G41" s="134">
        <v>44545</v>
      </c>
      <c r="H41" s="125" t="s">
        <v>1328</v>
      </c>
      <c r="I41" s="15">
        <v>58</v>
      </c>
      <c r="J41" s="15">
        <v>42</v>
      </c>
      <c r="K41" s="15">
        <v>27</v>
      </c>
      <c r="L41" s="15">
        <v>1</v>
      </c>
      <c r="M41" s="73">
        <v>16.443000000000001</v>
      </c>
      <c r="N41" s="104">
        <v>17</v>
      </c>
      <c r="O41" s="57">
        <v>7000</v>
      </c>
      <c r="P41" s="58">
        <f t="shared" si="0"/>
        <v>119000</v>
      </c>
    </row>
    <row r="42" spans="1:16" ht="26.25" customHeight="1" x14ac:dyDescent="0.2">
      <c r="A42" s="100"/>
      <c r="B42" s="100"/>
      <c r="C42" s="15" t="s">
        <v>1485</v>
      </c>
      <c r="D42" s="70" t="s">
        <v>57</v>
      </c>
      <c r="E42" s="134">
        <v>44540</v>
      </c>
      <c r="F42" s="1" t="s">
        <v>59</v>
      </c>
      <c r="G42" s="134">
        <v>44545</v>
      </c>
      <c r="H42" s="125" t="s">
        <v>1328</v>
      </c>
      <c r="I42" s="15">
        <v>58</v>
      </c>
      <c r="J42" s="15">
        <v>38</v>
      </c>
      <c r="K42" s="15">
        <v>37</v>
      </c>
      <c r="L42" s="15">
        <v>8</v>
      </c>
      <c r="M42" s="73">
        <v>20.387</v>
      </c>
      <c r="N42" s="104">
        <v>21</v>
      </c>
      <c r="O42" s="57">
        <v>7000</v>
      </c>
      <c r="P42" s="58">
        <f t="shared" si="0"/>
        <v>147000</v>
      </c>
    </row>
    <row r="43" spans="1:16" ht="26.25" customHeight="1" x14ac:dyDescent="0.2">
      <c r="A43" s="100"/>
      <c r="B43" s="100"/>
      <c r="C43" s="15" t="s">
        <v>1486</v>
      </c>
      <c r="D43" s="70" t="s">
        <v>57</v>
      </c>
      <c r="E43" s="134">
        <v>44540</v>
      </c>
      <c r="F43" s="1" t="s">
        <v>59</v>
      </c>
      <c r="G43" s="134">
        <v>44545</v>
      </c>
      <c r="H43" s="125" t="s">
        <v>1328</v>
      </c>
      <c r="I43" s="15">
        <v>57</v>
      </c>
      <c r="J43" s="15">
        <v>40</v>
      </c>
      <c r="K43" s="15">
        <v>22</v>
      </c>
      <c r="L43" s="15">
        <v>10</v>
      </c>
      <c r="M43" s="73">
        <v>12.54</v>
      </c>
      <c r="N43" s="104">
        <v>12.54</v>
      </c>
      <c r="O43" s="57">
        <v>7000</v>
      </c>
      <c r="P43" s="58">
        <f t="shared" si="0"/>
        <v>87780</v>
      </c>
    </row>
    <row r="44" spans="1:16" ht="26.25" customHeight="1" x14ac:dyDescent="0.2">
      <c r="A44" s="100"/>
      <c r="B44" s="100"/>
      <c r="C44" s="15" t="s">
        <v>1487</v>
      </c>
      <c r="D44" s="70" t="s">
        <v>57</v>
      </c>
      <c r="E44" s="134">
        <v>44540</v>
      </c>
      <c r="F44" s="1" t="s">
        <v>59</v>
      </c>
      <c r="G44" s="134">
        <v>44545</v>
      </c>
      <c r="H44" s="125" t="s">
        <v>1328</v>
      </c>
      <c r="I44" s="15">
        <v>82</v>
      </c>
      <c r="J44" s="15">
        <v>30</v>
      </c>
      <c r="K44" s="15">
        <v>30</v>
      </c>
      <c r="L44" s="15">
        <v>6</v>
      </c>
      <c r="M44" s="73">
        <v>18.45</v>
      </c>
      <c r="N44" s="104">
        <v>19</v>
      </c>
      <c r="O44" s="57">
        <v>7000</v>
      </c>
      <c r="P44" s="58">
        <f t="shared" si="0"/>
        <v>133000</v>
      </c>
    </row>
    <row r="45" spans="1:16" ht="26.25" customHeight="1" x14ac:dyDescent="0.2">
      <c r="A45" s="100"/>
      <c r="B45" s="100"/>
      <c r="C45" s="15" t="s">
        <v>1488</v>
      </c>
      <c r="D45" s="70" t="s">
        <v>57</v>
      </c>
      <c r="E45" s="134">
        <v>44540</v>
      </c>
      <c r="F45" s="1" t="s">
        <v>59</v>
      </c>
      <c r="G45" s="134">
        <v>44545</v>
      </c>
      <c r="H45" s="125" t="s">
        <v>1328</v>
      </c>
      <c r="I45" s="15">
        <v>55</v>
      </c>
      <c r="J45" s="15">
        <v>42</v>
      </c>
      <c r="K45" s="15">
        <v>27</v>
      </c>
      <c r="L45" s="15">
        <v>1</v>
      </c>
      <c r="M45" s="73">
        <v>15.592499999999999</v>
      </c>
      <c r="N45" s="104">
        <v>15.592499999999999</v>
      </c>
      <c r="O45" s="57">
        <v>7000</v>
      </c>
      <c r="P45" s="58">
        <f t="shared" si="0"/>
        <v>109147.5</v>
      </c>
    </row>
    <row r="46" spans="1:16" ht="26.25" customHeight="1" x14ac:dyDescent="0.2">
      <c r="A46" s="100"/>
      <c r="B46" s="100"/>
      <c r="C46" s="15" t="s">
        <v>1489</v>
      </c>
      <c r="D46" s="70" t="s">
        <v>57</v>
      </c>
      <c r="E46" s="134">
        <v>44540</v>
      </c>
      <c r="F46" s="1" t="s">
        <v>59</v>
      </c>
      <c r="G46" s="134">
        <v>44545</v>
      </c>
      <c r="H46" s="125" t="s">
        <v>1328</v>
      </c>
      <c r="I46" s="15">
        <v>96</v>
      </c>
      <c r="J46" s="15">
        <v>57</v>
      </c>
      <c r="K46" s="15">
        <v>38</v>
      </c>
      <c r="L46" s="15">
        <v>20</v>
      </c>
      <c r="M46" s="73">
        <v>51.984000000000002</v>
      </c>
      <c r="N46" s="104">
        <v>51.984000000000002</v>
      </c>
      <c r="O46" s="57">
        <v>7000</v>
      </c>
      <c r="P46" s="58">
        <f t="shared" si="0"/>
        <v>363888</v>
      </c>
    </row>
    <row r="47" spans="1:16" ht="26.25" customHeight="1" x14ac:dyDescent="0.2">
      <c r="A47" s="100"/>
      <c r="B47" s="100"/>
      <c r="C47" s="15" t="s">
        <v>1490</v>
      </c>
      <c r="D47" s="70" t="s">
        <v>57</v>
      </c>
      <c r="E47" s="134">
        <v>44540</v>
      </c>
      <c r="F47" s="1" t="s">
        <v>59</v>
      </c>
      <c r="G47" s="134">
        <v>44545</v>
      </c>
      <c r="H47" s="125" t="s">
        <v>1328</v>
      </c>
      <c r="I47" s="15">
        <v>48</v>
      </c>
      <c r="J47" s="15">
        <v>32</v>
      </c>
      <c r="K47" s="15">
        <v>40</v>
      </c>
      <c r="L47" s="15">
        <v>9</v>
      </c>
      <c r="M47" s="73">
        <v>15.36</v>
      </c>
      <c r="N47" s="104">
        <v>16</v>
      </c>
      <c r="O47" s="57">
        <v>7000</v>
      </c>
      <c r="P47" s="58">
        <f t="shared" si="0"/>
        <v>112000</v>
      </c>
    </row>
    <row r="48" spans="1:16" ht="26.25" customHeight="1" x14ac:dyDescent="0.2">
      <c r="A48" s="100"/>
      <c r="B48" s="100"/>
      <c r="C48" s="15" t="s">
        <v>1491</v>
      </c>
      <c r="D48" s="70" t="s">
        <v>57</v>
      </c>
      <c r="E48" s="134">
        <v>44540</v>
      </c>
      <c r="F48" s="1" t="s">
        <v>59</v>
      </c>
      <c r="G48" s="134">
        <v>44545</v>
      </c>
      <c r="H48" s="125" t="s">
        <v>1328</v>
      </c>
      <c r="I48" s="15">
        <v>44</v>
      </c>
      <c r="J48" s="15">
        <v>32</v>
      </c>
      <c r="K48" s="15">
        <v>32</v>
      </c>
      <c r="L48" s="15">
        <v>1</v>
      </c>
      <c r="M48" s="73">
        <v>11.263999999999999</v>
      </c>
      <c r="N48" s="104">
        <v>11.263999999999999</v>
      </c>
      <c r="O48" s="57">
        <v>7000</v>
      </c>
      <c r="P48" s="58">
        <f t="shared" si="0"/>
        <v>78848</v>
      </c>
    </row>
    <row r="49" spans="1:16" ht="26.25" customHeight="1" x14ac:dyDescent="0.2">
      <c r="A49" s="100"/>
      <c r="B49" s="100"/>
      <c r="C49" s="15" t="s">
        <v>1492</v>
      </c>
      <c r="D49" s="70" t="s">
        <v>57</v>
      </c>
      <c r="E49" s="134">
        <v>44540</v>
      </c>
      <c r="F49" s="1" t="s">
        <v>59</v>
      </c>
      <c r="G49" s="134">
        <v>44545</v>
      </c>
      <c r="H49" s="125" t="s">
        <v>1328</v>
      </c>
      <c r="I49" s="15">
        <v>40</v>
      </c>
      <c r="J49" s="15">
        <v>32</v>
      </c>
      <c r="K49" s="15">
        <v>27</v>
      </c>
      <c r="L49" s="15">
        <v>13</v>
      </c>
      <c r="M49" s="73">
        <v>8.64</v>
      </c>
      <c r="N49" s="104">
        <v>13</v>
      </c>
      <c r="O49" s="57">
        <v>7000</v>
      </c>
      <c r="P49" s="58">
        <f t="shared" si="0"/>
        <v>91000</v>
      </c>
    </row>
    <row r="50" spans="1:16" ht="26.25" customHeight="1" x14ac:dyDescent="0.2">
      <c r="A50" s="100"/>
      <c r="B50" s="100"/>
      <c r="C50" s="15" t="s">
        <v>1493</v>
      </c>
      <c r="D50" s="70" t="s">
        <v>57</v>
      </c>
      <c r="E50" s="134">
        <v>44540</v>
      </c>
      <c r="F50" s="1" t="s">
        <v>59</v>
      </c>
      <c r="G50" s="134">
        <v>44545</v>
      </c>
      <c r="H50" s="125" t="s">
        <v>1328</v>
      </c>
      <c r="I50" s="15">
        <v>75</v>
      </c>
      <c r="J50" s="15">
        <v>57</v>
      </c>
      <c r="K50" s="15">
        <v>24</v>
      </c>
      <c r="L50" s="15">
        <v>12</v>
      </c>
      <c r="M50" s="73">
        <v>25.65</v>
      </c>
      <c r="N50" s="104">
        <v>25.65</v>
      </c>
      <c r="O50" s="57">
        <v>7000</v>
      </c>
      <c r="P50" s="58">
        <f t="shared" si="0"/>
        <v>179550</v>
      </c>
    </row>
    <row r="51" spans="1:16" ht="26.25" customHeight="1" x14ac:dyDescent="0.2">
      <c r="A51" s="100"/>
      <c r="B51" s="100"/>
      <c r="C51" s="15" t="s">
        <v>1494</v>
      </c>
      <c r="D51" s="70" t="s">
        <v>57</v>
      </c>
      <c r="E51" s="134">
        <v>44540</v>
      </c>
      <c r="F51" s="1" t="s">
        <v>59</v>
      </c>
      <c r="G51" s="134">
        <v>44545</v>
      </c>
      <c r="H51" s="125" t="s">
        <v>1328</v>
      </c>
      <c r="I51" s="15">
        <v>94</v>
      </c>
      <c r="J51" s="15">
        <v>47</v>
      </c>
      <c r="K51" s="15">
        <v>26</v>
      </c>
      <c r="L51" s="15">
        <v>19</v>
      </c>
      <c r="M51" s="73">
        <v>28.716999999999999</v>
      </c>
      <c r="N51" s="104">
        <v>28.716999999999999</v>
      </c>
      <c r="O51" s="57">
        <v>7000</v>
      </c>
      <c r="P51" s="58">
        <f t="shared" si="0"/>
        <v>201019</v>
      </c>
    </row>
    <row r="52" spans="1:16" ht="26.25" customHeight="1" x14ac:dyDescent="0.2">
      <c r="A52" s="100"/>
      <c r="B52" s="100"/>
      <c r="C52" s="15" t="s">
        <v>1495</v>
      </c>
      <c r="D52" s="70" t="s">
        <v>57</v>
      </c>
      <c r="E52" s="134">
        <v>44540</v>
      </c>
      <c r="F52" s="1" t="s">
        <v>59</v>
      </c>
      <c r="G52" s="134">
        <v>44545</v>
      </c>
      <c r="H52" s="125" t="s">
        <v>1328</v>
      </c>
      <c r="I52" s="15">
        <v>82</v>
      </c>
      <c r="J52" s="15">
        <v>62</v>
      </c>
      <c r="K52" s="15">
        <v>32</v>
      </c>
      <c r="L52" s="15">
        <v>13</v>
      </c>
      <c r="M52" s="73">
        <v>40.671999999999997</v>
      </c>
      <c r="N52" s="104">
        <v>40.671999999999997</v>
      </c>
      <c r="O52" s="57">
        <v>7000</v>
      </c>
      <c r="P52" s="58">
        <f t="shared" si="0"/>
        <v>284704</v>
      </c>
    </row>
    <row r="53" spans="1:16" ht="26.25" customHeight="1" x14ac:dyDescent="0.2">
      <c r="A53" s="100"/>
      <c r="B53" s="100"/>
      <c r="C53" s="15" t="s">
        <v>1496</v>
      </c>
      <c r="D53" s="70" t="s">
        <v>57</v>
      </c>
      <c r="E53" s="134">
        <v>44540</v>
      </c>
      <c r="F53" s="1" t="s">
        <v>59</v>
      </c>
      <c r="G53" s="134">
        <v>44545</v>
      </c>
      <c r="H53" s="125" t="s">
        <v>1328</v>
      </c>
      <c r="I53" s="15">
        <v>77</v>
      </c>
      <c r="J53" s="15">
        <v>56</v>
      </c>
      <c r="K53" s="15">
        <v>26</v>
      </c>
      <c r="L53" s="15">
        <v>15</v>
      </c>
      <c r="M53" s="73">
        <v>28.027999999999999</v>
      </c>
      <c r="N53" s="104">
        <v>28.027999999999999</v>
      </c>
      <c r="O53" s="57">
        <v>7000</v>
      </c>
      <c r="P53" s="58">
        <f t="shared" si="0"/>
        <v>196196</v>
      </c>
    </row>
    <row r="54" spans="1:16" ht="26.25" customHeight="1" x14ac:dyDescent="0.2">
      <c r="A54" s="100"/>
      <c r="B54" s="100"/>
      <c r="C54" s="15" t="s">
        <v>1497</v>
      </c>
      <c r="D54" s="70" t="s">
        <v>57</v>
      </c>
      <c r="E54" s="134">
        <v>44540</v>
      </c>
      <c r="F54" s="1" t="s">
        <v>59</v>
      </c>
      <c r="G54" s="134">
        <v>44545</v>
      </c>
      <c r="H54" s="125" t="s">
        <v>1328</v>
      </c>
      <c r="I54" s="15">
        <v>55</v>
      </c>
      <c r="J54" s="15">
        <v>46</v>
      </c>
      <c r="K54" s="15">
        <v>38</v>
      </c>
      <c r="L54" s="15">
        <v>12</v>
      </c>
      <c r="M54" s="73">
        <v>24.035</v>
      </c>
      <c r="N54" s="104">
        <v>24.035</v>
      </c>
      <c r="O54" s="57">
        <v>7000</v>
      </c>
      <c r="P54" s="58">
        <f t="shared" si="0"/>
        <v>168245</v>
      </c>
    </row>
    <row r="55" spans="1:16" ht="26.25" customHeight="1" x14ac:dyDescent="0.2">
      <c r="A55" s="100"/>
      <c r="B55" s="100"/>
      <c r="C55" s="15" t="s">
        <v>1498</v>
      </c>
      <c r="D55" s="70" t="s">
        <v>57</v>
      </c>
      <c r="E55" s="134">
        <v>44540</v>
      </c>
      <c r="F55" s="1" t="s">
        <v>59</v>
      </c>
      <c r="G55" s="134">
        <v>44545</v>
      </c>
      <c r="H55" s="125" t="s">
        <v>1328</v>
      </c>
      <c r="I55" s="15">
        <v>96</v>
      </c>
      <c r="J55" s="15">
        <v>58</v>
      </c>
      <c r="K55" s="15">
        <v>28</v>
      </c>
      <c r="L55" s="15">
        <v>11</v>
      </c>
      <c r="M55" s="73">
        <v>38.975999999999999</v>
      </c>
      <c r="N55" s="104">
        <v>38.975999999999999</v>
      </c>
      <c r="O55" s="57">
        <v>7000</v>
      </c>
      <c r="P55" s="58">
        <f t="shared" si="0"/>
        <v>272832</v>
      </c>
    </row>
    <row r="56" spans="1:16" ht="26.25" customHeight="1" x14ac:dyDescent="0.2">
      <c r="A56" s="100"/>
      <c r="B56" s="100"/>
      <c r="C56" s="15" t="s">
        <v>1499</v>
      </c>
      <c r="D56" s="70" t="s">
        <v>57</v>
      </c>
      <c r="E56" s="134">
        <v>44540</v>
      </c>
      <c r="F56" s="1" t="s">
        <v>59</v>
      </c>
      <c r="G56" s="134">
        <v>44545</v>
      </c>
      <c r="H56" s="125" t="s">
        <v>1328</v>
      </c>
      <c r="I56" s="15">
        <v>78</v>
      </c>
      <c r="J56" s="15">
        <v>63</v>
      </c>
      <c r="K56" s="15">
        <v>24</v>
      </c>
      <c r="L56" s="15">
        <v>10</v>
      </c>
      <c r="M56" s="73">
        <v>29.484000000000002</v>
      </c>
      <c r="N56" s="104">
        <v>30</v>
      </c>
      <c r="O56" s="57">
        <v>7000</v>
      </c>
      <c r="P56" s="58">
        <f t="shared" si="0"/>
        <v>210000</v>
      </c>
    </row>
    <row r="57" spans="1:16" ht="26.25" customHeight="1" x14ac:dyDescent="0.2">
      <c r="A57" s="100"/>
      <c r="B57" s="100"/>
      <c r="C57" s="15" t="s">
        <v>1500</v>
      </c>
      <c r="D57" s="70" t="s">
        <v>57</v>
      </c>
      <c r="E57" s="134">
        <v>44540</v>
      </c>
      <c r="F57" s="1" t="s">
        <v>59</v>
      </c>
      <c r="G57" s="134">
        <v>44545</v>
      </c>
      <c r="H57" s="125" t="s">
        <v>1328</v>
      </c>
      <c r="I57" s="15">
        <v>53</v>
      </c>
      <c r="J57" s="15">
        <v>35</v>
      </c>
      <c r="K57" s="15">
        <v>27</v>
      </c>
      <c r="L57" s="15">
        <v>13</v>
      </c>
      <c r="M57" s="73">
        <v>12.52125</v>
      </c>
      <c r="N57" s="104">
        <v>13</v>
      </c>
      <c r="O57" s="57">
        <v>7000</v>
      </c>
      <c r="P57" s="58">
        <f t="shared" si="0"/>
        <v>91000</v>
      </c>
    </row>
    <row r="58" spans="1:16" ht="26.25" customHeight="1" x14ac:dyDescent="0.2">
      <c r="A58" s="100"/>
      <c r="B58" s="100"/>
      <c r="C58" s="15" t="s">
        <v>1501</v>
      </c>
      <c r="D58" s="70" t="s">
        <v>57</v>
      </c>
      <c r="E58" s="134">
        <v>44540</v>
      </c>
      <c r="F58" s="1" t="s">
        <v>59</v>
      </c>
      <c r="G58" s="134">
        <v>44545</v>
      </c>
      <c r="H58" s="125" t="s">
        <v>1328</v>
      </c>
      <c r="I58" s="15">
        <v>66</v>
      </c>
      <c r="J58" s="15">
        <v>50</v>
      </c>
      <c r="K58" s="15">
        <v>18</v>
      </c>
      <c r="L58" s="15">
        <v>11</v>
      </c>
      <c r="M58" s="73">
        <v>14.85</v>
      </c>
      <c r="N58" s="104">
        <v>14.85</v>
      </c>
      <c r="O58" s="57">
        <v>7000</v>
      </c>
      <c r="P58" s="58">
        <f t="shared" si="0"/>
        <v>103950</v>
      </c>
    </row>
    <row r="59" spans="1:16" ht="26.25" customHeight="1" x14ac:dyDescent="0.2">
      <c r="A59" s="100"/>
      <c r="B59" s="100"/>
      <c r="C59" s="15" t="s">
        <v>1502</v>
      </c>
      <c r="D59" s="70" t="s">
        <v>57</v>
      </c>
      <c r="E59" s="134">
        <v>44540</v>
      </c>
      <c r="F59" s="1" t="s">
        <v>59</v>
      </c>
      <c r="G59" s="134">
        <v>44545</v>
      </c>
      <c r="H59" s="125" t="s">
        <v>1328</v>
      </c>
      <c r="I59" s="15">
        <v>52</v>
      </c>
      <c r="J59" s="15">
        <v>40</v>
      </c>
      <c r="K59" s="15">
        <v>17</v>
      </c>
      <c r="L59" s="15">
        <v>8</v>
      </c>
      <c r="M59" s="73">
        <v>8.84</v>
      </c>
      <c r="N59" s="104">
        <v>8.84</v>
      </c>
      <c r="O59" s="57">
        <v>7000</v>
      </c>
      <c r="P59" s="58">
        <f t="shared" si="0"/>
        <v>61880</v>
      </c>
    </row>
    <row r="60" spans="1:16" ht="26.25" customHeight="1" x14ac:dyDescent="0.2">
      <c r="A60" s="100"/>
      <c r="B60" s="100"/>
      <c r="C60" s="15" t="s">
        <v>1503</v>
      </c>
      <c r="D60" s="70" t="s">
        <v>57</v>
      </c>
      <c r="E60" s="134">
        <v>44540</v>
      </c>
      <c r="F60" s="1" t="s">
        <v>59</v>
      </c>
      <c r="G60" s="134">
        <v>44545</v>
      </c>
      <c r="H60" s="125" t="s">
        <v>1328</v>
      </c>
      <c r="I60" s="15">
        <v>92</v>
      </c>
      <c r="J60" s="15">
        <v>60</v>
      </c>
      <c r="K60" s="15">
        <v>29</v>
      </c>
      <c r="L60" s="15">
        <v>22</v>
      </c>
      <c r="M60" s="73">
        <v>40.020000000000003</v>
      </c>
      <c r="N60" s="104">
        <v>40.020000000000003</v>
      </c>
      <c r="O60" s="57">
        <v>7000</v>
      </c>
      <c r="P60" s="58">
        <f t="shared" si="0"/>
        <v>280140</v>
      </c>
    </row>
    <row r="61" spans="1:16" ht="26.25" customHeight="1" x14ac:dyDescent="0.2">
      <c r="A61" s="100"/>
      <c r="B61" s="100"/>
      <c r="C61" s="15" t="s">
        <v>1504</v>
      </c>
      <c r="D61" s="70" t="s">
        <v>57</v>
      </c>
      <c r="E61" s="134">
        <v>44540</v>
      </c>
      <c r="F61" s="1" t="s">
        <v>59</v>
      </c>
      <c r="G61" s="134">
        <v>44545</v>
      </c>
      <c r="H61" s="125" t="s">
        <v>1328</v>
      </c>
      <c r="I61" s="15">
        <v>48</v>
      </c>
      <c r="J61" s="15">
        <v>25</v>
      </c>
      <c r="K61" s="15">
        <v>14</v>
      </c>
      <c r="L61" s="15">
        <v>2</v>
      </c>
      <c r="M61" s="73">
        <v>4.2</v>
      </c>
      <c r="N61" s="104">
        <v>4.2</v>
      </c>
      <c r="O61" s="57">
        <v>7000</v>
      </c>
      <c r="P61" s="58">
        <f t="shared" si="0"/>
        <v>29400</v>
      </c>
    </row>
    <row r="62" spans="1:16" ht="26.25" customHeight="1" x14ac:dyDescent="0.2">
      <c r="A62" s="100"/>
      <c r="B62" s="100"/>
      <c r="C62" s="15" t="s">
        <v>1505</v>
      </c>
      <c r="D62" s="70" t="s">
        <v>57</v>
      </c>
      <c r="E62" s="134">
        <v>44540</v>
      </c>
      <c r="F62" s="1" t="s">
        <v>59</v>
      </c>
      <c r="G62" s="134">
        <v>44545</v>
      </c>
      <c r="H62" s="125" t="s">
        <v>1328</v>
      </c>
      <c r="I62" s="15">
        <v>84</v>
      </c>
      <c r="J62" s="15">
        <v>46</v>
      </c>
      <c r="K62" s="15">
        <v>30</v>
      </c>
      <c r="L62" s="15">
        <v>10</v>
      </c>
      <c r="M62" s="73">
        <v>28.98</v>
      </c>
      <c r="N62" s="104">
        <v>28.98</v>
      </c>
      <c r="O62" s="57">
        <v>7000</v>
      </c>
      <c r="P62" s="58">
        <f t="shared" si="0"/>
        <v>202860</v>
      </c>
    </row>
    <row r="63" spans="1:16" ht="26.25" customHeight="1" x14ac:dyDescent="0.2">
      <c r="A63" s="100"/>
      <c r="B63" s="100"/>
      <c r="C63" s="15" t="s">
        <v>1506</v>
      </c>
      <c r="D63" s="70" t="s">
        <v>57</v>
      </c>
      <c r="E63" s="134">
        <v>44540</v>
      </c>
      <c r="F63" s="1" t="s">
        <v>59</v>
      </c>
      <c r="G63" s="134">
        <v>44545</v>
      </c>
      <c r="H63" s="125" t="s">
        <v>1328</v>
      </c>
      <c r="I63" s="15">
        <v>36</v>
      </c>
      <c r="J63" s="15">
        <v>26</v>
      </c>
      <c r="K63" s="15">
        <v>28</v>
      </c>
      <c r="L63" s="15">
        <v>4</v>
      </c>
      <c r="M63" s="73">
        <v>6.5519999999999996</v>
      </c>
      <c r="N63" s="104">
        <v>6.5519999999999996</v>
      </c>
      <c r="O63" s="57">
        <v>7000</v>
      </c>
      <c r="P63" s="58">
        <f t="shared" si="0"/>
        <v>45864</v>
      </c>
    </row>
    <row r="64" spans="1:16" ht="26.25" customHeight="1" x14ac:dyDescent="0.2">
      <c r="A64" s="100"/>
      <c r="B64" s="100"/>
      <c r="C64" s="15" t="s">
        <v>1507</v>
      </c>
      <c r="D64" s="70" t="s">
        <v>57</v>
      </c>
      <c r="E64" s="134">
        <v>44540</v>
      </c>
      <c r="F64" s="1" t="s">
        <v>59</v>
      </c>
      <c r="G64" s="134">
        <v>44545</v>
      </c>
      <c r="H64" s="125" t="s">
        <v>1328</v>
      </c>
      <c r="I64" s="15">
        <v>78</v>
      </c>
      <c r="J64" s="15">
        <v>54</v>
      </c>
      <c r="K64" s="15">
        <v>22</v>
      </c>
      <c r="L64" s="15">
        <v>8</v>
      </c>
      <c r="M64" s="73">
        <v>23.166</v>
      </c>
      <c r="N64" s="104">
        <v>23.166</v>
      </c>
      <c r="O64" s="57">
        <v>7000</v>
      </c>
      <c r="P64" s="58">
        <f t="shared" si="0"/>
        <v>162162</v>
      </c>
    </row>
    <row r="65" spans="1:16" ht="26.25" customHeight="1" x14ac:dyDescent="0.2">
      <c r="A65" s="100"/>
      <c r="B65" s="100"/>
      <c r="C65" s="15" t="s">
        <v>1508</v>
      </c>
      <c r="D65" s="70" t="s">
        <v>57</v>
      </c>
      <c r="E65" s="134">
        <v>44540</v>
      </c>
      <c r="F65" s="1" t="s">
        <v>59</v>
      </c>
      <c r="G65" s="134">
        <v>44545</v>
      </c>
      <c r="H65" s="125" t="s">
        <v>1328</v>
      </c>
      <c r="I65" s="15">
        <v>47</v>
      </c>
      <c r="J65" s="15">
        <v>39</v>
      </c>
      <c r="K65" s="15">
        <v>17</v>
      </c>
      <c r="L65" s="15">
        <v>14</v>
      </c>
      <c r="M65" s="73">
        <v>7.7902500000000003</v>
      </c>
      <c r="N65" s="104">
        <v>14</v>
      </c>
      <c r="O65" s="57">
        <v>7000</v>
      </c>
      <c r="P65" s="58">
        <f t="shared" si="0"/>
        <v>98000</v>
      </c>
    </row>
    <row r="66" spans="1:16" ht="26.25" customHeight="1" x14ac:dyDescent="0.2">
      <c r="A66" s="100"/>
      <c r="B66" s="100"/>
      <c r="C66" s="15" t="s">
        <v>1509</v>
      </c>
      <c r="D66" s="70" t="s">
        <v>57</v>
      </c>
      <c r="E66" s="134">
        <v>44540</v>
      </c>
      <c r="F66" s="1" t="s">
        <v>59</v>
      </c>
      <c r="G66" s="134">
        <v>44545</v>
      </c>
      <c r="H66" s="125" t="s">
        <v>1328</v>
      </c>
      <c r="I66" s="15">
        <v>65</v>
      </c>
      <c r="J66" s="15">
        <v>34</v>
      </c>
      <c r="K66" s="15">
        <v>28</v>
      </c>
      <c r="L66" s="15">
        <v>10</v>
      </c>
      <c r="M66" s="73">
        <v>15.47</v>
      </c>
      <c r="N66" s="104">
        <v>16</v>
      </c>
      <c r="O66" s="57">
        <v>7000</v>
      </c>
      <c r="P66" s="58">
        <f t="shared" si="0"/>
        <v>112000</v>
      </c>
    </row>
    <row r="67" spans="1:16" ht="26.25" customHeight="1" x14ac:dyDescent="0.2">
      <c r="A67" s="100"/>
      <c r="B67" s="100"/>
      <c r="C67" s="15" t="s">
        <v>1510</v>
      </c>
      <c r="D67" s="70" t="s">
        <v>57</v>
      </c>
      <c r="E67" s="134">
        <v>44540</v>
      </c>
      <c r="F67" s="1" t="s">
        <v>59</v>
      </c>
      <c r="G67" s="134">
        <v>44545</v>
      </c>
      <c r="H67" s="125" t="s">
        <v>1328</v>
      </c>
      <c r="I67" s="15">
        <v>38</v>
      </c>
      <c r="J67" s="15">
        <v>28</v>
      </c>
      <c r="K67" s="15">
        <v>20</v>
      </c>
      <c r="L67" s="15">
        <v>13</v>
      </c>
      <c r="M67" s="73">
        <v>5.32</v>
      </c>
      <c r="N67" s="104">
        <v>14</v>
      </c>
      <c r="O67" s="57">
        <v>7000</v>
      </c>
      <c r="P67" s="58">
        <f t="shared" ref="P67:P130" si="1">N67*O67</f>
        <v>98000</v>
      </c>
    </row>
    <row r="68" spans="1:16" ht="26.25" customHeight="1" x14ac:dyDescent="0.2">
      <c r="A68" s="100"/>
      <c r="B68" s="100"/>
      <c r="C68" s="15" t="s">
        <v>1511</v>
      </c>
      <c r="D68" s="70" t="s">
        <v>57</v>
      </c>
      <c r="E68" s="134">
        <v>44540</v>
      </c>
      <c r="F68" s="1" t="s">
        <v>59</v>
      </c>
      <c r="G68" s="134">
        <v>44545</v>
      </c>
      <c r="H68" s="125" t="s">
        <v>1328</v>
      </c>
      <c r="I68" s="15">
        <v>40</v>
      </c>
      <c r="J68" s="15">
        <v>40</v>
      </c>
      <c r="K68" s="15">
        <v>28</v>
      </c>
      <c r="L68" s="15">
        <v>7</v>
      </c>
      <c r="M68" s="73">
        <v>11.2</v>
      </c>
      <c r="N68" s="104">
        <v>11.2</v>
      </c>
      <c r="O68" s="57">
        <v>7000</v>
      </c>
      <c r="P68" s="58">
        <f t="shared" si="1"/>
        <v>78400</v>
      </c>
    </row>
    <row r="69" spans="1:16" ht="26.25" customHeight="1" x14ac:dyDescent="0.2">
      <c r="A69" s="100"/>
      <c r="B69" s="100"/>
      <c r="C69" s="15" t="s">
        <v>1512</v>
      </c>
      <c r="D69" s="70" t="s">
        <v>57</v>
      </c>
      <c r="E69" s="134">
        <v>44540</v>
      </c>
      <c r="F69" s="1" t="s">
        <v>59</v>
      </c>
      <c r="G69" s="134">
        <v>44545</v>
      </c>
      <c r="H69" s="125" t="s">
        <v>1328</v>
      </c>
      <c r="I69" s="15">
        <v>89</v>
      </c>
      <c r="J69" s="15">
        <v>64</v>
      </c>
      <c r="K69" s="15">
        <v>29</v>
      </c>
      <c r="L69" s="15">
        <v>25</v>
      </c>
      <c r="M69" s="73">
        <v>41.295999999999999</v>
      </c>
      <c r="N69" s="104">
        <v>42</v>
      </c>
      <c r="O69" s="57">
        <v>7000</v>
      </c>
      <c r="P69" s="58">
        <f t="shared" si="1"/>
        <v>294000</v>
      </c>
    </row>
    <row r="70" spans="1:16" ht="26.25" customHeight="1" x14ac:dyDescent="0.2">
      <c r="A70" s="100"/>
      <c r="B70" s="100"/>
      <c r="C70" s="15" t="s">
        <v>1513</v>
      </c>
      <c r="D70" s="70" t="s">
        <v>57</v>
      </c>
      <c r="E70" s="134">
        <v>44540</v>
      </c>
      <c r="F70" s="1" t="s">
        <v>59</v>
      </c>
      <c r="G70" s="134">
        <v>44545</v>
      </c>
      <c r="H70" s="125" t="s">
        <v>1328</v>
      </c>
      <c r="I70" s="15">
        <v>72</v>
      </c>
      <c r="J70" s="15">
        <v>72</v>
      </c>
      <c r="K70" s="15">
        <v>8</v>
      </c>
      <c r="L70" s="15">
        <v>4</v>
      </c>
      <c r="M70" s="73">
        <v>10.368</v>
      </c>
      <c r="N70" s="104">
        <v>11</v>
      </c>
      <c r="O70" s="57">
        <v>7000</v>
      </c>
      <c r="P70" s="58">
        <f t="shared" si="1"/>
        <v>77000</v>
      </c>
    </row>
    <row r="71" spans="1:16" ht="26.25" customHeight="1" x14ac:dyDescent="0.2">
      <c r="A71" s="100"/>
      <c r="B71" s="100"/>
      <c r="C71" s="15" t="s">
        <v>1514</v>
      </c>
      <c r="D71" s="70" t="s">
        <v>57</v>
      </c>
      <c r="E71" s="134">
        <v>44540</v>
      </c>
      <c r="F71" s="1" t="s">
        <v>59</v>
      </c>
      <c r="G71" s="134">
        <v>44545</v>
      </c>
      <c r="H71" s="125" t="s">
        <v>1328</v>
      </c>
      <c r="I71" s="15">
        <v>87</v>
      </c>
      <c r="J71" s="15">
        <v>55</v>
      </c>
      <c r="K71" s="15">
        <v>25</v>
      </c>
      <c r="L71" s="15">
        <v>11</v>
      </c>
      <c r="M71" s="73">
        <v>29.90625</v>
      </c>
      <c r="N71" s="104">
        <v>29.90625</v>
      </c>
      <c r="O71" s="57">
        <v>7000</v>
      </c>
      <c r="P71" s="58">
        <f t="shared" si="1"/>
        <v>209343.75</v>
      </c>
    </row>
    <row r="72" spans="1:16" ht="26.25" customHeight="1" x14ac:dyDescent="0.2">
      <c r="A72" s="100"/>
      <c r="B72" s="100"/>
      <c r="C72" s="15" t="s">
        <v>1515</v>
      </c>
      <c r="D72" s="70" t="s">
        <v>57</v>
      </c>
      <c r="E72" s="134">
        <v>44540</v>
      </c>
      <c r="F72" s="1" t="s">
        <v>59</v>
      </c>
      <c r="G72" s="134">
        <v>44545</v>
      </c>
      <c r="H72" s="125" t="s">
        <v>1328</v>
      </c>
      <c r="I72" s="15">
        <v>64</v>
      </c>
      <c r="J72" s="15">
        <v>35</v>
      </c>
      <c r="K72" s="15">
        <v>27</v>
      </c>
      <c r="L72" s="15">
        <v>18</v>
      </c>
      <c r="M72" s="73">
        <v>15.12</v>
      </c>
      <c r="N72" s="104">
        <v>18</v>
      </c>
      <c r="O72" s="57">
        <v>7000</v>
      </c>
      <c r="P72" s="58">
        <f t="shared" si="1"/>
        <v>126000</v>
      </c>
    </row>
    <row r="73" spans="1:16" ht="26.25" customHeight="1" x14ac:dyDescent="0.2">
      <c r="A73" s="100"/>
      <c r="B73" s="100"/>
      <c r="C73" s="15" t="s">
        <v>1516</v>
      </c>
      <c r="D73" s="70" t="s">
        <v>57</v>
      </c>
      <c r="E73" s="134">
        <v>44540</v>
      </c>
      <c r="F73" s="1" t="s">
        <v>59</v>
      </c>
      <c r="G73" s="134">
        <v>44545</v>
      </c>
      <c r="H73" s="125" t="s">
        <v>1328</v>
      </c>
      <c r="I73" s="15">
        <v>45</v>
      </c>
      <c r="J73" s="15">
        <v>26</v>
      </c>
      <c r="K73" s="15">
        <v>25</v>
      </c>
      <c r="L73" s="15">
        <v>18</v>
      </c>
      <c r="M73" s="73">
        <v>7.3125</v>
      </c>
      <c r="N73" s="104">
        <v>19</v>
      </c>
      <c r="O73" s="57">
        <v>7000</v>
      </c>
      <c r="P73" s="58">
        <f t="shared" si="1"/>
        <v>133000</v>
      </c>
    </row>
    <row r="74" spans="1:16" ht="26.25" customHeight="1" x14ac:dyDescent="0.2">
      <c r="A74" s="100"/>
      <c r="B74" s="100"/>
      <c r="C74" s="15" t="s">
        <v>1517</v>
      </c>
      <c r="D74" s="70" t="s">
        <v>57</v>
      </c>
      <c r="E74" s="134">
        <v>44540</v>
      </c>
      <c r="F74" s="1" t="s">
        <v>59</v>
      </c>
      <c r="G74" s="134">
        <v>44545</v>
      </c>
      <c r="H74" s="125" t="s">
        <v>1328</v>
      </c>
      <c r="I74" s="15">
        <v>77</v>
      </c>
      <c r="J74" s="15">
        <v>54</v>
      </c>
      <c r="K74" s="15">
        <v>25</v>
      </c>
      <c r="L74" s="15">
        <v>12</v>
      </c>
      <c r="M74" s="73">
        <v>25.987500000000001</v>
      </c>
      <c r="N74" s="104">
        <v>25.987500000000001</v>
      </c>
      <c r="O74" s="57">
        <v>7000</v>
      </c>
      <c r="P74" s="58">
        <f t="shared" si="1"/>
        <v>181912.5</v>
      </c>
    </row>
    <row r="75" spans="1:16" ht="26.25" customHeight="1" x14ac:dyDescent="0.2">
      <c r="A75" s="100"/>
      <c r="B75" s="100"/>
      <c r="C75" s="15" t="s">
        <v>1518</v>
      </c>
      <c r="D75" s="70" t="s">
        <v>57</v>
      </c>
      <c r="E75" s="134">
        <v>44540</v>
      </c>
      <c r="F75" s="1" t="s">
        <v>59</v>
      </c>
      <c r="G75" s="134">
        <v>44545</v>
      </c>
      <c r="H75" s="125" t="s">
        <v>1328</v>
      </c>
      <c r="I75" s="15">
        <v>76</v>
      </c>
      <c r="J75" s="15">
        <v>55</v>
      </c>
      <c r="K75" s="15">
        <v>20</v>
      </c>
      <c r="L75" s="15">
        <v>7</v>
      </c>
      <c r="M75" s="73">
        <v>20.9</v>
      </c>
      <c r="N75" s="104">
        <v>20.9</v>
      </c>
      <c r="O75" s="57">
        <v>7000</v>
      </c>
      <c r="P75" s="58">
        <f t="shared" si="1"/>
        <v>146300</v>
      </c>
    </row>
    <row r="76" spans="1:16" ht="26.25" customHeight="1" x14ac:dyDescent="0.2">
      <c r="A76" s="100"/>
      <c r="B76" s="100"/>
      <c r="C76" s="15" t="s">
        <v>1519</v>
      </c>
      <c r="D76" s="70" t="s">
        <v>57</v>
      </c>
      <c r="E76" s="134">
        <v>44540</v>
      </c>
      <c r="F76" s="1" t="s">
        <v>59</v>
      </c>
      <c r="G76" s="134">
        <v>44545</v>
      </c>
      <c r="H76" s="125" t="s">
        <v>1328</v>
      </c>
      <c r="I76" s="15">
        <v>64</v>
      </c>
      <c r="J76" s="15">
        <v>47</v>
      </c>
      <c r="K76" s="15">
        <v>15</v>
      </c>
      <c r="L76" s="15">
        <v>6</v>
      </c>
      <c r="M76" s="73">
        <v>11.28</v>
      </c>
      <c r="N76" s="104">
        <v>11.28</v>
      </c>
      <c r="O76" s="57">
        <v>7000</v>
      </c>
      <c r="P76" s="58">
        <f t="shared" si="1"/>
        <v>78960</v>
      </c>
    </row>
    <row r="77" spans="1:16" ht="26.25" customHeight="1" x14ac:dyDescent="0.2">
      <c r="A77" s="100"/>
      <c r="B77" s="100"/>
      <c r="C77" s="15" t="s">
        <v>1520</v>
      </c>
      <c r="D77" s="70" t="s">
        <v>57</v>
      </c>
      <c r="E77" s="134">
        <v>44540</v>
      </c>
      <c r="F77" s="1" t="s">
        <v>59</v>
      </c>
      <c r="G77" s="134">
        <v>44545</v>
      </c>
      <c r="H77" s="125" t="s">
        <v>1328</v>
      </c>
      <c r="I77" s="15">
        <v>64</v>
      </c>
      <c r="J77" s="15">
        <v>42</v>
      </c>
      <c r="K77" s="15">
        <v>24</v>
      </c>
      <c r="L77" s="15">
        <v>5</v>
      </c>
      <c r="M77" s="73">
        <v>16.128</v>
      </c>
      <c r="N77" s="104">
        <v>16.128</v>
      </c>
      <c r="O77" s="57">
        <v>7000</v>
      </c>
      <c r="P77" s="58">
        <f t="shared" si="1"/>
        <v>112896</v>
      </c>
    </row>
    <row r="78" spans="1:16" ht="26.25" customHeight="1" x14ac:dyDescent="0.2">
      <c r="A78" s="100"/>
      <c r="B78" s="100"/>
      <c r="C78" s="15" t="s">
        <v>1521</v>
      </c>
      <c r="D78" s="70" t="s">
        <v>57</v>
      </c>
      <c r="E78" s="134">
        <v>44540</v>
      </c>
      <c r="F78" s="1" t="s">
        <v>59</v>
      </c>
      <c r="G78" s="134">
        <v>44545</v>
      </c>
      <c r="H78" s="125" t="s">
        <v>1328</v>
      </c>
      <c r="I78" s="15">
        <v>45</v>
      </c>
      <c r="J78" s="15">
        <v>28</v>
      </c>
      <c r="K78" s="15">
        <v>20</v>
      </c>
      <c r="L78" s="15">
        <v>6</v>
      </c>
      <c r="M78" s="73">
        <v>6.3</v>
      </c>
      <c r="N78" s="104">
        <v>7</v>
      </c>
      <c r="O78" s="57">
        <v>7000</v>
      </c>
      <c r="P78" s="58">
        <f t="shared" si="1"/>
        <v>49000</v>
      </c>
    </row>
    <row r="79" spans="1:16" ht="26.25" customHeight="1" x14ac:dyDescent="0.2">
      <c r="A79" s="100"/>
      <c r="B79" s="100"/>
      <c r="C79" s="15" t="s">
        <v>1522</v>
      </c>
      <c r="D79" s="70" t="s">
        <v>57</v>
      </c>
      <c r="E79" s="134">
        <v>44540</v>
      </c>
      <c r="F79" s="1" t="s">
        <v>59</v>
      </c>
      <c r="G79" s="134">
        <v>44545</v>
      </c>
      <c r="H79" s="125" t="s">
        <v>1328</v>
      </c>
      <c r="I79" s="15">
        <v>21</v>
      </c>
      <c r="J79" s="15">
        <v>10</v>
      </c>
      <c r="K79" s="15">
        <v>13</v>
      </c>
      <c r="L79" s="15">
        <v>1</v>
      </c>
      <c r="M79" s="73">
        <v>0.6825</v>
      </c>
      <c r="N79" s="104">
        <v>1</v>
      </c>
      <c r="O79" s="57">
        <v>7000</v>
      </c>
      <c r="P79" s="58">
        <f t="shared" si="1"/>
        <v>7000</v>
      </c>
    </row>
    <row r="80" spans="1:16" ht="26.25" customHeight="1" x14ac:dyDescent="0.2">
      <c r="A80" s="100"/>
      <c r="B80" s="100"/>
      <c r="C80" s="15" t="s">
        <v>1523</v>
      </c>
      <c r="D80" s="70" t="s">
        <v>57</v>
      </c>
      <c r="E80" s="134">
        <v>44540</v>
      </c>
      <c r="F80" s="1" t="s">
        <v>59</v>
      </c>
      <c r="G80" s="134">
        <v>44545</v>
      </c>
      <c r="H80" s="125" t="s">
        <v>1328</v>
      </c>
      <c r="I80" s="15">
        <v>56</v>
      </c>
      <c r="J80" s="15">
        <v>37</v>
      </c>
      <c r="K80" s="15">
        <v>47</v>
      </c>
      <c r="L80" s="15">
        <v>14</v>
      </c>
      <c r="M80" s="73">
        <v>24.346</v>
      </c>
      <c r="N80" s="104">
        <v>25</v>
      </c>
      <c r="O80" s="57">
        <v>7000</v>
      </c>
      <c r="P80" s="58">
        <f t="shared" si="1"/>
        <v>175000</v>
      </c>
    </row>
    <row r="81" spans="1:16" ht="26.25" customHeight="1" x14ac:dyDescent="0.2">
      <c r="A81" s="100"/>
      <c r="B81" s="100"/>
      <c r="C81" s="15" t="s">
        <v>1524</v>
      </c>
      <c r="D81" s="70" t="s">
        <v>57</v>
      </c>
      <c r="E81" s="134">
        <v>44540</v>
      </c>
      <c r="F81" s="1" t="s">
        <v>59</v>
      </c>
      <c r="G81" s="134">
        <v>44545</v>
      </c>
      <c r="H81" s="125" t="s">
        <v>1328</v>
      </c>
      <c r="I81" s="15">
        <v>70</v>
      </c>
      <c r="J81" s="15">
        <v>52</v>
      </c>
      <c r="K81" s="15">
        <v>11</v>
      </c>
      <c r="L81" s="15">
        <v>7</v>
      </c>
      <c r="M81" s="73">
        <v>10.01</v>
      </c>
      <c r="N81" s="104">
        <v>10.01</v>
      </c>
      <c r="O81" s="57">
        <v>7000</v>
      </c>
      <c r="P81" s="58">
        <f t="shared" si="1"/>
        <v>70070</v>
      </c>
    </row>
    <row r="82" spans="1:16" ht="26.25" customHeight="1" x14ac:dyDescent="0.2">
      <c r="A82" s="100"/>
      <c r="B82" s="100"/>
      <c r="C82" s="15" t="s">
        <v>1525</v>
      </c>
      <c r="D82" s="70" t="s">
        <v>57</v>
      </c>
      <c r="E82" s="134">
        <v>44540</v>
      </c>
      <c r="F82" s="1" t="s">
        <v>59</v>
      </c>
      <c r="G82" s="134">
        <v>44545</v>
      </c>
      <c r="H82" s="125" t="s">
        <v>1328</v>
      </c>
      <c r="I82" s="15">
        <v>62</v>
      </c>
      <c r="J82" s="15">
        <v>36</v>
      </c>
      <c r="K82" s="15">
        <v>14</v>
      </c>
      <c r="L82" s="15">
        <v>6</v>
      </c>
      <c r="M82" s="73">
        <v>7.8120000000000003</v>
      </c>
      <c r="N82" s="104">
        <v>7.8120000000000003</v>
      </c>
      <c r="O82" s="57">
        <v>7000</v>
      </c>
      <c r="P82" s="58">
        <f t="shared" si="1"/>
        <v>54684</v>
      </c>
    </row>
    <row r="83" spans="1:16" ht="26.25" customHeight="1" x14ac:dyDescent="0.2">
      <c r="A83" s="100"/>
      <c r="B83" s="100"/>
      <c r="C83" s="15" t="s">
        <v>1526</v>
      </c>
      <c r="D83" s="70" t="s">
        <v>57</v>
      </c>
      <c r="E83" s="134">
        <v>44540</v>
      </c>
      <c r="F83" s="1" t="s">
        <v>59</v>
      </c>
      <c r="G83" s="134">
        <v>44545</v>
      </c>
      <c r="H83" s="125" t="s">
        <v>1328</v>
      </c>
      <c r="I83" s="15">
        <v>70</v>
      </c>
      <c r="J83" s="15">
        <v>38</v>
      </c>
      <c r="K83" s="15">
        <v>42</v>
      </c>
      <c r="L83" s="15">
        <v>14</v>
      </c>
      <c r="M83" s="73">
        <v>27.93</v>
      </c>
      <c r="N83" s="104">
        <v>27.93</v>
      </c>
      <c r="O83" s="57">
        <v>7000</v>
      </c>
      <c r="P83" s="58">
        <f t="shared" si="1"/>
        <v>195510</v>
      </c>
    </row>
    <row r="84" spans="1:16" ht="26.25" customHeight="1" x14ac:dyDescent="0.2">
      <c r="A84" s="100"/>
      <c r="B84" s="100"/>
      <c r="C84" s="15" t="s">
        <v>1527</v>
      </c>
      <c r="D84" s="70" t="s">
        <v>57</v>
      </c>
      <c r="E84" s="134">
        <v>44540</v>
      </c>
      <c r="F84" s="1" t="s">
        <v>59</v>
      </c>
      <c r="G84" s="134">
        <v>44545</v>
      </c>
      <c r="H84" s="125" t="s">
        <v>1328</v>
      </c>
      <c r="I84" s="15">
        <v>74</v>
      </c>
      <c r="J84" s="15">
        <v>55</v>
      </c>
      <c r="K84" s="15">
        <v>20</v>
      </c>
      <c r="L84" s="15">
        <v>12</v>
      </c>
      <c r="M84" s="73">
        <v>20.350000000000001</v>
      </c>
      <c r="N84" s="104">
        <v>21</v>
      </c>
      <c r="O84" s="57">
        <v>7000</v>
      </c>
      <c r="P84" s="58">
        <f t="shared" si="1"/>
        <v>147000</v>
      </c>
    </row>
    <row r="85" spans="1:16" ht="26.25" customHeight="1" x14ac:dyDescent="0.2">
      <c r="A85" s="100"/>
      <c r="B85" s="100"/>
      <c r="C85" s="15" t="s">
        <v>1528</v>
      </c>
      <c r="D85" s="70" t="s">
        <v>57</v>
      </c>
      <c r="E85" s="134">
        <v>44540</v>
      </c>
      <c r="F85" s="1" t="s">
        <v>59</v>
      </c>
      <c r="G85" s="134">
        <v>44545</v>
      </c>
      <c r="H85" s="125" t="s">
        <v>1328</v>
      </c>
      <c r="I85" s="15">
        <v>68</v>
      </c>
      <c r="J85" s="15">
        <v>30</v>
      </c>
      <c r="K85" s="15">
        <v>22</v>
      </c>
      <c r="L85" s="15">
        <v>5</v>
      </c>
      <c r="M85" s="73">
        <v>11.22</v>
      </c>
      <c r="N85" s="104">
        <v>11.22</v>
      </c>
      <c r="O85" s="57">
        <v>7000</v>
      </c>
      <c r="P85" s="58">
        <f t="shared" si="1"/>
        <v>78540</v>
      </c>
    </row>
    <row r="86" spans="1:16" ht="26.25" customHeight="1" x14ac:dyDescent="0.2">
      <c r="A86" s="100"/>
      <c r="B86" s="100"/>
      <c r="C86" s="15" t="s">
        <v>1529</v>
      </c>
      <c r="D86" s="70" t="s">
        <v>57</v>
      </c>
      <c r="E86" s="134">
        <v>44540</v>
      </c>
      <c r="F86" s="1" t="s">
        <v>59</v>
      </c>
      <c r="G86" s="134">
        <v>44545</v>
      </c>
      <c r="H86" s="125" t="s">
        <v>1328</v>
      </c>
      <c r="I86" s="15">
        <v>62</v>
      </c>
      <c r="J86" s="15">
        <v>64</v>
      </c>
      <c r="K86" s="15">
        <v>15</v>
      </c>
      <c r="L86" s="15">
        <v>6</v>
      </c>
      <c r="M86" s="73">
        <v>14.88</v>
      </c>
      <c r="N86" s="104">
        <v>14.88</v>
      </c>
      <c r="O86" s="57">
        <v>7000</v>
      </c>
      <c r="P86" s="58">
        <f t="shared" si="1"/>
        <v>104160</v>
      </c>
    </row>
    <row r="87" spans="1:16" ht="26.25" customHeight="1" x14ac:dyDescent="0.2">
      <c r="A87" s="100"/>
      <c r="B87" s="100"/>
      <c r="C87" s="15" t="s">
        <v>1530</v>
      </c>
      <c r="D87" s="70" t="s">
        <v>57</v>
      </c>
      <c r="E87" s="134">
        <v>44540</v>
      </c>
      <c r="F87" s="1" t="s">
        <v>59</v>
      </c>
      <c r="G87" s="134">
        <v>44545</v>
      </c>
      <c r="H87" s="125" t="s">
        <v>1328</v>
      </c>
      <c r="I87" s="15">
        <v>82</v>
      </c>
      <c r="J87" s="15">
        <v>62</v>
      </c>
      <c r="K87" s="15">
        <v>32</v>
      </c>
      <c r="L87" s="15">
        <v>17</v>
      </c>
      <c r="M87" s="73">
        <v>40.671999999999997</v>
      </c>
      <c r="N87" s="104">
        <v>40.671999999999997</v>
      </c>
      <c r="O87" s="57">
        <v>7000</v>
      </c>
      <c r="P87" s="58">
        <f t="shared" si="1"/>
        <v>284704</v>
      </c>
    </row>
    <row r="88" spans="1:16" ht="26.25" customHeight="1" x14ac:dyDescent="0.2">
      <c r="A88" s="100"/>
      <c r="B88" s="100"/>
      <c r="C88" s="15" t="s">
        <v>1531</v>
      </c>
      <c r="D88" s="70" t="s">
        <v>57</v>
      </c>
      <c r="E88" s="134">
        <v>44540</v>
      </c>
      <c r="F88" s="1" t="s">
        <v>59</v>
      </c>
      <c r="G88" s="134">
        <v>44545</v>
      </c>
      <c r="H88" s="125" t="s">
        <v>1328</v>
      </c>
      <c r="I88" s="15">
        <v>72</v>
      </c>
      <c r="J88" s="15">
        <v>45</v>
      </c>
      <c r="K88" s="15">
        <v>28</v>
      </c>
      <c r="L88" s="15">
        <v>7</v>
      </c>
      <c r="M88" s="73">
        <v>22.68</v>
      </c>
      <c r="N88" s="104">
        <v>22.68</v>
      </c>
      <c r="O88" s="57">
        <v>7000</v>
      </c>
      <c r="P88" s="58">
        <f t="shared" si="1"/>
        <v>158760</v>
      </c>
    </row>
    <row r="89" spans="1:16" ht="26.25" customHeight="1" x14ac:dyDescent="0.2">
      <c r="A89" s="100"/>
      <c r="B89" s="100"/>
      <c r="C89" s="15" t="s">
        <v>1532</v>
      </c>
      <c r="D89" s="70" t="s">
        <v>57</v>
      </c>
      <c r="E89" s="134">
        <v>44540</v>
      </c>
      <c r="F89" s="1" t="s">
        <v>59</v>
      </c>
      <c r="G89" s="134">
        <v>44545</v>
      </c>
      <c r="H89" s="125" t="s">
        <v>1328</v>
      </c>
      <c r="I89" s="15">
        <v>30</v>
      </c>
      <c r="J89" s="15">
        <v>15</v>
      </c>
      <c r="K89" s="15">
        <v>15</v>
      </c>
      <c r="L89" s="15">
        <v>5</v>
      </c>
      <c r="M89" s="73">
        <v>1.6875</v>
      </c>
      <c r="N89" s="104">
        <v>5</v>
      </c>
      <c r="O89" s="57">
        <v>7000</v>
      </c>
      <c r="P89" s="58">
        <f t="shared" si="1"/>
        <v>35000</v>
      </c>
    </row>
    <row r="90" spans="1:16" ht="26.25" customHeight="1" x14ac:dyDescent="0.2">
      <c r="A90" s="100"/>
      <c r="B90" s="100"/>
      <c r="C90" s="15" t="s">
        <v>1533</v>
      </c>
      <c r="D90" s="70" t="s">
        <v>57</v>
      </c>
      <c r="E90" s="134">
        <v>44540</v>
      </c>
      <c r="F90" s="1" t="s">
        <v>59</v>
      </c>
      <c r="G90" s="134">
        <v>44545</v>
      </c>
      <c r="H90" s="125" t="s">
        <v>1328</v>
      </c>
      <c r="I90" s="15">
        <v>44</v>
      </c>
      <c r="J90" s="15">
        <v>22</v>
      </c>
      <c r="K90" s="15">
        <v>15</v>
      </c>
      <c r="L90" s="15">
        <v>1</v>
      </c>
      <c r="M90" s="73">
        <v>3.63</v>
      </c>
      <c r="N90" s="104">
        <v>3.63</v>
      </c>
      <c r="O90" s="57">
        <v>7000</v>
      </c>
      <c r="P90" s="58">
        <f t="shared" si="1"/>
        <v>25410</v>
      </c>
    </row>
    <row r="91" spans="1:16" ht="26.25" customHeight="1" x14ac:dyDescent="0.2">
      <c r="A91" s="100"/>
      <c r="B91" s="100"/>
      <c r="C91" s="15" t="s">
        <v>1534</v>
      </c>
      <c r="D91" s="70" t="s">
        <v>57</v>
      </c>
      <c r="E91" s="134">
        <v>44540</v>
      </c>
      <c r="F91" s="1" t="s">
        <v>59</v>
      </c>
      <c r="G91" s="134">
        <v>44545</v>
      </c>
      <c r="H91" s="125" t="s">
        <v>1328</v>
      </c>
      <c r="I91" s="15">
        <v>100</v>
      </c>
      <c r="J91" s="15">
        <v>57</v>
      </c>
      <c r="K91" s="15">
        <v>33</v>
      </c>
      <c r="L91" s="15">
        <v>24</v>
      </c>
      <c r="M91" s="73">
        <v>47.024999999999999</v>
      </c>
      <c r="N91" s="104">
        <v>47.024999999999999</v>
      </c>
      <c r="O91" s="57">
        <v>7000</v>
      </c>
      <c r="P91" s="58">
        <f t="shared" si="1"/>
        <v>329175</v>
      </c>
    </row>
    <row r="92" spans="1:16" ht="26.25" customHeight="1" x14ac:dyDescent="0.2">
      <c r="A92" s="100"/>
      <c r="B92" s="100"/>
      <c r="C92" s="15" t="s">
        <v>1535</v>
      </c>
      <c r="D92" s="70" t="s">
        <v>57</v>
      </c>
      <c r="E92" s="134">
        <v>44540</v>
      </c>
      <c r="F92" s="1" t="s">
        <v>59</v>
      </c>
      <c r="G92" s="134">
        <v>44545</v>
      </c>
      <c r="H92" s="125" t="s">
        <v>1328</v>
      </c>
      <c r="I92" s="15">
        <v>59</v>
      </c>
      <c r="J92" s="15">
        <v>17</v>
      </c>
      <c r="K92" s="15">
        <v>8</v>
      </c>
      <c r="L92" s="15">
        <v>8</v>
      </c>
      <c r="M92" s="73">
        <v>2.0059999999999998</v>
      </c>
      <c r="N92" s="104">
        <v>8</v>
      </c>
      <c r="O92" s="57">
        <v>7000</v>
      </c>
      <c r="P92" s="58">
        <f t="shared" si="1"/>
        <v>56000</v>
      </c>
    </row>
    <row r="93" spans="1:16" ht="26.25" customHeight="1" x14ac:dyDescent="0.2">
      <c r="A93" s="100"/>
      <c r="B93" s="100"/>
      <c r="C93" s="15" t="s">
        <v>1536</v>
      </c>
      <c r="D93" s="70" t="s">
        <v>57</v>
      </c>
      <c r="E93" s="134">
        <v>44540</v>
      </c>
      <c r="F93" s="1" t="s">
        <v>59</v>
      </c>
      <c r="G93" s="134">
        <v>44545</v>
      </c>
      <c r="H93" s="125" t="s">
        <v>1328</v>
      </c>
      <c r="I93" s="15">
        <v>67</v>
      </c>
      <c r="J93" s="15">
        <v>62</v>
      </c>
      <c r="K93" s="15">
        <v>17</v>
      </c>
      <c r="L93" s="15">
        <v>6</v>
      </c>
      <c r="M93" s="73">
        <v>17.654499999999999</v>
      </c>
      <c r="N93" s="104">
        <v>17.654499999999999</v>
      </c>
      <c r="O93" s="57">
        <v>7000</v>
      </c>
      <c r="P93" s="58">
        <f t="shared" si="1"/>
        <v>123581.49999999999</v>
      </c>
    </row>
    <row r="94" spans="1:16" ht="26.25" customHeight="1" x14ac:dyDescent="0.2">
      <c r="A94" s="100"/>
      <c r="B94" s="100"/>
      <c r="C94" s="15" t="s">
        <v>1537</v>
      </c>
      <c r="D94" s="70" t="s">
        <v>57</v>
      </c>
      <c r="E94" s="134">
        <v>44540</v>
      </c>
      <c r="F94" s="1" t="s">
        <v>59</v>
      </c>
      <c r="G94" s="134">
        <v>44545</v>
      </c>
      <c r="H94" s="125" t="s">
        <v>1328</v>
      </c>
      <c r="I94" s="15">
        <v>74</v>
      </c>
      <c r="J94" s="15">
        <v>54</v>
      </c>
      <c r="K94" s="15">
        <v>21</v>
      </c>
      <c r="L94" s="15">
        <v>11</v>
      </c>
      <c r="M94" s="73">
        <v>20.978999999999999</v>
      </c>
      <c r="N94" s="104">
        <v>20.978999999999999</v>
      </c>
      <c r="O94" s="57">
        <v>7000</v>
      </c>
      <c r="P94" s="58">
        <f t="shared" si="1"/>
        <v>146853</v>
      </c>
    </row>
    <row r="95" spans="1:16" ht="26.25" customHeight="1" x14ac:dyDescent="0.2">
      <c r="A95" s="100"/>
      <c r="B95" s="100"/>
      <c r="C95" s="15" t="s">
        <v>1538</v>
      </c>
      <c r="D95" s="70" t="s">
        <v>57</v>
      </c>
      <c r="E95" s="134">
        <v>44540</v>
      </c>
      <c r="F95" s="1" t="s">
        <v>59</v>
      </c>
      <c r="G95" s="134">
        <v>44545</v>
      </c>
      <c r="H95" s="125" t="s">
        <v>1328</v>
      </c>
      <c r="I95" s="15">
        <v>84</v>
      </c>
      <c r="J95" s="15">
        <v>56</v>
      </c>
      <c r="K95" s="15">
        <v>15</v>
      </c>
      <c r="L95" s="15">
        <v>16</v>
      </c>
      <c r="M95" s="73">
        <v>17.64</v>
      </c>
      <c r="N95" s="104">
        <v>17.64</v>
      </c>
      <c r="O95" s="57">
        <v>7000</v>
      </c>
      <c r="P95" s="58">
        <f t="shared" si="1"/>
        <v>123480</v>
      </c>
    </row>
    <row r="96" spans="1:16" ht="26.25" customHeight="1" x14ac:dyDescent="0.2">
      <c r="A96" s="100"/>
      <c r="B96" s="100"/>
      <c r="C96" s="15" t="s">
        <v>1539</v>
      </c>
      <c r="D96" s="70" t="s">
        <v>57</v>
      </c>
      <c r="E96" s="134">
        <v>44540</v>
      </c>
      <c r="F96" s="1" t="s">
        <v>59</v>
      </c>
      <c r="G96" s="134">
        <v>44545</v>
      </c>
      <c r="H96" s="125" t="s">
        <v>1328</v>
      </c>
      <c r="I96" s="15">
        <v>80</v>
      </c>
      <c r="J96" s="15">
        <v>33</v>
      </c>
      <c r="K96" s="15">
        <v>26</v>
      </c>
      <c r="L96" s="15">
        <v>7</v>
      </c>
      <c r="M96" s="73">
        <v>17.16</v>
      </c>
      <c r="N96" s="104">
        <v>17.16</v>
      </c>
      <c r="O96" s="57">
        <v>7000</v>
      </c>
      <c r="P96" s="58">
        <f t="shared" si="1"/>
        <v>120120</v>
      </c>
    </row>
    <row r="97" spans="1:16" ht="26.25" customHeight="1" x14ac:dyDescent="0.2">
      <c r="A97" s="100"/>
      <c r="B97" s="100"/>
      <c r="C97" s="15" t="s">
        <v>1540</v>
      </c>
      <c r="D97" s="70" t="s">
        <v>57</v>
      </c>
      <c r="E97" s="134">
        <v>44540</v>
      </c>
      <c r="F97" s="1" t="s">
        <v>59</v>
      </c>
      <c r="G97" s="134">
        <v>44545</v>
      </c>
      <c r="H97" s="125" t="s">
        <v>1328</v>
      </c>
      <c r="I97" s="15">
        <v>89</v>
      </c>
      <c r="J97" s="15">
        <v>55</v>
      </c>
      <c r="K97" s="15">
        <v>24</v>
      </c>
      <c r="L97" s="15">
        <v>24</v>
      </c>
      <c r="M97" s="73">
        <v>29.37</v>
      </c>
      <c r="N97" s="104">
        <v>30</v>
      </c>
      <c r="O97" s="57">
        <v>7000</v>
      </c>
      <c r="P97" s="58">
        <f t="shared" si="1"/>
        <v>210000</v>
      </c>
    </row>
    <row r="98" spans="1:16" ht="26.25" customHeight="1" x14ac:dyDescent="0.2">
      <c r="A98" s="100"/>
      <c r="B98" s="100"/>
      <c r="C98" s="15" t="s">
        <v>1541</v>
      </c>
      <c r="D98" s="70" t="s">
        <v>57</v>
      </c>
      <c r="E98" s="134">
        <v>44540</v>
      </c>
      <c r="F98" s="1" t="s">
        <v>59</v>
      </c>
      <c r="G98" s="134">
        <v>44545</v>
      </c>
      <c r="H98" s="125" t="s">
        <v>1328</v>
      </c>
      <c r="I98" s="15">
        <v>98</v>
      </c>
      <c r="J98" s="15">
        <v>57</v>
      </c>
      <c r="K98" s="15">
        <v>30</v>
      </c>
      <c r="L98" s="15">
        <v>21</v>
      </c>
      <c r="M98" s="73">
        <v>41.895000000000003</v>
      </c>
      <c r="N98" s="104">
        <v>41.895000000000003</v>
      </c>
      <c r="O98" s="57">
        <v>7000</v>
      </c>
      <c r="P98" s="58">
        <f t="shared" si="1"/>
        <v>293265</v>
      </c>
    </row>
    <row r="99" spans="1:16" ht="26.25" customHeight="1" x14ac:dyDescent="0.2">
      <c r="A99" s="100"/>
      <c r="B99" s="100"/>
      <c r="C99" s="15" t="s">
        <v>1542</v>
      </c>
      <c r="D99" s="70" t="s">
        <v>57</v>
      </c>
      <c r="E99" s="134">
        <v>44540</v>
      </c>
      <c r="F99" s="1" t="s">
        <v>59</v>
      </c>
      <c r="G99" s="134">
        <v>44545</v>
      </c>
      <c r="H99" s="125" t="s">
        <v>1328</v>
      </c>
      <c r="I99" s="15">
        <v>102</v>
      </c>
      <c r="J99" s="15">
        <v>62</v>
      </c>
      <c r="K99" s="15">
        <v>36</v>
      </c>
      <c r="L99" s="15">
        <v>31</v>
      </c>
      <c r="M99" s="73">
        <v>56.915999999999997</v>
      </c>
      <c r="N99" s="104">
        <v>56.915999999999997</v>
      </c>
      <c r="O99" s="57">
        <v>7000</v>
      </c>
      <c r="P99" s="58">
        <f t="shared" si="1"/>
        <v>398412</v>
      </c>
    </row>
    <row r="100" spans="1:16" ht="26.25" customHeight="1" x14ac:dyDescent="0.2">
      <c r="A100" s="100"/>
      <c r="B100" s="100"/>
      <c r="C100" s="15" t="s">
        <v>1543</v>
      </c>
      <c r="D100" s="70" t="s">
        <v>57</v>
      </c>
      <c r="E100" s="134">
        <v>44540</v>
      </c>
      <c r="F100" s="1" t="s">
        <v>59</v>
      </c>
      <c r="G100" s="134">
        <v>44545</v>
      </c>
      <c r="H100" s="125" t="s">
        <v>1328</v>
      </c>
      <c r="I100" s="15">
        <v>66</v>
      </c>
      <c r="J100" s="15">
        <v>40</v>
      </c>
      <c r="K100" s="15">
        <v>25</v>
      </c>
      <c r="L100" s="15">
        <v>4</v>
      </c>
      <c r="M100" s="73">
        <v>16.5</v>
      </c>
      <c r="N100" s="104">
        <v>18</v>
      </c>
      <c r="O100" s="57">
        <v>7000</v>
      </c>
      <c r="P100" s="58">
        <f t="shared" si="1"/>
        <v>126000</v>
      </c>
    </row>
    <row r="101" spans="1:16" ht="26.25" customHeight="1" x14ac:dyDescent="0.2">
      <c r="A101" s="100"/>
      <c r="B101" s="100"/>
      <c r="C101" s="15" t="s">
        <v>1544</v>
      </c>
      <c r="D101" s="70" t="s">
        <v>57</v>
      </c>
      <c r="E101" s="134">
        <v>44540</v>
      </c>
      <c r="F101" s="1" t="s">
        <v>59</v>
      </c>
      <c r="G101" s="134">
        <v>44545</v>
      </c>
      <c r="H101" s="125" t="s">
        <v>1328</v>
      </c>
      <c r="I101" s="15">
        <v>78</v>
      </c>
      <c r="J101" s="15">
        <v>32</v>
      </c>
      <c r="K101" s="15">
        <v>22</v>
      </c>
      <c r="L101" s="15">
        <v>7</v>
      </c>
      <c r="M101" s="73">
        <v>13.728</v>
      </c>
      <c r="N101" s="104">
        <v>13.728</v>
      </c>
      <c r="O101" s="57">
        <v>7000</v>
      </c>
      <c r="P101" s="58">
        <f t="shared" si="1"/>
        <v>96096</v>
      </c>
    </row>
    <row r="102" spans="1:16" ht="26.25" customHeight="1" x14ac:dyDescent="0.2">
      <c r="A102" s="100"/>
      <c r="B102" s="100"/>
      <c r="C102" s="15" t="s">
        <v>1545</v>
      </c>
      <c r="D102" s="70" t="s">
        <v>57</v>
      </c>
      <c r="E102" s="134">
        <v>44540</v>
      </c>
      <c r="F102" s="1" t="s">
        <v>59</v>
      </c>
      <c r="G102" s="134">
        <v>44545</v>
      </c>
      <c r="H102" s="125" t="s">
        <v>1328</v>
      </c>
      <c r="I102" s="15">
        <v>72</v>
      </c>
      <c r="J102" s="15">
        <v>44</v>
      </c>
      <c r="K102" s="15">
        <v>37</v>
      </c>
      <c r="L102" s="15">
        <v>15</v>
      </c>
      <c r="M102" s="73">
        <v>29.303999999999998</v>
      </c>
      <c r="N102" s="104">
        <v>30</v>
      </c>
      <c r="O102" s="57">
        <v>7000</v>
      </c>
      <c r="P102" s="58">
        <f t="shared" si="1"/>
        <v>210000</v>
      </c>
    </row>
    <row r="103" spans="1:16" ht="26.25" customHeight="1" x14ac:dyDescent="0.2">
      <c r="A103" s="100"/>
      <c r="B103" s="100"/>
      <c r="C103" s="15" t="s">
        <v>1546</v>
      </c>
      <c r="D103" s="70" t="s">
        <v>57</v>
      </c>
      <c r="E103" s="134">
        <v>44540</v>
      </c>
      <c r="F103" s="1" t="s">
        <v>59</v>
      </c>
      <c r="G103" s="134">
        <v>44545</v>
      </c>
      <c r="H103" s="125" t="s">
        <v>1328</v>
      </c>
      <c r="I103" s="15">
        <v>68</v>
      </c>
      <c r="J103" s="15">
        <v>35</v>
      </c>
      <c r="K103" s="15">
        <v>25</v>
      </c>
      <c r="L103" s="15">
        <v>5</v>
      </c>
      <c r="M103" s="73">
        <v>14.875</v>
      </c>
      <c r="N103" s="104">
        <v>14.875</v>
      </c>
      <c r="O103" s="57">
        <v>7000</v>
      </c>
      <c r="P103" s="58">
        <f t="shared" si="1"/>
        <v>104125</v>
      </c>
    </row>
    <row r="104" spans="1:16" ht="26.25" customHeight="1" x14ac:dyDescent="0.2">
      <c r="A104" s="100"/>
      <c r="B104" s="100"/>
      <c r="C104" s="15" t="s">
        <v>1547</v>
      </c>
      <c r="D104" s="70" t="s">
        <v>57</v>
      </c>
      <c r="E104" s="134">
        <v>44540</v>
      </c>
      <c r="F104" s="1" t="s">
        <v>59</v>
      </c>
      <c r="G104" s="134">
        <v>44545</v>
      </c>
      <c r="H104" s="125" t="s">
        <v>1328</v>
      </c>
      <c r="I104" s="15">
        <v>102</v>
      </c>
      <c r="J104" s="15">
        <v>24</v>
      </c>
      <c r="K104" s="15">
        <v>14</v>
      </c>
      <c r="L104" s="15">
        <v>5</v>
      </c>
      <c r="M104" s="73">
        <v>8.5679999999999996</v>
      </c>
      <c r="N104" s="104">
        <v>8.5679999999999996</v>
      </c>
      <c r="O104" s="57">
        <v>7000</v>
      </c>
      <c r="P104" s="58">
        <f t="shared" si="1"/>
        <v>59976</v>
      </c>
    </row>
    <row r="105" spans="1:16" ht="26.25" customHeight="1" x14ac:dyDescent="0.2">
      <c r="A105" s="100"/>
      <c r="B105" s="100"/>
      <c r="C105" s="15" t="s">
        <v>1548</v>
      </c>
      <c r="D105" s="70" t="s">
        <v>57</v>
      </c>
      <c r="E105" s="134">
        <v>44540</v>
      </c>
      <c r="F105" s="1" t="s">
        <v>59</v>
      </c>
      <c r="G105" s="134">
        <v>44545</v>
      </c>
      <c r="H105" s="125" t="s">
        <v>1328</v>
      </c>
      <c r="I105" s="15">
        <v>100</v>
      </c>
      <c r="J105" s="15">
        <v>75</v>
      </c>
      <c r="K105" s="15">
        <v>46</v>
      </c>
      <c r="L105" s="15">
        <v>60</v>
      </c>
      <c r="M105" s="73">
        <v>86.25</v>
      </c>
      <c r="N105" s="104">
        <v>86.25</v>
      </c>
      <c r="O105" s="57">
        <v>7000</v>
      </c>
      <c r="P105" s="58">
        <f t="shared" si="1"/>
        <v>603750</v>
      </c>
    </row>
    <row r="106" spans="1:16" ht="26.25" customHeight="1" x14ac:dyDescent="0.2">
      <c r="A106" s="100"/>
      <c r="B106" s="100"/>
      <c r="C106" s="15" t="s">
        <v>1549</v>
      </c>
      <c r="D106" s="70" t="s">
        <v>57</v>
      </c>
      <c r="E106" s="134">
        <v>44540</v>
      </c>
      <c r="F106" s="1" t="s">
        <v>59</v>
      </c>
      <c r="G106" s="134">
        <v>44545</v>
      </c>
      <c r="H106" s="125" t="s">
        <v>1328</v>
      </c>
      <c r="I106" s="15">
        <v>115</v>
      </c>
      <c r="J106" s="15">
        <v>14</v>
      </c>
      <c r="K106" s="15">
        <v>8</v>
      </c>
      <c r="L106" s="15">
        <v>4</v>
      </c>
      <c r="M106" s="73">
        <v>3.22</v>
      </c>
      <c r="N106" s="104">
        <v>4</v>
      </c>
      <c r="O106" s="57">
        <v>7000</v>
      </c>
      <c r="P106" s="58">
        <f t="shared" si="1"/>
        <v>28000</v>
      </c>
    </row>
    <row r="107" spans="1:16" ht="26.25" customHeight="1" x14ac:dyDescent="0.2">
      <c r="A107" s="100"/>
      <c r="B107" s="100"/>
      <c r="C107" s="15" t="s">
        <v>1550</v>
      </c>
      <c r="D107" s="70" t="s">
        <v>57</v>
      </c>
      <c r="E107" s="134">
        <v>44540</v>
      </c>
      <c r="F107" s="1" t="s">
        <v>59</v>
      </c>
      <c r="G107" s="134">
        <v>44545</v>
      </c>
      <c r="H107" s="125" t="s">
        <v>1328</v>
      </c>
      <c r="I107" s="15">
        <v>42</v>
      </c>
      <c r="J107" s="15">
        <v>33</v>
      </c>
      <c r="K107" s="15">
        <v>24</v>
      </c>
      <c r="L107" s="15">
        <v>7</v>
      </c>
      <c r="M107" s="73">
        <v>8.3160000000000007</v>
      </c>
      <c r="N107" s="104">
        <v>9</v>
      </c>
      <c r="O107" s="57">
        <v>7000</v>
      </c>
      <c r="P107" s="58">
        <f t="shared" si="1"/>
        <v>63000</v>
      </c>
    </row>
    <row r="108" spans="1:16" ht="26.25" customHeight="1" x14ac:dyDescent="0.2">
      <c r="A108" s="100"/>
      <c r="B108" s="100"/>
      <c r="C108" s="15" t="s">
        <v>1551</v>
      </c>
      <c r="D108" s="70" t="s">
        <v>57</v>
      </c>
      <c r="E108" s="134">
        <v>44540</v>
      </c>
      <c r="F108" s="1" t="s">
        <v>59</v>
      </c>
      <c r="G108" s="134">
        <v>44545</v>
      </c>
      <c r="H108" s="125" t="s">
        <v>1328</v>
      </c>
      <c r="I108" s="15">
        <v>34</v>
      </c>
      <c r="J108" s="15">
        <v>29</v>
      </c>
      <c r="K108" s="15">
        <v>10</v>
      </c>
      <c r="L108" s="15">
        <v>4</v>
      </c>
      <c r="M108" s="73">
        <v>2.4649999999999999</v>
      </c>
      <c r="N108" s="104">
        <v>5</v>
      </c>
      <c r="O108" s="57">
        <v>7000</v>
      </c>
      <c r="P108" s="58">
        <f t="shared" si="1"/>
        <v>35000</v>
      </c>
    </row>
    <row r="109" spans="1:16" ht="26.25" customHeight="1" x14ac:dyDescent="0.2">
      <c r="A109" s="100"/>
      <c r="B109" s="100"/>
      <c r="C109" s="15" t="s">
        <v>1552</v>
      </c>
      <c r="D109" s="70" t="s">
        <v>57</v>
      </c>
      <c r="E109" s="134">
        <v>44540</v>
      </c>
      <c r="F109" s="1" t="s">
        <v>59</v>
      </c>
      <c r="G109" s="134">
        <v>44545</v>
      </c>
      <c r="H109" s="125" t="s">
        <v>1328</v>
      </c>
      <c r="I109" s="15">
        <v>114</v>
      </c>
      <c r="J109" s="15">
        <v>10</v>
      </c>
      <c r="K109" s="15">
        <v>25</v>
      </c>
      <c r="L109" s="15">
        <v>20</v>
      </c>
      <c r="M109" s="73">
        <v>7.125</v>
      </c>
      <c r="N109" s="104">
        <v>20</v>
      </c>
      <c r="O109" s="57">
        <v>7000</v>
      </c>
      <c r="P109" s="58">
        <f t="shared" si="1"/>
        <v>140000</v>
      </c>
    </row>
    <row r="110" spans="1:16" ht="26.25" customHeight="1" x14ac:dyDescent="0.2">
      <c r="A110" s="100"/>
      <c r="B110" s="100"/>
      <c r="C110" s="15" t="s">
        <v>1553</v>
      </c>
      <c r="D110" s="70" t="s">
        <v>57</v>
      </c>
      <c r="E110" s="134">
        <v>44540</v>
      </c>
      <c r="F110" s="1" t="s">
        <v>59</v>
      </c>
      <c r="G110" s="134">
        <v>44545</v>
      </c>
      <c r="H110" s="125" t="s">
        <v>1328</v>
      </c>
      <c r="I110" s="15">
        <v>70</v>
      </c>
      <c r="J110" s="15">
        <v>62</v>
      </c>
      <c r="K110" s="15">
        <v>32</v>
      </c>
      <c r="L110" s="15">
        <v>12</v>
      </c>
      <c r="M110" s="73">
        <v>34.72</v>
      </c>
      <c r="N110" s="104">
        <v>34.72</v>
      </c>
      <c r="O110" s="57">
        <v>7000</v>
      </c>
      <c r="P110" s="58">
        <f t="shared" si="1"/>
        <v>243040</v>
      </c>
    </row>
    <row r="111" spans="1:16" ht="26.25" customHeight="1" x14ac:dyDescent="0.2">
      <c r="A111" s="100"/>
      <c r="B111" s="100"/>
      <c r="C111" s="15" t="s">
        <v>1554</v>
      </c>
      <c r="D111" s="70" t="s">
        <v>57</v>
      </c>
      <c r="E111" s="134">
        <v>44540</v>
      </c>
      <c r="F111" s="1" t="s">
        <v>59</v>
      </c>
      <c r="G111" s="134">
        <v>44545</v>
      </c>
      <c r="H111" s="125" t="s">
        <v>1328</v>
      </c>
      <c r="I111" s="15">
        <v>53</v>
      </c>
      <c r="J111" s="15">
        <v>29</v>
      </c>
      <c r="K111" s="15">
        <v>32</v>
      </c>
      <c r="L111" s="15">
        <v>2</v>
      </c>
      <c r="M111" s="73">
        <v>12.295999999999999</v>
      </c>
      <c r="N111" s="104">
        <v>13</v>
      </c>
      <c r="O111" s="57">
        <v>7000</v>
      </c>
      <c r="P111" s="58">
        <f t="shared" si="1"/>
        <v>91000</v>
      </c>
    </row>
    <row r="112" spans="1:16" ht="26.25" customHeight="1" x14ac:dyDescent="0.2">
      <c r="A112" s="100"/>
      <c r="B112" s="100"/>
      <c r="C112" s="15" t="s">
        <v>1555</v>
      </c>
      <c r="D112" s="70" t="s">
        <v>57</v>
      </c>
      <c r="E112" s="134">
        <v>44540</v>
      </c>
      <c r="F112" s="1" t="s">
        <v>59</v>
      </c>
      <c r="G112" s="134">
        <v>44545</v>
      </c>
      <c r="H112" s="125" t="s">
        <v>1328</v>
      </c>
      <c r="I112" s="15">
        <v>40</v>
      </c>
      <c r="J112" s="15">
        <v>32</v>
      </c>
      <c r="K112" s="15">
        <v>20</v>
      </c>
      <c r="L112" s="15">
        <v>3</v>
      </c>
      <c r="M112" s="73">
        <v>6.4</v>
      </c>
      <c r="N112" s="104">
        <v>7</v>
      </c>
      <c r="O112" s="57">
        <v>7000</v>
      </c>
      <c r="P112" s="58">
        <f t="shared" si="1"/>
        <v>49000</v>
      </c>
    </row>
    <row r="113" spans="1:16" ht="26.25" customHeight="1" x14ac:dyDescent="0.2">
      <c r="A113" s="100"/>
      <c r="B113" s="100"/>
      <c r="C113" s="15" t="s">
        <v>1556</v>
      </c>
      <c r="D113" s="70" t="s">
        <v>57</v>
      </c>
      <c r="E113" s="134">
        <v>44540</v>
      </c>
      <c r="F113" s="1" t="s">
        <v>59</v>
      </c>
      <c r="G113" s="134">
        <v>44545</v>
      </c>
      <c r="H113" s="125" t="s">
        <v>1328</v>
      </c>
      <c r="I113" s="15">
        <v>54</v>
      </c>
      <c r="J113" s="15">
        <v>38</v>
      </c>
      <c r="K113" s="15">
        <v>23</v>
      </c>
      <c r="L113" s="15">
        <v>7</v>
      </c>
      <c r="M113" s="73">
        <v>11.798999999999999</v>
      </c>
      <c r="N113" s="104">
        <v>11.798999999999999</v>
      </c>
      <c r="O113" s="57">
        <v>7000</v>
      </c>
      <c r="P113" s="58">
        <f t="shared" si="1"/>
        <v>82593</v>
      </c>
    </row>
    <row r="114" spans="1:16" ht="26.25" customHeight="1" x14ac:dyDescent="0.2">
      <c r="A114" s="100"/>
      <c r="B114" s="100"/>
      <c r="C114" s="15" t="s">
        <v>1557</v>
      </c>
      <c r="D114" s="70" t="s">
        <v>57</v>
      </c>
      <c r="E114" s="134">
        <v>44540</v>
      </c>
      <c r="F114" s="1" t="s">
        <v>59</v>
      </c>
      <c r="G114" s="134">
        <v>44545</v>
      </c>
      <c r="H114" s="125" t="s">
        <v>1328</v>
      </c>
      <c r="I114" s="15">
        <v>47</v>
      </c>
      <c r="J114" s="15">
        <v>35</v>
      </c>
      <c r="K114" s="15">
        <v>20</v>
      </c>
      <c r="L114" s="15">
        <v>4</v>
      </c>
      <c r="M114" s="73">
        <v>8.2249999999999996</v>
      </c>
      <c r="N114" s="104">
        <v>8.2249999999999996</v>
      </c>
      <c r="O114" s="57">
        <v>7000</v>
      </c>
      <c r="P114" s="58">
        <f t="shared" si="1"/>
        <v>57575</v>
      </c>
    </row>
    <row r="115" spans="1:16" ht="26.25" customHeight="1" x14ac:dyDescent="0.2">
      <c r="A115" s="100"/>
      <c r="B115" s="100"/>
      <c r="C115" s="15" t="s">
        <v>1558</v>
      </c>
      <c r="D115" s="70" t="s">
        <v>57</v>
      </c>
      <c r="E115" s="134">
        <v>44540</v>
      </c>
      <c r="F115" s="1" t="s">
        <v>59</v>
      </c>
      <c r="G115" s="134">
        <v>44545</v>
      </c>
      <c r="H115" s="125" t="s">
        <v>1328</v>
      </c>
      <c r="I115" s="15">
        <v>18</v>
      </c>
      <c r="J115" s="15">
        <v>18</v>
      </c>
      <c r="K115" s="15">
        <v>15</v>
      </c>
      <c r="L115" s="15">
        <v>1</v>
      </c>
      <c r="M115" s="73">
        <v>1.2150000000000001</v>
      </c>
      <c r="N115" s="104">
        <v>1.2150000000000001</v>
      </c>
      <c r="O115" s="57">
        <v>7000</v>
      </c>
      <c r="P115" s="58">
        <f t="shared" si="1"/>
        <v>8505</v>
      </c>
    </row>
    <row r="116" spans="1:16" ht="26.25" customHeight="1" x14ac:dyDescent="0.2">
      <c r="A116" s="100"/>
      <c r="B116" s="100"/>
      <c r="C116" s="15" t="s">
        <v>1559</v>
      </c>
      <c r="D116" s="70" t="s">
        <v>57</v>
      </c>
      <c r="E116" s="134">
        <v>44540</v>
      </c>
      <c r="F116" s="1" t="s">
        <v>59</v>
      </c>
      <c r="G116" s="134">
        <v>44545</v>
      </c>
      <c r="H116" s="125" t="s">
        <v>1328</v>
      </c>
      <c r="I116" s="15">
        <v>94</v>
      </c>
      <c r="J116" s="15">
        <v>57</v>
      </c>
      <c r="K116" s="15">
        <v>38</v>
      </c>
      <c r="L116" s="15">
        <v>35</v>
      </c>
      <c r="M116" s="73">
        <v>50.901000000000003</v>
      </c>
      <c r="N116" s="104">
        <v>50.901000000000003</v>
      </c>
      <c r="O116" s="57">
        <v>7000</v>
      </c>
      <c r="P116" s="58">
        <f t="shared" si="1"/>
        <v>356307</v>
      </c>
    </row>
    <row r="117" spans="1:16" ht="26.25" customHeight="1" x14ac:dyDescent="0.2">
      <c r="A117" s="100"/>
      <c r="B117" s="100"/>
      <c r="C117" s="15" t="s">
        <v>1560</v>
      </c>
      <c r="D117" s="70" t="s">
        <v>57</v>
      </c>
      <c r="E117" s="134">
        <v>44540</v>
      </c>
      <c r="F117" s="1" t="s">
        <v>59</v>
      </c>
      <c r="G117" s="134">
        <v>44545</v>
      </c>
      <c r="H117" s="125" t="s">
        <v>1328</v>
      </c>
      <c r="I117" s="15">
        <v>90</v>
      </c>
      <c r="J117" s="15">
        <v>28</v>
      </c>
      <c r="K117" s="15">
        <v>16</v>
      </c>
      <c r="L117" s="15">
        <v>1</v>
      </c>
      <c r="M117" s="73">
        <v>10.08</v>
      </c>
      <c r="N117" s="104">
        <v>10.08</v>
      </c>
      <c r="O117" s="57">
        <v>7000</v>
      </c>
      <c r="P117" s="58">
        <f t="shared" si="1"/>
        <v>70560</v>
      </c>
    </row>
    <row r="118" spans="1:16" ht="26.25" customHeight="1" x14ac:dyDescent="0.2">
      <c r="A118" s="100"/>
      <c r="B118" s="100"/>
      <c r="C118" s="15" t="s">
        <v>1561</v>
      </c>
      <c r="D118" s="70" t="s">
        <v>57</v>
      </c>
      <c r="E118" s="134">
        <v>44540</v>
      </c>
      <c r="F118" s="1" t="s">
        <v>59</v>
      </c>
      <c r="G118" s="134">
        <v>44545</v>
      </c>
      <c r="H118" s="125" t="s">
        <v>1328</v>
      </c>
      <c r="I118" s="15">
        <v>55</v>
      </c>
      <c r="J118" s="15">
        <v>43</v>
      </c>
      <c r="K118" s="15">
        <v>8</v>
      </c>
      <c r="L118" s="15">
        <v>1</v>
      </c>
      <c r="M118" s="73">
        <v>4.7300000000000004</v>
      </c>
      <c r="N118" s="104">
        <v>4.7300000000000004</v>
      </c>
      <c r="O118" s="57">
        <v>7000</v>
      </c>
      <c r="P118" s="58">
        <f t="shared" si="1"/>
        <v>33110</v>
      </c>
    </row>
    <row r="119" spans="1:16" ht="26.25" customHeight="1" x14ac:dyDescent="0.2">
      <c r="A119" s="100"/>
      <c r="B119" s="100"/>
      <c r="C119" s="15" t="s">
        <v>1562</v>
      </c>
      <c r="D119" s="70" t="s">
        <v>57</v>
      </c>
      <c r="E119" s="134">
        <v>44540</v>
      </c>
      <c r="F119" s="1" t="s">
        <v>59</v>
      </c>
      <c r="G119" s="134">
        <v>44545</v>
      </c>
      <c r="H119" s="125" t="s">
        <v>1328</v>
      </c>
      <c r="I119" s="15">
        <v>30</v>
      </c>
      <c r="J119" s="15">
        <v>22</v>
      </c>
      <c r="K119" s="15">
        <v>12</v>
      </c>
      <c r="L119" s="15">
        <v>1</v>
      </c>
      <c r="M119" s="73">
        <v>1.98</v>
      </c>
      <c r="N119" s="104">
        <v>1.98</v>
      </c>
      <c r="O119" s="57">
        <v>7000</v>
      </c>
      <c r="P119" s="58">
        <f t="shared" si="1"/>
        <v>13860</v>
      </c>
    </row>
    <row r="120" spans="1:16" ht="26.25" customHeight="1" x14ac:dyDescent="0.2">
      <c r="A120" s="100"/>
      <c r="B120" s="100"/>
      <c r="C120" s="15" t="s">
        <v>1563</v>
      </c>
      <c r="D120" s="70" t="s">
        <v>57</v>
      </c>
      <c r="E120" s="134">
        <v>44540</v>
      </c>
      <c r="F120" s="1" t="s">
        <v>59</v>
      </c>
      <c r="G120" s="134">
        <v>44545</v>
      </c>
      <c r="H120" s="125" t="s">
        <v>1328</v>
      </c>
      <c r="I120" s="15">
        <v>30</v>
      </c>
      <c r="J120" s="15">
        <v>31</v>
      </c>
      <c r="K120" s="15">
        <v>21</v>
      </c>
      <c r="L120" s="15">
        <v>1</v>
      </c>
      <c r="M120" s="73">
        <v>4.8825000000000003</v>
      </c>
      <c r="N120" s="104">
        <v>4.8825000000000003</v>
      </c>
      <c r="O120" s="57">
        <v>7000</v>
      </c>
      <c r="P120" s="58">
        <f t="shared" si="1"/>
        <v>34177.5</v>
      </c>
    </row>
    <row r="121" spans="1:16" ht="26.25" customHeight="1" x14ac:dyDescent="0.2">
      <c r="A121" s="100"/>
      <c r="B121" s="100"/>
      <c r="C121" s="15" t="s">
        <v>1564</v>
      </c>
      <c r="D121" s="70" t="s">
        <v>57</v>
      </c>
      <c r="E121" s="134">
        <v>44540</v>
      </c>
      <c r="F121" s="1" t="s">
        <v>59</v>
      </c>
      <c r="G121" s="134">
        <v>44545</v>
      </c>
      <c r="H121" s="125" t="s">
        <v>1328</v>
      </c>
      <c r="I121" s="15">
        <v>73</v>
      </c>
      <c r="J121" s="15">
        <v>53</v>
      </c>
      <c r="K121" s="15">
        <v>20</v>
      </c>
      <c r="L121" s="15">
        <v>10</v>
      </c>
      <c r="M121" s="73">
        <v>19.344999999999999</v>
      </c>
      <c r="N121" s="104">
        <v>20</v>
      </c>
      <c r="O121" s="57">
        <v>7000</v>
      </c>
      <c r="P121" s="58">
        <f t="shared" si="1"/>
        <v>140000</v>
      </c>
    </row>
    <row r="122" spans="1:16" ht="26.25" customHeight="1" x14ac:dyDescent="0.2">
      <c r="A122" s="100"/>
      <c r="B122" s="100"/>
      <c r="C122" s="15" t="s">
        <v>1565</v>
      </c>
      <c r="D122" s="70" t="s">
        <v>57</v>
      </c>
      <c r="E122" s="134">
        <v>44540</v>
      </c>
      <c r="F122" s="1" t="s">
        <v>59</v>
      </c>
      <c r="G122" s="134">
        <v>44545</v>
      </c>
      <c r="H122" s="125" t="s">
        <v>1328</v>
      </c>
      <c r="I122" s="15">
        <v>54</v>
      </c>
      <c r="J122" s="15">
        <v>51</v>
      </c>
      <c r="K122" s="15">
        <v>21</v>
      </c>
      <c r="L122" s="15">
        <v>12</v>
      </c>
      <c r="M122" s="73">
        <v>14.458500000000001</v>
      </c>
      <c r="N122" s="104">
        <v>15</v>
      </c>
      <c r="O122" s="57">
        <v>7000</v>
      </c>
      <c r="P122" s="58">
        <f t="shared" si="1"/>
        <v>105000</v>
      </c>
    </row>
    <row r="123" spans="1:16" ht="26.25" customHeight="1" x14ac:dyDescent="0.2">
      <c r="A123" s="100"/>
      <c r="B123" s="100"/>
      <c r="C123" s="15" t="s">
        <v>1566</v>
      </c>
      <c r="D123" s="70" t="s">
        <v>57</v>
      </c>
      <c r="E123" s="134">
        <v>44540</v>
      </c>
      <c r="F123" s="1" t="s">
        <v>59</v>
      </c>
      <c r="G123" s="134">
        <v>44545</v>
      </c>
      <c r="H123" s="125" t="s">
        <v>1328</v>
      </c>
      <c r="I123" s="15">
        <v>40</v>
      </c>
      <c r="J123" s="15">
        <v>33</v>
      </c>
      <c r="K123" s="15">
        <v>12</v>
      </c>
      <c r="L123" s="15">
        <v>1</v>
      </c>
      <c r="M123" s="73">
        <v>3.96</v>
      </c>
      <c r="N123" s="104">
        <v>3.96</v>
      </c>
      <c r="O123" s="57">
        <v>7000</v>
      </c>
      <c r="P123" s="58">
        <f t="shared" si="1"/>
        <v>27720</v>
      </c>
    </row>
    <row r="124" spans="1:16" ht="26.25" customHeight="1" x14ac:dyDescent="0.2">
      <c r="A124" s="100"/>
      <c r="B124" s="100"/>
      <c r="C124" s="15" t="s">
        <v>1567</v>
      </c>
      <c r="D124" s="70" t="s">
        <v>57</v>
      </c>
      <c r="E124" s="134">
        <v>44540</v>
      </c>
      <c r="F124" s="1" t="s">
        <v>59</v>
      </c>
      <c r="G124" s="134">
        <v>44545</v>
      </c>
      <c r="H124" s="125" t="s">
        <v>1328</v>
      </c>
      <c r="I124" s="15">
        <v>30</v>
      </c>
      <c r="J124" s="15">
        <v>30</v>
      </c>
      <c r="K124" s="15">
        <v>4</v>
      </c>
      <c r="L124" s="15">
        <v>1</v>
      </c>
      <c r="M124" s="73">
        <v>0.9</v>
      </c>
      <c r="N124" s="104">
        <v>1</v>
      </c>
      <c r="O124" s="57">
        <v>7000</v>
      </c>
      <c r="P124" s="58">
        <f t="shared" si="1"/>
        <v>7000</v>
      </c>
    </row>
    <row r="125" spans="1:16" ht="26.25" customHeight="1" x14ac:dyDescent="0.2">
      <c r="A125" s="100"/>
      <c r="B125" s="100"/>
      <c r="C125" s="15" t="s">
        <v>1568</v>
      </c>
      <c r="D125" s="70" t="s">
        <v>57</v>
      </c>
      <c r="E125" s="134">
        <v>44540</v>
      </c>
      <c r="F125" s="1" t="s">
        <v>59</v>
      </c>
      <c r="G125" s="134">
        <v>44545</v>
      </c>
      <c r="H125" s="125" t="s">
        <v>1328</v>
      </c>
      <c r="I125" s="15">
        <v>100</v>
      </c>
      <c r="J125" s="15">
        <v>40</v>
      </c>
      <c r="K125" s="15">
        <v>6</v>
      </c>
      <c r="L125" s="15">
        <v>1</v>
      </c>
      <c r="M125" s="73">
        <v>6</v>
      </c>
      <c r="N125" s="104">
        <v>6</v>
      </c>
      <c r="O125" s="57">
        <v>7000</v>
      </c>
      <c r="P125" s="58">
        <f t="shared" si="1"/>
        <v>42000</v>
      </c>
    </row>
    <row r="126" spans="1:16" ht="26.25" customHeight="1" x14ac:dyDescent="0.2">
      <c r="A126" s="100"/>
      <c r="B126" s="100"/>
      <c r="C126" s="15" t="s">
        <v>1569</v>
      </c>
      <c r="D126" s="70" t="s">
        <v>57</v>
      </c>
      <c r="E126" s="134">
        <v>44540</v>
      </c>
      <c r="F126" s="1" t="s">
        <v>59</v>
      </c>
      <c r="G126" s="134">
        <v>44545</v>
      </c>
      <c r="H126" s="125" t="s">
        <v>1328</v>
      </c>
      <c r="I126" s="15">
        <v>102</v>
      </c>
      <c r="J126" s="15">
        <v>20</v>
      </c>
      <c r="K126" s="15">
        <v>8</v>
      </c>
      <c r="L126" s="15">
        <v>1</v>
      </c>
      <c r="M126" s="73">
        <v>4.08</v>
      </c>
      <c r="N126" s="104">
        <v>4.08</v>
      </c>
      <c r="O126" s="57">
        <v>7000</v>
      </c>
      <c r="P126" s="58">
        <f t="shared" si="1"/>
        <v>28560</v>
      </c>
    </row>
    <row r="127" spans="1:16" ht="26.25" customHeight="1" x14ac:dyDescent="0.2">
      <c r="A127" s="100"/>
      <c r="B127" s="100"/>
      <c r="C127" s="15" t="s">
        <v>1570</v>
      </c>
      <c r="D127" s="70" t="s">
        <v>57</v>
      </c>
      <c r="E127" s="134">
        <v>44540</v>
      </c>
      <c r="F127" s="1" t="s">
        <v>59</v>
      </c>
      <c r="G127" s="134">
        <v>44545</v>
      </c>
      <c r="H127" s="125" t="s">
        <v>1328</v>
      </c>
      <c r="I127" s="15">
        <v>30</v>
      </c>
      <c r="J127" s="15">
        <v>32</v>
      </c>
      <c r="K127" s="15">
        <v>10</v>
      </c>
      <c r="L127" s="15">
        <v>1</v>
      </c>
      <c r="M127" s="73">
        <v>2.4</v>
      </c>
      <c r="N127" s="104">
        <v>3</v>
      </c>
      <c r="O127" s="57">
        <v>7000</v>
      </c>
      <c r="P127" s="58">
        <f t="shared" si="1"/>
        <v>21000</v>
      </c>
    </row>
    <row r="128" spans="1:16" ht="26.25" customHeight="1" x14ac:dyDescent="0.2">
      <c r="A128" s="100"/>
      <c r="B128" s="100"/>
      <c r="C128" s="15" t="s">
        <v>1571</v>
      </c>
      <c r="D128" s="70" t="s">
        <v>57</v>
      </c>
      <c r="E128" s="134">
        <v>44540</v>
      </c>
      <c r="F128" s="1" t="s">
        <v>59</v>
      </c>
      <c r="G128" s="134">
        <v>44545</v>
      </c>
      <c r="H128" s="125" t="s">
        <v>1328</v>
      </c>
      <c r="I128" s="15">
        <v>20</v>
      </c>
      <c r="J128" s="15">
        <v>10</v>
      </c>
      <c r="K128" s="15">
        <v>5</v>
      </c>
      <c r="L128" s="15">
        <v>1</v>
      </c>
      <c r="M128" s="73">
        <v>0.25</v>
      </c>
      <c r="N128" s="104">
        <v>1</v>
      </c>
      <c r="O128" s="57">
        <v>7000</v>
      </c>
      <c r="P128" s="58">
        <f t="shared" si="1"/>
        <v>7000</v>
      </c>
    </row>
    <row r="129" spans="1:16" ht="26.25" customHeight="1" x14ac:dyDescent="0.2">
      <c r="A129" s="100"/>
      <c r="B129" s="100"/>
      <c r="C129" s="15" t="s">
        <v>1572</v>
      </c>
      <c r="D129" s="70" t="s">
        <v>57</v>
      </c>
      <c r="E129" s="134">
        <v>44540</v>
      </c>
      <c r="F129" s="1" t="s">
        <v>59</v>
      </c>
      <c r="G129" s="134">
        <v>44545</v>
      </c>
      <c r="H129" s="125" t="s">
        <v>1328</v>
      </c>
      <c r="I129" s="15">
        <v>73</v>
      </c>
      <c r="J129" s="15">
        <v>52</v>
      </c>
      <c r="K129" s="15">
        <v>21</v>
      </c>
      <c r="L129" s="15">
        <v>8</v>
      </c>
      <c r="M129" s="73">
        <v>19.928999999999998</v>
      </c>
      <c r="N129" s="104">
        <v>19.928999999999998</v>
      </c>
      <c r="O129" s="57">
        <v>7000</v>
      </c>
      <c r="P129" s="58">
        <f t="shared" si="1"/>
        <v>139503</v>
      </c>
    </row>
    <row r="130" spans="1:16" ht="26.25" customHeight="1" x14ac:dyDescent="0.2">
      <c r="A130" s="100"/>
      <c r="B130" s="100"/>
      <c r="C130" s="15" t="s">
        <v>1573</v>
      </c>
      <c r="D130" s="70" t="s">
        <v>57</v>
      </c>
      <c r="E130" s="134">
        <v>44540</v>
      </c>
      <c r="F130" s="1" t="s">
        <v>59</v>
      </c>
      <c r="G130" s="134">
        <v>44545</v>
      </c>
      <c r="H130" s="125" t="s">
        <v>1328</v>
      </c>
      <c r="I130" s="15">
        <v>80</v>
      </c>
      <c r="J130" s="15">
        <v>72</v>
      </c>
      <c r="K130" s="15">
        <v>31</v>
      </c>
      <c r="L130" s="15">
        <v>12</v>
      </c>
      <c r="M130" s="73">
        <v>44.64</v>
      </c>
      <c r="N130" s="104">
        <v>44.64</v>
      </c>
      <c r="O130" s="57">
        <v>7000</v>
      </c>
      <c r="P130" s="58">
        <f t="shared" si="1"/>
        <v>312480</v>
      </c>
    </row>
    <row r="131" spans="1:16" ht="26.25" customHeight="1" x14ac:dyDescent="0.2">
      <c r="A131" s="100"/>
      <c r="B131" s="100"/>
      <c r="C131" s="15" t="s">
        <v>1574</v>
      </c>
      <c r="D131" s="70" t="s">
        <v>57</v>
      </c>
      <c r="E131" s="134">
        <v>44540</v>
      </c>
      <c r="F131" s="1" t="s">
        <v>59</v>
      </c>
      <c r="G131" s="134">
        <v>44545</v>
      </c>
      <c r="H131" s="125" t="s">
        <v>1328</v>
      </c>
      <c r="I131" s="15">
        <v>43</v>
      </c>
      <c r="J131" s="15">
        <v>36</v>
      </c>
      <c r="K131" s="15">
        <v>16</v>
      </c>
      <c r="L131" s="15">
        <v>4</v>
      </c>
      <c r="M131" s="73">
        <v>6.1920000000000002</v>
      </c>
      <c r="N131" s="104">
        <v>6.1920000000000002</v>
      </c>
      <c r="O131" s="57">
        <v>7000</v>
      </c>
      <c r="P131" s="58">
        <f t="shared" ref="P131:P147" si="2">N131*O131</f>
        <v>43344</v>
      </c>
    </row>
    <row r="132" spans="1:16" ht="26.25" customHeight="1" x14ac:dyDescent="0.2">
      <c r="A132" s="100"/>
      <c r="B132" s="100"/>
      <c r="C132" s="15" t="s">
        <v>1575</v>
      </c>
      <c r="D132" s="70" t="s">
        <v>57</v>
      </c>
      <c r="E132" s="134">
        <v>44540</v>
      </c>
      <c r="F132" s="1" t="s">
        <v>59</v>
      </c>
      <c r="G132" s="134">
        <v>44545</v>
      </c>
      <c r="H132" s="125" t="s">
        <v>1328</v>
      </c>
      <c r="I132" s="15">
        <v>63</v>
      </c>
      <c r="J132" s="15">
        <v>70</v>
      </c>
      <c r="K132" s="15">
        <v>23</v>
      </c>
      <c r="L132" s="15">
        <v>11</v>
      </c>
      <c r="M132" s="73">
        <v>25.357500000000002</v>
      </c>
      <c r="N132" s="104">
        <v>26</v>
      </c>
      <c r="O132" s="57">
        <v>7000</v>
      </c>
      <c r="P132" s="58">
        <f t="shared" si="2"/>
        <v>182000</v>
      </c>
    </row>
    <row r="133" spans="1:16" ht="26.25" customHeight="1" x14ac:dyDescent="0.2">
      <c r="A133" s="100"/>
      <c r="B133" s="100"/>
      <c r="C133" s="15" t="s">
        <v>1576</v>
      </c>
      <c r="D133" s="70" t="s">
        <v>57</v>
      </c>
      <c r="E133" s="134">
        <v>44540</v>
      </c>
      <c r="F133" s="1" t="s">
        <v>59</v>
      </c>
      <c r="G133" s="134">
        <v>44545</v>
      </c>
      <c r="H133" s="125" t="s">
        <v>1328</v>
      </c>
      <c r="I133" s="15">
        <v>33</v>
      </c>
      <c r="J133" s="15">
        <v>15</v>
      </c>
      <c r="K133" s="15">
        <v>12</v>
      </c>
      <c r="L133" s="15">
        <v>1</v>
      </c>
      <c r="M133" s="73">
        <v>1.4850000000000001</v>
      </c>
      <c r="N133" s="104">
        <v>2</v>
      </c>
      <c r="O133" s="57">
        <v>7000</v>
      </c>
      <c r="P133" s="58">
        <f t="shared" si="2"/>
        <v>14000</v>
      </c>
    </row>
    <row r="134" spans="1:16" ht="26.25" customHeight="1" x14ac:dyDescent="0.2">
      <c r="A134" s="100"/>
      <c r="B134" s="100"/>
      <c r="C134" s="15" t="s">
        <v>1577</v>
      </c>
      <c r="D134" s="70" t="s">
        <v>57</v>
      </c>
      <c r="E134" s="134">
        <v>44540</v>
      </c>
      <c r="F134" s="1" t="s">
        <v>59</v>
      </c>
      <c r="G134" s="134">
        <v>44545</v>
      </c>
      <c r="H134" s="125" t="s">
        <v>1328</v>
      </c>
      <c r="I134" s="15">
        <v>100</v>
      </c>
      <c r="J134" s="15">
        <v>46</v>
      </c>
      <c r="K134" s="15">
        <v>35</v>
      </c>
      <c r="L134" s="15">
        <v>14</v>
      </c>
      <c r="M134" s="73">
        <v>40.25</v>
      </c>
      <c r="N134" s="104">
        <v>40.25</v>
      </c>
      <c r="O134" s="57">
        <v>7000</v>
      </c>
      <c r="P134" s="58">
        <f t="shared" si="2"/>
        <v>281750</v>
      </c>
    </row>
    <row r="135" spans="1:16" ht="26.25" customHeight="1" x14ac:dyDescent="0.2">
      <c r="A135" s="100"/>
      <c r="B135" s="100"/>
      <c r="C135" s="15" t="s">
        <v>1578</v>
      </c>
      <c r="D135" s="70" t="s">
        <v>57</v>
      </c>
      <c r="E135" s="134">
        <v>44540</v>
      </c>
      <c r="F135" s="1" t="s">
        <v>59</v>
      </c>
      <c r="G135" s="134">
        <v>44545</v>
      </c>
      <c r="H135" s="125" t="s">
        <v>1328</v>
      </c>
      <c r="I135" s="15">
        <v>130</v>
      </c>
      <c r="J135" s="15">
        <v>20</v>
      </c>
      <c r="K135" s="15">
        <v>10</v>
      </c>
      <c r="L135" s="15">
        <v>1</v>
      </c>
      <c r="M135" s="73">
        <v>6.5</v>
      </c>
      <c r="N135" s="104">
        <v>8</v>
      </c>
      <c r="O135" s="57">
        <v>7000</v>
      </c>
      <c r="P135" s="58">
        <f t="shared" si="2"/>
        <v>56000</v>
      </c>
    </row>
    <row r="136" spans="1:16" ht="26.25" customHeight="1" x14ac:dyDescent="0.2">
      <c r="A136" s="100"/>
      <c r="B136" s="100"/>
      <c r="C136" s="15" t="s">
        <v>1579</v>
      </c>
      <c r="D136" s="70" t="s">
        <v>57</v>
      </c>
      <c r="E136" s="134">
        <v>44540</v>
      </c>
      <c r="F136" s="1" t="s">
        <v>59</v>
      </c>
      <c r="G136" s="134">
        <v>44545</v>
      </c>
      <c r="H136" s="125" t="s">
        <v>1328</v>
      </c>
      <c r="I136" s="15">
        <v>102</v>
      </c>
      <c r="J136" s="15">
        <v>35</v>
      </c>
      <c r="K136" s="15">
        <v>12</v>
      </c>
      <c r="L136" s="15">
        <v>1</v>
      </c>
      <c r="M136" s="73">
        <v>10.71</v>
      </c>
      <c r="N136" s="104">
        <v>10.71</v>
      </c>
      <c r="O136" s="57">
        <v>7000</v>
      </c>
      <c r="P136" s="58">
        <f t="shared" si="2"/>
        <v>74970</v>
      </c>
    </row>
    <row r="137" spans="1:16" ht="26.25" customHeight="1" x14ac:dyDescent="0.2">
      <c r="A137" s="100"/>
      <c r="B137" s="100"/>
      <c r="C137" s="15" t="s">
        <v>1580</v>
      </c>
      <c r="D137" s="70" t="s">
        <v>57</v>
      </c>
      <c r="E137" s="134">
        <v>44540</v>
      </c>
      <c r="F137" s="1" t="s">
        <v>59</v>
      </c>
      <c r="G137" s="134">
        <v>44545</v>
      </c>
      <c r="H137" s="125" t="s">
        <v>1328</v>
      </c>
      <c r="I137" s="15">
        <v>44</v>
      </c>
      <c r="J137" s="15">
        <v>36</v>
      </c>
      <c r="K137" s="15">
        <v>20</v>
      </c>
      <c r="L137" s="15">
        <v>7</v>
      </c>
      <c r="M137" s="73">
        <v>7.92</v>
      </c>
      <c r="N137" s="104">
        <v>7.92</v>
      </c>
      <c r="O137" s="57">
        <v>7000</v>
      </c>
      <c r="P137" s="58">
        <f t="shared" si="2"/>
        <v>55440</v>
      </c>
    </row>
    <row r="138" spans="1:16" ht="26.25" customHeight="1" x14ac:dyDescent="0.2">
      <c r="A138" s="100"/>
      <c r="B138" s="100"/>
      <c r="C138" s="15" t="s">
        <v>1581</v>
      </c>
      <c r="D138" s="70" t="s">
        <v>57</v>
      </c>
      <c r="E138" s="134">
        <v>44540</v>
      </c>
      <c r="F138" s="1" t="s">
        <v>59</v>
      </c>
      <c r="G138" s="134">
        <v>44545</v>
      </c>
      <c r="H138" s="125" t="s">
        <v>1328</v>
      </c>
      <c r="I138" s="15">
        <v>65</v>
      </c>
      <c r="J138" s="15">
        <v>45</v>
      </c>
      <c r="K138" s="15">
        <v>30</v>
      </c>
      <c r="L138" s="15">
        <v>17</v>
      </c>
      <c r="M138" s="73">
        <v>21.9375</v>
      </c>
      <c r="N138" s="104">
        <v>21.9375</v>
      </c>
      <c r="O138" s="57">
        <v>7000</v>
      </c>
      <c r="P138" s="58">
        <f t="shared" si="2"/>
        <v>153562.5</v>
      </c>
    </row>
    <row r="139" spans="1:16" ht="26.25" customHeight="1" x14ac:dyDescent="0.2">
      <c r="A139" s="100"/>
      <c r="B139" s="101"/>
      <c r="C139" s="15" t="s">
        <v>1582</v>
      </c>
      <c r="D139" s="70" t="s">
        <v>57</v>
      </c>
      <c r="E139" s="134">
        <v>44540</v>
      </c>
      <c r="F139" s="1" t="s">
        <v>59</v>
      </c>
      <c r="G139" s="134">
        <v>44545</v>
      </c>
      <c r="H139" s="125" t="s">
        <v>1328</v>
      </c>
      <c r="I139" s="15">
        <v>87</v>
      </c>
      <c r="J139" s="15">
        <v>53</v>
      </c>
      <c r="K139" s="15">
        <v>32</v>
      </c>
      <c r="L139" s="15">
        <v>18</v>
      </c>
      <c r="M139" s="73">
        <v>36.887999999999998</v>
      </c>
      <c r="N139" s="104">
        <v>36.887999999999998</v>
      </c>
      <c r="O139" s="57">
        <v>7000</v>
      </c>
      <c r="P139" s="58">
        <f t="shared" si="2"/>
        <v>258216</v>
      </c>
    </row>
    <row r="140" spans="1:16" ht="26.25" customHeight="1" x14ac:dyDescent="0.2">
      <c r="A140" s="100"/>
      <c r="B140" s="100" t="s">
        <v>1583</v>
      </c>
      <c r="C140" s="15" t="s">
        <v>1584</v>
      </c>
      <c r="D140" s="70" t="s">
        <v>57</v>
      </c>
      <c r="E140" s="134">
        <v>44540</v>
      </c>
      <c r="F140" s="1" t="s">
        <v>59</v>
      </c>
      <c r="G140" s="134">
        <v>44545</v>
      </c>
      <c r="H140" s="125" t="s">
        <v>1328</v>
      </c>
      <c r="I140" s="15">
        <v>54</v>
      </c>
      <c r="J140" s="15">
        <v>37</v>
      </c>
      <c r="K140" s="15">
        <v>12</v>
      </c>
      <c r="L140" s="15">
        <v>1</v>
      </c>
      <c r="M140" s="73">
        <v>5.9939999999999998</v>
      </c>
      <c r="N140" s="104">
        <v>5.9939999999999998</v>
      </c>
      <c r="O140" s="57">
        <v>7000</v>
      </c>
      <c r="P140" s="58">
        <f t="shared" si="2"/>
        <v>41958</v>
      </c>
    </row>
    <row r="141" spans="1:16" ht="26.25" customHeight="1" x14ac:dyDescent="0.2">
      <c r="A141" s="100"/>
      <c r="B141" s="100"/>
      <c r="C141" s="15" t="s">
        <v>1585</v>
      </c>
      <c r="D141" s="70" t="s">
        <v>57</v>
      </c>
      <c r="E141" s="134">
        <v>44540</v>
      </c>
      <c r="F141" s="1" t="s">
        <v>59</v>
      </c>
      <c r="G141" s="134">
        <v>44545</v>
      </c>
      <c r="H141" s="125" t="s">
        <v>1328</v>
      </c>
      <c r="I141" s="15">
        <v>20</v>
      </c>
      <c r="J141" s="15">
        <v>17</v>
      </c>
      <c r="K141" s="15">
        <v>10</v>
      </c>
      <c r="L141" s="15">
        <v>3</v>
      </c>
      <c r="M141" s="73">
        <v>0.85</v>
      </c>
      <c r="N141" s="104">
        <v>3</v>
      </c>
      <c r="O141" s="57">
        <v>7000</v>
      </c>
      <c r="P141" s="58">
        <f t="shared" si="2"/>
        <v>21000</v>
      </c>
    </row>
    <row r="142" spans="1:16" ht="26.25" customHeight="1" x14ac:dyDescent="0.2">
      <c r="A142" s="100"/>
      <c r="B142" s="100"/>
      <c r="C142" s="15" t="s">
        <v>1586</v>
      </c>
      <c r="D142" s="70" t="s">
        <v>57</v>
      </c>
      <c r="E142" s="134">
        <v>44540</v>
      </c>
      <c r="F142" s="1" t="s">
        <v>59</v>
      </c>
      <c r="G142" s="134">
        <v>44545</v>
      </c>
      <c r="H142" s="125" t="s">
        <v>1328</v>
      </c>
      <c r="I142" s="15">
        <v>157</v>
      </c>
      <c r="J142" s="15">
        <v>42</v>
      </c>
      <c r="K142" s="15">
        <v>35</v>
      </c>
      <c r="L142" s="15">
        <v>24</v>
      </c>
      <c r="M142" s="73">
        <v>57.697499999999998</v>
      </c>
      <c r="N142" s="104">
        <v>57.697499999999998</v>
      </c>
      <c r="O142" s="57">
        <v>7000</v>
      </c>
      <c r="P142" s="58">
        <f t="shared" si="2"/>
        <v>403882.5</v>
      </c>
    </row>
    <row r="143" spans="1:16" ht="26.25" customHeight="1" x14ac:dyDescent="0.2">
      <c r="A143" s="100"/>
      <c r="B143" s="100"/>
      <c r="C143" s="15" t="s">
        <v>1587</v>
      </c>
      <c r="D143" s="70" t="s">
        <v>57</v>
      </c>
      <c r="E143" s="134">
        <v>44540</v>
      </c>
      <c r="F143" s="1" t="s">
        <v>59</v>
      </c>
      <c r="G143" s="134">
        <v>44545</v>
      </c>
      <c r="H143" s="125" t="s">
        <v>1328</v>
      </c>
      <c r="I143" s="15">
        <v>85</v>
      </c>
      <c r="J143" s="15">
        <v>53</v>
      </c>
      <c r="K143" s="15">
        <v>32</v>
      </c>
      <c r="L143" s="15">
        <v>24</v>
      </c>
      <c r="M143" s="73">
        <v>36.04</v>
      </c>
      <c r="N143" s="104">
        <v>36.04</v>
      </c>
      <c r="O143" s="57">
        <v>7000</v>
      </c>
      <c r="P143" s="58">
        <f t="shared" si="2"/>
        <v>252280</v>
      </c>
    </row>
    <row r="144" spans="1:16" ht="26.25" customHeight="1" x14ac:dyDescent="0.2">
      <c r="A144" s="100"/>
      <c r="B144" s="100"/>
      <c r="C144" s="15" t="s">
        <v>1588</v>
      </c>
      <c r="D144" s="70" t="s">
        <v>57</v>
      </c>
      <c r="E144" s="134">
        <v>44540</v>
      </c>
      <c r="F144" s="1" t="s">
        <v>59</v>
      </c>
      <c r="G144" s="134">
        <v>44545</v>
      </c>
      <c r="H144" s="125" t="s">
        <v>1328</v>
      </c>
      <c r="I144" s="15">
        <v>56</v>
      </c>
      <c r="J144" s="15">
        <v>48</v>
      </c>
      <c r="K144" s="15">
        <v>17</v>
      </c>
      <c r="L144" s="15">
        <v>8</v>
      </c>
      <c r="M144" s="73">
        <v>11.423999999999999</v>
      </c>
      <c r="N144" s="104">
        <v>12</v>
      </c>
      <c r="O144" s="57">
        <v>7000</v>
      </c>
      <c r="P144" s="58">
        <f t="shared" si="2"/>
        <v>84000</v>
      </c>
    </row>
    <row r="145" spans="1:16" ht="26.25" customHeight="1" x14ac:dyDescent="0.2">
      <c r="A145" s="100"/>
      <c r="B145" s="100"/>
      <c r="C145" s="15" t="s">
        <v>1589</v>
      </c>
      <c r="D145" s="70" t="s">
        <v>57</v>
      </c>
      <c r="E145" s="134">
        <v>44540</v>
      </c>
      <c r="F145" s="1" t="s">
        <v>59</v>
      </c>
      <c r="G145" s="134">
        <v>44545</v>
      </c>
      <c r="H145" s="125" t="s">
        <v>1328</v>
      </c>
      <c r="I145" s="15">
        <v>46</v>
      </c>
      <c r="J145" s="15">
        <v>32</v>
      </c>
      <c r="K145" s="15">
        <v>22</v>
      </c>
      <c r="L145" s="15">
        <v>6</v>
      </c>
      <c r="M145" s="73">
        <v>8.0960000000000001</v>
      </c>
      <c r="N145" s="104">
        <v>8.0960000000000001</v>
      </c>
      <c r="O145" s="57">
        <v>7000</v>
      </c>
      <c r="P145" s="58">
        <f t="shared" si="2"/>
        <v>56672</v>
      </c>
    </row>
    <row r="146" spans="1:16" ht="26.25" customHeight="1" x14ac:dyDescent="0.2">
      <c r="A146" s="100"/>
      <c r="B146" s="100"/>
      <c r="C146" s="15" t="s">
        <v>1590</v>
      </c>
      <c r="D146" s="70" t="s">
        <v>57</v>
      </c>
      <c r="E146" s="134">
        <v>44540</v>
      </c>
      <c r="F146" s="1" t="s">
        <v>59</v>
      </c>
      <c r="G146" s="134">
        <v>44545</v>
      </c>
      <c r="H146" s="125" t="s">
        <v>1328</v>
      </c>
      <c r="I146" s="15">
        <v>57</v>
      </c>
      <c r="J146" s="15">
        <v>42</v>
      </c>
      <c r="K146" s="15">
        <v>16</v>
      </c>
      <c r="L146" s="15">
        <v>3</v>
      </c>
      <c r="M146" s="73">
        <v>9.5760000000000005</v>
      </c>
      <c r="N146" s="104">
        <v>9.5760000000000005</v>
      </c>
      <c r="O146" s="57">
        <v>7000</v>
      </c>
      <c r="P146" s="58">
        <f t="shared" si="2"/>
        <v>67032</v>
      </c>
    </row>
    <row r="147" spans="1:16" ht="26.25" customHeight="1" x14ac:dyDescent="0.2">
      <c r="A147" s="100"/>
      <c r="B147" s="100"/>
      <c r="C147" s="15" t="s">
        <v>1591</v>
      </c>
      <c r="D147" s="70" t="s">
        <v>57</v>
      </c>
      <c r="E147" s="134">
        <v>44540</v>
      </c>
      <c r="F147" s="1" t="s">
        <v>59</v>
      </c>
      <c r="G147" s="134">
        <v>44545</v>
      </c>
      <c r="H147" s="125" t="s">
        <v>1328</v>
      </c>
      <c r="I147" s="15">
        <v>15</v>
      </c>
      <c r="J147" s="15">
        <v>10</v>
      </c>
      <c r="K147" s="15">
        <v>8</v>
      </c>
      <c r="L147" s="15">
        <v>1</v>
      </c>
      <c r="M147" s="73">
        <v>0.3</v>
      </c>
      <c r="N147" s="104">
        <v>2</v>
      </c>
      <c r="O147" s="57">
        <v>7000</v>
      </c>
      <c r="P147" s="58">
        <f t="shared" si="2"/>
        <v>14000</v>
      </c>
    </row>
    <row r="148" spans="1:16" ht="22.5" customHeight="1" x14ac:dyDescent="0.2">
      <c r="A148" s="159" t="s">
        <v>30</v>
      </c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1"/>
      <c r="M148" s="71">
        <f>SUBTOTAL(109,Table224578910112345678910111213141516171819202122232425262728[KG VOLUME])</f>
        <v>2854.9695000000011</v>
      </c>
      <c r="N148" s="61">
        <f>SUM(N3:N147)</f>
        <v>3035.8927500000004</v>
      </c>
      <c r="O148" s="162">
        <f>SUM(P3:P147)</f>
        <v>21251249.25</v>
      </c>
      <c r="P148" s="163"/>
    </row>
    <row r="149" spans="1:16" ht="18" customHeight="1" x14ac:dyDescent="0.2">
      <c r="A149" s="78"/>
      <c r="B149" s="49" t="s">
        <v>42</v>
      </c>
      <c r="C149" s="48"/>
      <c r="D149" s="50" t="s">
        <v>43</v>
      </c>
      <c r="E149" s="78"/>
      <c r="F149" s="78"/>
      <c r="G149" s="78"/>
      <c r="H149" s="78"/>
      <c r="I149" s="78"/>
      <c r="J149" s="78"/>
      <c r="K149" s="78"/>
      <c r="L149" s="78"/>
      <c r="M149" s="79"/>
      <c r="N149" s="80" t="s">
        <v>52</v>
      </c>
      <c r="O149" s="81"/>
      <c r="P149" s="81">
        <v>0</v>
      </c>
    </row>
    <row r="150" spans="1:16" ht="18" customHeight="1" thickBot="1" x14ac:dyDescent="0.25">
      <c r="A150" s="78"/>
      <c r="B150" s="49"/>
      <c r="C150" s="48"/>
      <c r="D150" s="50"/>
      <c r="E150" s="78"/>
      <c r="F150" s="78"/>
      <c r="G150" s="78"/>
      <c r="H150" s="78"/>
      <c r="I150" s="78"/>
      <c r="J150" s="78"/>
      <c r="K150" s="78"/>
      <c r="L150" s="78"/>
      <c r="M150" s="79"/>
      <c r="N150" s="82" t="s">
        <v>53</v>
      </c>
      <c r="O150" s="83"/>
      <c r="P150" s="83">
        <f>O148-P149</f>
        <v>21251249.25</v>
      </c>
    </row>
    <row r="151" spans="1:16" ht="18" customHeight="1" x14ac:dyDescent="0.2">
      <c r="A151" s="10"/>
      <c r="H151" s="56"/>
      <c r="N151" s="55" t="s">
        <v>31</v>
      </c>
      <c r="P151" s="62">
        <f>P150*1%</f>
        <v>212512.49249999999</v>
      </c>
    </row>
    <row r="152" spans="1:16" ht="18" customHeight="1" thickBot="1" x14ac:dyDescent="0.25">
      <c r="A152" s="10"/>
      <c r="H152" s="56"/>
      <c r="N152" s="55" t="s">
        <v>54</v>
      </c>
      <c r="P152" s="64">
        <f>P150*2%</f>
        <v>425024.98499999999</v>
      </c>
    </row>
    <row r="153" spans="1:16" ht="18" customHeight="1" x14ac:dyDescent="0.2">
      <c r="A153" s="10"/>
      <c r="H153" s="56"/>
      <c r="N153" s="59" t="s">
        <v>32</v>
      </c>
      <c r="O153" s="60"/>
      <c r="P153" s="63">
        <f>P150+P151-P152</f>
        <v>21038736.7575</v>
      </c>
    </row>
    <row r="155" spans="1:16" x14ac:dyDescent="0.2">
      <c r="A155" s="10"/>
      <c r="H155" s="56"/>
      <c r="P155" s="64"/>
    </row>
    <row r="156" spans="1:16" x14ac:dyDescent="0.2">
      <c r="A156" s="10"/>
      <c r="H156" s="56"/>
      <c r="O156" s="51"/>
      <c r="P156" s="64"/>
    </row>
    <row r="157" spans="1:16" s="3" customFormat="1" x14ac:dyDescent="0.25">
      <c r="A157" s="10"/>
      <c r="B157" s="2"/>
      <c r="C157" s="2"/>
      <c r="E157" s="11"/>
      <c r="H157" s="56"/>
      <c r="N157" s="14"/>
      <c r="O157" s="14"/>
      <c r="P157" s="14"/>
    </row>
    <row r="158" spans="1:16" s="3" customFormat="1" x14ac:dyDescent="0.25">
      <c r="A158" s="10"/>
      <c r="B158" s="2"/>
      <c r="C158" s="2"/>
      <c r="E158" s="11"/>
      <c r="H158" s="56"/>
      <c r="N158" s="14"/>
      <c r="O158" s="14"/>
      <c r="P158" s="1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  <row r="160" spans="1:16" s="3" customFormat="1" x14ac:dyDescent="0.25">
      <c r="A160" s="10"/>
      <c r="B160" s="2"/>
      <c r="C160" s="2"/>
      <c r="E160" s="11"/>
      <c r="H160" s="56"/>
      <c r="N160" s="14"/>
      <c r="O160" s="14"/>
      <c r="P160" s="14"/>
    </row>
    <row r="161" spans="1:16" s="3" customFormat="1" x14ac:dyDescent="0.25">
      <c r="A161" s="10"/>
      <c r="B161" s="2"/>
      <c r="C161" s="2"/>
      <c r="E161" s="11"/>
      <c r="H161" s="56"/>
      <c r="N161" s="14"/>
      <c r="O161" s="14"/>
      <c r="P161" s="14"/>
    </row>
    <row r="162" spans="1:16" s="3" customFormat="1" x14ac:dyDescent="0.25">
      <c r="A162" s="10"/>
      <c r="B162" s="2"/>
      <c r="C162" s="2"/>
      <c r="E162" s="11"/>
      <c r="H162" s="56"/>
      <c r="N162" s="14"/>
      <c r="O162" s="14"/>
      <c r="P162" s="14"/>
    </row>
    <row r="163" spans="1:16" s="3" customFormat="1" x14ac:dyDescent="0.25">
      <c r="A163" s="10"/>
      <c r="B163" s="2"/>
      <c r="C163" s="2"/>
      <c r="E163" s="11"/>
      <c r="H163" s="56"/>
      <c r="N163" s="14"/>
      <c r="O163" s="14"/>
      <c r="P163" s="14"/>
    </row>
    <row r="164" spans="1:16" s="3" customFormat="1" x14ac:dyDescent="0.25">
      <c r="A164" s="10"/>
      <c r="B164" s="2"/>
      <c r="C164" s="2"/>
      <c r="E164" s="11"/>
      <c r="H164" s="56"/>
      <c r="N164" s="14"/>
      <c r="O164" s="14"/>
      <c r="P164" s="14"/>
    </row>
    <row r="165" spans="1:16" s="3" customFormat="1" x14ac:dyDescent="0.25">
      <c r="A165" s="10"/>
      <c r="B165" s="2"/>
      <c r="C165" s="2"/>
      <c r="E165" s="11"/>
      <c r="H165" s="56"/>
      <c r="N165" s="14"/>
      <c r="O165" s="14"/>
      <c r="P165" s="14"/>
    </row>
    <row r="166" spans="1:16" s="3" customFormat="1" x14ac:dyDescent="0.25">
      <c r="A166" s="10"/>
      <c r="B166" s="2"/>
      <c r="C166" s="2"/>
      <c r="E166" s="11"/>
      <c r="H166" s="56"/>
      <c r="N166" s="14"/>
      <c r="O166" s="14"/>
      <c r="P166" s="14"/>
    </row>
    <row r="167" spans="1:16" s="3" customFormat="1" x14ac:dyDescent="0.25">
      <c r="A167" s="10"/>
      <c r="B167" s="2"/>
      <c r="C167" s="2"/>
      <c r="E167" s="11"/>
      <c r="H167" s="56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56"/>
      <c r="N168" s="14"/>
      <c r="O168" s="14"/>
      <c r="P168" s="14"/>
    </row>
  </sheetData>
  <mergeCells count="2">
    <mergeCell ref="A148:L148"/>
    <mergeCell ref="O148:P148"/>
  </mergeCells>
  <conditionalFormatting sqref="C3:C147">
    <cfRule type="duplicateValues" dxfId="1167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D6" sqref="D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.42578125" style="3" customWidth="1"/>
    <col min="5" max="5" width="9.85546875" style="11" customWidth="1"/>
    <col min="6" max="6" width="11.140625" style="3" customWidth="1"/>
    <col min="7" max="7" width="9.5703125" style="3" customWidth="1"/>
    <col min="8" max="8" width="15.855468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9.25" customHeight="1" x14ac:dyDescent="0.2">
      <c r="A3" s="99">
        <v>403963</v>
      </c>
      <c r="B3" s="99" t="s">
        <v>1592</v>
      </c>
      <c r="C3" s="90" t="s">
        <v>1593</v>
      </c>
      <c r="D3" s="102" t="s">
        <v>57</v>
      </c>
      <c r="E3" s="91">
        <v>44541</v>
      </c>
      <c r="F3" s="102" t="s">
        <v>59</v>
      </c>
      <c r="G3" s="91">
        <v>44548</v>
      </c>
      <c r="H3" s="90" t="s">
        <v>1619</v>
      </c>
      <c r="I3" s="90">
        <v>91</v>
      </c>
      <c r="J3" s="90">
        <v>52</v>
      </c>
      <c r="K3" s="90">
        <v>31</v>
      </c>
      <c r="L3" s="90">
        <v>10</v>
      </c>
      <c r="M3" s="92">
        <v>36.673000000000002</v>
      </c>
      <c r="N3" s="104">
        <v>36.673000000000002</v>
      </c>
      <c r="O3" s="57">
        <v>7000</v>
      </c>
      <c r="P3" s="58">
        <f t="shared" ref="P3:P26" si="0">N3*O3</f>
        <v>256711</v>
      </c>
    </row>
    <row r="4" spans="1:16" ht="29.25" customHeight="1" x14ac:dyDescent="0.2">
      <c r="A4" s="100"/>
      <c r="B4" s="100"/>
      <c r="C4" s="15" t="s">
        <v>1594</v>
      </c>
      <c r="D4" s="70" t="s">
        <v>57</v>
      </c>
      <c r="E4" s="12">
        <v>44541</v>
      </c>
      <c r="F4" s="68" t="s">
        <v>59</v>
      </c>
      <c r="G4" s="12">
        <v>44548</v>
      </c>
      <c r="H4" s="125" t="s">
        <v>1619</v>
      </c>
      <c r="I4" s="15">
        <v>68</v>
      </c>
      <c r="J4" s="15">
        <v>42</v>
      </c>
      <c r="K4" s="15">
        <v>24</v>
      </c>
      <c r="L4" s="15">
        <v>7</v>
      </c>
      <c r="M4" s="73">
        <v>17.135999999999999</v>
      </c>
      <c r="N4" s="104">
        <v>17.135999999999999</v>
      </c>
      <c r="O4" s="57">
        <v>7000</v>
      </c>
      <c r="P4" s="58">
        <f>N4*O4</f>
        <v>119952</v>
      </c>
    </row>
    <row r="5" spans="1:16" ht="29.25" customHeight="1" x14ac:dyDescent="0.2">
      <c r="A5" s="100"/>
      <c r="B5" s="100"/>
      <c r="C5" s="15" t="s">
        <v>1595</v>
      </c>
      <c r="D5" s="70" t="s">
        <v>57</v>
      </c>
      <c r="E5" s="12">
        <v>44541</v>
      </c>
      <c r="F5" s="68" t="s">
        <v>59</v>
      </c>
      <c r="G5" s="12">
        <v>44548</v>
      </c>
      <c r="H5" s="125" t="s">
        <v>1619</v>
      </c>
      <c r="I5" s="15">
        <v>82</v>
      </c>
      <c r="J5" s="15">
        <v>55</v>
      </c>
      <c r="K5" s="15">
        <v>34</v>
      </c>
      <c r="L5" s="15">
        <v>16</v>
      </c>
      <c r="M5" s="73">
        <v>38.335000000000001</v>
      </c>
      <c r="N5" s="104">
        <v>39</v>
      </c>
      <c r="O5" s="57">
        <v>7000</v>
      </c>
      <c r="P5" s="58">
        <f t="shared" si="0"/>
        <v>273000</v>
      </c>
    </row>
    <row r="6" spans="1:16" ht="29.25" customHeight="1" x14ac:dyDescent="0.2">
      <c r="A6" s="100"/>
      <c r="B6" s="100"/>
      <c r="C6" s="15" t="s">
        <v>1596</v>
      </c>
      <c r="D6" s="70" t="s">
        <v>57</v>
      </c>
      <c r="E6" s="12">
        <v>44541</v>
      </c>
      <c r="F6" s="68" t="s">
        <v>59</v>
      </c>
      <c r="G6" s="12">
        <v>44548</v>
      </c>
      <c r="H6" s="125" t="s">
        <v>1619</v>
      </c>
      <c r="I6" s="15">
        <v>77</v>
      </c>
      <c r="J6" s="15">
        <v>52</v>
      </c>
      <c r="K6" s="15">
        <v>36</v>
      </c>
      <c r="L6" s="15">
        <v>11</v>
      </c>
      <c r="M6" s="73">
        <v>36.036000000000001</v>
      </c>
      <c r="N6" s="104">
        <v>36.036000000000001</v>
      </c>
      <c r="O6" s="57">
        <v>7000</v>
      </c>
      <c r="P6" s="58">
        <f t="shared" si="0"/>
        <v>252252</v>
      </c>
    </row>
    <row r="7" spans="1:16" ht="29.25" customHeight="1" x14ac:dyDescent="0.2">
      <c r="A7" s="100"/>
      <c r="B7" s="100"/>
      <c r="C7" s="15" t="s">
        <v>1597</v>
      </c>
      <c r="D7" s="70" t="s">
        <v>57</v>
      </c>
      <c r="E7" s="12">
        <v>44541</v>
      </c>
      <c r="F7" s="68" t="s">
        <v>59</v>
      </c>
      <c r="G7" s="12">
        <v>44548</v>
      </c>
      <c r="H7" s="125" t="s">
        <v>1619</v>
      </c>
      <c r="I7" s="15">
        <v>47</v>
      </c>
      <c r="J7" s="15">
        <v>37</v>
      </c>
      <c r="K7" s="15">
        <v>37</v>
      </c>
      <c r="L7" s="15">
        <v>4</v>
      </c>
      <c r="M7" s="73">
        <v>16.085750000000001</v>
      </c>
      <c r="N7" s="104">
        <v>16.085750000000001</v>
      </c>
      <c r="O7" s="57">
        <v>7000</v>
      </c>
      <c r="P7" s="58">
        <f t="shared" si="0"/>
        <v>112600.25</v>
      </c>
    </row>
    <row r="8" spans="1:16" ht="29.25" customHeight="1" x14ac:dyDescent="0.2">
      <c r="A8" s="100"/>
      <c r="B8" s="100"/>
      <c r="C8" s="15" t="s">
        <v>1598</v>
      </c>
      <c r="D8" s="70" t="s">
        <v>57</v>
      </c>
      <c r="E8" s="12">
        <v>44541</v>
      </c>
      <c r="F8" s="68" t="s">
        <v>59</v>
      </c>
      <c r="G8" s="12">
        <v>44548</v>
      </c>
      <c r="H8" s="125" t="s">
        <v>1619</v>
      </c>
      <c r="I8" s="15">
        <v>42</v>
      </c>
      <c r="J8" s="15">
        <v>36</v>
      </c>
      <c r="K8" s="15">
        <v>25</v>
      </c>
      <c r="L8" s="15">
        <v>5</v>
      </c>
      <c r="M8" s="73">
        <v>9.4499999999999993</v>
      </c>
      <c r="N8" s="104">
        <v>10</v>
      </c>
      <c r="O8" s="57">
        <v>7000</v>
      </c>
      <c r="P8" s="58">
        <f t="shared" si="0"/>
        <v>70000</v>
      </c>
    </row>
    <row r="9" spans="1:16" ht="29.25" customHeight="1" x14ac:dyDescent="0.2">
      <c r="A9" s="100"/>
      <c r="B9" s="100"/>
      <c r="C9" s="15" t="s">
        <v>1599</v>
      </c>
      <c r="D9" s="70" t="s">
        <v>57</v>
      </c>
      <c r="E9" s="12">
        <v>44541</v>
      </c>
      <c r="F9" s="68" t="s">
        <v>59</v>
      </c>
      <c r="G9" s="12">
        <v>44548</v>
      </c>
      <c r="H9" s="125" t="s">
        <v>1619</v>
      </c>
      <c r="I9" s="15">
        <v>85</v>
      </c>
      <c r="J9" s="15">
        <v>65</v>
      </c>
      <c r="K9" s="15">
        <v>31</v>
      </c>
      <c r="L9" s="15">
        <v>9</v>
      </c>
      <c r="M9" s="73">
        <v>42.818750000000001</v>
      </c>
      <c r="N9" s="104">
        <v>42.818750000000001</v>
      </c>
      <c r="O9" s="57">
        <v>7000</v>
      </c>
      <c r="P9" s="58">
        <f t="shared" si="0"/>
        <v>299731.25</v>
      </c>
    </row>
    <row r="10" spans="1:16" ht="29.25" customHeight="1" x14ac:dyDescent="0.2">
      <c r="A10" s="100"/>
      <c r="B10" s="100"/>
      <c r="C10" s="15" t="s">
        <v>1600</v>
      </c>
      <c r="D10" s="70" t="s">
        <v>57</v>
      </c>
      <c r="E10" s="12">
        <v>44541</v>
      </c>
      <c r="F10" s="68" t="s">
        <v>59</v>
      </c>
      <c r="G10" s="12">
        <v>44548</v>
      </c>
      <c r="H10" s="125" t="s">
        <v>1619</v>
      </c>
      <c r="I10" s="15">
        <v>45</v>
      </c>
      <c r="J10" s="15">
        <v>35</v>
      </c>
      <c r="K10" s="15">
        <v>24</v>
      </c>
      <c r="L10" s="15">
        <v>3</v>
      </c>
      <c r="M10" s="73">
        <v>9.4499999999999993</v>
      </c>
      <c r="N10" s="104">
        <v>10</v>
      </c>
      <c r="O10" s="57">
        <v>7000</v>
      </c>
      <c r="P10" s="58">
        <f t="shared" si="0"/>
        <v>70000</v>
      </c>
    </row>
    <row r="11" spans="1:16" ht="29.25" customHeight="1" x14ac:dyDescent="0.2">
      <c r="A11" s="100"/>
      <c r="B11" s="100"/>
      <c r="C11" s="15" t="s">
        <v>1601</v>
      </c>
      <c r="D11" s="70" t="s">
        <v>57</v>
      </c>
      <c r="E11" s="12">
        <v>44541</v>
      </c>
      <c r="F11" s="68" t="s">
        <v>59</v>
      </c>
      <c r="G11" s="12">
        <v>44548</v>
      </c>
      <c r="H11" s="125" t="s">
        <v>1619</v>
      </c>
      <c r="I11" s="15">
        <v>63</v>
      </c>
      <c r="J11" s="15">
        <v>30</v>
      </c>
      <c r="K11" s="15">
        <v>32</v>
      </c>
      <c r="L11" s="15">
        <v>18</v>
      </c>
      <c r="M11" s="73">
        <v>15.12</v>
      </c>
      <c r="N11" s="104">
        <v>18</v>
      </c>
      <c r="O11" s="57">
        <v>7000</v>
      </c>
      <c r="P11" s="58">
        <f t="shared" si="0"/>
        <v>126000</v>
      </c>
    </row>
    <row r="12" spans="1:16" ht="29.25" customHeight="1" x14ac:dyDescent="0.2">
      <c r="A12" s="100"/>
      <c r="B12" s="100"/>
      <c r="C12" s="15" t="s">
        <v>1602</v>
      </c>
      <c r="D12" s="70" t="s">
        <v>57</v>
      </c>
      <c r="E12" s="12">
        <v>44541</v>
      </c>
      <c r="F12" s="68" t="s">
        <v>59</v>
      </c>
      <c r="G12" s="12">
        <v>44548</v>
      </c>
      <c r="H12" s="125" t="s">
        <v>1619</v>
      </c>
      <c r="I12" s="15">
        <v>40</v>
      </c>
      <c r="J12" s="15">
        <v>27</v>
      </c>
      <c r="K12" s="15">
        <v>18</v>
      </c>
      <c r="L12" s="15">
        <v>2</v>
      </c>
      <c r="M12" s="73">
        <v>4.8600000000000003</v>
      </c>
      <c r="N12" s="104">
        <v>4.8600000000000003</v>
      </c>
      <c r="O12" s="57">
        <v>7000</v>
      </c>
      <c r="P12" s="58">
        <f t="shared" si="0"/>
        <v>34020</v>
      </c>
    </row>
    <row r="13" spans="1:16" ht="29.25" customHeight="1" x14ac:dyDescent="0.2">
      <c r="A13" s="100"/>
      <c r="B13" s="100"/>
      <c r="C13" s="15" t="s">
        <v>1603</v>
      </c>
      <c r="D13" s="70" t="s">
        <v>57</v>
      </c>
      <c r="E13" s="12">
        <v>44541</v>
      </c>
      <c r="F13" s="68" t="s">
        <v>59</v>
      </c>
      <c r="G13" s="12">
        <v>44548</v>
      </c>
      <c r="H13" s="125" t="s">
        <v>1619</v>
      </c>
      <c r="I13" s="15">
        <v>35</v>
      </c>
      <c r="J13" s="15">
        <v>24</v>
      </c>
      <c r="K13" s="15">
        <v>12</v>
      </c>
      <c r="L13" s="15">
        <v>2</v>
      </c>
      <c r="M13" s="73">
        <v>2.52</v>
      </c>
      <c r="N13" s="104">
        <v>2.52</v>
      </c>
      <c r="O13" s="57">
        <v>7000</v>
      </c>
      <c r="P13" s="58">
        <f t="shared" si="0"/>
        <v>17640</v>
      </c>
    </row>
    <row r="14" spans="1:16" ht="29.25" customHeight="1" x14ac:dyDescent="0.2">
      <c r="A14" s="100"/>
      <c r="B14" s="100"/>
      <c r="C14" s="15" t="s">
        <v>1604</v>
      </c>
      <c r="D14" s="70" t="s">
        <v>57</v>
      </c>
      <c r="E14" s="12">
        <v>44541</v>
      </c>
      <c r="F14" s="68" t="s">
        <v>59</v>
      </c>
      <c r="G14" s="12">
        <v>44548</v>
      </c>
      <c r="H14" s="125" t="s">
        <v>1619</v>
      </c>
      <c r="I14" s="15">
        <v>39</v>
      </c>
      <c r="J14" s="15">
        <v>32</v>
      </c>
      <c r="K14" s="15">
        <v>10</v>
      </c>
      <c r="L14" s="15">
        <v>1</v>
      </c>
      <c r="M14" s="73">
        <v>3.12</v>
      </c>
      <c r="N14" s="104">
        <v>3.12</v>
      </c>
      <c r="O14" s="57">
        <v>7000</v>
      </c>
      <c r="P14" s="58">
        <f t="shared" si="0"/>
        <v>21840</v>
      </c>
    </row>
    <row r="15" spans="1:16" ht="29.25" customHeight="1" x14ac:dyDescent="0.2">
      <c r="A15" s="100"/>
      <c r="B15" s="100"/>
      <c r="C15" s="15" t="s">
        <v>1605</v>
      </c>
      <c r="D15" s="70" t="s">
        <v>57</v>
      </c>
      <c r="E15" s="12">
        <v>44541</v>
      </c>
      <c r="F15" s="68" t="s">
        <v>59</v>
      </c>
      <c r="G15" s="12">
        <v>44548</v>
      </c>
      <c r="H15" s="125" t="s">
        <v>1619</v>
      </c>
      <c r="I15" s="15">
        <v>26</v>
      </c>
      <c r="J15" s="15">
        <v>24</v>
      </c>
      <c r="K15" s="15">
        <v>13</v>
      </c>
      <c r="L15" s="15">
        <v>1</v>
      </c>
      <c r="M15" s="73">
        <v>2.028</v>
      </c>
      <c r="N15" s="104">
        <v>2.028</v>
      </c>
      <c r="O15" s="57">
        <v>7000</v>
      </c>
      <c r="P15" s="58">
        <f t="shared" si="0"/>
        <v>14196</v>
      </c>
    </row>
    <row r="16" spans="1:16" ht="29.25" customHeight="1" x14ac:dyDescent="0.2">
      <c r="A16" s="100"/>
      <c r="B16" s="100"/>
      <c r="C16" s="15" t="s">
        <v>1606</v>
      </c>
      <c r="D16" s="70" t="s">
        <v>57</v>
      </c>
      <c r="E16" s="12">
        <v>44541</v>
      </c>
      <c r="F16" s="68" t="s">
        <v>59</v>
      </c>
      <c r="G16" s="12">
        <v>44548</v>
      </c>
      <c r="H16" s="125" t="s">
        <v>1619</v>
      </c>
      <c r="I16" s="15">
        <v>33</v>
      </c>
      <c r="J16" s="15">
        <v>33</v>
      </c>
      <c r="K16" s="15">
        <v>17</v>
      </c>
      <c r="L16" s="15">
        <v>1</v>
      </c>
      <c r="M16" s="73">
        <v>4.6282500000000004</v>
      </c>
      <c r="N16" s="104">
        <v>4.6282500000000004</v>
      </c>
      <c r="O16" s="57">
        <v>7000</v>
      </c>
      <c r="P16" s="58">
        <f t="shared" si="0"/>
        <v>32397.750000000004</v>
      </c>
    </row>
    <row r="17" spans="1:16" ht="29.25" customHeight="1" x14ac:dyDescent="0.2">
      <c r="A17" s="100"/>
      <c r="B17" s="100"/>
      <c r="C17" s="15" t="s">
        <v>1607</v>
      </c>
      <c r="D17" s="70" t="s">
        <v>57</v>
      </c>
      <c r="E17" s="12">
        <v>44541</v>
      </c>
      <c r="F17" s="68" t="s">
        <v>59</v>
      </c>
      <c r="G17" s="12">
        <v>44548</v>
      </c>
      <c r="H17" s="125" t="s">
        <v>1619</v>
      </c>
      <c r="I17" s="15">
        <v>60</v>
      </c>
      <c r="J17" s="15">
        <v>38</v>
      </c>
      <c r="K17" s="15">
        <v>30</v>
      </c>
      <c r="L17" s="15">
        <v>4</v>
      </c>
      <c r="M17" s="73">
        <v>17.100000000000001</v>
      </c>
      <c r="N17" s="104">
        <v>17.100000000000001</v>
      </c>
      <c r="O17" s="57">
        <v>7000</v>
      </c>
      <c r="P17" s="58">
        <f t="shared" si="0"/>
        <v>119700.00000000001</v>
      </c>
    </row>
    <row r="18" spans="1:16" ht="29.25" customHeight="1" x14ac:dyDescent="0.2">
      <c r="A18" s="100"/>
      <c r="B18" s="100"/>
      <c r="C18" s="15" t="s">
        <v>1608</v>
      </c>
      <c r="D18" s="70" t="s">
        <v>57</v>
      </c>
      <c r="E18" s="12">
        <v>44541</v>
      </c>
      <c r="F18" s="68" t="s">
        <v>59</v>
      </c>
      <c r="G18" s="12">
        <v>44548</v>
      </c>
      <c r="H18" s="125" t="s">
        <v>1619</v>
      </c>
      <c r="I18" s="15">
        <v>46</v>
      </c>
      <c r="J18" s="15">
        <v>36</v>
      </c>
      <c r="K18" s="15">
        <v>33</v>
      </c>
      <c r="L18" s="15">
        <v>10</v>
      </c>
      <c r="M18" s="73">
        <v>13.662000000000001</v>
      </c>
      <c r="N18" s="104">
        <v>13.662000000000001</v>
      </c>
      <c r="O18" s="57">
        <v>7000</v>
      </c>
      <c r="P18" s="58">
        <f t="shared" si="0"/>
        <v>95634</v>
      </c>
    </row>
    <row r="19" spans="1:16" ht="29.25" customHeight="1" x14ac:dyDescent="0.2">
      <c r="A19" s="100"/>
      <c r="B19" s="100"/>
      <c r="C19" s="15" t="s">
        <v>1609</v>
      </c>
      <c r="D19" s="70" t="s">
        <v>57</v>
      </c>
      <c r="E19" s="12">
        <v>44541</v>
      </c>
      <c r="F19" s="68" t="s">
        <v>59</v>
      </c>
      <c r="G19" s="12">
        <v>44548</v>
      </c>
      <c r="H19" s="125" t="s">
        <v>1619</v>
      </c>
      <c r="I19" s="15">
        <v>204</v>
      </c>
      <c r="J19" s="15">
        <v>63</v>
      </c>
      <c r="K19" s="15">
        <v>13</v>
      </c>
      <c r="L19" s="15">
        <v>40</v>
      </c>
      <c r="M19" s="73">
        <v>41.768999999999998</v>
      </c>
      <c r="N19" s="104">
        <v>41.768999999999998</v>
      </c>
      <c r="O19" s="57">
        <v>7000</v>
      </c>
      <c r="P19" s="58">
        <f t="shared" si="0"/>
        <v>292383</v>
      </c>
    </row>
    <row r="20" spans="1:16" ht="29.25" customHeight="1" x14ac:dyDescent="0.2">
      <c r="A20" s="100"/>
      <c r="B20" s="100"/>
      <c r="C20" s="15" t="s">
        <v>1610</v>
      </c>
      <c r="D20" s="70" t="s">
        <v>57</v>
      </c>
      <c r="E20" s="12">
        <v>44541</v>
      </c>
      <c r="F20" s="68" t="s">
        <v>59</v>
      </c>
      <c r="G20" s="12">
        <v>44548</v>
      </c>
      <c r="H20" s="125" t="s">
        <v>1619</v>
      </c>
      <c r="I20" s="15">
        <v>84</v>
      </c>
      <c r="J20" s="15">
        <v>56</v>
      </c>
      <c r="K20" s="15">
        <v>28</v>
      </c>
      <c r="L20" s="15">
        <v>16</v>
      </c>
      <c r="M20" s="73">
        <v>32.927999999999997</v>
      </c>
      <c r="N20" s="104">
        <v>32.927999999999997</v>
      </c>
      <c r="O20" s="57">
        <v>7000</v>
      </c>
      <c r="P20" s="58">
        <f t="shared" si="0"/>
        <v>230495.99999999997</v>
      </c>
    </row>
    <row r="21" spans="1:16" ht="29.25" customHeight="1" x14ac:dyDescent="0.2">
      <c r="A21" s="100"/>
      <c r="B21" s="100"/>
      <c r="C21" s="15" t="s">
        <v>1611</v>
      </c>
      <c r="D21" s="70" t="s">
        <v>57</v>
      </c>
      <c r="E21" s="12">
        <v>44541</v>
      </c>
      <c r="F21" s="68" t="s">
        <v>59</v>
      </c>
      <c r="G21" s="12">
        <v>44548</v>
      </c>
      <c r="H21" s="125" t="s">
        <v>1619</v>
      </c>
      <c r="I21" s="15">
        <v>40</v>
      </c>
      <c r="J21" s="15">
        <v>37</v>
      </c>
      <c r="K21" s="15">
        <v>23</v>
      </c>
      <c r="L21" s="15">
        <v>11</v>
      </c>
      <c r="M21" s="73">
        <v>8.51</v>
      </c>
      <c r="N21" s="104">
        <v>11</v>
      </c>
      <c r="O21" s="57">
        <v>7000</v>
      </c>
      <c r="P21" s="58">
        <f t="shared" si="0"/>
        <v>77000</v>
      </c>
    </row>
    <row r="22" spans="1:16" ht="29.25" customHeight="1" x14ac:dyDescent="0.2">
      <c r="A22" s="100"/>
      <c r="B22" s="100"/>
      <c r="C22" s="15" t="s">
        <v>1612</v>
      </c>
      <c r="D22" s="70" t="s">
        <v>57</v>
      </c>
      <c r="E22" s="12">
        <v>44541</v>
      </c>
      <c r="F22" s="68" t="s">
        <v>59</v>
      </c>
      <c r="G22" s="12">
        <v>44548</v>
      </c>
      <c r="H22" s="125" t="s">
        <v>1619</v>
      </c>
      <c r="I22" s="15">
        <v>64</v>
      </c>
      <c r="J22" s="15">
        <v>57</v>
      </c>
      <c r="K22" s="15">
        <v>24</v>
      </c>
      <c r="L22" s="15">
        <v>3</v>
      </c>
      <c r="M22" s="73">
        <v>21.888000000000002</v>
      </c>
      <c r="N22" s="104">
        <v>21.888000000000002</v>
      </c>
      <c r="O22" s="57">
        <v>7000</v>
      </c>
      <c r="P22" s="58">
        <f t="shared" si="0"/>
        <v>153216</v>
      </c>
    </row>
    <row r="23" spans="1:16" ht="29.25" customHeight="1" x14ac:dyDescent="0.2">
      <c r="A23" s="100"/>
      <c r="B23" s="100"/>
      <c r="C23" s="15" t="s">
        <v>1613</v>
      </c>
      <c r="D23" s="70" t="s">
        <v>57</v>
      </c>
      <c r="E23" s="12">
        <v>44541</v>
      </c>
      <c r="F23" s="68" t="s">
        <v>59</v>
      </c>
      <c r="G23" s="12">
        <v>44548</v>
      </c>
      <c r="H23" s="125" t="s">
        <v>1619</v>
      </c>
      <c r="I23" s="15">
        <v>62</v>
      </c>
      <c r="J23" s="15">
        <v>40</v>
      </c>
      <c r="K23" s="15">
        <v>22</v>
      </c>
      <c r="L23" s="15">
        <v>5</v>
      </c>
      <c r="M23" s="73">
        <v>13.64</v>
      </c>
      <c r="N23" s="104">
        <v>13.64</v>
      </c>
      <c r="O23" s="57">
        <v>7000</v>
      </c>
      <c r="P23" s="58">
        <f t="shared" si="0"/>
        <v>95480</v>
      </c>
    </row>
    <row r="24" spans="1:16" ht="29.25" customHeight="1" x14ac:dyDescent="0.2">
      <c r="A24" s="100"/>
      <c r="B24" s="100"/>
      <c r="C24" s="15" t="s">
        <v>1614</v>
      </c>
      <c r="D24" s="70" t="s">
        <v>57</v>
      </c>
      <c r="E24" s="12">
        <v>44541</v>
      </c>
      <c r="F24" s="68" t="s">
        <v>59</v>
      </c>
      <c r="G24" s="12">
        <v>44548</v>
      </c>
      <c r="H24" s="125" t="s">
        <v>1619</v>
      </c>
      <c r="I24" s="15">
        <v>102</v>
      </c>
      <c r="J24" s="15">
        <v>56</v>
      </c>
      <c r="K24" s="15">
        <v>26</v>
      </c>
      <c r="L24" s="15">
        <v>19</v>
      </c>
      <c r="M24" s="73">
        <v>37.128</v>
      </c>
      <c r="N24" s="104">
        <v>37.128</v>
      </c>
      <c r="O24" s="57">
        <v>7000</v>
      </c>
      <c r="P24" s="58">
        <f t="shared" si="0"/>
        <v>259896</v>
      </c>
    </row>
    <row r="25" spans="1:16" ht="29.25" customHeight="1" x14ac:dyDescent="0.2">
      <c r="A25" s="100"/>
      <c r="B25" s="101"/>
      <c r="C25" s="15" t="s">
        <v>1615</v>
      </c>
      <c r="D25" s="70" t="s">
        <v>57</v>
      </c>
      <c r="E25" s="12">
        <v>44541</v>
      </c>
      <c r="F25" s="68" t="s">
        <v>59</v>
      </c>
      <c r="G25" s="12">
        <v>44548</v>
      </c>
      <c r="H25" s="125" t="s">
        <v>1619</v>
      </c>
      <c r="I25" s="15">
        <v>60</v>
      </c>
      <c r="J25" s="15">
        <v>26</v>
      </c>
      <c r="K25" s="15">
        <v>23</v>
      </c>
      <c r="L25" s="15">
        <v>12</v>
      </c>
      <c r="M25" s="73">
        <v>8.9700000000000006</v>
      </c>
      <c r="N25" s="104">
        <v>12</v>
      </c>
      <c r="O25" s="57">
        <v>7000</v>
      </c>
      <c r="P25" s="58">
        <f t="shared" si="0"/>
        <v>84000</v>
      </c>
    </row>
    <row r="26" spans="1:16" ht="29.25" customHeight="1" x14ac:dyDescent="0.2">
      <c r="A26" s="100"/>
      <c r="B26" s="100" t="s">
        <v>1616</v>
      </c>
      <c r="C26" s="15" t="s">
        <v>1617</v>
      </c>
      <c r="D26" s="70" t="s">
        <v>57</v>
      </c>
      <c r="E26" s="12">
        <v>44541</v>
      </c>
      <c r="F26" s="68" t="s">
        <v>59</v>
      </c>
      <c r="G26" s="12">
        <v>44548</v>
      </c>
      <c r="H26" s="125" t="s">
        <v>1619</v>
      </c>
      <c r="I26" s="15">
        <v>56</v>
      </c>
      <c r="J26" s="15">
        <v>35</v>
      </c>
      <c r="K26" s="15">
        <v>46</v>
      </c>
      <c r="L26" s="15">
        <v>9</v>
      </c>
      <c r="M26" s="73">
        <v>22.54</v>
      </c>
      <c r="N26" s="104">
        <v>22.54</v>
      </c>
      <c r="O26" s="57">
        <v>7000</v>
      </c>
      <c r="P26" s="58">
        <f t="shared" si="0"/>
        <v>157780</v>
      </c>
    </row>
    <row r="27" spans="1:16" ht="29.25" customHeight="1" x14ac:dyDescent="0.2">
      <c r="A27" s="100"/>
      <c r="B27" s="100"/>
      <c r="C27" s="15" t="s">
        <v>1618</v>
      </c>
      <c r="D27" s="70" t="s">
        <v>57</v>
      </c>
      <c r="E27" s="12">
        <v>44541</v>
      </c>
      <c r="F27" s="68" t="s">
        <v>59</v>
      </c>
      <c r="G27" s="12">
        <v>44548</v>
      </c>
      <c r="H27" s="125" t="s">
        <v>1619</v>
      </c>
      <c r="I27" s="15">
        <v>30</v>
      </c>
      <c r="J27" s="15">
        <v>20</v>
      </c>
      <c r="K27" s="15">
        <v>11</v>
      </c>
      <c r="L27" s="15">
        <v>1</v>
      </c>
      <c r="M27" s="73">
        <v>1.65</v>
      </c>
      <c r="N27" s="104">
        <v>2</v>
      </c>
      <c r="O27" s="57">
        <v>7000</v>
      </c>
      <c r="P27" s="58">
        <f>Table22457891011234567891011121314151617181920212223242526272829[[#This Row],[PEMBULATAN]]*O27</f>
        <v>14000</v>
      </c>
    </row>
    <row r="28" spans="1:16" ht="22.5" customHeight="1" x14ac:dyDescent="0.2">
      <c r="A28" s="159" t="s">
        <v>30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1"/>
      <c r="M28" s="71">
        <f>SUBTOTAL(109,Table22457891011234567891011121314151617181920212223242526272829[KG VOLUME])</f>
        <v>458.04574999999994</v>
      </c>
      <c r="N28" s="61">
        <f>SUM(N3:N27)</f>
        <v>468.56074999999998</v>
      </c>
      <c r="O28" s="162">
        <f>SUM(P3:P27)</f>
        <v>3279925.25</v>
      </c>
      <c r="P28" s="163"/>
    </row>
    <row r="29" spans="1:16" ht="18" customHeight="1" x14ac:dyDescent="0.2">
      <c r="A29" s="78"/>
      <c r="B29" s="49" t="s">
        <v>42</v>
      </c>
      <c r="C29" s="48"/>
      <c r="D29" s="50" t="s">
        <v>43</v>
      </c>
      <c r="E29" s="78"/>
      <c r="F29" s="78"/>
      <c r="G29" s="78"/>
      <c r="H29" s="78"/>
      <c r="I29" s="78"/>
      <c r="J29" s="78"/>
      <c r="K29" s="78"/>
      <c r="L29" s="78"/>
      <c r="M29" s="79"/>
      <c r="N29" s="80" t="s">
        <v>52</v>
      </c>
      <c r="O29" s="81"/>
      <c r="P29" s="81">
        <v>0</v>
      </c>
    </row>
    <row r="30" spans="1:16" ht="18" customHeight="1" thickBot="1" x14ac:dyDescent="0.25">
      <c r="A30" s="78"/>
      <c r="B30" s="49"/>
      <c r="C30" s="48"/>
      <c r="D30" s="50"/>
      <c r="E30" s="78"/>
      <c r="F30" s="78"/>
      <c r="G30" s="78"/>
      <c r="H30" s="78"/>
      <c r="I30" s="78"/>
      <c r="J30" s="78"/>
      <c r="K30" s="78"/>
      <c r="L30" s="78"/>
      <c r="M30" s="79"/>
      <c r="N30" s="82" t="s">
        <v>53</v>
      </c>
      <c r="O30" s="83"/>
      <c r="P30" s="83">
        <f>O28-P29</f>
        <v>3279925.25</v>
      </c>
    </row>
    <row r="31" spans="1:16" ht="18" customHeight="1" x14ac:dyDescent="0.2">
      <c r="A31" s="10"/>
      <c r="H31" s="56"/>
      <c r="N31" s="55" t="s">
        <v>31</v>
      </c>
      <c r="P31" s="62">
        <f>P30*1%</f>
        <v>32799.252500000002</v>
      </c>
    </row>
    <row r="32" spans="1:16" ht="18" customHeight="1" thickBot="1" x14ac:dyDescent="0.25">
      <c r="A32" s="10"/>
      <c r="H32" s="56"/>
      <c r="N32" s="55" t="s">
        <v>54</v>
      </c>
      <c r="P32" s="64">
        <f>P30*2%</f>
        <v>65598.505000000005</v>
      </c>
    </row>
    <row r="33" spans="1:16" ht="18" customHeight="1" x14ac:dyDescent="0.2">
      <c r="A33" s="10"/>
      <c r="H33" s="56"/>
      <c r="N33" s="59" t="s">
        <v>32</v>
      </c>
      <c r="O33" s="60"/>
      <c r="P33" s="63">
        <f>P30+P31-P32</f>
        <v>3247125.9975000001</v>
      </c>
    </row>
    <row r="35" spans="1:16" x14ac:dyDescent="0.2">
      <c r="A35" s="10"/>
      <c r="H35" s="56"/>
      <c r="P35" s="64"/>
    </row>
    <row r="36" spans="1:16" x14ac:dyDescent="0.2">
      <c r="A36" s="10"/>
      <c r="H36" s="56"/>
      <c r="O36" s="51"/>
      <c r="P36" s="6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</sheetData>
  <mergeCells count="2">
    <mergeCell ref="A28:L28"/>
    <mergeCell ref="O28:P28"/>
  </mergeCells>
  <conditionalFormatting sqref="C3:C27">
    <cfRule type="duplicateValues" dxfId="1151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1"/>
  <sheetViews>
    <sheetView zoomScale="106" zoomScaleNormal="106" workbookViewId="0">
      <pane xSplit="3" ySplit="2" topLeftCell="D46" activePane="bottomRight" state="frozen"/>
      <selection activeCell="H12" sqref="H12"/>
      <selection pane="topRight" activeCell="H12" sqref="H12"/>
      <selection pane="bottomLeft" activeCell="H12" sqref="H12"/>
      <selection pane="bottomRight" activeCell="F48" sqref="F48"/>
    </sheetView>
  </sheetViews>
  <sheetFormatPr defaultRowHeight="15" x14ac:dyDescent="0.2"/>
  <cols>
    <col min="1" max="1" width="8" style="4" customWidth="1"/>
    <col min="2" max="2" width="20.42578125" style="2" customWidth="1"/>
    <col min="3" max="3" width="15.710937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3.25" customHeight="1" x14ac:dyDescent="0.2">
      <c r="A3" s="108">
        <v>403743</v>
      </c>
      <c r="B3" s="66" t="s">
        <v>73</v>
      </c>
      <c r="C3" s="8" t="s">
        <v>74</v>
      </c>
      <c r="D3" s="68" t="s">
        <v>57</v>
      </c>
      <c r="E3" s="12">
        <v>44531</v>
      </c>
      <c r="F3" s="68" t="s">
        <v>71</v>
      </c>
      <c r="G3" s="12">
        <v>44535</v>
      </c>
      <c r="H3" s="9" t="s">
        <v>72</v>
      </c>
      <c r="I3" s="1">
        <v>84</v>
      </c>
      <c r="J3" s="1">
        <v>71</v>
      </c>
      <c r="K3" s="1">
        <v>41</v>
      </c>
      <c r="L3" s="1">
        <v>11</v>
      </c>
      <c r="M3" s="72">
        <v>61.131</v>
      </c>
      <c r="N3" s="88">
        <v>61.131</v>
      </c>
      <c r="O3" s="57">
        <v>7000</v>
      </c>
      <c r="P3" s="58">
        <f>N3*O3</f>
        <v>427917</v>
      </c>
    </row>
    <row r="4" spans="1:16" ht="23.25" customHeight="1" x14ac:dyDescent="0.2">
      <c r="A4" s="124"/>
      <c r="B4" s="67"/>
      <c r="C4" s="65" t="s">
        <v>75</v>
      </c>
      <c r="D4" s="70" t="s">
        <v>57</v>
      </c>
      <c r="E4" s="12">
        <v>44531</v>
      </c>
      <c r="F4" s="68" t="s">
        <v>71</v>
      </c>
      <c r="G4" s="12">
        <v>44535</v>
      </c>
      <c r="H4" s="69" t="s">
        <v>72</v>
      </c>
      <c r="I4" s="15">
        <v>64</v>
      </c>
      <c r="J4" s="15">
        <v>35</v>
      </c>
      <c r="K4" s="15">
        <v>28</v>
      </c>
      <c r="L4" s="15">
        <v>14</v>
      </c>
      <c r="M4" s="73">
        <v>15.68</v>
      </c>
      <c r="N4" s="88">
        <v>15.68</v>
      </c>
      <c r="O4" s="57">
        <v>7000</v>
      </c>
      <c r="P4" s="58">
        <f>N4*O4</f>
        <v>109760</v>
      </c>
    </row>
    <row r="5" spans="1:16" ht="23.25" customHeight="1" x14ac:dyDescent="0.2">
      <c r="A5" s="124"/>
      <c r="B5" s="67"/>
      <c r="C5" s="65" t="s">
        <v>76</v>
      </c>
      <c r="D5" s="70" t="s">
        <v>57</v>
      </c>
      <c r="E5" s="12">
        <v>44531</v>
      </c>
      <c r="F5" s="68" t="s">
        <v>71</v>
      </c>
      <c r="G5" s="12">
        <v>44535</v>
      </c>
      <c r="H5" s="69" t="s">
        <v>72</v>
      </c>
      <c r="I5" s="15">
        <v>61</v>
      </c>
      <c r="J5" s="15">
        <v>51</v>
      </c>
      <c r="K5" s="15">
        <v>18</v>
      </c>
      <c r="L5" s="15">
        <v>12</v>
      </c>
      <c r="M5" s="73">
        <v>13.999499999999999</v>
      </c>
      <c r="N5" s="88">
        <v>13.999499999999999</v>
      </c>
      <c r="O5" s="57">
        <v>7000</v>
      </c>
      <c r="P5" s="58">
        <f t="shared" ref="P5:P50" si="0">N5*O5</f>
        <v>97996.5</v>
      </c>
    </row>
    <row r="6" spans="1:16" ht="23.25" customHeight="1" x14ac:dyDescent="0.2">
      <c r="A6" s="124"/>
      <c r="B6" s="67"/>
      <c r="C6" s="65" t="s">
        <v>77</v>
      </c>
      <c r="D6" s="70" t="s">
        <v>57</v>
      </c>
      <c r="E6" s="12">
        <v>44531</v>
      </c>
      <c r="F6" s="68" t="s">
        <v>71</v>
      </c>
      <c r="G6" s="12">
        <v>44535</v>
      </c>
      <c r="H6" s="69" t="s">
        <v>72</v>
      </c>
      <c r="I6" s="15">
        <v>48</v>
      </c>
      <c r="J6" s="15">
        <v>20</v>
      </c>
      <c r="K6" s="15">
        <v>41</v>
      </c>
      <c r="L6" s="15">
        <v>4</v>
      </c>
      <c r="M6" s="73">
        <v>9.84</v>
      </c>
      <c r="N6" s="88">
        <v>9.84</v>
      </c>
      <c r="O6" s="57">
        <v>7000</v>
      </c>
      <c r="P6" s="58">
        <f t="shared" si="0"/>
        <v>68880</v>
      </c>
    </row>
    <row r="7" spans="1:16" ht="23.25" customHeight="1" x14ac:dyDescent="0.2">
      <c r="A7" s="124"/>
      <c r="B7" s="67"/>
      <c r="C7" s="65" t="s">
        <v>78</v>
      </c>
      <c r="D7" s="70" t="s">
        <v>57</v>
      </c>
      <c r="E7" s="12">
        <v>44531</v>
      </c>
      <c r="F7" s="68" t="s">
        <v>71</v>
      </c>
      <c r="G7" s="12">
        <v>44535</v>
      </c>
      <c r="H7" s="69" t="s">
        <v>72</v>
      </c>
      <c r="I7" s="15">
        <v>38</v>
      </c>
      <c r="J7" s="15">
        <v>38</v>
      </c>
      <c r="K7" s="15">
        <v>27</v>
      </c>
      <c r="L7" s="15">
        <v>13</v>
      </c>
      <c r="M7" s="73">
        <v>9.7469999999999999</v>
      </c>
      <c r="N7" s="88">
        <v>13</v>
      </c>
      <c r="O7" s="57">
        <v>7000</v>
      </c>
      <c r="P7" s="58">
        <f t="shared" si="0"/>
        <v>91000</v>
      </c>
    </row>
    <row r="8" spans="1:16" ht="23.25" customHeight="1" x14ac:dyDescent="0.2">
      <c r="A8" s="124"/>
      <c r="B8" s="67"/>
      <c r="C8" s="65" t="s">
        <v>79</v>
      </c>
      <c r="D8" s="70" t="s">
        <v>57</v>
      </c>
      <c r="E8" s="12">
        <v>44531</v>
      </c>
      <c r="F8" s="68" t="s">
        <v>71</v>
      </c>
      <c r="G8" s="12">
        <v>44535</v>
      </c>
      <c r="H8" s="69" t="s">
        <v>72</v>
      </c>
      <c r="I8" s="15">
        <v>55</v>
      </c>
      <c r="J8" s="15">
        <v>55</v>
      </c>
      <c r="K8" s="15">
        <v>15</v>
      </c>
      <c r="L8" s="15">
        <v>5</v>
      </c>
      <c r="M8" s="73">
        <v>11.34375</v>
      </c>
      <c r="N8" s="88">
        <v>12</v>
      </c>
      <c r="O8" s="57">
        <v>7000</v>
      </c>
      <c r="P8" s="58">
        <f t="shared" si="0"/>
        <v>84000</v>
      </c>
    </row>
    <row r="9" spans="1:16" ht="23.25" customHeight="1" x14ac:dyDescent="0.2">
      <c r="A9" s="124"/>
      <c r="B9" s="67"/>
      <c r="C9" s="65" t="s">
        <v>80</v>
      </c>
      <c r="D9" s="70" t="s">
        <v>57</v>
      </c>
      <c r="E9" s="12">
        <v>44531</v>
      </c>
      <c r="F9" s="68" t="s">
        <v>71</v>
      </c>
      <c r="G9" s="12">
        <v>44535</v>
      </c>
      <c r="H9" s="69" t="s">
        <v>72</v>
      </c>
      <c r="I9" s="15">
        <v>40</v>
      </c>
      <c r="J9" s="15">
        <v>18</v>
      </c>
      <c r="K9" s="15">
        <v>27</v>
      </c>
      <c r="L9" s="15">
        <v>20</v>
      </c>
      <c r="M9" s="73">
        <v>4.8600000000000003</v>
      </c>
      <c r="N9" s="88">
        <v>20</v>
      </c>
      <c r="O9" s="57">
        <v>7000</v>
      </c>
      <c r="P9" s="58">
        <f t="shared" si="0"/>
        <v>140000</v>
      </c>
    </row>
    <row r="10" spans="1:16" ht="23.25" customHeight="1" x14ac:dyDescent="0.2">
      <c r="A10" s="124"/>
      <c r="B10" s="67"/>
      <c r="C10" s="65" t="s">
        <v>81</v>
      </c>
      <c r="D10" s="70" t="s">
        <v>57</v>
      </c>
      <c r="E10" s="12">
        <v>44531</v>
      </c>
      <c r="F10" s="68" t="s">
        <v>71</v>
      </c>
      <c r="G10" s="12">
        <v>44535</v>
      </c>
      <c r="H10" s="69" t="s">
        <v>72</v>
      </c>
      <c r="I10" s="15">
        <v>61</v>
      </c>
      <c r="J10" s="15">
        <v>42</v>
      </c>
      <c r="K10" s="15">
        <v>12</v>
      </c>
      <c r="L10" s="15">
        <v>8</v>
      </c>
      <c r="M10" s="73">
        <v>7.6859999999999999</v>
      </c>
      <c r="N10" s="88">
        <v>8</v>
      </c>
      <c r="O10" s="57">
        <v>7000</v>
      </c>
      <c r="P10" s="58">
        <f t="shared" si="0"/>
        <v>56000</v>
      </c>
    </row>
    <row r="11" spans="1:16" ht="23.25" customHeight="1" x14ac:dyDescent="0.2">
      <c r="A11" s="124"/>
      <c r="B11" s="67"/>
      <c r="C11" s="65" t="s">
        <v>82</v>
      </c>
      <c r="D11" s="70" t="s">
        <v>57</v>
      </c>
      <c r="E11" s="12">
        <v>44531</v>
      </c>
      <c r="F11" s="68" t="s">
        <v>71</v>
      </c>
      <c r="G11" s="12">
        <v>44535</v>
      </c>
      <c r="H11" s="69" t="s">
        <v>72</v>
      </c>
      <c r="I11" s="15">
        <v>40</v>
      </c>
      <c r="J11" s="15">
        <v>28</v>
      </c>
      <c r="K11" s="15">
        <v>24</v>
      </c>
      <c r="L11" s="15">
        <v>11</v>
      </c>
      <c r="M11" s="73">
        <v>6.72</v>
      </c>
      <c r="N11" s="88">
        <v>11</v>
      </c>
      <c r="O11" s="57">
        <v>7000</v>
      </c>
      <c r="P11" s="58">
        <f t="shared" si="0"/>
        <v>77000</v>
      </c>
    </row>
    <row r="12" spans="1:16" ht="23.25" customHeight="1" x14ac:dyDescent="0.2">
      <c r="A12" s="124"/>
      <c r="B12" s="67"/>
      <c r="C12" s="65" t="s">
        <v>83</v>
      </c>
      <c r="D12" s="70" t="s">
        <v>57</v>
      </c>
      <c r="E12" s="12">
        <v>44531</v>
      </c>
      <c r="F12" s="68" t="s">
        <v>71</v>
      </c>
      <c r="G12" s="12">
        <v>44535</v>
      </c>
      <c r="H12" s="69" t="s">
        <v>72</v>
      </c>
      <c r="I12" s="15">
        <v>54</v>
      </c>
      <c r="J12" s="15">
        <v>42</v>
      </c>
      <c r="K12" s="15">
        <v>23</v>
      </c>
      <c r="L12" s="15">
        <v>16</v>
      </c>
      <c r="M12" s="73">
        <v>13.041</v>
      </c>
      <c r="N12" s="88">
        <v>16</v>
      </c>
      <c r="O12" s="57">
        <v>7000</v>
      </c>
      <c r="P12" s="58">
        <f t="shared" si="0"/>
        <v>112000</v>
      </c>
    </row>
    <row r="13" spans="1:16" ht="23.25" customHeight="1" x14ac:dyDescent="0.2">
      <c r="A13" s="124"/>
      <c r="B13" s="67"/>
      <c r="C13" s="65" t="s">
        <v>84</v>
      </c>
      <c r="D13" s="70" t="s">
        <v>57</v>
      </c>
      <c r="E13" s="12">
        <v>44531</v>
      </c>
      <c r="F13" s="68" t="s">
        <v>71</v>
      </c>
      <c r="G13" s="12">
        <v>44535</v>
      </c>
      <c r="H13" s="69" t="s">
        <v>72</v>
      </c>
      <c r="I13" s="15">
        <v>52</v>
      </c>
      <c r="J13" s="15">
        <v>45</v>
      </c>
      <c r="K13" s="15">
        <v>20</v>
      </c>
      <c r="L13" s="15">
        <v>8</v>
      </c>
      <c r="M13" s="73">
        <v>11.7</v>
      </c>
      <c r="N13" s="88">
        <v>11.7</v>
      </c>
      <c r="O13" s="57">
        <v>7000</v>
      </c>
      <c r="P13" s="58">
        <f t="shared" si="0"/>
        <v>81900</v>
      </c>
    </row>
    <row r="14" spans="1:16" ht="23.25" customHeight="1" x14ac:dyDescent="0.2">
      <c r="A14" s="124"/>
      <c r="B14" s="67"/>
      <c r="C14" s="65" t="s">
        <v>85</v>
      </c>
      <c r="D14" s="70" t="s">
        <v>57</v>
      </c>
      <c r="E14" s="12">
        <v>44531</v>
      </c>
      <c r="F14" s="68" t="s">
        <v>71</v>
      </c>
      <c r="G14" s="12">
        <v>44535</v>
      </c>
      <c r="H14" s="69" t="s">
        <v>72</v>
      </c>
      <c r="I14" s="15">
        <v>68</v>
      </c>
      <c r="J14" s="15">
        <v>21</v>
      </c>
      <c r="K14" s="15">
        <v>24</v>
      </c>
      <c r="L14" s="15">
        <v>8</v>
      </c>
      <c r="M14" s="73">
        <v>8.5679999999999996</v>
      </c>
      <c r="N14" s="88">
        <v>8.5679999999999996</v>
      </c>
      <c r="O14" s="57">
        <v>7000</v>
      </c>
      <c r="P14" s="58">
        <f t="shared" si="0"/>
        <v>59976</v>
      </c>
    </row>
    <row r="15" spans="1:16" ht="23.25" customHeight="1" x14ac:dyDescent="0.2">
      <c r="A15" s="124"/>
      <c r="B15" s="67"/>
      <c r="C15" s="65" t="s">
        <v>86</v>
      </c>
      <c r="D15" s="70" t="s">
        <v>57</v>
      </c>
      <c r="E15" s="12">
        <v>44531</v>
      </c>
      <c r="F15" s="68" t="s">
        <v>71</v>
      </c>
      <c r="G15" s="12">
        <v>44535</v>
      </c>
      <c r="H15" s="69" t="s">
        <v>72</v>
      </c>
      <c r="I15" s="15">
        <v>42</v>
      </c>
      <c r="J15" s="15">
        <v>24</v>
      </c>
      <c r="K15" s="15">
        <v>21</v>
      </c>
      <c r="L15" s="15">
        <v>9</v>
      </c>
      <c r="M15" s="73">
        <v>5.2919999999999998</v>
      </c>
      <c r="N15" s="88">
        <v>9</v>
      </c>
      <c r="O15" s="57">
        <v>7000</v>
      </c>
      <c r="P15" s="58">
        <f t="shared" si="0"/>
        <v>63000</v>
      </c>
    </row>
    <row r="16" spans="1:16" ht="23.25" customHeight="1" x14ac:dyDescent="0.2">
      <c r="A16" s="124"/>
      <c r="B16" s="67"/>
      <c r="C16" s="65" t="s">
        <v>87</v>
      </c>
      <c r="D16" s="70" t="s">
        <v>57</v>
      </c>
      <c r="E16" s="12">
        <v>44531</v>
      </c>
      <c r="F16" s="68" t="s">
        <v>71</v>
      </c>
      <c r="G16" s="12">
        <v>44535</v>
      </c>
      <c r="H16" s="69" t="s">
        <v>72</v>
      </c>
      <c r="I16" s="15">
        <v>54</v>
      </c>
      <c r="J16" s="15">
        <v>46</v>
      </c>
      <c r="K16" s="15">
        <v>40</v>
      </c>
      <c r="L16" s="15">
        <v>8</v>
      </c>
      <c r="M16" s="73">
        <v>24.84</v>
      </c>
      <c r="N16" s="88">
        <v>24.84</v>
      </c>
      <c r="O16" s="57">
        <v>7000</v>
      </c>
      <c r="P16" s="58">
        <f t="shared" si="0"/>
        <v>173880</v>
      </c>
    </row>
    <row r="17" spans="1:16" ht="23.25" customHeight="1" x14ac:dyDescent="0.2">
      <c r="A17" s="124"/>
      <c r="B17" s="67"/>
      <c r="C17" s="65" t="s">
        <v>88</v>
      </c>
      <c r="D17" s="70" t="s">
        <v>57</v>
      </c>
      <c r="E17" s="12">
        <v>44531</v>
      </c>
      <c r="F17" s="68" t="s">
        <v>71</v>
      </c>
      <c r="G17" s="12">
        <v>44535</v>
      </c>
      <c r="H17" s="69" t="s">
        <v>72</v>
      </c>
      <c r="I17" s="15">
        <v>48</v>
      </c>
      <c r="J17" s="15">
        <v>44</v>
      </c>
      <c r="K17" s="15">
        <v>21</v>
      </c>
      <c r="L17" s="15">
        <v>8</v>
      </c>
      <c r="M17" s="73">
        <v>11.087999999999999</v>
      </c>
      <c r="N17" s="88">
        <v>11.087999999999999</v>
      </c>
      <c r="O17" s="57">
        <v>7000</v>
      </c>
      <c r="P17" s="58">
        <f t="shared" si="0"/>
        <v>77616</v>
      </c>
    </row>
    <row r="18" spans="1:16" ht="23.25" customHeight="1" x14ac:dyDescent="0.2">
      <c r="A18" s="124"/>
      <c r="B18" s="67"/>
      <c r="C18" s="65" t="s">
        <v>89</v>
      </c>
      <c r="D18" s="70" t="s">
        <v>57</v>
      </c>
      <c r="E18" s="12">
        <v>44531</v>
      </c>
      <c r="F18" s="68" t="s">
        <v>71</v>
      </c>
      <c r="G18" s="12">
        <v>44535</v>
      </c>
      <c r="H18" s="69" t="s">
        <v>72</v>
      </c>
      <c r="I18" s="15">
        <v>56</v>
      </c>
      <c r="J18" s="15">
        <v>48</v>
      </c>
      <c r="K18" s="15">
        <v>35</v>
      </c>
      <c r="L18" s="15" t="s">
        <v>124</v>
      </c>
      <c r="M18" s="73">
        <v>23.52</v>
      </c>
      <c r="N18" s="88">
        <v>23.52</v>
      </c>
      <c r="O18" s="57">
        <v>7000</v>
      </c>
      <c r="P18" s="58">
        <f t="shared" si="0"/>
        <v>164640</v>
      </c>
    </row>
    <row r="19" spans="1:16" ht="23.25" customHeight="1" x14ac:dyDescent="0.2">
      <c r="A19" s="124"/>
      <c r="B19" s="67"/>
      <c r="C19" s="65" t="s">
        <v>90</v>
      </c>
      <c r="D19" s="70" t="s">
        <v>57</v>
      </c>
      <c r="E19" s="12">
        <v>44531</v>
      </c>
      <c r="F19" s="68" t="s">
        <v>71</v>
      </c>
      <c r="G19" s="12">
        <v>44535</v>
      </c>
      <c r="H19" s="69" t="s">
        <v>72</v>
      </c>
      <c r="I19" s="15">
        <v>68</v>
      </c>
      <c r="J19" s="15">
        <v>42</v>
      </c>
      <c r="K19" s="15">
        <v>20</v>
      </c>
      <c r="L19" s="15">
        <v>11</v>
      </c>
      <c r="M19" s="73">
        <v>14.28</v>
      </c>
      <c r="N19" s="88">
        <v>14.28</v>
      </c>
      <c r="O19" s="57">
        <v>7000</v>
      </c>
      <c r="P19" s="58">
        <f t="shared" si="0"/>
        <v>99960</v>
      </c>
    </row>
    <row r="20" spans="1:16" ht="23.25" customHeight="1" x14ac:dyDescent="0.2">
      <c r="A20" s="124"/>
      <c r="B20" s="67"/>
      <c r="C20" s="65" t="s">
        <v>91</v>
      </c>
      <c r="D20" s="70" t="s">
        <v>57</v>
      </c>
      <c r="E20" s="12">
        <v>44531</v>
      </c>
      <c r="F20" s="68" t="s">
        <v>71</v>
      </c>
      <c r="G20" s="12">
        <v>44535</v>
      </c>
      <c r="H20" s="69" t="s">
        <v>72</v>
      </c>
      <c r="I20" s="15">
        <v>48</v>
      </c>
      <c r="J20" s="15">
        <v>36</v>
      </c>
      <c r="K20" s="15">
        <v>28</v>
      </c>
      <c r="L20" s="15">
        <v>14</v>
      </c>
      <c r="M20" s="73">
        <v>12.096</v>
      </c>
      <c r="N20" s="88">
        <v>14</v>
      </c>
      <c r="O20" s="57">
        <v>7000</v>
      </c>
      <c r="P20" s="58">
        <f t="shared" si="0"/>
        <v>98000</v>
      </c>
    </row>
    <row r="21" spans="1:16" ht="23.25" customHeight="1" x14ac:dyDescent="0.2">
      <c r="A21" s="124"/>
      <c r="B21" s="67"/>
      <c r="C21" s="65" t="s">
        <v>92</v>
      </c>
      <c r="D21" s="70" t="s">
        <v>57</v>
      </c>
      <c r="E21" s="12">
        <v>44531</v>
      </c>
      <c r="F21" s="68" t="s">
        <v>71</v>
      </c>
      <c r="G21" s="12">
        <v>44535</v>
      </c>
      <c r="H21" s="69" t="s">
        <v>72</v>
      </c>
      <c r="I21" s="15">
        <v>40</v>
      </c>
      <c r="J21" s="15">
        <v>32</v>
      </c>
      <c r="K21" s="15">
        <v>24</v>
      </c>
      <c r="L21" s="15">
        <v>5</v>
      </c>
      <c r="M21" s="73">
        <v>7.68</v>
      </c>
      <c r="N21" s="88">
        <v>7.68</v>
      </c>
      <c r="O21" s="57">
        <v>7000</v>
      </c>
      <c r="P21" s="58">
        <f t="shared" si="0"/>
        <v>53760</v>
      </c>
    </row>
    <row r="22" spans="1:16" ht="23.25" customHeight="1" x14ac:dyDescent="0.2">
      <c r="A22" s="124"/>
      <c r="B22" s="67"/>
      <c r="C22" s="65" t="s">
        <v>93</v>
      </c>
      <c r="D22" s="70" t="s">
        <v>57</v>
      </c>
      <c r="E22" s="12">
        <v>44531</v>
      </c>
      <c r="F22" s="68" t="s">
        <v>71</v>
      </c>
      <c r="G22" s="12">
        <v>44535</v>
      </c>
      <c r="H22" s="69" t="s">
        <v>72</v>
      </c>
      <c r="I22" s="15">
        <v>64</v>
      </c>
      <c r="J22" s="15">
        <v>32</v>
      </c>
      <c r="K22" s="15">
        <v>28</v>
      </c>
      <c r="L22" s="15">
        <v>10</v>
      </c>
      <c r="M22" s="73">
        <v>14.336</v>
      </c>
      <c r="N22" s="88">
        <v>15</v>
      </c>
      <c r="O22" s="57">
        <v>7000</v>
      </c>
      <c r="P22" s="58">
        <f t="shared" si="0"/>
        <v>105000</v>
      </c>
    </row>
    <row r="23" spans="1:16" ht="23.25" customHeight="1" x14ac:dyDescent="0.2">
      <c r="A23" s="124"/>
      <c r="B23" s="67"/>
      <c r="C23" s="65" t="s">
        <v>94</v>
      </c>
      <c r="D23" s="70" t="s">
        <v>57</v>
      </c>
      <c r="E23" s="12">
        <v>44531</v>
      </c>
      <c r="F23" s="68" t="s">
        <v>71</v>
      </c>
      <c r="G23" s="12">
        <v>44535</v>
      </c>
      <c r="H23" s="69" t="s">
        <v>72</v>
      </c>
      <c r="I23" s="15">
        <v>54</v>
      </c>
      <c r="J23" s="15">
        <v>34</v>
      </c>
      <c r="K23" s="15">
        <v>31</v>
      </c>
      <c r="L23" s="15">
        <v>14</v>
      </c>
      <c r="M23" s="73">
        <v>14.228999999999999</v>
      </c>
      <c r="N23" s="88">
        <v>14.228999999999999</v>
      </c>
      <c r="O23" s="57">
        <v>7000</v>
      </c>
      <c r="P23" s="58">
        <f t="shared" si="0"/>
        <v>99603</v>
      </c>
    </row>
    <row r="24" spans="1:16" ht="23.25" customHeight="1" x14ac:dyDescent="0.2">
      <c r="A24" s="124"/>
      <c r="B24" s="67"/>
      <c r="C24" s="65" t="s">
        <v>95</v>
      </c>
      <c r="D24" s="70" t="s">
        <v>57</v>
      </c>
      <c r="E24" s="12">
        <v>44531</v>
      </c>
      <c r="F24" s="68" t="s">
        <v>71</v>
      </c>
      <c r="G24" s="12">
        <v>44535</v>
      </c>
      <c r="H24" s="69" t="s">
        <v>72</v>
      </c>
      <c r="I24" s="15">
        <v>38</v>
      </c>
      <c r="J24" s="15">
        <v>34</v>
      </c>
      <c r="K24" s="15">
        <v>26</v>
      </c>
      <c r="L24" s="15">
        <v>5</v>
      </c>
      <c r="M24" s="73">
        <v>8.3979999999999997</v>
      </c>
      <c r="N24" s="88">
        <v>9</v>
      </c>
      <c r="O24" s="57">
        <v>7000</v>
      </c>
      <c r="P24" s="58">
        <f t="shared" si="0"/>
        <v>63000</v>
      </c>
    </row>
    <row r="25" spans="1:16" ht="23.25" customHeight="1" x14ac:dyDescent="0.2">
      <c r="A25" s="124"/>
      <c r="B25" s="67"/>
      <c r="C25" s="65" t="s">
        <v>96</v>
      </c>
      <c r="D25" s="70" t="s">
        <v>57</v>
      </c>
      <c r="E25" s="12">
        <v>44531</v>
      </c>
      <c r="F25" s="68" t="s">
        <v>71</v>
      </c>
      <c r="G25" s="12">
        <v>44535</v>
      </c>
      <c r="H25" s="69" t="s">
        <v>72</v>
      </c>
      <c r="I25" s="15">
        <v>64</v>
      </c>
      <c r="J25" s="15">
        <v>46</v>
      </c>
      <c r="K25" s="15">
        <v>32</v>
      </c>
      <c r="L25" s="15">
        <v>16</v>
      </c>
      <c r="M25" s="73">
        <v>23.552</v>
      </c>
      <c r="N25" s="88">
        <v>23.552</v>
      </c>
      <c r="O25" s="57">
        <v>7000</v>
      </c>
      <c r="P25" s="58">
        <f t="shared" si="0"/>
        <v>164864</v>
      </c>
    </row>
    <row r="26" spans="1:16" ht="23.25" customHeight="1" x14ac:dyDescent="0.2">
      <c r="A26" s="124"/>
      <c r="B26" s="67"/>
      <c r="C26" s="65" t="s">
        <v>97</v>
      </c>
      <c r="D26" s="70" t="s">
        <v>57</v>
      </c>
      <c r="E26" s="12">
        <v>44531</v>
      </c>
      <c r="F26" s="68" t="s">
        <v>71</v>
      </c>
      <c r="G26" s="12">
        <v>44535</v>
      </c>
      <c r="H26" s="69" t="s">
        <v>72</v>
      </c>
      <c r="I26" s="15">
        <v>35</v>
      </c>
      <c r="J26" s="15">
        <v>30</v>
      </c>
      <c r="K26" s="15">
        <v>28</v>
      </c>
      <c r="L26" s="15">
        <v>6</v>
      </c>
      <c r="M26" s="73">
        <v>7.35</v>
      </c>
      <c r="N26" s="88">
        <v>8</v>
      </c>
      <c r="O26" s="57">
        <v>7000</v>
      </c>
      <c r="P26" s="58">
        <f t="shared" si="0"/>
        <v>56000</v>
      </c>
    </row>
    <row r="27" spans="1:16" ht="23.25" customHeight="1" x14ac:dyDescent="0.2">
      <c r="A27" s="124"/>
      <c r="B27" s="67"/>
      <c r="C27" s="65" t="s">
        <v>98</v>
      </c>
      <c r="D27" s="70" t="s">
        <v>57</v>
      </c>
      <c r="E27" s="12">
        <v>44531</v>
      </c>
      <c r="F27" s="68" t="s">
        <v>71</v>
      </c>
      <c r="G27" s="12">
        <v>44535</v>
      </c>
      <c r="H27" s="69" t="s">
        <v>72</v>
      </c>
      <c r="I27" s="15">
        <v>46</v>
      </c>
      <c r="J27" s="15">
        <v>40</v>
      </c>
      <c r="K27" s="15">
        <v>38</v>
      </c>
      <c r="L27" s="15">
        <v>10</v>
      </c>
      <c r="M27" s="73">
        <v>17.48</v>
      </c>
      <c r="N27" s="88">
        <v>18</v>
      </c>
      <c r="O27" s="57">
        <v>7000</v>
      </c>
      <c r="P27" s="58">
        <f t="shared" si="0"/>
        <v>126000</v>
      </c>
    </row>
    <row r="28" spans="1:16" ht="23.25" customHeight="1" x14ac:dyDescent="0.2">
      <c r="A28" s="124"/>
      <c r="B28" s="67"/>
      <c r="C28" s="65" t="s">
        <v>99</v>
      </c>
      <c r="D28" s="70" t="s">
        <v>57</v>
      </c>
      <c r="E28" s="12">
        <v>44531</v>
      </c>
      <c r="F28" s="68" t="s">
        <v>71</v>
      </c>
      <c r="G28" s="12">
        <v>44535</v>
      </c>
      <c r="H28" s="69" t="s">
        <v>72</v>
      </c>
      <c r="I28" s="15">
        <v>56</v>
      </c>
      <c r="J28" s="15">
        <v>31</v>
      </c>
      <c r="K28" s="15">
        <v>21</v>
      </c>
      <c r="L28" s="15">
        <v>10</v>
      </c>
      <c r="M28" s="73">
        <v>9.1140000000000008</v>
      </c>
      <c r="N28" s="88">
        <v>10</v>
      </c>
      <c r="O28" s="57">
        <v>7000</v>
      </c>
      <c r="P28" s="58">
        <f t="shared" si="0"/>
        <v>70000</v>
      </c>
    </row>
    <row r="29" spans="1:16" ht="23.25" customHeight="1" x14ac:dyDescent="0.2">
      <c r="A29" s="124"/>
      <c r="B29" s="67"/>
      <c r="C29" s="65" t="s">
        <v>100</v>
      </c>
      <c r="D29" s="70" t="s">
        <v>57</v>
      </c>
      <c r="E29" s="12">
        <v>44531</v>
      </c>
      <c r="F29" s="68" t="s">
        <v>71</v>
      </c>
      <c r="G29" s="12">
        <v>44535</v>
      </c>
      <c r="H29" s="69" t="s">
        <v>72</v>
      </c>
      <c r="I29" s="15">
        <v>38</v>
      </c>
      <c r="J29" s="15">
        <v>32</v>
      </c>
      <c r="K29" s="15">
        <v>28</v>
      </c>
      <c r="L29" s="15">
        <v>8</v>
      </c>
      <c r="M29" s="73">
        <v>8.5120000000000005</v>
      </c>
      <c r="N29" s="88">
        <v>8.5120000000000005</v>
      </c>
      <c r="O29" s="57">
        <v>7000</v>
      </c>
      <c r="P29" s="58">
        <f t="shared" si="0"/>
        <v>59584</v>
      </c>
    </row>
    <row r="30" spans="1:16" ht="23.25" customHeight="1" x14ac:dyDescent="0.2">
      <c r="A30" s="124"/>
      <c r="B30" s="67"/>
      <c r="C30" s="65" t="s">
        <v>101</v>
      </c>
      <c r="D30" s="70" t="s">
        <v>57</v>
      </c>
      <c r="E30" s="12">
        <v>44531</v>
      </c>
      <c r="F30" s="68" t="s">
        <v>71</v>
      </c>
      <c r="G30" s="12">
        <v>44535</v>
      </c>
      <c r="H30" s="69" t="s">
        <v>72</v>
      </c>
      <c r="I30" s="15">
        <v>55</v>
      </c>
      <c r="J30" s="15">
        <v>38</v>
      </c>
      <c r="K30" s="15">
        <v>27</v>
      </c>
      <c r="L30" s="15">
        <v>7</v>
      </c>
      <c r="M30" s="73">
        <v>14.1075</v>
      </c>
      <c r="N30" s="88">
        <v>14.1075</v>
      </c>
      <c r="O30" s="57">
        <v>7000</v>
      </c>
      <c r="P30" s="58">
        <f t="shared" si="0"/>
        <v>98752.5</v>
      </c>
    </row>
    <row r="31" spans="1:16" ht="23.25" customHeight="1" x14ac:dyDescent="0.2">
      <c r="A31" s="124"/>
      <c r="B31" s="67"/>
      <c r="C31" s="65" t="s">
        <v>102</v>
      </c>
      <c r="D31" s="70" t="s">
        <v>57</v>
      </c>
      <c r="E31" s="12">
        <v>44531</v>
      </c>
      <c r="F31" s="68" t="s">
        <v>71</v>
      </c>
      <c r="G31" s="12">
        <v>44535</v>
      </c>
      <c r="H31" s="69" t="s">
        <v>72</v>
      </c>
      <c r="I31" s="15">
        <v>82</v>
      </c>
      <c r="J31" s="15">
        <v>18</v>
      </c>
      <c r="K31" s="15">
        <v>11</v>
      </c>
      <c r="L31" s="15">
        <v>6</v>
      </c>
      <c r="M31" s="73">
        <v>4.0590000000000002</v>
      </c>
      <c r="N31" s="88">
        <v>6</v>
      </c>
      <c r="O31" s="57">
        <v>7000</v>
      </c>
      <c r="P31" s="58">
        <f t="shared" si="0"/>
        <v>42000</v>
      </c>
    </row>
    <row r="32" spans="1:16" ht="23.25" customHeight="1" x14ac:dyDescent="0.2">
      <c r="A32" s="124"/>
      <c r="B32" s="67"/>
      <c r="C32" s="65" t="s">
        <v>103</v>
      </c>
      <c r="D32" s="70" t="s">
        <v>57</v>
      </c>
      <c r="E32" s="12">
        <v>44531</v>
      </c>
      <c r="F32" s="68" t="s">
        <v>71</v>
      </c>
      <c r="G32" s="12">
        <v>44535</v>
      </c>
      <c r="H32" s="69" t="s">
        <v>72</v>
      </c>
      <c r="I32" s="15">
        <v>75</v>
      </c>
      <c r="J32" s="15">
        <v>30</v>
      </c>
      <c r="K32" s="15">
        <v>21</v>
      </c>
      <c r="L32" s="15">
        <v>6</v>
      </c>
      <c r="M32" s="73">
        <v>11.8125</v>
      </c>
      <c r="N32" s="88">
        <v>11.8125</v>
      </c>
      <c r="O32" s="57">
        <v>7000</v>
      </c>
      <c r="P32" s="58">
        <f t="shared" si="0"/>
        <v>82687.5</v>
      </c>
    </row>
    <row r="33" spans="1:16" ht="23.25" customHeight="1" x14ac:dyDescent="0.2">
      <c r="A33" s="124"/>
      <c r="B33" s="67"/>
      <c r="C33" s="65" t="s">
        <v>104</v>
      </c>
      <c r="D33" s="70" t="s">
        <v>57</v>
      </c>
      <c r="E33" s="12">
        <v>44531</v>
      </c>
      <c r="F33" s="68" t="s">
        <v>71</v>
      </c>
      <c r="G33" s="12">
        <v>44535</v>
      </c>
      <c r="H33" s="69" t="s">
        <v>72</v>
      </c>
      <c r="I33" s="15">
        <v>142</v>
      </c>
      <c r="J33" s="15">
        <v>30</v>
      </c>
      <c r="K33" s="15">
        <v>16</v>
      </c>
      <c r="L33" s="15">
        <v>7</v>
      </c>
      <c r="M33" s="73">
        <v>17.04</v>
      </c>
      <c r="N33" s="88">
        <v>17.04</v>
      </c>
      <c r="O33" s="57">
        <v>7000</v>
      </c>
      <c r="P33" s="58">
        <f t="shared" si="0"/>
        <v>119280</v>
      </c>
    </row>
    <row r="34" spans="1:16" ht="23.25" customHeight="1" x14ac:dyDescent="0.2">
      <c r="A34" s="124"/>
      <c r="B34" s="67"/>
      <c r="C34" s="65" t="s">
        <v>105</v>
      </c>
      <c r="D34" s="70" t="s">
        <v>57</v>
      </c>
      <c r="E34" s="12">
        <v>44531</v>
      </c>
      <c r="F34" s="68" t="s">
        <v>71</v>
      </c>
      <c r="G34" s="12">
        <v>44535</v>
      </c>
      <c r="H34" s="69" t="s">
        <v>72</v>
      </c>
      <c r="I34" s="15">
        <v>75</v>
      </c>
      <c r="J34" s="15">
        <v>48</v>
      </c>
      <c r="K34" s="15">
        <v>42</v>
      </c>
      <c r="L34" s="15">
        <v>23</v>
      </c>
      <c r="M34" s="73">
        <v>37.799999999999997</v>
      </c>
      <c r="N34" s="88">
        <v>37.799999999999997</v>
      </c>
      <c r="O34" s="57">
        <v>7000</v>
      </c>
      <c r="P34" s="58">
        <f t="shared" si="0"/>
        <v>264600</v>
      </c>
    </row>
    <row r="35" spans="1:16" ht="23.25" customHeight="1" x14ac:dyDescent="0.2">
      <c r="A35" s="124"/>
      <c r="B35" s="123"/>
      <c r="C35" s="65" t="s">
        <v>106</v>
      </c>
      <c r="D35" s="70" t="s">
        <v>57</v>
      </c>
      <c r="E35" s="12">
        <v>44531</v>
      </c>
      <c r="F35" s="68" t="s">
        <v>71</v>
      </c>
      <c r="G35" s="12">
        <v>44535</v>
      </c>
      <c r="H35" s="69" t="s">
        <v>72</v>
      </c>
      <c r="I35" s="15">
        <v>71</v>
      </c>
      <c r="J35" s="15">
        <v>10</v>
      </c>
      <c r="K35" s="15">
        <v>11</v>
      </c>
      <c r="L35" s="15">
        <v>4</v>
      </c>
      <c r="M35" s="73">
        <v>1.9524999999999999</v>
      </c>
      <c r="N35" s="88">
        <v>4</v>
      </c>
      <c r="O35" s="57">
        <v>7000</v>
      </c>
      <c r="P35" s="58">
        <f t="shared" si="0"/>
        <v>28000</v>
      </c>
    </row>
    <row r="36" spans="1:16" ht="23.25" customHeight="1" x14ac:dyDescent="0.2">
      <c r="A36" s="124"/>
      <c r="B36" s="67" t="s">
        <v>107</v>
      </c>
      <c r="C36" s="65" t="s">
        <v>108</v>
      </c>
      <c r="D36" s="70" t="s">
        <v>57</v>
      </c>
      <c r="E36" s="12">
        <v>44531</v>
      </c>
      <c r="F36" s="68" t="s">
        <v>71</v>
      </c>
      <c r="G36" s="12">
        <v>44535</v>
      </c>
      <c r="H36" s="69" t="s">
        <v>72</v>
      </c>
      <c r="I36" s="15">
        <v>96</v>
      </c>
      <c r="J36" s="15">
        <v>33</v>
      </c>
      <c r="K36" s="15">
        <v>34</v>
      </c>
      <c r="L36" s="15">
        <v>20</v>
      </c>
      <c r="M36" s="73">
        <v>26.928000000000001</v>
      </c>
      <c r="N36" s="88">
        <v>26.928000000000001</v>
      </c>
      <c r="O36" s="57">
        <v>7000</v>
      </c>
      <c r="P36" s="58">
        <f t="shared" si="0"/>
        <v>188496</v>
      </c>
    </row>
    <row r="37" spans="1:16" ht="23.25" customHeight="1" x14ac:dyDescent="0.2">
      <c r="A37" s="124"/>
      <c r="B37" s="67"/>
      <c r="C37" s="65" t="s">
        <v>109</v>
      </c>
      <c r="D37" s="70" t="s">
        <v>57</v>
      </c>
      <c r="E37" s="12">
        <v>44531</v>
      </c>
      <c r="F37" s="68" t="s">
        <v>71</v>
      </c>
      <c r="G37" s="12">
        <v>44535</v>
      </c>
      <c r="H37" s="69" t="s">
        <v>72</v>
      </c>
      <c r="I37" s="15">
        <v>28</v>
      </c>
      <c r="J37" s="15">
        <v>18</v>
      </c>
      <c r="K37" s="15">
        <v>22</v>
      </c>
      <c r="L37" s="15">
        <v>5</v>
      </c>
      <c r="M37" s="73">
        <v>2.7719999999999998</v>
      </c>
      <c r="N37" s="88">
        <v>5</v>
      </c>
      <c r="O37" s="57">
        <v>7000</v>
      </c>
      <c r="P37" s="58">
        <f t="shared" si="0"/>
        <v>35000</v>
      </c>
    </row>
    <row r="38" spans="1:16" ht="23.25" customHeight="1" x14ac:dyDescent="0.2">
      <c r="A38" s="124"/>
      <c r="B38" s="67"/>
      <c r="C38" s="65" t="s">
        <v>110</v>
      </c>
      <c r="D38" s="70" t="s">
        <v>57</v>
      </c>
      <c r="E38" s="12">
        <v>44531</v>
      </c>
      <c r="F38" s="68" t="s">
        <v>71</v>
      </c>
      <c r="G38" s="12">
        <v>44535</v>
      </c>
      <c r="H38" s="69" t="s">
        <v>72</v>
      </c>
      <c r="I38" s="15">
        <v>71</v>
      </c>
      <c r="J38" s="15">
        <v>61</v>
      </c>
      <c r="K38" s="15">
        <v>16</v>
      </c>
      <c r="L38" s="15">
        <v>10</v>
      </c>
      <c r="M38" s="73">
        <v>17.324000000000002</v>
      </c>
      <c r="N38" s="88">
        <v>18</v>
      </c>
      <c r="O38" s="57">
        <v>7000</v>
      </c>
      <c r="P38" s="58">
        <f t="shared" si="0"/>
        <v>126000</v>
      </c>
    </row>
    <row r="39" spans="1:16" ht="23.25" customHeight="1" x14ac:dyDescent="0.2">
      <c r="A39" s="124"/>
      <c r="B39" s="67"/>
      <c r="C39" s="65" t="s">
        <v>111</v>
      </c>
      <c r="D39" s="70" t="s">
        <v>57</v>
      </c>
      <c r="E39" s="12">
        <v>44531</v>
      </c>
      <c r="F39" s="68" t="s">
        <v>71</v>
      </c>
      <c r="G39" s="12">
        <v>44535</v>
      </c>
      <c r="H39" s="69" t="s">
        <v>72</v>
      </c>
      <c r="I39" s="15">
        <v>98</v>
      </c>
      <c r="J39" s="15">
        <v>31</v>
      </c>
      <c r="K39" s="15">
        <v>16</v>
      </c>
      <c r="L39" s="15">
        <v>7</v>
      </c>
      <c r="M39" s="73">
        <v>12.151999999999999</v>
      </c>
      <c r="N39" s="88">
        <v>12.151999999999999</v>
      </c>
      <c r="O39" s="57">
        <v>7000</v>
      </c>
      <c r="P39" s="58">
        <f t="shared" si="0"/>
        <v>85064</v>
      </c>
    </row>
    <row r="40" spans="1:16" ht="23.25" customHeight="1" x14ac:dyDescent="0.2">
      <c r="A40" s="124"/>
      <c r="B40" s="67"/>
      <c r="C40" s="65" t="s">
        <v>112</v>
      </c>
      <c r="D40" s="70" t="s">
        <v>57</v>
      </c>
      <c r="E40" s="12">
        <v>44531</v>
      </c>
      <c r="F40" s="68" t="s">
        <v>71</v>
      </c>
      <c r="G40" s="12">
        <v>44535</v>
      </c>
      <c r="H40" s="69" t="s">
        <v>72</v>
      </c>
      <c r="I40" s="15">
        <v>42</v>
      </c>
      <c r="J40" s="15">
        <v>22</v>
      </c>
      <c r="K40" s="15">
        <v>10</v>
      </c>
      <c r="L40" s="15">
        <v>4</v>
      </c>
      <c r="M40" s="73">
        <v>2.31</v>
      </c>
      <c r="N40" s="88">
        <v>5</v>
      </c>
      <c r="O40" s="57">
        <v>7000</v>
      </c>
      <c r="P40" s="58">
        <f t="shared" si="0"/>
        <v>35000</v>
      </c>
    </row>
    <row r="41" spans="1:16" ht="23.25" customHeight="1" x14ac:dyDescent="0.2">
      <c r="A41" s="124"/>
      <c r="B41" s="123"/>
      <c r="C41" s="65" t="s">
        <v>113</v>
      </c>
      <c r="D41" s="70" t="s">
        <v>57</v>
      </c>
      <c r="E41" s="12">
        <v>44531</v>
      </c>
      <c r="F41" s="68" t="s">
        <v>71</v>
      </c>
      <c r="G41" s="12">
        <v>44535</v>
      </c>
      <c r="H41" s="69" t="s">
        <v>72</v>
      </c>
      <c r="I41" s="15">
        <v>26</v>
      </c>
      <c r="J41" s="15">
        <v>66</v>
      </c>
      <c r="K41" s="15">
        <v>11</v>
      </c>
      <c r="L41" s="15">
        <v>1</v>
      </c>
      <c r="M41" s="73">
        <v>4.7190000000000003</v>
      </c>
      <c r="N41" s="88">
        <v>4.7190000000000003</v>
      </c>
      <c r="O41" s="57">
        <v>7000</v>
      </c>
      <c r="P41" s="58">
        <f t="shared" si="0"/>
        <v>33033</v>
      </c>
    </row>
    <row r="42" spans="1:16" ht="23.25" customHeight="1" x14ac:dyDescent="0.2">
      <c r="A42" s="124"/>
      <c r="B42" s="67" t="s">
        <v>114</v>
      </c>
      <c r="C42" s="65" t="s">
        <v>115</v>
      </c>
      <c r="D42" s="70" t="s">
        <v>57</v>
      </c>
      <c r="E42" s="12">
        <v>44531</v>
      </c>
      <c r="F42" s="68" t="s">
        <v>71</v>
      </c>
      <c r="G42" s="12">
        <v>44535</v>
      </c>
      <c r="H42" s="69" t="s">
        <v>72</v>
      </c>
      <c r="I42" s="15">
        <v>46</v>
      </c>
      <c r="J42" s="15">
        <v>32</v>
      </c>
      <c r="K42" s="15">
        <v>27</v>
      </c>
      <c r="L42" s="15">
        <v>6</v>
      </c>
      <c r="M42" s="73">
        <v>9.9359999999999999</v>
      </c>
      <c r="N42" s="88">
        <v>9.9359999999999999</v>
      </c>
      <c r="O42" s="57">
        <v>7000</v>
      </c>
      <c r="P42" s="58">
        <f t="shared" si="0"/>
        <v>69552</v>
      </c>
    </row>
    <row r="43" spans="1:16" ht="23.25" customHeight="1" x14ac:dyDescent="0.2">
      <c r="A43" s="124"/>
      <c r="B43" s="67"/>
      <c r="C43" s="65" t="s">
        <v>116</v>
      </c>
      <c r="D43" s="70" t="s">
        <v>57</v>
      </c>
      <c r="E43" s="12">
        <v>44531</v>
      </c>
      <c r="F43" s="68" t="s">
        <v>71</v>
      </c>
      <c r="G43" s="12">
        <v>44535</v>
      </c>
      <c r="H43" s="69" t="s">
        <v>72</v>
      </c>
      <c r="I43" s="15">
        <v>36</v>
      </c>
      <c r="J43" s="15">
        <v>32</v>
      </c>
      <c r="K43" s="15">
        <v>24</v>
      </c>
      <c r="L43" s="15">
        <v>9</v>
      </c>
      <c r="M43" s="73">
        <v>6.9119999999999999</v>
      </c>
      <c r="N43" s="88">
        <v>9</v>
      </c>
      <c r="O43" s="57">
        <v>7000</v>
      </c>
      <c r="P43" s="58">
        <f t="shared" si="0"/>
        <v>63000</v>
      </c>
    </row>
    <row r="44" spans="1:16" ht="23.25" customHeight="1" x14ac:dyDescent="0.2">
      <c r="A44" s="124"/>
      <c r="B44" s="67"/>
      <c r="C44" s="65" t="s">
        <v>117</v>
      </c>
      <c r="D44" s="70" t="s">
        <v>57</v>
      </c>
      <c r="E44" s="12">
        <v>44531</v>
      </c>
      <c r="F44" s="68" t="s">
        <v>71</v>
      </c>
      <c r="G44" s="12">
        <v>44535</v>
      </c>
      <c r="H44" s="69" t="s">
        <v>72</v>
      </c>
      <c r="I44" s="15">
        <v>36</v>
      </c>
      <c r="J44" s="15">
        <v>32</v>
      </c>
      <c r="K44" s="15">
        <v>24</v>
      </c>
      <c r="L44" s="15">
        <v>9</v>
      </c>
      <c r="M44" s="73">
        <v>6.9119999999999999</v>
      </c>
      <c r="N44" s="88">
        <v>9</v>
      </c>
      <c r="O44" s="57">
        <v>7000</v>
      </c>
      <c r="P44" s="58">
        <f t="shared" si="0"/>
        <v>63000</v>
      </c>
    </row>
    <row r="45" spans="1:16" ht="23.25" customHeight="1" x14ac:dyDescent="0.2">
      <c r="A45" s="124"/>
      <c r="B45" s="67"/>
      <c r="C45" s="65" t="s">
        <v>118</v>
      </c>
      <c r="D45" s="70" t="s">
        <v>57</v>
      </c>
      <c r="E45" s="12">
        <v>44531</v>
      </c>
      <c r="F45" s="68" t="s">
        <v>71</v>
      </c>
      <c r="G45" s="12">
        <v>44535</v>
      </c>
      <c r="H45" s="69" t="s">
        <v>72</v>
      </c>
      <c r="I45" s="15">
        <v>36</v>
      </c>
      <c r="J45" s="15">
        <v>36</v>
      </c>
      <c r="K45" s="15">
        <v>18</v>
      </c>
      <c r="L45" s="15">
        <v>12</v>
      </c>
      <c r="M45" s="73">
        <v>5.8319999999999999</v>
      </c>
      <c r="N45" s="88">
        <v>12</v>
      </c>
      <c r="O45" s="57">
        <v>7000</v>
      </c>
      <c r="P45" s="58">
        <f t="shared" si="0"/>
        <v>84000</v>
      </c>
    </row>
    <row r="46" spans="1:16" ht="23.25" customHeight="1" x14ac:dyDescent="0.2">
      <c r="A46" s="124"/>
      <c r="B46" s="67"/>
      <c r="C46" s="65" t="s">
        <v>119</v>
      </c>
      <c r="D46" s="70" t="s">
        <v>57</v>
      </c>
      <c r="E46" s="12">
        <v>44531</v>
      </c>
      <c r="F46" s="68" t="s">
        <v>71</v>
      </c>
      <c r="G46" s="12">
        <v>44535</v>
      </c>
      <c r="H46" s="69" t="s">
        <v>72</v>
      </c>
      <c r="I46" s="15">
        <v>32</v>
      </c>
      <c r="J46" s="15">
        <v>23</v>
      </c>
      <c r="K46" s="15">
        <v>20</v>
      </c>
      <c r="L46" s="15">
        <v>8</v>
      </c>
      <c r="M46" s="73">
        <v>3.68</v>
      </c>
      <c r="N46" s="88">
        <v>8</v>
      </c>
      <c r="O46" s="57">
        <v>7000</v>
      </c>
      <c r="P46" s="58">
        <f t="shared" si="0"/>
        <v>56000</v>
      </c>
    </row>
    <row r="47" spans="1:16" ht="23.25" customHeight="1" x14ac:dyDescent="0.2">
      <c r="A47" s="124"/>
      <c r="B47" s="67"/>
      <c r="C47" s="65" t="s">
        <v>120</v>
      </c>
      <c r="D47" s="70" t="s">
        <v>57</v>
      </c>
      <c r="E47" s="12">
        <v>44531</v>
      </c>
      <c r="F47" s="68" t="s">
        <v>71</v>
      </c>
      <c r="G47" s="12">
        <v>44535</v>
      </c>
      <c r="H47" s="69" t="s">
        <v>72</v>
      </c>
      <c r="I47" s="15">
        <v>32</v>
      </c>
      <c r="J47" s="15">
        <v>23</v>
      </c>
      <c r="K47" s="15">
        <v>20</v>
      </c>
      <c r="L47" s="15">
        <v>8</v>
      </c>
      <c r="M47" s="73">
        <v>3.68</v>
      </c>
      <c r="N47" s="88">
        <v>8</v>
      </c>
      <c r="O47" s="57">
        <v>7000</v>
      </c>
      <c r="P47" s="58">
        <f t="shared" si="0"/>
        <v>56000</v>
      </c>
    </row>
    <row r="48" spans="1:16" ht="23.25" customHeight="1" x14ac:dyDescent="0.2">
      <c r="A48" s="124"/>
      <c r="B48" s="67"/>
      <c r="C48" s="65" t="s">
        <v>121</v>
      </c>
      <c r="D48" s="70" t="s">
        <v>57</v>
      </c>
      <c r="E48" s="12">
        <v>44531</v>
      </c>
      <c r="F48" s="68" t="s">
        <v>71</v>
      </c>
      <c r="G48" s="12">
        <v>44535</v>
      </c>
      <c r="H48" s="69" t="s">
        <v>72</v>
      </c>
      <c r="I48" s="15">
        <v>32</v>
      </c>
      <c r="J48" s="15">
        <v>23</v>
      </c>
      <c r="K48" s="15">
        <v>20</v>
      </c>
      <c r="L48" s="15">
        <v>8</v>
      </c>
      <c r="M48" s="73">
        <v>3.68</v>
      </c>
      <c r="N48" s="88">
        <v>8</v>
      </c>
      <c r="O48" s="57">
        <v>7000</v>
      </c>
      <c r="P48" s="58">
        <f t="shared" si="0"/>
        <v>56000</v>
      </c>
    </row>
    <row r="49" spans="1:16" ht="23.25" customHeight="1" x14ac:dyDescent="0.2">
      <c r="A49" s="13"/>
      <c r="B49" s="67"/>
      <c r="C49" s="8" t="s">
        <v>122</v>
      </c>
      <c r="D49" s="68" t="s">
        <v>57</v>
      </c>
      <c r="E49" s="12">
        <v>44531</v>
      </c>
      <c r="F49" s="68" t="s">
        <v>71</v>
      </c>
      <c r="G49" s="12">
        <v>44535</v>
      </c>
      <c r="H49" s="9" t="s">
        <v>72</v>
      </c>
      <c r="I49" s="1">
        <v>36</v>
      </c>
      <c r="J49" s="1">
        <v>36</v>
      </c>
      <c r="K49" s="1">
        <v>18</v>
      </c>
      <c r="L49" s="1">
        <v>12</v>
      </c>
      <c r="M49" s="72">
        <v>5.8319999999999999</v>
      </c>
      <c r="N49" s="88">
        <v>12</v>
      </c>
      <c r="O49" s="57">
        <v>7000</v>
      </c>
      <c r="P49" s="58">
        <f t="shared" si="0"/>
        <v>84000</v>
      </c>
    </row>
    <row r="50" spans="1:16" ht="23.25" customHeight="1" x14ac:dyDescent="0.2">
      <c r="A50" s="13"/>
      <c r="B50" s="13"/>
      <c r="C50" s="8" t="s">
        <v>123</v>
      </c>
      <c r="D50" s="68" t="s">
        <v>57</v>
      </c>
      <c r="E50" s="12">
        <v>44531</v>
      </c>
      <c r="F50" s="68" t="s">
        <v>71</v>
      </c>
      <c r="G50" s="12">
        <v>44535</v>
      </c>
      <c r="H50" s="9" t="s">
        <v>72</v>
      </c>
      <c r="I50" s="1">
        <v>50</v>
      </c>
      <c r="J50" s="1">
        <v>34</v>
      </c>
      <c r="K50" s="1">
        <v>22</v>
      </c>
      <c r="L50" s="1">
        <v>14</v>
      </c>
      <c r="M50" s="72">
        <v>9.35</v>
      </c>
      <c r="N50" s="88">
        <v>15</v>
      </c>
      <c r="O50" s="57">
        <v>7000</v>
      </c>
      <c r="P50" s="58">
        <f t="shared" si="0"/>
        <v>105000</v>
      </c>
    </row>
    <row r="51" spans="1:16" ht="22.5" customHeight="1" x14ac:dyDescent="0.2">
      <c r="A51" s="159" t="s">
        <v>30</v>
      </c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1"/>
      <c r="M51" s="71">
        <f>SUBTOTAL(109,Table2245789101123[KG VOLUME])</f>
        <v>584.87375000000009</v>
      </c>
      <c r="N51" s="61">
        <f>SUM(N3:N50)</f>
        <v>665.11450000000025</v>
      </c>
      <c r="O51" s="162">
        <f>SUM(P3:P50)</f>
        <v>4655801.5</v>
      </c>
      <c r="P51" s="163"/>
    </row>
    <row r="52" spans="1:16" ht="18" customHeight="1" x14ac:dyDescent="0.2">
      <c r="A52" s="78"/>
      <c r="B52" s="49" t="s">
        <v>42</v>
      </c>
      <c r="C52" s="48"/>
      <c r="D52" s="50" t="s">
        <v>43</v>
      </c>
      <c r="E52" s="78"/>
      <c r="F52" s="78"/>
      <c r="G52" s="78"/>
      <c r="H52" s="78"/>
      <c r="I52" s="78"/>
      <c r="J52" s="78"/>
      <c r="K52" s="78"/>
      <c r="L52" s="78"/>
      <c r="M52" s="79"/>
      <c r="N52" s="80" t="s">
        <v>52</v>
      </c>
      <c r="O52" s="81"/>
      <c r="P52" s="81">
        <v>0</v>
      </c>
    </row>
    <row r="53" spans="1:16" ht="18" customHeight="1" thickBot="1" x14ac:dyDescent="0.25">
      <c r="A53" s="78"/>
      <c r="B53" s="49"/>
      <c r="C53" s="48"/>
      <c r="D53" s="50"/>
      <c r="E53" s="78"/>
      <c r="F53" s="78"/>
      <c r="G53" s="78"/>
      <c r="H53" s="78"/>
      <c r="I53" s="78"/>
      <c r="J53" s="78"/>
      <c r="K53" s="78"/>
      <c r="L53" s="78"/>
      <c r="M53" s="79"/>
      <c r="N53" s="82" t="s">
        <v>53</v>
      </c>
      <c r="O53" s="83"/>
      <c r="P53" s="83">
        <f>O51-P52</f>
        <v>4655801.5</v>
      </c>
    </row>
    <row r="54" spans="1:16" ht="18" customHeight="1" x14ac:dyDescent="0.2">
      <c r="A54" s="10"/>
      <c r="H54" s="56"/>
      <c r="N54" s="55" t="s">
        <v>31</v>
      </c>
      <c r="P54" s="62">
        <f>P53*1%</f>
        <v>46558.014999999999</v>
      </c>
    </row>
    <row r="55" spans="1:16" ht="18" customHeight="1" thickBot="1" x14ac:dyDescent="0.25">
      <c r="A55" s="10"/>
      <c r="H55" s="56"/>
      <c r="N55" s="55" t="s">
        <v>54</v>
      </c>
      <c r="P55" s="64">
        <f>P53*2%</f>
        <v>93116.03</v>
      </c>
    </row>
    <row r="56" spans="1:16" ht="18" customHeight="1" x14ac:dyDescent="0.2">
      <c r="A56" s="10"/>
      <c r="H56" s="56"/>
      <c r="N56" s="59" t="s">
        <v>32</v>
      </c>
      <c r="O56" s="60"/>
      <c r="P56" s="63">
        <f>P53+P54-P55</f>
        <v>4609243.4849999994</v>
      </c>
    </row>
    <row r="58" spans="1:16" x14ac:dyDescent="0.2">
      <c r="A58" s="10"/>
      <c r="H58" s="56"/>
      <c r="P58" s="64"/>
    </row>
    <row r="59" spans="1:16" x14ac:dyDescent="0.2">
      <c r="A59" s="10"/>
      <c r="H59" s="56"/>
      <c r="O59" s="51"/>
      <c r="P59" s="6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6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6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6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6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6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6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6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6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6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6"/>
      <c r="N71" s="14"/>
      <c r="O71" s="14"/>
      <c r="P71" s="14"/>
    </row>
  </sheetData>
  <mergeCells count="2">
    <mergeCell ref="A51:L51"/>
    <mergeCell ref="O51:P51"/>
  </mergeCells>
  <conditionalFormatting sqref="B3:B48">
    <cfRule type="duplicateValues" dxfId="1583" priority="2"/>
  </conditionalFormatting>
  <conditionalFormatting sqref="B49">
    <cfRule type="duplicateValues" dxfId="1582" priority="1"/>
  </conditionalFormatting>
  <conditionalFormatting sqref="B50">
    <cfRule type="duplicateValues" dxfId="1581" priority="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N11" sqref="N3:N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5703125" style="11" customWidth="1"/>
    <col min="6" max="6" width="10.570312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1406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406248</v>
      </c>
      <c r="B3" s="99" t="s">
        <v>1620</v>
      </c>
      <c r="C3" s="90" t="s">
        <v>1621</v>
      </c>
      <c r="D3" s="102" t="s">
        <v>57</v>
      </c>
      <c r="E3" s="91">
        <v>44541</v>
      </c>
      <c r="F3" s="102" t="s">
        <v>59</v>
      </c>
      <c r="G3" s="91">
        <v>44548</v>
      </c>
      <c r="H3" s="90" t="s">
        <v>1631</v>
      </c>
      <c r="I3" s="90">
        <v>60</v>
      </c>
      <c r="J3" s="90">
        <v>67</v>
      </c>
      <c r="K3" s="90">
        <v>28</v>
      </c>
      <c r="L3" s="90">
        <v>5</v>
      </c>
      <c r="M3" s="92">
        <v>28.14</v>
      </c>
      <c r="N3" s="104">
        <v>28.14</v>
      </c>
      <c r="O3" s="57">
        <v>7000</v>
      </c>
      <c r="P3" s="58">
        <f t="shared" ref="P3:P11" si="0">N3*O3</f>
        <v>196980</v>
      </c>
    </row>
    <row r="4" spans="1:16" ht="26.25" customHeight="1" x14ac:dyDescent="0.2">
      <c r="A4" s="100"/>
      <c r="B4" s="100"/>
      <c r="C4" s="65" t="s">
        <v>1622</v>
      </c>
      <c r="D4" s="70" t="s">
        <v>57</v>
      </c>
      <c r="E4" s="12">
        <v>44541</v>
      </c>
      <c r="F4" s="68" t="s">
        <v>59</v>
      </c>
      <c r="G4" s="12">
        <v>44548</v>
      </c>
      <c r="H4" s="69" t="s">
        <v>1631</v>
      </c>
      <c r="I4" s="15">
        <v>100</v>
      </c>
      <c r="J4" s="15">
        <v>65</v>
      </c>
      <c r="K4" s="15">
        <v>45</v>
      </c>
      <c r="L4" s="15">
        <v>35</v>
      </c>
      <c r="M4" s="126">
        <v>73.125</v>
      </c>
      <c r="N4" s="104">
        <v>73.125</v>
      </c>
      <c r="O4" s="57">
        <v>7000</v>
      </c>
      <c r="P4" s="58">
        <f t="shared" si="0"/>
        <v>511875</v>
      </c>
    </row>
    <row r="5" spans="1:16" ht="26.25" customHeight="1" x14ac:dyDescent="0.2">
      <c r="A5" s="100"/>
      <c r="B5" s="100"/>
      <c r="C5" s="65" t="s">
        <v>1623</v>
      </c>
      <c r="D5" s="70" t="s">
        <v>57</v>
      </c>
      <c r="E5" s="12">
        <v>44541</v>
      </c>
      <c r="F5" s="68" t="s">
        <v>59</v>
      </c>
      <c r="G5" s="12">
        <v>44548</v>
      </c>
      <c r="H5" s="69" t="s">
        <v>1631</v>
      </c>
      <c r="I5" s="15">
        <v>45</v>
      </c>
      <c r="J5" s="15">
        <v>35</v>
      </c>
      <c r="K5" s="15">
        <v>41</v>
      </c>
      <c r="L5" s="15">
        <v>8</v>
      </c>
      <c r="M5" s="126">
        <v>16.143750000000001</v>
      </c>
      <c r="N5" s="104">
        <v>16.143750000000001</v>
      </c>
      <c r="O5" s="57">
        <v>7000</v>
      </c>
      <c r="P5" s="58">
        <f t="shared" si="0"/>
        <v>113006.25</v>
      </c>
    </row>
    <row r="6" spans="1:16" ht="26.25" customHeight="1" x14ac:dyDescent="0.2">
      <c r="A6" s="100"/>
      <c r="B6" s="100"/>
      <c r="C6" s="65" t="s">
        <v>1624</v>
      </c>
      <c r="D6" s="70" t="s">
        <v>57</v>
      </c>
      <c r="E6" s="12">
        <v>44541</v>
      </c>
      <c r="F6" s="68" t="s">
        <v>59</v>
      </c>
      <c r="G6" s="12">
        <v>44548</v>
      </c>
      <c r="H6" s="69" t="s">
        <v>1631</v>
      </c>
      <c r="I6" s="15">
        <v>106</v>
      </c>
      <c r="J6" s="15">
        <v>18</v>
      </c>
      <c r="K6" s="15">
        <v>5</v>
      </c>
      <c r="L6" s="15">
        <v>1</v>
      </c>
      <c r="M6" s="126">
        <v>2.3849999999999998</v>
      </c>
      <c r="N6" s="104">
        <v>3</v>
      </c>
      <c r="O6" s="57">
        <v>7000</v>
      </c>
      <c r="P6" s="58">
        <f t="shared" si="0"/>
        <v>21000</v>
      </c>
    </row>
    <row r="7" spans="1:16" ht="26.25" customHeight="1" x14ac:dyDescent="0.2">
      <c r="A7" s="100"/>
      <c r="B7" s="100"/>
      <c r="C7" s="65" t="s">
        <v>1625</v>
      </c>
      <c r="D7" s="70" t="s">
        <v>57</v>
      </c>
      <c r="E7" s="12">
        <v>44541</v>
      </c>
      <c r="F7" s="68" t="s">
        <v>59</v>
      </c>
      <c r="G7" s="12">
        <v>44548</v>
      </c>
      <c r="H7" s="69" t="s">
        <v>1631</v>
      </c>
      <c r="I7" s="15">
        <v>50</v>
      </c>
      <c r="J7" s="15">
        <v>35</v>
      </c>
      <c r="K7" s="15">
        <v>13</v>
      </c>
      <c r="L7" s="15">
        <v>4</v>
      </c>
      <c r="M7" s="126">
        <v>5.6875</v>
      </c>
      <c r="N7" s="104">
        <v>5.6875</v>
      </c>
      <c r="O7" s="57">
        <v>7000</v>
      </c>
      <c r="P7" s="58">
        <f t="shared" si="0"/>
        <v>39812.5</v>
      </c>
    </row>
    <row r="8" spans="1:16" ht="26.25" customHeight="1" x14ac:dyDescent="0.2">
      <c r="A8" s="100"/>
      <c r="B8" s="100"/>
      <c r="C8" s="65" t="s">
        <v>1626</v>
      </c>
      <c r="D8" s="70" t="s">
        <v>57</v>
      </c>
      <c r="E8" s="12">
        <v>44541</v>
      </c>
      <c r="F8" s="68" t="s">
        <v>59</v>
      </c>
      <c r="G8" s="12">
        <v>44548</v>
      </c>
      <c r="H8" s="69" t="s">
        <v>1631</v>
      </c>
      <c r="I8" s="15">
        <v>45</v>
      </c>
      <c r="J8" s="15">
        <v>40</v>
      </c>
      <c r="K8" s="15">
        <v>34</v>
      </c>
      <c r="L8" s="15">
        <v>8</v>
      </c>
      <c r="M8" s="126">
        <v>15.3</v>
      </c>
      <c r="N8" s="104">
        <v>16</v>
      </c>
      <c r="O8" s="57">
        <v>7000</v>
      </c>
      <c r="P8" s="58">
        <f t="shared" si="0"/>
        <v>112000</v>
      </c>
    </row>
    <row r="9" spans="1:16" ht="26.25" customHeight="1" x14ac:dyDescent="0.2">
      <c r="A9" s="100"/>
      <c r="B9" s="100"/>
      <c r="C9" s="65" t="s">
        <v>1627</v>
      </c>
      <c r="D9" s="70" t="s">
        <v>57</v>
      </c>
      <c r="E9" s="12">
        <v>44541</v>
      </c>
      <c r="F9" s="68" t="s">
        <v>59</v>
      </c>
      <c r="G9" s="12">
        <v>44548</v>
      </c>
      <c r="H9" s="69" t="s">
        <v>1631</v>
      </c>
      <c r="I9" s="15">
        <v>60</v>
      </c>
      <c r="J9" s="15">
        <v>58</v>
      </c>
      <c r="K9" s="15">
        <v>21</v>
      </c>
      <c r="L9" s="15">
        <v>8</v>
      </c>
      <c r="M9" s="126">
        <v>18.27</v>
      </c>
      <c r="N9" s="104">
        <v>18.27</v>
      </c>
      <c r="O9" s="57">
        <v>7000</v>
      </c>
      <c r="P9" s="58">
        <f t="shared" si="0"/>
        <v>127890</v>
      </c>
    </row>
    <row r="10" spans="1:16" ht="26.25" customHeight="1" x14ac:dyDescent="0.2">
      <c r="A10" s="100"/>
      <c r="B10" s="101"/>
      <c r="C10" s="65" t="s">
        <v>1628</v>
      </c>
      <c r="D10" s="70" t="s">
        <v>57</v>
      </c>
      <c r="E10" s="12">
        <v>44541</v>
      </c>
      <c r="F10" s="68" t="s">
        <v>59</v>
      </c>
      <c r="G10" s="12">
        <v>44548</v>
      </c>
      <c r="H10" s="69" t="s">
        <v>1631</v>
      </c>
      <c r="I10" s="15">
        <v>96</v>
      </c>
      <c r="J10" s="15">
        <v>57</v>
      </c>
      <c r="K10" s="15">
        <v>32</v>
      </c>
      <c r="L10" s="15">
        <v>22</v>
      </c>
      <c r="M10" s="126">
        <v>43.776000000000003</v>
      </c>
      <c r="N10" s="104">
        <v>43.776000000000003</v>
      </c>
      <c r="O10" s="57">
        <v>7000</v>
      </c>
      <c r="P10" s="58">
        <f t="shared" si="0"/>
        <v>306432</v>
      </c>
    </row>
    <row r="11" spans="1:16" ht="26.25" customHeight="1" x14ac:dyDescent="0.2">
      <c r="A11" s="100"/>
      <c r="B11" s="100" t="s">
        <v>1629</v>
      </c>
      <c r="C11" s="65" t="s">
        <v>1630</v>
      </c>
      <c r="D11" s="70" t="s">
        <v>57</v>
      </c>
      <c r="E11" s="12">
        <v>44541</v>
      </c>
      <c r="F11" s="68" t="s">
        <v>59</v>
      </c>
      <c r="G11" s="12">
        <v>44548</v>
      </c>
      <c r="H11" s="69" t="s">
        <v>1631</v>
      </c>
      <c r="I11" s="15">
        <v>160</v>
      </c>
      <c r="J11" s="15">
        <v>24</v>
      </c>
      <c r="K11" s="15">
        <v>15</v>
      </c>
      <c r="L11" s="15">
        <v>11</v>
      </c>
      <c r="M11" s="126">
        <v>14.4</v>
      </c>
      <c r="N11" s="104">
        <v>15</v>
      </c>
      <c r="O11" s="57">
        <v>7000</v>
      </c>
      <c r="P11" s="58">
        <f t="shared" si="0"/>
        <v>105000</v>
      </c>
    </row>
    <row r="12" spans="1:16" ht="22.5" customHeight="1" x14ac:dyDescent="0.2">
      <c r="A12" s="159" t="s">
        <v>30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1"/>
      <c r="M12" s="71">
        <f>SUBTOTAL(109,Table2245789101123456789101112131415161718192021222324252627282930[KG VOLUME])</f>
        <v>217.22725000000003</v>
      </c>
      <c r="N12" s="61">
        <f>SUM(N3:N11)</f>
        <v>219.14225000000002</v>
      </c>
      <c r="O12" s="162">
        <f>SUM(P3:P11)</f>
        <v>1533995.75</v>
      </c>
      <c r="P12" s="163"/>
    </row>
    <row r="13" spans="1:16" ht="18" customHeight="1" x14ac:dyDescent="0.2">
      <c r="A13" s="78"/>
      <c r="B13" s="49" t="s">
        <v>42</v>
      </c>
      <c r="C13" s="48"/>
      <c r="D13" s="50" t="s">
        <v>43</v>
      </c>
      <c r="E13" s="78"/>
      <c r="F13" s="78"/>
      <c r="G13" s="78"/>
      <c r="H13" s="78"/>
      <c r="I13" s="78"/>
      <c r="J13" s="78"/>
      <c r="K13" s="78"/>
      <c r="L13" s="78"/>
      <c r="M13" s="79"/>
      <c r="N13" s="80" t="s">
        <v>52</v>
      </c>
      <c r="O13" s="81"/>
      <c r="P13" s="81">
        <v>0</v>
      </c>
    </row>
    <row r="14" spans="1:16" ht="18" customHeight="1" thickBot="1" x14ac:dyDescent="0.25">
      <c r="A14" s="78"/>
      <c r="B14" s="49"/>
      <c r="C14" s="48"/>
      <c r="D14" s="50"/>
      <c r="E14" s="78"/>
      <c r="F14" s="78"/>
      <c r="G14" s="78"/>
      <c r="H14" s="78"/>
      <c r="I14" s="78"/>
      <c r="J14" s="78"/>
      <c r="K14" s="78"/>
      <c r="L14" s="78"/>
      <c r="M14" s="79"/>
      <c r="N14" s="82" t="s">
        <v>53</v>
      </c>
      <c r="O14" s="83"/>
      <c r="P14" s="83">
        <f>O12-P13</f>
        <v>1533995.75</v>
      </c>
    </row>
    <row r="15" spans="1:16" ht="18" customHeight="1" x14ac:dyDescent="0.2">
      <c r="A15" s="10"/>
      <c r="H15" s="56"/>
      <c r="N15" s="55" t="s">
        <v>31</v>
      </c>
      <c r="P15" s="62">
        <f>P14*1%</f>
        <v>15339.9575</v>
      </c>
    </row>
    <row r="16" spans="1:16" ht="18" customHeight="1" thickBot="1" x14ac:dyDescent="0.25">
      <c r="A16" s="10"/>
      <c r="H16" s="56"/>
      <c r="N16" s="55" t="s">
        <v>54</v>
      </c>
      <c r="P16" s="64">
        <f>P14*2%</f>
        <v>30679.915000000001</v>
      </c>
    </row>
    <row r="17" spans="1:16" ht="18" customHeight="1" x14ac:dyDescent="0.2">
      <c r="A17" s="10"/>
      <c r="H17" s="56"/>
      <c r="N17" s="59" t="s">
        <v>32</v>
      </c>
      <c r="O17" s="60"/>
      <c r="P17" s="63">
        <f>P14+P15-P16</f>
        <v>1518655.7925</v>
      </c>
    </row>
    <row r="19" spans="1:16" x14ac:dyDescent="0.2">
      <c r="A19" s="10"/>
      <c r="H19" s="56"/>
      <c r="P19" s="64"/>
    </row>
    <row r="20" spans="1:16" x14ac:dyDescent="0.2">
      <c r="A20" s="10"/>
      <c r="H20" s="56"/>
      <c r="O20" s="51"/>
      <c r="P20" s="64"/>
    </row>
    <row r="21" spans="1:16" s="3" customFormat="1" x14ac:dyDescent="0.25">
      <c r="A21" s="10"/>
      <c r="B21" s="2"/>
      <c r="C21" s="2"/>
      <c r="E21" s="11"/>
      <c r="H21" s="56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6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6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6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</sheetData>
  <mergeCells count="2">
    <mergeCell ref="A12:L12"/>
    <mergeCell ref="O12:P12"/>
  </mergeCells>
  <conditionalFormatting sqref="C3:C11">
    <cfRule type="duplicateValues" dxfId="1135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0"/>
  <sheetViews>
    <sheetView zoomScale="110" zoomScaleNormal="110" workbookViewId="0">
      <pane xSplit="3" ySplit="2" topLeftCell="D148" activePane="bottomRight" state="frozen"/>
      <selection activeCell="H12" sqref="H12"/>
      <selection pane="topRight" activeCell="H12" sqref="H12"/>
      <selection pane="bottomLeft" activeCell="H12" sqref="H12"/>
      <selection pane="bottomRight" activeCell="A3" sqref="A3:XFD149"/>
    </sheetView>
  </sheetViews>
  <sheetFormatPr defaultRowHeight="15" x14ac:dyDescent="0.2"/>
  <cols>
    <col min="1" max="1" width="8" style="4" customWidth="1"/>
    <col min="2" max="2" width="20.85546875" style="2" customWidth="1"/>
    <col min="3" max="3" width="15.42578125" style="2" customWidth="1"/>
    <col min="4" max="4" width="9" style="3" customWidth="1"/>
    <col min="5" max="5" width="9" style="11" customWidth="1"/>
    <col min="6" max="6" width="11.8554687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3.25" customHeight="1" x14ac:dyDescent="0.2">
      <c r="A3" s="99">
        <v>406459</v>
      </c>
      <c r="B3" s="99" t="s">
        <v>1632</v>
      </c>
      <c r="C3" s="90" t="s">
        <v>1633</v>
      </c>
      <c r="D3" s="102" t="s">
        <v>57</v>
      </c>
      <c r="E3" s="91">
        <v>44541</v>
      </c>
      <c r="F3" s="102" t="s">
        <v>59</v>
      </c>
      <c r="G3" s="91">
        <v>44548</v>
      </c>
      <c r="H3" s="90" t="s">
        <v>1631</v>
      </c>
      <c r="I3" s="90">
        <v>83</v>
      </c>
      <c r="J3" s="90">
        <v>60</v>
      </c>
      <c r="K3" s="90">
        <v>22</v>
      </c>
      <c r="L3" s="90">
        <v>4</v>
      </c>
      <c r="M3" s="90">
        <v>27.39</v>
      </c>
      <c r="N3" s="104">
        <v>28</v>
      </c>
      <c r="O3" s="57">
        <v>7000</v>
      </c>
      <c r="P3" s="58">
        <f t="shared" ref="P3:P66" si="0">N3*O3</f>
        <v>196000</v>
      </c>
    </row>
    <row r="4" spans="1:16" ht="23.25" customHeight="1" x14ac:dyDescent="0.2">
      <c r="A4" s="100"/>
      <c r="B4" s="100"/>
      <c r="C4" s="90" t="s">
        <v>1634</v>
      </c>
      <c r="D4" s="102" t="s">
        <v>57</v>
      </c>
      <c r="E4" s="91">
        <v>44541</v>
      </c>
      <c r="F4" s="102" t="s">
        <v>59</v>
      </c>
      <c r="G4" s="91">
        <v>44548</v>
      </c>
      <c r="H4" s="90" t="s">
        <v>1631</v>
      </c>
      <c r="I4" s="90">
        <v>52</v>
      </c>
      <c r="J4" s="90">
        <v>41</v>
      </c>
      <c r="K4" s="90">
        <v>22</v>
      </c>
      <c r="L4" s="90">
        <v>8</v>
      </c>
      <c r="M4" s="90">
        <v>11.726000000000001</v>
      </c>
      <c r="N4" s="104">
        <v>11.726000000000001</v>
      </c>
      <c r="O4" s="57">
        <v>7000</v>
      </c>
      <c r="P4" s="58">
        <f t="shared" si="0"/>
        <v>82082</v>
      </c>
    </row>
    <row r="5" spans="1:16" ht="23.25" customHeight="1" x14ac:dyDescent="0.2">
      <c r="A5" s="100"/>
      <c r="B5" s="100"/>
      <c r="C5" s="15" t="s">
        <v>1635</v>
      </c>
      <c r="D5" s="70" t="s">
        <v>57</v>
      </c>
      <c r="E5" s="12">
        <v>44541</v>
      </c>
      <c r="F5" s="68" t="s">
        <v>59</v>
      </c>
      <c r="G5" s="12">
        <v>44548</v>
      </c>
      <c r="H5" s="125" t="s">
        <v>1631</v>
      </c>
      <c r="I5" s="15">
        <v>36</v>
      </c>
      <c r="J5" s="15">
        <v>33</v>
      </c>
      <c r="K5" s="15">
        <v>23</v>
      </c>
      <c r="L5" s="15">
        <v>13</v>
      </c>
      <c r="M5" s="73">
        <v>6.8310000000000004</v>
      </c>
      <c r="N5" s="104">
        <v>13</v>
      </c>
      <c r="O5" s="57">
        <v>7000</v>
      </c>
      <c r="P5" s="58">
        <f t="shared" si="0"/>
        <v>91000</v>
      </c>
    </row>
    <row r="6" spans="1:16" ht="23.25" customHeight="1" x14ac:dyDescent="0.2">
      <c r="A6" s="100"/>
      <c r="B6" s="100"/>
      <c r="C6" s="15" t="s">
        <v>1636</v>
      </c>
      <c r="D6" s="70" t="s">
        <v>57</v>
      </c>
      <c r="E6" s="12">
        <v>44541</v>
      </c>
      <c r="F6" s="68" t="s">
        <v>59</v>
      </c>
      <c r="G6" s="12">
        <v>44548</v>
      </c>
      <c r="H6" s="125" t="s">
        <v>1631</v>
      </c>
      <c r="I6" s="15">
        <v>49</v>
      </c>
      <c r="J6" s="15">
        <v>46</v>
      </c>
      <c r="K6" s="15">
        <v>23</v>
      </c>
      <c r="L6" s="15">
        <v>17</v>
      </c>
      <c r="M6" s="73">
        <v>12.9605</v>
      </c>
      <c r="N6" s="104">
        <v>17</v>
      </c>
      <c r="O6" s="57">
        <v>7000</v>
      </c>
      <c r="P6" s="58">
        <f t="shared" si="0"/>
        <v>119000</v>
      </c>
    </row>
    <row r="7" spans="1:16" ht="23.25" customHeight="1" x14ac:dyDescent="0.2">
      <c r="A7" s="100"/>
      <c r="B7" s="100"/>
      <c r="C7" s="15" t="s">
        <v>1637</v>
      </c>
      <c r="D7" s="70" t="s">
        <v>57</v>
      </c>
      <c r="E7" s="12">
        <v>44541</v>
      </c>
      <c r="F7" s="68" t="s">
        <v>59</v>
      </c>
      <c r="G7" s="12">
        <v>44548</v>
      </c>
      <c r="H7" s="125" t="s">
        <v>1631</v>
      </c>
      <c r="I7" s="15">
        <v>37</v>
      </c>
      <c r="J7" s="15">
        <v>31</v>
      </c>
      <c r="K7" s="15">
        <v>15</v>
      </c>
      <c r="L7" s="15">
        <v>3</v>
      </c>
      <c r="M7" s="73">
        <v>4.3012499999999996</v>
      </c>
      <c r="N7" s="104">
        <v>5</v>
      </c>
      <c r="O7" s="57">
        <v>7000</v>
      </c>
      <c r="P7" s="58">
        <f t="shared" si="0"/>
        <v>35000</v>
      </c>
    </row>
    <row r="8" spans="1:16" ht="23.25" customHeight="1" x14ac:dyDescent="0.2">
      <c r="A8" s="100"/>
      <c r="B8" s="100"/>
      <c r="C8" s="15" t="s">
        <v>1638</v>
      </c>
      <c r="D8" s="70" t="s">
        <v>57</v>
      </c>
      <c r="E8" s="12">
        <v>44541</v>
      </c>
      <c r="F8" s="68" t="s">
        <v>59</v>
      </c>
      <c r="G8" s="12">
        <v>44548</v>
      </c>
      <c r="H8" s="125" t="s">
        <v>1631</v>
      </c>
      <c r="I8" s="15">
        <v>71</v>
      </c>
      <c r="J8" s="15">
        <v>60</v>
      </c>
      <c r="K8" s="15">
        <v>21</v>
      </c>
      <c r="L8" s="15">
        <v>11</v>
      </c>
      <c r="M8" s="73">
        <v>22.364999999999998</v>
      </c>
      <c r="N8" s="104">
        <v>23</v>
      </c>
      <c r="O8" s="57">
        <v>7000</v>
      </c>
      <c r="P8" s="58">
        <f t="shared" si="0"/>
        <v>161000</v>
      </c>
    </row>
    <row r="9" spans="1:16" ht="23.25" customHeight="1" x14ac:dyDescent="0.2">
      <c r="A9" s="100"/>
      <c r="B9" s="100"/>
      <c r="C9" s="15" t="s">
        <v>1639</v>
      </c>
      <c r="D9" s="70" t="s">
        <v>57</v>
      </c>
      <c r="E9" s="12">
        <v>44541</v>
      </c>
      <c r="F9" s="68" t="s">
        <v>59</v>
      </c>
      <c r="G9" s="12">
        <v>44548</v>
      </c>
      <c r="H9" s="125" t="s">
        <v>1631</v>
      </c>
      <c r="I9" s="15">
        <v>46</v>
      </c>
      <c r="J9" s="15">
        <v>32</v>
      </c>
      <c r="K9" s="15">
        <v>31</v>
      </c>
      <c r="L9" s="15">
        <v>1</v>
      </c>
      <c r="M9" s="73">
        <v>11.407999999999999</v>
      </c>
      <c r="N9" s="104">
        <v>12</v>
      </c>
      <c r="O9" s="57">
        <v>7000</v>
      </c>
      <c r="P9" s="58">
        <f t="shared" si="0"/>
        <v>84000</v>
      </c>
    </row>
    <row r="10" spans="1:16" ht="23.25" customHeight="1" x14ac:dyDescent="0.2">
      <c r="A10" s="100"/>
      <c r="B10" s="100"/>
      <c r="C10" s="15" t="s">
        <v>1640</v>
      </c>
      <c r="D10" s="70" t="s">
        <v>57</v>
      </c>
      <c r="E10" s="12">
        <v>44541</v>
      </c>
      <c r="F10" s="68" t="s">
        <v>59</v>
      </c>
      <c r="G10" s="12">
        <v>44548</v>
      </c>
      <c r="H10" s="125" t="s">
        <v>1631</v>
      </c>
      <c r="I10" s="15">
        <v>75</v>
      </c>
      <c r="J10" s="15">
        <v>56</v>
      </c>
      <c r="K10" s="15">
        <v>30</v>
      </c>
      <c r="L10" s="15">
        <v>7</v>
      </c>
      <c r="M10" s="73">
        <v>31.5</v>
      </c>
      <c r="N10" s="104">
        <v>33</v>
      </c>
      <c r="O10" s="57">
        <v>7000</v>
      </c>
      <c r="P10" s="58">
        <f t="shared" si="0"/>
        <v>231000</v>
      </c>
    </row>
    <row r="11" spans="1:16" ht="23.25" customHeight="1" x14ac:dyDescent="0.2">
      <c r="A11" s="100"/>
      <c r="B11" s="100"/>
      <c r="C11" s="15" t="s">
        <v>1641</v>
      </c>
      <c r="D11" s="70" t="s">
        <v>57</v>
      </c>
      <c r="E11" s="12">
        <v>44541</v>
      </c>
      <c r="F11" s="68" t="s">
        <v>59</v>
      </c>
      <c r="G11" s="12">
        <v>44548</v>
      </c>
      <c r="H11" s="125" t="s">
        <v>1631</v>
      </c>
      <c r="I11" s="15">
        <v>110</v>
      </c>
      <c r="J11" s="15">
        <v>55</v>
      </c>
      <c r="K11" s="15">
        <v>34</v>
      </c>
      <c r="L11" s="15">
        <v>27</v>
      </c>
      <c r="M11" s="73">
        <v>51.424999999999997</v>
      </c>
      <c r="N11" s="104">
        <v>52</v>
      </c>
      <c r="O11" s="57">
        <v>7000</v>
      </c>
      <c r="P11" s="58">
        <f t="shared" si="0"/>
        <v>364000</v>
      </c>
    </row>
    <row r="12" spans="1:16" ht="23.25" customHeight="1" x14ac:dyDescent="0.2">
      <c r="A12" s="100"/>
      <c r="B12" s="100"/>
      <c r="C12" s="15" t="s">
        <v>1642</v>
      </c>
      <c r="D12" s="70" t="s">
        <v>57</v>
      </c>
      <c r="E12" s="12">
        <v>44541</v>
      </c>
      <c r="F12" s="68" t="s">
        <v>59</v>
      </c>
      <c r="G12" s="12">
        <v>44548</v>
      </c>
      <c r="H12" s="125" t="s">
        <v>1631</v>
      </c>
      <c r="I12" s="15">
        <v>87</v>
      </c>
      <c r="J12" s="15">
        <v>47</v>
      </c>
      <c r="K12" s="15">
        <v>9</v>
      </c>
      <c r="L12" s="15">
        <v>2</v>
      </c>
      <c r="M12" s="73">
        <v>9.2002500000000005</v>
      </c>
      <c r="N12" s="104">
        <v>9.2002500000000005</v>
      </c>
      <c r="O12" s="57">
        <v>7000</v>
      </c>
      <c r="P12" s="58">
        <f t="shared" si="0"/>
        <v>64401.75</v>
      </c>
    </row>
    <row r="13" spans="1:16" ht="23.25" customHeight="1" x14ac:dyDescent="0.2">
      <c r="A13" s="100"/>
      <c r="B13" s="100"/>
      <c r="C13" s="15" t="s">
        <v>1643</v>
      </c>
      <c r="D13" s="70" t="s">
        <v>57</v>
      </c>
      <c r="E13" s="12">
        <v>44541</v>
      </c>
      <c r="F13" s="68" t="s">
        <v>59</v>
      </c>
      <c r="G13" s="12">
        <v>44548</v>
      </c>
      <c r="H13" s="125" t="s">
        <v>1631</v>
      </c>
      <c r="I13" s="15">
        <v>50</v>
      </c>
      <c r="J13" s="15">
        <v>30</v>
      </c>
      <c r="K13" s="15">
        <v>32</v>
      </c>
      <c r="L13" s="15">
        <v>5</v>
      </c>
      <c r="M13" s="73">
        <v>12</v>
      </c>
      <c r="N13" s="104">
        <v>12</v>
      </c>
      <c r="O13" s="57">
        <v>7000</v>
      </c>
      <c r="P13" s="58">
        <f t="shared" si="0"/>
        <v>84000</v>
      </c>
    </row>
    <row r="14" spans="1:16" ht="23.25" customHeight="1" x14ac:dyDescent="0.2">
      <c r="A14" s="100"/>
      <c r="B14" s="100"/>
      <c r="C14" s="15" t="s">
        <v>1644</v>
      </c>
      <c r="D14" s="70" t="s">
        <v>57</v>
      </c>
      <c r="E14" s="12">
        <v>44541</v>
      </c>
      <c r="F14" s="68" t="s">
        <v>59</v>
      </c>
      <c r="G14" s="12">
        <v>44548</v>
      </c>
      <c r="H14" s="125" t="s">
        <v>1631</v>
      </c>
      <c r="I14" s="15">
        <v>90</v>
      </c>
      <c r="J14" s="15">
        <v>50</v>
      </c>
      <c r="K14" s="15">
        <v>30</v>
      </c>
      <c r="L14" s="15">
        <v>20</v>
      </c>
      <c r="M14" s="73">
        <v>33.75</v>
      </c>
      <c r="N14" s="104">
        <v>33.75</v>
      </c>
      <c r="O14" s="57">
        <v>7000</v>
      </c>
      <c r="P14" s="58">
        <f t="shared" si="0"/>
        <v>236250</v>
      </c>
    </row>
    <row r="15" spans="1:16" ht="23.25" customHeight="1" x14ac:dyDescent="0.2">
      <c r="A15" s="100"/>
      <c r="B15" s="100"/>
      <c r="C15" s="15" t="s">
        <v>1645</v>
      </c>
      <c r="D15" s="70" t="s">
        <v>57</v>
      </c>
      <c r="E15" s="12">
        <v>44541</v>
      </c>
      <c r="F15" s="68" t="s">
        <v>59</v>
      </c>
      <c r="G15" s="12">
        <v>44548</v>
      </c>
      <c r="H15" s="125" t="s">
        <v>1631</v>
      </c>
      <c r="I15" s="15">
        <v>41</v>
      </c>
      <c r="J15" s="15">
        <v>35</v>
      </c>
      <c r="K15" s="15">
        <v>31</v>
      </c>
      <c r="L15" s="15">
        <v>5</v>
      </c>
      <c r="M15" s="73">
        <v>11.12125</v>
      </c>
      <c r="N15" s="104">
        <v>11.12125</v>
      </c>
      <c r="O15" s="57">
        <v>7000</v>
      </c>
      <c r="P15" s="58">
        <f t="shared" si="0"/>
        <v>77848.75</v>
      </c>
    </row>
    <row r="16" spans="1:16" ht="23.25" customHeight="1" x14ac:dyDescent="0.2">
      <c r="A16" s="100"/>
      <c r="B16" s="100"/>
      <c r="C16" s="15" t="s">
        <v>1646</v>
      </c>
      <c r="D16" s="70" t="s">
        <v>57</v>
      </c>
      <c r="E16" s="12">
        <v>44541</v>
      </c>
      <c r="F16" s="68" t="s">
        <v>59</v>
      </c>
      <c r="G16" s="12">
        <v>44548</v>
      </c>
      <c r="H16" s="125" t="s">
        <v>1631</v>
      </c>
      <c r="I16" s="15">
        <v>80</v>
      </c>
      <c r="J16" s="15">
        <v>53</v>
      </c>
      <c r="K16" s="15">
        <v>21</v>
      </c>
      <c r="L16" s="15">
        <v>6</v>
      </c>
      <c r="M16" s="73">
        <v>22.26</v>
      </c>
      <c r="N16" s="104">
        <v>22.26</v>
      </c>
      <c r="O16" s="57">
        <v>7000</v>
      </c>
      <c r="P16" s="58">
        <f t="shared" si="0"/>
        <v>155820</v>
      </c>
    </row>
    <row r="17" spans="1:16" ht="23.25" customHeight="1" x14ac:dyDescent="0.2">
      <c r="A17" s="100"/>
      <c r="B17" s="100"/>
      <c r="C17" s="15" t="s">
        <v>1647</v>
      </c>
      <c r="D17" s="70" t="s">
        <v>57</v>
      </c>
      <c r="E17" s="12">
        <v>44541</v>
      </c>
      <c r="F17" s="68" t="s">
        <v>59</v>
      </c>
      <c r="G17" s="12">
        <v>44548</v>
      </c>
      <c r="H17" s="125" t="s">
        <v>1631</v>
      </c>
      <c r="I17" s="15">
        <v>82</v>
      </c>
      <c r="J17" s="15">
        <v>60</v>
      </c>
      <c r="K17" s="15">
        <v>30</v>
      </c>
      <c r="L17" s="15">
        <v>20</v>
      </c>
      <c r="M17" s="73">
        <v>36.9</v>
      </c>
      <c r="N17" s="104">
        <v>36.9</v>
      </c>
      <c r="O17" s="57">
        <v>7000</v>
      </c>
      <c r="P17" s="58">
        <f t="shared" si="0"/>
        <v>258300</v>
      </c>
    </row>
    <row r="18" spans="1:16" ht="23.25" customHeight="1" x14ac:dyDescent="0.2">
      <c r="A18" s="100"/>
      <c r="B18" s="100"/>
      <c r="C18" s="15" t="s">
        <v>1648</v>
      </c>
      <c r="D18" s="70" t="s">
        <v>57</v>
      </c>
      <c r="E18" s="12">
        <v>44541</v>
      </c>
      <c r="F18" s="68" t="s">
        <v>59</v>
      </c>
      <c r="G18" s="12">
        <v>44548</v>
      </c>
      <c r="H18" s="125" t="s">
        <v>1631</v>
      </c>
      <c r="I18" s="15">
        <v>44</v>
      </c>
      <c r="J18" s="15">
        <v>32</v>
      </c>
      <c r="K18" s="15">
        <v>13</v>
      </c>
      <c r="L18" s="15">
        <v>2</v>
      </c>
      <c r="M18" s="73">
        <v>4.5759999999999996</v>
      </c>
      <c r="N18" s="104">
        <v>4.5759999999999996</v>
      </c>
      <c r="O18" s="57">
        <v>7000</v>
      </c>
      <c r="P18" s="58">
        <f t="shared" si="0"/>
        <v>32031.999999999996</v>
      </c>
    </row>
    <row r="19" spans="1:16" ht="23.25" customHeight="1" x14ac:dyDescent="0.2">
      <c r="A19" s="100"/>
      <c r="B19" s="100"/>
      <c r="C19" s="15" t="s">
        <v>1649</v>
      </c>
      <c r="D19" s="70" t="s">
        <v>57</v>
      </c>
      <c r="E19" s="12">
        <v>44541</v>
      </c>
      <c r="F19" s="68" t="s">
        <v>59</v>
      </c>
      <c r="G19" s="12">
        <v>44548</v>
      </c>
      <c r="H19" s="125" t="s">
        <v>1631</v>
      </c>
      <c r="I19" s="15">
        <v>90</v>
      </c>
      <c r="J19" s="15">
        <v>55</v>
      </c>
      <c r="K19" s="15">
        <v>21</v>
      </c>
      <c r="L19" s="15">
        <v>6</v>
      </c>
      <c r="M19" s="73">
        <v>25.987500000000001</v>
      </c>
      <c r="N19" s="104">
        <v>25.987500000000001</v>
      </c>
      <c r="O19" s="57">
        <v>7000</v>
      </c>
      <c r="P19" s="58">
        <f t="shared" si="0"/>
        <v>181912.5</v>
      </c>
    </row>
    <row r="20" spans="1:16" ht="23.25" customHeight="1" x14ac:dyDescent="0.2">
      <c r="A20" s="100"/>
      <c r="B20" s="100"/>
      <c r="C20" s="15" t="s">
        <v>1650</v>
      </c>
      <c r="D20" s="70" t="s">
        <v>57</v>
      </c>
      <c r="E20" s="12">
        <v>44541</v>
      </c>
      <c r="F20" s="68" t="s">
        <v>59</v>
      </c>
      <c r="G20" s="12">
        <v>44548</v>
      </c>
      <c r="H20" s="125" t="s">
        <v>1631</v>
      </c>
      <c r="I20" s="15">
        <v>30</v>
      </c>
      <c r="J20" s="15">
        <v>27</v>
      </c>
      <c r="K20" s="15">
        <v>25</v>
      </c>
      <c r="L20" s="15">
        <v>7</v>
      </c>
      <c r="M20" s="73">
        <v>5.0625</v>
      </c>
      <c r="N20" s="104">
        <v>7</v>
      </c>
      <c r="O20" s="57">
        <v>7000</v>
      </c>
      <c r="P20" s="58">
        <f t="shared" si="0"/>
        <v>49000</v>
      </c>
    </row>
    <row r="21" spans="1:16" ht="23.25" customHeight="1" x14ac:dyDescent="0.2">
      <c r="A21" s="100"/>
      <c r="B21" s="100"/>
      <c r="C21" s="15" t="s">
        <v>1651</v>
      </c>
      <c r="D21" s="70" t="s">
        <v>57</v>
      </c>
      <c r="E21" s="12">
        <v>44541</v>
      </c>
      <c r="F21" s="68" t="s">
        <v>59</v>
      </c>
      <c r="G21" s="12">
        <v>44548</v>
      </c>
      <c r="H21" s="125" t="s">
        <v>1631</v>
      </c>
      <c r="I21" s="15">
        <v>70</v>
      </c>
      <c r="J21" s="15">
        <v>51</v>
      </c>
      <c r="K21" s="15">
        <v>22</v>
      </c>
      <c r="L21" s="15">
        <v>5</v>
      </c>
      <c r="M21" s="73">
        <v>19.635000000000002</v>
      </c>
      <c r="N21" s="104">
        <v>19.635000000000002</v>
      </c>
      <c r="O21" s="57">
        <v>7000</v>
      </c>
      <c r="P21" s="58">
        <f t="shared" si="0"/>
        <v>137445</v>
      </c>
    </row>
    <row r="22" spans="1:16" ht="23.25" customHeight="1" x14ac:dyDescent="0.2">
      <c r="A22" s="100"/>
      <c r="B22" s="100"/>
      <c r="C22" s="15" t="s">
        <v>1652</v>
      </c>
      <c r="D22" s="70" t="s">
        <v>57</v>
      </c>
      <c r="E22" s="12">
        <v>44541</v>
      </c>
      <c r="F22" s="68" t="s">
        <v>59</v>
      </c>
      <c r="G22" s="12">
        <v>44548</v>
      </c>
      <c r="H22" s="125" t="s">
        <v>1631</v>
      </c>
      <c r="I22" s="15">
        <v>55</v>
      </c>
      <c r="J22" s="15">
        <v>62</v>
      </c>
      <c r="K22" s="15">
        <v>23</v>
      </c>
      <c r="L22" s="15">
        <v>6</v>
      </c>
      <c r="M22" s="73">
        <v>19.607500000000002</v>
      </c>
      <c r="N22" s="104">
        <v>19.607500000000002</v>
      </c>
      <c r="O22" s="57">
        <v>7000</v>
      </c>
      <c r="P22" s="58">
        <f t="shared" si="0"/>
        <v>137252.5</v>
      </c>
    </row>
    <row r="23" spans="1:16" ht="23.25" customHeight="1" x14ac:dyDescent="0.2">
      <c r="A23" s="100"/>
      <c r="B23" s="100"/>
      <c r="C23" s="15" t="s">
        <v>1653</v>
      </c>
      <c r="D23" s="70" t="s">
        <v>57</v>
      </c>
      <c r="E23" s="12">
        <v>44541</v>
      </c>
      <c r="F23" s="68" t="s">
        <v>59</v>
      </c>
      <c r="G23" s="12">
        <v>44548</v>
      </c>
      <c r="H23" s="125" t="s">
        <v>1631</v>
      </c>
      <c r="I23" s="15">
        <v>50</v>
      </c>
      <c r="J23" s="15">
        <v>27</v>
      </c>
      <c r="K23" s="15">
        <v>18</v>
      </c>
      <c r="L23" s="15">
        <v>3</v>
      </c>
      <c r="M23" s="73">
        <v>6.0750000000000002</v>
      </c>
      <c r="N23" s="104">
        <v>6.0750000000000002</v>
      </c>
      <c r="O23" s="57">
        <v>7000</v>
      </c>
      <c r="P23" s="58">
        <f t="shared" si="0"/>
        <v>42525</v>
      </c>
    </row>
    <row r="24" spans="1:16" ht="23.25" customHeight="1" x14ac:dyDescent="0.2">
      <c r="A24" s="100"/>
      <c r="B24" s="100"/>
      <c r="C24" s="15" t="s">
        <v>1654</v>
      </c>
      <c r="D24" s="70" t="s">
        <v>57</v>
      </c>
      <c r="E24" s="12">
        <v>44541</v>
      </c>
      <c r="F24" s="68" t="s">
        <v>59</v>
      </c>
      <c r="G24" s="12">
        <v>44548</v>
      </c>
      <c r="H24" s="125" t="s">
        <v>1631</v>
      </c>
      <c r="I24" s="15">
        <v>20</v>
      </c>
      <c r="J24" s="15">
        <v>14</v>
      </c>
      <c r="K24" s="15">
        <v>10</v>
      </c>
      <c r="L24" s="15">
        <v>1</v>
      </c>
      <c r="M24" s="73">
        <v>0.7</v>
      </c>
      <c r="N24" s="104">
        <v>1</v>
      </c>
      <c r="O24" s="57">
        <v>7000</v>
      </c>
      <c r="P24" s="58">
        <f t="shared" si="0"/>
        <v>7000</v>
      </c>
    </row>
    <row r="25" spans="1:16" ht="23.25" customHeight="1" x14ac:dyDescent="0.2">
      <c r="A25" s="100"/>
      <c r="B25" s="100"/>
      <c r="C25" s="15" t="s">
        <v>1655</v>
      </c>
      <c r="D25" s="70" t="s">
        <v>57</v>
      </c>
      <c r="E25" s="12">
        <v>44541</v>
      </c>
      <c r="F25" s="68" t="s">
        <v>59</v>
      </c>
      <c r="G25" s="12">
        <v>44548</v>
      </c>
      <c r="H25" s="125" t="s">
        <v>1631</v>
      </c>
      <c r="I25" s="15">
        <v>50</v>
      </c>
      <c r="J25" s="15">
        <v>27</v>
      </c>
      <c r="K25" s="15">
        <v>25</v>
      </c>
      <c r="L25" s="15">
        <v>1</v>
      </c>
      <c r="M25" s="73">
        <v>8.4375</v>
      </c>
      <c r="N25" s="104">
        <v>9</v>
      </c>
      <c r="O25" s="57">
        <v>7000</v>
      </c>
      <c r="P25" s="58">
        <f t="shared" si="0"/>
        <v>63000</v>
      </c>
    </row>
    <row r="26" spans="1:16" ht="23.25" customHeight="1" x14ac:dyDescent="0.2">
      <c r="A26" s="100"/>
      <c r="B26" s="100"/>
      <c r="C26" s="15" t="s">
        <v>1656</v>
      </c>
      <c r="D26" s="70" t="s">
        <v>57</v>
      </c>
      <c r="E26" s="12">
        <v>44541</v>
      </c>
      <c r="F26" s="68" t="s">
        <v>59</v>
      </c>
      <c r="G26" s="12">
        <v>44548</v>
      </c>
      <c r="H26" s="125" t="s">
        <v>1631</v>
      </c>
      <c r="I26" s="15">
        <v>61</v>
      </c>
      <c r="J26" s="15">
        <v>42</v>
      </c>
      <c r="K26" s="15">
        <v>20</v>
      </c>
      <c r="L26" s="15">
        <v>5</v>
      </c>
      <c r="M26" s="73">
        <v>12.81</v>
      </c>
      <c r="N26" s="104">
        <v>12.81</v>
      </c>
      <c r="O26" s="57">
        <v>7000</v>
      </c>
      <c r="P26" s="58">
        <f t="shared" si="0"/>
        <v>89670</v>
      </c>
    </row>
    <row r="27" spans="1:16" ht="23.25" customHeight="1" x14ac:dyDescent="0.2">
      <c r="A27" s="100"/>
      <c r="B27" s="100"/>
      <c r="C27" s="15" t="s">
        <v>1657</v>
      </c>
      <c r="D27" s="70" t="s">
        <v>57</v>
      </c>
      <c r="E27" s="12">
        <v>44541</v>
      </c>
      <c r="F27" s="68" t="s">
        <v>59</v>
      </c>
      <c r="G27" s="12">
        <v>44548</v>
      </c>
      <c r="H27" s="125" t="s">
        <v>1631</v>
      </c>
      <c r="I27" s="15">
        <v>32</v>
      </c>
      <c r="J27" s="15">
        <v>32</v>
      </c>
      <c r="K27" s="15">
        <v>34</v>
      </c>
      <c r="L27" s="15">
        <v>4</v>
      </c>
      <c r="M27" s="73">
        <v>8.7040000000000006</v>
      </c>
      <c r="N27" s="104">
        <v>8.7040000000000006</v>
      </c>
      <c r="O27" s="57">
        <v>7000</v>
      </c>
      <c r="P27" s="58">
        <f t="shared" si="0"/>
        <v>60928.000000000007</v>
      </c>
    </row>
    <row r="28" spans="1:16" ht="23.25" customHeight="1" x14ac:dyDescent="0.2">
      <c r="A28" s="100"/>
      <c r="B28" s="100"/>
      <c r="C28" s="15" t="s">
        <v>1658</v>
      </c>
      <c r="D28" s="70" t="s">
        <v>57</v>
      </c>
      <c r="E28" s="12">
        <v>44541</v>
      </c>
      <c r="F28" s="68" t="s">
        <v>59</v>
      </c>
      <c r="G28" s="12">
        <v>44548</v>
      </c>
      <c r="H28" s="125" t="s">
        <v>1631</v>
      </c>
      <c r="I28" s="15">
        <v>28</v>
      </c>
      <c r="J28" s="15">
        <v>30</v>
      </c>
      <c r="K28" s="15">
        <v>25</v>
      </c>
      <c r="L28" s="15">
        <v>5</v>
      </c>
      <c r="M28" s="73">
        <v>5.25</v>
      </c>
      <c r="N28" s="104">
        <v>5.25</v>
      </c>
      <c r="O28" s="57">
        <v>7000</v>
      </c>
      <c r="P28" s="58">
        <f t="shared" si="0"/>
        <v>36750</v>
      </c>
    </row>
    <row r="29" spans="1:16" ht="23.25" customHeight="1" x14ac:dyDescent="0.2">
      <c r="A29" s="100"/>
      <c r="B29" s="100"/>
      <c r="C29" s="15" t="s">
        <v>1659</v>
      </c>
      <c r="D29" s="70" t="s">
        <v>57</v>
      </c>
      <c r="E29" s="12">
        <v>44541</v>
      </c>
      <c r="F29" s="68" t="s">
        <v>59</v>
      </c>
      <c r="G29" s="12">
        <v>44548</v>
      </c>
      <c r="H29" s="125" t="s">
        <v>1631</v>
      </c>
      <c r="I29" s="15">
        <v>40</v>
      </c>
      <c r="J29" s="15">
        <v>34</v>
      </c>
      <c r="K29" s="15">
        <v>22</v>
      </c>
      <c r="L29" s="15">
        <v>5</v>
      </c>
      <c r="M29" s="73">
        <v>7.48</v>
      </c>
      <c r="N29" s="104">
        <v>8</v>
      </c>
      <c r="O29" s="57">
        <v>7000</v>
      </c>
      <c r="P29" s="58">
        <f t="shared" si="0"/>
        <v>56000</v>
      </c>
    </row>
    <row r="30" spans="1:16" ht="23.25" customHeight="1" x14ac:dyDescent="0.2">
      <c r="A30" s="100"/>
      <c r="B30" s="100"/>
      <c r="C30" s="15" t="s">
        <v>1660</v>
      </c>
      <c r="D30" s="70" t="s">
        <v>57</v>
      </c>
      <c r="E30" s="12">
        <v>44541</v>
      </c>
      <c r="F30" s="68" t="s">
        <v>59</v>
      </c>
      <c r="G30" s="12">
        <v>44548</v>
      </c>
      <c r="H30" s="125" t="s">
        <v>1631</v>
      </c>
      <c r="I30" s="15">
        <v>92</v>
      </c>
      <c r="J30" s="15">
        <v>52</v>
      </c>
      <c r="K30" s="15">
        <v>36</v>
      </c>
      <c r="L30" s="15">
        <v>12</v>
      </c>
      <c r="M30" s="73">
        <v>43.055999999999997</v>
      </c>
      <c r="N30" s="104">
        <v>43.055999999999997</v>
      </c>
      <c r="O30" s="57">
        <v>7000</v>
      </c>
      <c r="P30" s="58">
        <f t="shared" si="0"/>
        <v>301392</v>
      </c>
    </row>
    <row r="31" spans="1:16" ht="23.25" customHeight="1" x14ac:dyDescent="0.2">
      <c r="A31" s="100"/>
      <c r="B31" s="100"/>
      <c r="C31" s="15" t="s">
        <v>1661</v>
      </c>
      <c r="D31" s="70" t="s">
        <v>57</v>
      </c>
      <c r="E31" s="12">
        <v>44541</v>
      </c>
      <c r="F31" s="68" t="s">
        <v>59</v>
      </c>
      <c r="G31" s="12">
        <v>44548</v>
      </c>
      <c r="H31" s="125" t="s">
        <v>1631</v>
      </c>
      <c r="I31" s="15">
        <v>46</v>
      </c>
      <c r="J31" s="15">
        <v>37</v>
      </c>
      <c r="K31" s="15">
        <v>14</v>
      </c>
      <c r="L31" s="15">
        <v>2</v>
      </c>
      <c r="M31" s="73">
        <v>5.9569999999999999</v>
      </c>
      <c r="N31" s="104">
        <v>5.9569999999999999</v>
      </c>
      <c r="O31" s="57">
        <v>7000</v>
      </c>
      <c r="P31" s="58">
        <f t="shared" si="0"/>
        <v>41699</v>
      </c>
    </row>
    <row r="32" spans="1:16" ht="23.25" customHeight="1" x14ac:dyDescent="0.2">
      <c r="A32" s="100"/>
      <c r="B32" s="100"/>
      <c r="C32" s="15" t="s">
        <v>1662</v>
      </c>
      <c r="D32" s="70" t="s">
        <v>57</v>
      </c>
      <c r="E32" s="12">
        <v>44541</v>
      </c>
      <c r="F32" s="68" t="s">
        <v>59</v>
      </c>
      <c r="G32" s="12">
        <v>44548</v>
      </c>
      <c r="H32" s="125" t="s">
        <v>1631</v>
      </c>
      <c r="I32" s="15">
        <v>20</v>
      </c>
      <c r="J32" s="15">
        <v>18</v>
      </c>
      <c r="K32" s="15">
        <v>8</v>
      </c>
      <c r="L32" s="15">
        <v>1</v>
      </c>
      <c r="M32" s="73">
        <v>0.72</v>
      </c>
      <c r="N32" s="104">
        <v>1</v>
      </c>
      <c r="O32" s="57">
        <v>7000</v>
      </c>
      <c r="P32" s="58">
        <f t="shared" si="0"/>
        <v>7000</v>
      </c>
    </row>
    <row r="33" spans="1:16" ht="23.25" customHeight="1" x14ac:dyDescent="0.2">
      <c r="A33" s="100"/>
      <c r="B33" s="100"/>
      <c r="C33" s="15" t="s">
        <v>1663</v>
      </c>
      <c r="D33" s="70" t="s">
        <v>57</v>
      </c>
      <c r="E33" s="12">
        <v>44541</v>
      </c>
      <c r="F33" s="68" t="s">
        <v>59</v>
      </c>
      <c r="G33" s="12">
        <v>44548</v>
      </c>
      <c r="H33" s="125" t="s">
        <v>1631</v>
      </c>
      <c r="I33" s="15">
        <v>49</v>
      </c>
      <c r="J33" s="15">
        <v>40</v>
      </c>
      <c r="K33" s="15">
        <v>27</v>
      </c>
      <c r="L33" s="15">
        <v>15</v>
      </c>
      <c r="M33" s="73">
        <v>13.23</v>
      </c>
      <c r="N33" s="104">
        <v>15</v>
      </c>
      <c r="O33" s="57">
        <v>7000</v>
      </c>
      <c r="P33" s="58">
        <f t="shared" si="0"/>
        <v>105000</v>
      </c>
    </row>
    <row r="34" spans="1:16" ht="23.25" customHeight="1" x14ac:dyDescent="0.2">
      <c r="A34" s="100"/>
      <c r="B34" s="100"/>
      <c r="C34" s="15" t="s">
        <v>1664</v>
      </c>
      <c r="D34" s="70" t="s">
        <v>57</v>
      </c>
      <c r="E34" s="12">
        <v>44541</v>
      </c>
      <c r="F34" s="68" t="s">
        <v>59</v>
      </c>
      <c r="G34" s="12">
        <v>44548</v>
      </c>
      <c r="H34" s="125" t="s">
        <v>1631</v>
      </c>
      <c r="I34" s="15">
        <v>38</v>
      </c>
      <c r="J34" s="15">
        <v>30</v>
      </c>
      <c r="K34" s="15">
        <v>28</v>
      </c>
      <c r="L34" s="15">
        <v>15</v>
      </c>
      <c r="M34" s="73">
        <v>7.98</v>
      </c>
      <c r="N34" s="104">
        <v>15</v>
      </c>
      <c r="O34" s="57">
        <v>7000</v>
      </c>
      <c r="P34" s="58">
        <f t="shared" si="0"/>
        <v>105000</v>
      </c>
    </row>
    <row r="35" spans="1:16" ht="23.25" customHeight="1" x14ac:dyDescent="0.2">
      <c r="A35" s="100"/>
      <c r="B35" s="100"/>
      <c r="C35" s="15" t="s">
        <v>1665</v>
      </c>
      <c r="D35" s="70" t="s">
        <v>57</v>
      </c>
      <c r="E35" s="12">
        <v>44541</v>
      </c>
      <c r="F35" s="68" t="s">
        <v>59</v>
      </c>
      <c r="G35" s="12">
        <v>44548</v>
      </c>
      <c r="H35" s="125" t="s">
        <v>1631</v>
      </c>
      <c r="I35" s="15">
        <v>35</v>
      </c>
      <c r="J35" s="15">
        <v>24</v>
      </c>
      <c r="K35" s="15">
        <v>17</v>
      </c>
      <c r="L35" s="15">
        <v>2</v>
      </c>
      <c r="M35" s="73">
        <v>3.57</v>
      </c>
      <c r="N35" s="104">
        <v>3.57</v>
      </c>
      <c r="O35" s="57">
        <v>7000</v>
      </c>
      <c r="P35" s="58">
        <f t="shared" si="0"/>
        <v>24990</v>
      </c>
    </row>
    <row r="36" spans="1:16" ht="23.25" customHeight="1" x14ac:dyDescent="0.2">
      <c r="A36" s="100"/>
      <c r="B36" s="100"/>
      <c r="C36" s="15" t="s">
        <v>1666</v>
      </c>
      <c r="D36" s="70" t="s">
        <v>57</v>
      </c>
      <c r="E36" s="12">
        <v>44541</v>
      </c>
      <c r="F36" s="68" t="s">
        <v>59</v>
      </c>
      <c r="G36" s="12">
        <v>44548</v>
      </c>
      <c r="H36" s="125" t="s">
        <v>1631</v>
      </c>
      <c r="I36" s="15">
        <v>62</v>
      </c>
      <c r="J36" s="15">
        <v>47</v>
      </c>
      <c r="K36" s="15">
        <v>23</v>
      </c>
      <c r="L36" s="15">
        <v>15</v>
      </c>
      <c r="M36" s="73">
        <v>16.755500000000001</v>
      </c>
      <c r="N36" s="104">
        <v>16.755500000000001</v>
      </c>
      <c r="O36" s="57">
        <v>7000</v>
      </c>
      <c r="P36" s="58">
        <f t="shared" si="0"/>
        <v>117288.50000000001</v>
      </c>
    </row>
    <row r="37" spans="1:16" ht="23.25" customHeight="1" x14ac:dyDescent="0.2">
      <c r="A37" s="100"/>
      <c r="B37" s="100"/>
      <c r="C37" s="15" t="s">
        <v>1667</v>
      </c>
      <c r="D37" s="70" t="s">
        <v>57</v>
      </c>
      <c r="E37" s="12">
        <v>44541</v>
      </c>
      <c r="F37" s="68" t="s">
        <v>59</v>
      </c>
      <c r="G37" s="12">
        <v>44548</v>
      </c>
      <c r="H37" s="125" t="s">
        <v>1631</v>
      </c>
      <c r="I37" s="15">
        <v>64</v>
      </c>
      <c r="J37" s="15">
        <v>46</v>
      </c>
      <c r="K37" s="15">
        <v>21</v>
      </c>
      <c r="L37" s="15">
        <v>10</v>
      </c>
      <c r="M37" s="73">
        <v>15.456</v>
      </c>
      <c r="N37" s="104">
        <v>16</v>
      </c>
      <c r="O37" s="57">
        <v>7000</v>
      </c>
      <c r="P37" s="58">
        <f t="shared" si="0"/>
        <v>112000</v>
      </c>
    </row>
    <row r="38" spans="1:16" ht="23.25" customHeight="1" x14ac:dyDescent="0.2">
      <c r="A38" s="100"/>
      <c r="B38" s="100"/>
      <c r="C38" s="15" t="s">
        <v>1668</v>
      </c>
      <c r="D38" s="70" t="s">
        <v>57</v>
      </c>
      <c r="E38" s="12">
        <v>44541</v>
      </c>
      <c r="F38" s="68" t="s">
        <v>59</v>
      </c>
      <c r="G38" s="12">
        <v>44548</v>
      </c>
      <c r="H38" s="125" t="s">
        <v>1631</v>
      </c>
      <c r="I38" s="15">
        <v>88</v>
      </c>
      <c r="J38" s="15">
        <v>55</v>
      </c>
      <c r="K38" s="15">
        <v>28</v>
      </c>
      <c r="L38" s="15">
        <v>23</v>
      </c>
      <c r="M38" s="73">
        <v>33.880000000000003</v>
      </c>
      <c r="N38" s="104">
        <v>33.880000000000003</v>
      </c>
      <c r="O38" s="57">
        <v>7000</v>
      </c>
      <c r="P38" s="58">
        <f t="shared" si="0"/>
        <v>237160.00000000003</v>
      </c>
    </row>
    <row r="39" spans="1:16" ht="23.25" customHeight="1" x14ac:dyDescent="0.2">
      <c r="A39" s="100"/>
      <c r="B39" s="100"/>
      <c r="C39" s="15" t="s">
        <v>1669</v>
      </c>
      <c r="D39" s="70" t="s">
        <v>57</v>
      </c>
      <c r="E39" s="12">
        <v>44541</v>
      </c>
      <c r="F39" s="68" t="s">
        <v>59</v>
      </c>
      <c r="G39" s="12">
        <v>44548</v>
      </c>
      <c r="H39" s="125" t="s">
        <v>1631</v>
      </c>
      <c r="I39" s="15">
        <v>87</v>
      </c>
      <c r="J39" s="15">
        <v>58</v>
      </c>
      <c r="K39" s="15">
        <v>34</v>
      </c>
      <c r="L39" s="15">
        <v>22</v>
      </c>
      <c r="M39" s="73">
        <v>42.890999999999998</v>
      </c>
      <c r="N39" s="104">
        <v>42.890999999999998</v>
      </c>
      <c r="O39" s="57">
        <v>7000</v>
      </c>
      <c r="P39" s="58">
        <f t="shared" si="0"/>
        <v>300237</v>
      </c>
    </row>
    <row r="40" spans="1:16" ht="23.25" customHeight="1" x14ac:dyDescent="0.2">
      <c r="A40" s="100"/>
      <c r="B40" s="100"/>
      <c r="C40" s="15" t="s">
        <v>1670</v>
      </c>
      <c r="D40" s="70" t="s">
        <v>57</v>
      </c>
      <c r="E40" s="12">
        <v>44541</v>
      </c>
      <c r="F40" s="68" t="s">
        <v>59</v>
      </c>
      <c r="G40" s="12">
        <v>44548</v>
      </c>
      <c r="H40" s="125" t="s">
        <v>1631</v>
      </c>
      <c r="I40" s="15">
        <v>102</v>
      </c>
      <c r="J40" s="15">
        <v>53</v>
      </c>
      <c r="K40" s="15">
        <v>33</v>
      </c>
      <c r="L40" s="15">
        <v>31</v>
      </c>
      <c r="M40" s="73">
        <v>44.599499999999999</v>
      </c>
      <c r="N40" s="104">
        <v>44.599499999999999</v>
      </c>
      <c r="O40" s="57">
        <v>7000</v>
      </c>
      <c r="P40" s="58">
        <f t="shared" si="0"/>
        <v>312196.5</v>
      </c>
    </row>
    <row r="41" spans="1:16" ht="23.25" customHeight="1" x14ac:dyDescent="0.2">
      <c r="A41" s="100"/>
      <c r="B41" s="100"/>
      <c r="C41" s="15" t="s">
        <v>1671</v>
      </c>
      <c r="D41" s="70" t="s">
        <v>57</v>
      </c>
      <c r="E41" s="12">
        <v>44541</v>
      </c>
      <c r="F41" s="68" t="s">
        <v>59</v>
      </c>
      <c r="G41" s="12">
        <v>44548</v>
      </c>
      <c r="H41" s="125" t="s">
        <v>1631</v>
      </c>
      <c r="I41" s="15">
        <v>94</v>
      </c>
      <c r="J41" s="15">
        <v>57</v>
      </c>
      <c r="K41" s="15">
        <v>30</v>
      </c>
      <c r="L41" s="15">
        <v>17</v>
      </c>
      <c r="M41" s="73">
        <v>40.185000000000002</v>
      </c>
      <c r="N41" s="104">
        <v>40.185000000000002</v>
      </c>
      <c r="O41" s="57">
        <v>7000</v>
      </c>
      <c r="P41" s="58">
        <f t="shared" si="0"/>
        <v>281295</v>
      </c>
    </row>
    <row r="42" spans="1:16" ht="23.25" customHeight="1" x14ac:dyDescent="0.2">
      <c r="A42" s="100"/>
      <c r="B42" s="100"/>
      <c r="C42" s="15" t="s">
        <v>1672</v>
      </c>
      <c r="D42" s="70" t="s">
        <v>57</v>
      </c>
      <c r="E42" s="12">
        <v>44541</v>
      </c>
      <c r="F42" s="68" t="s">
        <v>59</v>
      </c>
      <c r="G42" s="12">
        <v>44548</v>
      </c>
      <c r="H42" s="125" t="s">
        <v>1631</v>
      </c>
      <c r="I42" s="15">
        <v>96</v>
      </c>
      <c r="J42" s="15">
        <v>62</v>
      </c>
      <c r="K42" s="15">
        <v>22</v>
      </c>
      <c r="L42" s="15">
        <v>20</v>
      </c>
      <c r="M42" s="73">
        <v>32.735999999999997</v>
      </c>
      <c r="N42" s="104">
        <v>32.735999999999997</v>
      </c>
      <c r="O42" s="57">
        <v>7000</v>
      </c>
      <c r="P42" s="58">
        <f t="shared" si="0"/>
        <v>229151.99999999997</v>
      </c>
    </row>
    <row r="43" spans="1:16" ht="23.25" customHeight="1" x14ac:dyDescent="0.2">
      <c r="A43" s="100"/>
      <c r="B43" s="100"/>
      <c r="C43" s="15" t="s">
        <v>1673</v>
      </c>
      <c r="D43" s="70" t="s">
        <v>57</v>
      </c>
      <c r="E43" s="12">
        <v>44541</v>
      </c>
      <c r="F43" s="68" t="s">
        <v>59</v>
      </c>
      <c r="G43" s="12">
        <v>44548</v>
      </c>
      <c r="H43" s="125" t="s">
        <v>1631</v>
      </c>
      <c r="I43" s="15">
        <v>74</v>
      </c>
      <c r="J43" s="15">
        <v>58</v>
      </c>
      <c r="K43" s="15">
        <v>24</v>
      </c>
      <c r="L43" s="15">
        <v>13</v>
      </c>
      <c r="M43" s="73">
        <v>25.751999999999999</v>
      </c>
      <c r="N43" s="104">
        <v>25.751999999999999</v>
      </c>
      <c r="O43" s="57">
        <v>7000</v>
      </c>
      <c r="P43" s="58">
        <f t="shared" si="0"/>
        <v>180264</v>
      </c>
    </row>
    <row r="44" spans="1:16" ht="23.25" customHeight="1" x14ac:dyDescent="0.2">
      <c r="A44" s="100"/>
      <c r="B44" s="100"/>
      <c r="C44" s="15" t="s">
        <v>1674</v>
      </c>
      <c r="D44" s="70" t="s">
        <v>57</v>
      </c>
      <c r="E44" s="12">
        <v>44541</v>
      </c>
      <c r="F44" s="68" t="s">
        <v>59</v>
      </c>
      <c r="G44" s="12">
        <v>44548</v>
      </c>
      <c r="H44" s="125" t="s">
        <v>1631</v>
      </c>
      <c r="I44" s="15">
        <v>42</v>
      </c>
      <c r="J44" s="15">
        <v>27</v>
      </c>
      <c r="K44" s="15">
        <v>23</v>
      </c>
      <c r="L44" s="15">
        <v>5</v>
      </c>
      <c r="M44" s="73">
        <v>6.5205000000000002</v>
      </c>
      <c r="N44" s="104">
        <v>6.5205000000000002</v>
      </c>
      <c r="O44" s="57">
        <v>7000</v>
      </c>
      <c r="P44" s="58">
        <f t="shared" si="0"/>
        <v>45643.5</v>
      </c>
    </row>
    <row r="45" spans="1:16" ht="23.25" customHeight="1" x14ac:dyDescent="0.2">
      <c r="A45" s="100"/>
      <c r="B45" s="100"/>
      <c r="C45" s="15" t="s">
        <v>1675</v>
      </c>
      <c r="D45" s="70" t="s">
        <v>57</v>
      </c>
      <c r="E45" s="12">
        <v>44541</v>
      </c>
      <c r="F45" s="68" t="s">
        <v>59</v>
      </c>
      <c r="G45" s="12">
        <v>44548</v>
      </c>
      <c r="H45" s="125" t="s">
        <v>1631</v>
      </c>
      <c r="I45" s="15">
        <v>92</v>
      </c>
      <c r="J45" s="15">
        <v>53</v>
      </c>
      <c r="K45" s="15">
        <v>32</v>
      </c>
      <c r="L45" s="15">
        <v>11</v>
      </c>
      <c r="M45" s="73">
        <v>39.008000000000003</v>
      </c>
      <c r="N45" s="104">
        <v>39.008000000000003</v>
      </c>
      <c r="O45" s="57">
        <v>7000</v>
      </c>
      <c r="P45" s="58">
        <f t="shared" si="0"/>
        <v>273056</v>
      </c>
    </row>
    <row r="46" spans="1:16" ht="23.25" customHeight="1" x14ac:dyDescent="0.2">
      <c r="A46" s="100"/>
      <c r="B46" s="100"/>
      <c r="C46" s="15" t="s">
        <v>1676</v>
      </c>
      <c r="D46" s="70" t="s">
        <v>57</v>
      </c>
      <c r="E46" s="12">
        <v>44541</v>
      </c>
      <c r="F46" s="68" t="s">
        <v>59</v>
      </c>
      <c r="G46" s="12">
        <v>44548</v>
      </c>
      <c r="H46" s="125" t="s">
        <v>1631</v>
      </c>
      <c r="I46" s="15">
        <v>48</v>
      </c>
      <c r="J46" s="15">
        <v>36</v>
      </c>
      <c r="K46" s="15">
        <v>32</v>
      </c>
      <c r="L46" s="15">
        <v>11</v>
      </c>
      <c r="M46" s="73">
        <v>13.824</v>
      </c>
      <c r="N46" s="104">
        <v>13.824</v>
      </c>
      <c r="O46" s="57">
        <v>7000</v>
      </c>
      <c r="P46" s="58">
        <f t="shared" si="0"/>
        <v>96768</v>
      </c>
    </row>
    <row r="47" spans="1:16" ht="23.25" customHeight="1" x14ac:dyDescent="0.2">
      <c r="A47" s="100"/>
      <c r="B47" s="100"/>
      <c r="C47" s="15" t="s">
        <v>1677</v>
      </c>
      <c r="D47" s="70" t="s">
        <v>57</v>
      </c>
      <c r="E47" s="12">
        <v>44541</v>
      </c>
      <c r="F47" s="68" t="s">
        <v>59</v>
      </c>
      <c r="G47" s="12">
        <v>44548</v>
      </c>
      <c r="H47" s="125" t="s">
        <v>1631</v>
      </c>
      <c r="I47" s="15">
        <v>46</v>
      </c>
      <c r="J47" s="15">
        <v>33</v>
      </c>
      <c r="K47" s="15">
        <v>30</v>
      </c>
      <c r="L47" s="15">
        <v>14</v>
      </c>
      <c r="M47" s="73">
        <v>11.385</v>
      </c>
      <c r="N47" s="104">
        <v>15</v>
      </c>
      <c r="O47" s="57">
        <v>7000</v>
      </c>
      <c r="P47" s="58">
        <f t="shared" si="0"/>
        <v>105000</v>
      </c>
    </row>
    <row r="48" spans="1:16" ht="23.25" customHeight="1" x14ac:dyDescent="0.2">
      <c r="A48" s="100"/>
      <c r="B48" s="100"/>
      <c r="C48" s="15" t="s">
        <v>1678</v>
      </c>
      <c r="D48" s="70" t="s">
        <v>57</v>
      </c>
      <c r="E48" s="12">
        <v>44541</v>
      </c>
      <c r="F48" s="68" t="s">
        <v>59</v>
      </c>
      <c r="G48" s="12">
        <v>44548</v>
      </c>
      <c r="H48" s="125" t="s">
        <v>1631</v>
      </c>
      <c r="I48" s="15">
        <v>35</v>
      </c>
      <c r="J48" s="15">
        <v>25</v>
      </c>
      <c r="K48" s="15">
        <v>22</v>
      </c>
      <c r="L48" s="15">
        <v>6</v>
      </c>
      <c r="M48" s="73">
        <v>4.8125</v>
      </c>
      <c r="N48" s="104">
        <v>6</v>
      </c>
      <c r="O48" s="57">
        <v>7000</v>
      </c>
      <c r="P48" s="58">
        <f t="shared" si="0"/>
        <v>42000</v>
      </c>
    </row>
    <row r="49" spans="1:16" ht="23.25" customHeight="1" x14ac:dyDescent="0.2">
      <c r="A49" s="100"/>
      <c r="B49" s="100"/>
      <c r="C49" s="15" t="s">
        <v>1679</v>
      </c>
      <c r="D49" s="70" t="s">
        <v>57</v>
      </c>
      <c r="E49" s="12">
        <v>44541</v>
      </c>
      <c r="F49" s="68" t="s">
        <v>59</v>
      </c>
      <c r="G49" s="12">
        <v>44548</v>
      </c>
      <c r="H49" s="125" t="s">
        <v>1631</v>
      </c>
      <c r="I49" s="15">
        <v>90</v>
      </c>
      <c r="J49" s="15">
        <v>47</v>
      </c>
      <c r="K49" s="15">
        <v>32</v>
      </c>
      <c r="L49" s="15">
        <v>10</v>
      </c>
      <c r="M49" s="73">
        <v>33.840000000000003</v>
      </c>
      <c r="N49" s="104">
        <v>33.840000000000003</v>
      </c>
      <c r="O49" s="57">
        <v>7000</v>
      </c>
      <c r="P49" s="58">
        <f t="shared" si="0"/>
        <v>236880.00000000003</v>
      </c>
    </row>
    <row r="50" spans="1:16" ht="23.25" customHeight="1" x14ac:dyDescent="0.2">
      <c r="A50" s="100"/>
      <c r="B50" s="100"/>
      <c r="C50" s="15" t="s">
        <v>1680</v>
      </c>
      <c r="D50" s="70" t="s">
        <v>57</v>
      </c>
      <c r="E50" s="12">
        <v>44541</v>
      </c>
      <c r="F50" s="68" t="s">
        <v>59</v>
      </c>
      <c r="G50" s="12">
        <v>44548</v>
      </c>
      <c r="H50" s="125" t="s">
        <v>1631</v>
      </c>
      <c r="I50" s="15">
        <v>30</v>
      </c>
      <c r="J50" s="15">
        <v>22</v>
      </c>
      <c r="K50" s="15">
        <v>7</v>
      </c>
      <c r="L50" s="15">
        <v>1</v>
      </c>
      <c r="M50" s="73">
        <v>1.155</v>
      </c>
      <c r="N50" s="104">
        <v>1.155</v>
      </c>
      <c r="O50" s="57">
        <v>7000</v>
      </c>
      <c r="P50" s="58">
        <f t="shared" si="0"/>
        <v>8085</v>
      </c>
    </row>
    <row r="51" spans="1:16" ht="23.25" customHeight="1" x14ac:dyDescent="0.2">
      <c r="A51" s="100"/>
      <c r="B51" s="100"/>
      <c r="C51" s="15" t="s">
        <v>1681</v>
      </c>
      <c r="D51" s="70" t="s">
        <v>57</v>
      </c>
      <c r="E51" s="12">
        <v>44541</v>
      </c>
      <c r="F51" s="68" t="s">
        <v>59</v>
      </c>
      <c r="G51" s="12">
        <v>44548</v>
      </c>
      <c r="H51" s="125" t="s">
        <v>1631</v>
      </c>
      <c r="I51" s="15">
        <v>77</v>
      </c>
      <c r="J51" s="15">
        <v>55</v>
      </c>
      <c r="K51" s="15">
        <v>24</v>
      </c>
      <c r="L51" s="15">
        <v>7</v>
      </c>
      <c r="M51" s="73">
        <v>25.41</v>
      </c>
      <c r="N51" s="104">
        <v>26</v>
      </c>
      <c r="O51" s="57">
        <v>7000</v>
      </c>
      <c r="P51" s="58">
        <f t="shared" si="0"/>
        <v>182000</v>
      </c>
    </row>
    <row r="52" spans="1:16" ht="23.25" customHeight="1" x14ac:dyDescent="0.2">
      <c r="A52" s="100"/>
      <c r="B52" s="100"/>
      <c r="C52" s="15" t="s">
        <v>1682</v>
      </c>
      <c r="D52" s="70" t="s">
        <v>57</v>
      </c>
      <c r="E52" s="12">
        <v>44541</v>
      </c>
      <c r="F52" s="68" t="s">
        <v>59</v>
      </c>
      <c r="G52" s="12">
        <v>44548</v>
      </c>
      <c r="H52" s="125" t="s">
        <v>1631</v>
      </c>
      <c r="I52" s="15">
        <v>42</v>
      </c>
      <c r="J52" s="15">
        <v>35</v>
      </c>
      <c r="K52" s="15">
        <v>24</v>
      </c>
      <c r="L52" s="15">
        <v>3</v>
      </c>
      <c r="M52" s="73">
        <v>8.82</v>
      </c>
      <c r="N52" s="104">
        <v>8.82</v>
      </c>
      <c r="O52" s="57">
        <v>7000</v>
      </c>
      <c r="P52" s="58">
        <f t="shared" si="0"/>
        <v>61740</v>
      </c>
    </row>
    <row r="53" spans="1:16" ht="23.25" customHeight="1" x14ac:dyDescent="0.2">
      <c r="A53" s="100"/>
      <c r="B53" s="100"/>
      <c r="C53" s="15" t="s">
        <v>1683</v>
      </c>
      <c r="D53" s="70" t="s">
        <v>57</v>
      </c>
      <c r="E53" s="12">
        <v>44541</v>
      </c>
      <c r="F53" s="68" t="s">
        <v>59</v>
      </c>
      <c r="G53" s="12">
        <v>44548</v>
      </c>
      <c r="H53" s="125" t="s">
        <v>1631</v>
      </c>
      <c r="I53" s="15">
        <v>40</v>
      </c>
      <c r="J53" s="15">
        <v>33</v>
      </c>
      <c r="K53" s="15">
        <v>25</v>
      </c>
      <c r="L53" s="15">
        <v>10</v>
      </c>
      <c r="M53" s="73">
        <v>8.25</v>
      </c>
      <c r="N53" s="104">
        <v>10</v>
      </c>
      <c r="O53" s="57">
        <v>7000</v>
      </c>
      <c r="P53" s="58">
        <f t="shared" si="0"/>
        <v>70000</v>
      </c>
    </row>
    <row r="54" spans="1:16" ht="23.25" customHeight="1" x14ac:dyDescent="0.2">
      <c r="A54" s="100"/>
      <c r="B54" s="100"/>
      <c r="C54" s="15" t="s">
        <v>1684</v>
      </c>
      <c r="D54" s="70" t="s">
        <v>57</v>
      </c>
      <c r="E54" s="12">
        <v>44541</v>
      </c>
      <c r="F54" s="68" t="s">
        <v>59</v>
      </c>
      <c r="G54" s="12">
        <v>44548</v>
      </c>
      <c r="H54" s="125" t="s">
        <v>1631</v>
      </c>
      <c r="I54" s="15">
        <v>39</v>
      </c>
      <c r="J54" s="15">
        <v>33</v>
      </c>
      <c r="K54" s="15">
        <v>25</v>
      </c>
      <c r="L54" s="15">
        <v>5</v>
      </c>
      <c r="M54" s="73">
        <v>8.0437499999999993</v>
      </c>
      <c r="N54" s="104">
        <v>8.0437499999999993</v>
      </c>
      <c r="O54" s="57">
        <v>7000</v>
      </c>
      <c r="P54" s="58">
        <f t="shared" si="0"/>
        <v>56306.249999999993</v>
      </c>
    </row>
    <row r="55" spans="1:16" ht="23.25" customHeight="1" x14ac:dyDescent="0.2">
      <c r="A55" s="100"/>
      <c r="B55" s="100"/>
      <c r="C55" s="15" t="s">
        <v>1685</v>
      </c>
      <c r="D55" s="70" t="s">
        <v>57</v>
      </c>
      <c r="E55" s="12">
        <v>44541</v>
      </c>
      <c r="F55" s="68" t="s">
        <v>59</v>
      </c>
      <c r="G55" s="12">
        <v>44548</v>
      </c>
      <c r="H55" s="125" t="s">
        <v>1631</v>
      </c>
      <c r="I55" s="15">
        <v>62</v>
      </c>
      <c r="J55" s="15">
        <v>57</v>
      </c>
      <c r="K55" s="15">
        <v>20</v>
      </c>
      <c r="L55" s="15">
        <v>7</v>
      </c>
      <c r="M55" s="73">
        <v>17.670000000000002</v>
      </c>
      <c r="N55" s="104">
        <v>17.670000000000002</v>
      </c>
      <c r="O55" s="57">
        <v>7000</v>
      </c>
      <c r="P55" s="58">
        <f t="shared" si="0"/>
        <v>123690.00000000001</v>
      </c>
    </row>
    <row r="56" spans="1:16" ht="23.25" customHeight="1" x14ac:dyDescent="0.2">
      <c r="A56" s="100"/>
      <c r="B56" s="100"/>
      <c r="C56" s="15" t="s">
        <v>1686</v>
      </c>
      <c r="D56" s="70" t="s">
        <v>57</v>
      </c>
      <c r="E56" s="12">
        <v>44541</v>
      </c>
      <c r="F56" s="68" t="s">
        <v>59</v>
      </c>
      <c r="G56" s="12">
        <v>44548</v>
      </c>
      <c r="H56" s="125" t="s">
        <v>1631</v>
      </c>
      <c r="I56" s="15">
        <v>57</v>
      </c>
      <c r="J56" s="15">
        <v>64</v>
      </c>
      <c r="K56" s="15">
        <v>16</v>
      </c>
      <c r="L56" s="15">
        <v>7</v>
      </c>
      <c r="M56" s="73">
        <v>14.592000000000001</v>
      </c>
      <c r="N56" s="104">
        <v>14.592000000000001</v>
      </c>
      <c r="O56" s="57">
        <v>7000</v>
      </c>
      <c r="P56" s="58">
        <f t="shared" si="0"/>
        <v>102144</v>
      </c>
    </row>
    <row r="57" spans="1:16" ht="23.25" customHeight="1" x14ac:dyDescent="0.2">
      <c r="A57" s="100"/>
      <c r="B57" s="100"/>
      <c r="C57" s="15" t="s">
        <v>1687</v>
      </c>
      <c r="D57" s="70" t="s">
        <v>57</v>
      </c>
      <c r="E57" s="12">
        <v>44541</v>
      </c>
      <c r="F57" s="68" t="s">
        <v>59</v>
      </c>
      <c r="G57" s="12">
        <v>44548</v>
      </c>
      <c r="H57" s="125" t="s">
        <v>1631</v>
      </c>
      <c r="I57" s="15">
        <v>80</v>
      </c>
      <c r="J57" s="15">
        <v>67</v>
      </c>
      <c r="K57" s="15">
        <v>24</v>
      </c>
      <c r="L57" s="15">
        <v>8</v>
      </c>
      <c r="M57" s="73">
        <v>32.159999999999997</v>
      </c>
      <c r="N57" s="104">
        <v>32.159999999999997</v>
      </c>
      <c r="O57" s="57">
        <v>7000</v>
      </c>
      <c r="P57" s="58">
        <f t="shared" si="0"/>
        <v>225119.99999999997</v>
      </c>
    </row>
    <row r="58" spans="1:16" ht="23.25" customHeight="1" x14ac:dyDescent="0.2">
      <c r="A58" s="100"/>
      <c r="B58" s="100"/>
      <c r="C58" s="15" t="s">
        <v>1688</v>
      </c>
      <c r="D58" s="70" t="s">
        <v>57</v>
      </c>
      <c r="E58" s="12">
        <v>44541</v>
      </c>
      <c r="F58" s="68" t="s">
        <v>59</v>
      </c>
      <c r="G58" s="12">
        <v>44548</v>
      </c>
      <c r="H58" s="125" t="s">
        <v>1631</v>
      </c>
      <c r="I58" s="15">
        <v>105</v>
      </c>
      <c r="J58" s="15">
        <v>39</v>
      </c>
      <c r="K58" s="15">
        <v>26</v>
      </c>
      <c r="L58" s="15">
        <v>38</v>
      </c>
      <c r="M58" s="73">
        <v>26.6175</v>
      </c>
      <c r="N58" s="104">
        <v>38</v>
      </c>
      <c r="O58" s="57">
        <v>7000</v>
      </c>
      <c r="P58" s="58">
        <f t="shared" si="0"/>
        <v>266000</v>
      </c>
    </row>
    <row r="59" spans="1:16" ht="23.25" customHeight="1" x14ac:dyDescent="0.2">
      <c r="A59" s="100"/>
      <c r="B59" s="100"/>
      <c r="C59" s="15" t="s">
        <v>1689</v>
      </c>
      <c r="D59" s="70" t="s">
        <v>57</v>
      </c>
      <c r="E59" s="12">
        <v>44541</v>
      </c>
      <c r="F59" s="68" t="s">
        <v>59</v>
      </c>
      <c r="G59" s="12">
        <v>44548</v>
      </c>
      <c r="H59" s="125" t="s">
        <v>1631</v>
      </c>
      <c r="I59" s="15">
        <v>55</v>
      </c>
      <c r="J59" s="15">
        <v>48</v>
      </c>
      <c r="K59" s="15">
        <v>16</v>
      </c>
      <c r="L59" s="15">
        <v>7</v>
      </c>
      <c r="M59" s="73">
        <v>10.56</v>
      </c>
      <c r="N59" s="104">
        <v>10.56</v>
      </c>
      <c r="O59" s="57">
        <v>7000</v>
      </c>
      <c r="P59" s="58">
        <f t="shared" si="0"/>
        <v>73920</v>
      </c>
    </row>
    <row r="60" spans="1:16" ht="23.25" customHeight="1" x14ac:dyDescent="0.2">
      <c r="A60" s="100"/>
      <c r="B60" s="100"/>
      <c r="C60" s="15" t="s">
        <v>1690</v>
      </c>
      <c r="D60" s="70" t="s">
        <v>57</v>
      </c>
      <c r="E60" s="12">
        <v>44541</v>
      </c>
      <c r="F60" s="68" t="s">
        <v>59</v>
      </c>
      <c r="G60" s="12">
        <v>44548</v>
      </c>
      <c r="H60" s="125" t="s">
        <v>1631</v>
      </c>
      <c r="I60" s="15">
        <v>67</v>
      </c>
      <c r="J60" s="15">
        <v>57</v>
      </c>
      <c r="K60" s="15">
        <v>22</v>
      </c>
      <c r="L60" s="15">
        <v>5</v>
      </c>
      <c r="M60" s="73">
        <v>21.0045</v>
      </c>
      <c r="N60" s="104">
        <v>21.0045</v>
      </c>
      <c r="O60" s="57">
        <v>7000</v>
      </c>
      <c r="P60" s="58">
        <f t="shared" si="0"/>
        <v>147031.5</v>
      </c>
    </row>
    <row r="61" spans="1:16" ht="23.25" customHeight="1" x14ac:dyDescent="0.2">
      <c r="A61" s="100"/>
      <c r="B61" s="100"/>
      <c r="C61" s="15" t="s">
        <v>1691</v>
      </c>
      <c r="D61" s="70" t="s">
        <v>57</v>
      </c>
      <c r="E61" s="12">
        <v>44541</v>
      </c>
      <c r="F61" s="68" t="s">
        <v>59</v>
      </c>
      <c r="G61" s="12">
        <v>44548</v>
      </c>
      <c r="H61" s="125" t="s">
        <v>1631</v>
      </c>
      <c r="I61" s="15">
        <v>80</v>
      </c>
      <c r="J61" s="15">
        <v>65</v>
      </c>
      <c r="K61" s="15">
        <v>24</v>
      </c>
      <c r="L61" s="15">
        <v>17</v>
      </c>
      <c r="M61" s="73">
        <v>31.2</v>
      </c>
      <c r="N61" s="104">
        <v>31.2</v>
      </c>
      <c r="O61" s="57">
        <v>7000</v>
      </c>
      <c r="P61" s="58">
        <f t="shared" si="0"/>
        <v>218400</v>
      </c>
    </row>
    <row r="62" spans="1:16" ht="23.25" customHeight="1" x14ac:dyDescent="0.2">
      <c r="A62" s="100"/>
      <c r="B62" s="100"/>
      <c r="C62" s="15" t="s">
        <v>1692</v>
      </c>
      <c r="D62" s="70" t="s">
        <v>57</v>
      </c>
      <c r="E62" s="12">
        <v>44541</v>
      </c>
      <c r="F62" s="68" t="s">
        <v>59</v>
      </c>
      <c r="G62" s="12">
        <v>44548</v>
      </c>
      <c r="H62" s="125" t="s">
        <v>1631</v>
      </c>
      <c r="I62" s="15">
        <v>66</v>
      </c>
      <c r="J62" s="15">
        <v>50</v>
      </c>
      <c r="K62" s="15">
        <v>22</v>
      </c>
      <c r="L62" s="15">
        <v>7</v>
      </c>
      <c r="M62" s="73">
        <v>18.149999999999999</v>
      </c>
      <c r="N62" s="104">
        <v>18.149999999999999</v>
      </c>
      <c r="O62" s="57">
        <v>7000</v>
      </c>
      <c r="P62" s="58">
        <f t="shared" si="0"/>
        <v>127049.99999999999</v>
      </c>
    </row>
    <row r="63" spans="1:16" ht="23.25" customHeight="1" x14ac:dyDescent="0.2">
      <c r="A63" s="100"/>
      <c r="B63" s="100"/>
      <c r="C63" s="15" t="s">
        <v>1693</v>
      </c>
      <c r="D63" s="70" t="s">
        <v>57</v>
      </c>
      <c r="E63" s="12">
        <v>44541</v>
      </c>
      <c r="F63" s="68" t="s">
        <v>59</v>
      </c>
      <c r="G63" s="12">
        <v>44548</v>
      </c>
      <c r="H63" s="125" t="s">
        <v>1631</v>
      </c>
      <c r="I63" s="15">
        <v>68</v>
      </c>
      <c r="J63" s="15">
        <v>54</v>
      </c>
      <c r="K63" s="15">
        <v>21</v>
      </c>
      <c r="L63" s="15">
        <v>9</v>
      </c>
      <c r="M63" s="73">
        <v>19.277999999999999</v>
      </c>
      <c r="N63" s="104">
        <v>19.277999999999999</v>
      </c>
      <c r="O63" s="57">
        <v>7000</v>
      </c>
      <c r="P63" s="58">
        <f t="shared" si="0"/>
        <v>134946</v>
      </c>
    </row>
    <row r="64" spans="1:16" ht="23.25" customHeight="1" x14ac:dyDescent="0.2">
      <c r="A64" s="100"/>
      <c r="B64" s="100"/>
      <c r="C64" s="15" t="s">
        <v>1694</v>
      </c>
      <c r="D64" s="70" t="s">
        <v>57</v>
      </c>
      <c r="E64" s="12">
        <v>44541</v>
      </c>
      <c r="F64" s="68" t="s">
        <v>59</v>
      </c>
      <c r="G64" s="12">
        <v>44548</v>
      </c>
      <c r="H64" s="125" t="s">
        <v>1631</v>
      </c>
      <c r="I64" s="15">
        <v>52</v>
      </c>
      <c r="J64" s="15">
        <v>33</v>
      </c>
      <c r="K64" s="15">
        <v>22</v>
      </c>
      <c r="L64" s="15">
        <v>10</v>
      </c>
      <c r="M64" s="73">
        <v>9.4380000000000006</v>
      </c>
      <c r="N64" s="104">
        <v>11</v>
      </c>
      <c r="O64" s="57">
        <v>7000</v>
      </c>
      <c r="P64" s="58">
        <f t="shared" si="0"/>
        <v>77000</v>
      </c>
    </row>
    <row r="65" spans="1:16" ht="23.25" customHeight="1" x14ac:dyDescent="0.2">
      <c r="A65" s="100"/>
      <c r="B65" s="100"/>
      <c r="C65" s="15" t="s">
        <v>1695</v>
      </c>
      <c r="D65" s="70" t="s">
        <v>57</v>
      </c>
      <c r="E65" s="12">
        <v>44541</v>
      </c>
      <c r="F65" s="68" t="s">
        <v>59</v>
      </c>
      <c r="G65" s="12">
        <v>44548</v>
      </c>
      <c r="H65" s="125" t="s">
        <v>1631</v>
      </c>
      <c r="I65" s="15">
        <v>44</v>
      </c>
      <c r="J65" s="15">
        <v>49</v>
      </c>
      <c r="K65" s="15">
        <v>33</v>
      </c>
      <c r="L65" s="15">
        <v>20</v>
      </c>
      <c r="M65" s="73">
        <v>17.786999999999999</v>
      </c>
      <c r="N65" s="104">
        <v>20</v>
      </c>
      <c r="O65" s="57">
        <v>7000</v>
      </c>
      <c r="P65" s="58">
        <f t="shared" si="0"/>
        <v>140000</v>
      </c>
    </row>
    <row r="66" spans="1:16" ht="23.25" customHeight="1" x14ac:dyDescent="0.2">
      <c r="A66" s="100"/>
      <c r="B66" s="100"/>
      <c r="C66" s="15" t="s">
        <v>1696</v>
      </c>
      <c r="D66" s="70" t="s">
        <v>57</v>
      </c>
      <c r="E66" s="12">
        <v>44541</v>
      </c>
      <c r="F66" s="68" t="s">
        <v>59</v>
      </c>
      <c r="G66" s="12">
        <v>44548</v>
      </c>
      <c r="H66" s="125" t="s">
        <v>1631</v>
      </c>
      <c r="I66" s="15">
        <v>32</v>
      </c>
      <c r="J66" s="15">
        <v>28</v>
      </c>
      <c r="K66" s="15">
        <v>28</v>
      </c>
      <c r="L66" s="15">
        <v>1</v>
      </c>
      <c r="M66" s="73">
        <v>6.2720000000000002</v>
      </c>
      <c r="N66" s="104">
        <v>6.2720000000000002</v>
      </c>
      <c r="O66" s="57">
        <v>7000</v>
      </c>
      <c r="P66" s="58">
        <f t="shared" si="0"/>
        <v>43904</v>
      </c>
    </row>
    <row r="67" spans="1:16" ht="23.25" customHeight="1" x14ac:dyDescent="0.2">
      <c r="A67" s="100"/>
      <c r="B67" s="100"/>
      <c r="C67" s="15" t="s">
        <v>1697</v>
      </c>
      <c r="D67" s="70" t="s">
        <v>57</v>
      </c>
      <c r="E67" s="12">
        <v>44541</v>
      </c>
      <c r="F67" s="68" t="s">
        <v>59</v>
      </c>
      <c r="G67" s="12">
        <v>44548</v>
      </c>
      <c r="H67" s="125" t="s">
        <v>1631</v>
      </c>
      <c r="I67" s="15">
        <v>42</v>
      </c>
      <c r="J67" s="15">
        <v>53</v>
      </c>
      <c r="K67" s="15">
        <v>32</v>
      </c>
      <c r="L67" s="15">
        <v>18</v>
      </c>
      <c r="M67" s="73">
        <v>17.808</v>
      </c>
      <c r="N67" s="104">
        <v>18</v>
      </c>
      <c r="O67" s="57">
        <v>7000</v>
      </c>
      <c r="P67" s="58">
        <f t="shared" ref="P67:P130" si="1">N67*O67</f>
        <v>126000</v>
      </c>
    </row>
    <row r="68" spans="1:16" ht="23.25" customHeight="1" x14ac:dyDescent="0.2">
      <c r="A68" s="100"/>
      <c r="B68" s="100"/>
      <c r="C68" s="15" t="s">
        <v>1698</v>
      </c>
      <c r="D68" s="70" t="s">
        <v>57</v>
      </c>
      <c r="E68" s="12">
        <v>44541</v>
      </c>
      <c r="F68" s="68" t="s">
        <v>59</v>
      </c>
      <c r="G68" s="12">
        <v>44548</v>
      </c>
      <c r="H68" s="125" t="s">
        <v>1631</v>
      </c>
      <c r="I68" s="15">
        <v>105</v>
      </c>
      <c r="J68" s="15">
        <v>62</v>
      </c>
      <c r="K68" s="15">
        <v>28</v>
      </c>
      <c r="L68" s="15">
        <v>27</v>
      </c>
      <c r="M68" s="73">
        <v>45.57</v>
      </c>
      <c r="N68" s="104">
        <v>45.57</v>
      </c>
      <c r="O68" s="57">
        <v>7000</v>
      </c>
      <c r="P68" s="58">
        <f t="shared" si="1"/>
        <v>318990</v>
      </c>
    </row>
    <row r="69" spans="1:16" ht="23.25" customHeight="1" x14ac:dyDescent="0.2">
      <c r="A69" s="100"/>
      <c r="B69" s="100"/>
      <c r="C69" s="15" t="s">
        <v>1699</v>
      </c>
      <c r="D69" s="70" t="s">
        <v>57</v>
      </c>
      <c r="E69" s="12">
        <v>44541</v>
      </c>
      <c r="F69" s="68" t="s">
        <v>59</v>
      </c>
      <c r="G69" s="12">
        <v>44548</v>
      </c>
      <c r="H69" s="125" t="s">
        <v>1631</v>
      </c>
      <c r="I69" s="15">
        <v>47</v>
      </c>
      <c r="J69" s="15">
        <v>24</v>
      </c>
      <c r="K69" s="15">
        <v>22</v>
      </c>
      <c r="L69" s="15">
        <v>8</v>
      </c>
      <c r="M69" s="73">
        <v>6.2039999999999997</v>
      </c>
      <c r="N69" s="104">
        <v>8</v>
      </c>
      <c r="O69" s="57">
        <v>7000</v>
      </c>
      <c r="P69" s="58">
        <f t="shared" si="1"/>
        <v>56000</v>
      </c>
    </row>
    <row r="70" spans="1:16" ht="23.25" customHeight="1" x14ac:dyDescent="0.2">
      <c r="A70" s="100"/>
      <c r="B70" s="100"/>
      <c r="C70" s="15" t="s">
        <v>1700</v>
      </c>
      <c r="D70" s="70" t="s">
        <v>57</v>
      </c>
      <c r="E70" s="12">
        <v>44541</v>
      </c>
      <c r="F70" s="68" t="s">
        <v>59</v>
      </c>
      <c r="G70" s="12">
        <v>44548</v>
      </c>
      <c r="H70" s="125" t="s">
        <v>1631</v>
      </c>
      <c r="I70" s="15">
        <v>68</v>
      </c>
      <c r="J70" s="15">
        <v>67</v>
      </c>
      <c r="K70" s="15">
        <v>26</v>
      </c>
      <c r="L70" s="15">
        <v>12</v>
      </c>
      <c r="M70" s="73">
        <v>29.614000000000001</v>
      </c>
      <c r="N70" s="104">
        <v>29.614000000000001</v>
      </c>
      <c r="O70" s="57">
        <v>7000</v>
      </c>
      <c r="P70" s="58">
        <f t="shared" si="1"/>
        <v>207298</v>
      </c>
    </row>
    <row r="71" spans="1:16" ht="23.25" customHeight="1" x14ac:dyDescent="0.2">
      <c r="A71" s="100"/>
      <c r="B71" s="100"/>
      <c r="C71" s="15" t="s">
        <v>1701</v>
      </c>
      <c r="D71" s="70" t="s">
        <v>57</v>
      </c>
      <c r="E71" s="12">
        <v>44541</v>
      </c>
      <c r="F71" s="68" t="s">
        <v>59</v>
      </c>
      <c r="G71" s="12">
        <v>44548</v>
      </c>
      <c r="H71" s="125" t="s">
        <v>1631</v>
      </c>
      <c r="I71" s="15">
        <v>62</v>
      </c>
      <c r="J71" s="15">
        <v>55</v>
      </c>
      <c r="K71" s="15">
        <v>24</v>
      </c>
      <c r="L71" s="15">
        <v>7</v>
      </c>
      <c r="M71" s="73">
        <v>20.46</v>
      </c>
      <c r="N71" s="104">
        <v>21</v>
      </c>
      <c r="O71" s="57">
        <v>7000</v>
      </c>
      <c r="P71" s="58">
        <f t="shared" si="1"/>
        <v>147000</v>
      </c>
    </row>
    <row r="72" spans="1:16" ht="23.25" customHeight="1" x14ac:dyDescent="0.2">
      <c r="A72" s="100"/>
      <c r="B72" s="100"/>
      <c r="C72" s="15" t="s">
        <v>1702</v>
      </c>
      <c r="D72" s="70" t="s">
        <v>57</v>
      </c>
      <c r="E72" s="12">
        <v>44541</v>
      </c>
      <c r="F72" s="68" t="s">
        <v>59</v>
      </c>
      <c r="G72" s="12">
        <v>44548</v>
      </c>
      <c r="H72" s="125" t="s">
        <v>1631</v>
      </c>
      <c r="I72" s="15">
        <v>100</v>
      </c>
      <c r="J72" s="15">
        <v>63</v>
      </c>
      <c r="K72" s="15">
        <v>34</v>
      </c>
      <c r="L72" s="15">
        <v>22</v>
      </c>
      <c r="M72" s="73">
        <v>53.55</v>
      </c>
      <c r="N72" s="104">
        <v>53.55</v>
      </c>
      <c r="O72" s="57">
        <v>7000</v>
      </c>
      <c r="P72" s="58">
        <f t="shared" si="1"/>
        <v>374850</v>
      </c>
    </row>
    <row r="73" spans="1:16" ht="23.25" customHeight="1" x14ac:dyDescent="0.2">
      <c r="A73" s="100"/>
      <c r="B73" s="100"/>
      <c r="C73" s="15" t="s">
        <v>1703</v>
      </c>
      <c r="D73" s="70" t="s">
        <v>57</v>
      </c>
      <c r="E73" s="12">
        <v>44541</v>
      </c>
      <c r="F73" s="68" t="s">
        <v>59</v>
      </c>
      <c r="G73" s="12">
        <v>44548</v>
      </c>
      <c r="H73" s="125" t="s">
        <v>1631</v>
      </c>
      <c r="I73" s="15">
        <v>110</v>
      </c>
      <c r="J73" s="15">
        <v>64</v>
      </c>
      <c r="K73" s="15">
        <v>36</v>
      </c>
      <c r="L73" s="15">
        <v>26</v>
      </c>
      <c r="M73" s="73">
        <v>63.36</v>
      </c>
      <c r="N73" s="104">
        <v>64</v>
      </c>
      <c r="O73" s="57">
        <v>7000</v>
      </c>
      <c r="P73" s="58">
        <f t="shared" si="1"/>
        <v>448000</v>
      </c>
    </row>
    <row r="74" spans="1:16" ht="23.25" customHeight="1" x14ac:dyDescent="0.2">
      <c r="A74" s="100"/>
      <c r="B74" s="100"/>
      <c r="C74" s="15" t="s">
        <v>1704</v>
      </c>
      <c r="D74" s="70" t="s">
        <v>57</v>
      </c>
      <c r="E74" s="12">
        <v>44541</v>
      </c>
      <c r="F74" s="68" t="s">
        <v>59</v>
      </c>
      <c r="G74" s="12">
        <v>44548</v>
      </c>
      <c r="H74" s="125" t="s">
        <v>1631</v>
      </c>
      <c r="I74" s="15">
        <v>65</v>
      </c>
      <c r="J74" s="15">
        <v>37</v>
      </c>
      <c r="K74" s="15">
        <v>14</v>
      </c>
      <c r="L74" s="15">
        <v>25</v>
      </c>
      <c r="M74" s="73">
        <v>8.4175000000000004</v>
      </c>
      <c r="N74" s="104">
        <v>26</v>
      </c>
      <c r="O74" s="57">
        <v>7000</v>
      </c>
      <c r="P74" s="58">
        <f t="shared" si="1"/>
        <v>182000</v>
      </c>
    </row>
    <row r="75" spans="1:16" ht="23.25" customHeight="1" x14ac:dyDescent="0.2">
      <c r="A75" s="100"/>
      <c r="B75" s="100"/>
      <c r="C75" s="15" t="s">
        <v>1705</v>
      </c>
      <c r="D75" s="70" t="s">
        <v>57</v>
      </c>
      <c r="E75" s="12">
        <v>44541</v>
      </c>
      <c r="F75" s="68" t="s">
        <v>59</v>
      </c>
      <c r="G75" s="12">
        <v>44548</v>
      </c>
      <c r="H75" s="125" t="s">
        <v>1631</v>
      </c>
      <c r="I75" s="15">
        <v>47</v>
      </c>
      <c r="J75" s="15">
        <v>35</v>
      </c>
      <c r="K75" s="15">
        <v>24</v>
      </c>
      <c r="L75" s="15">
        <v>5</v>
      </c>
      <c r="M75" s="73">
        <v>9.8699999999999992</v>
      </c>
      <c r="N75" s="104">
        <v>9.8699999999999992</v>
      </c>
      <c r="O75" s="57">
        <v>7000</v>
      </c>
      <c r="P75" s="58">
        <f t="shared" si="1"/>
        <v>69090</v>
      </c>
    </row>
    <row r="76" spans="1:16" ht="23.25" customHeight="1" x14ac:dyDescent="0.2">
      <c r="A76" s="100"/>
      <c r="B76" s="100"/>
      <c r="C76" s="15" t="s">
        <v>1706</v>
      </c>
      <c r="D76" s="70" t="s">
        <v>57</v>
      </c>
      <c r="E76" s="12">
        <v>44541</v>
      </c>
      <c r="F76" s="68" t="s">
        <v>59</v>
      </c>
      <c r="G76" s="12">
        <v>44548</v>
      </c>
      <c r="H76" s="125" t="s">
        <v>1631</v>
      </c>
      <c r="I76" s="15">
        <v>64</v>
      </c>
      <c r="J76" s="15">
        <v>40</v>
      </c>
      <c r="K76" s="15">
        <v>38</v>
      </c>
      <c r="L76" s="15">
        <v>16</v>
      </c>
      <c r="M76" s="73">
        <v>24.32</v>
      </c>
      <c r="N76" s="104">
        <v>25</v>
      </c>
      <c r="O76" s="57">
        <v>7000</v>
      </c>
      <c r="P76" s="58">
        <f t="shared" si="1"/>
        <v>175000</v>
      </c>
    </row>
    <row r="77" spans="1:16" ht="23.25" customHeight="1" x14ac:dyDescent="0.2">
      <c r="A77" s="100"/>
      <c r="B77" s="100"/>
      <c r="C77" s="15" t="s">
        <v>1707</v>
      </c>
      <c r="D77" s="70" t="s">
        <v>57</v>
      </c>
      <c r="E77" s="12">
        <v>44541</v>
      </c>
      <c r="F77" s="68" t="s">
        <v>59</v>
      </c>
      <c r="G77" s="12">
        <v>44548</v>
      </c>
      <c r="H77" s="125" t="s">
        <v>1631</v>
      </c>
      <c r="I77" s="15">
        <v>93</v>
      </c>
      <c r="J77" s="15">
        <v>62</v>
      </c>
      <c r="K77" s="15">
        <v>25</v>
      </c>
      <c r="L77" s="15">
        <v>26</v>
      </c>
      <c r="M77" s="73">
        <v>36.037500000000001</v>
      </c>
      <c r="N77" s="104">
        <v>36.037500000000001</v>
      </c>
      <c r="O77" s="57">
        <v>7000</v>
      </c>
      <c r="P77" s="58">
        <f t="shared" si="1"/>
        <v>252262.5</v>
      </c>
    </row>
    <row r="78" spans="1:16" ht="23.25" customHeight="1" x14ac:dyDescent="0.2">
      <c r="A78" s="100"/>
      <c r="B78" s="100"/>
      <c r="C78" s="15" t="s">
        <v>1708</v>
      </c>
      <c r="D78" s="70" t="s">
        <v>57</v>
      </c>
      <c r="E78" s="12">
        <v>44541</v>
      </c>
      <c r="F78" s="68" t="s">
        <v>59</v>
      </c>
      <c r="G78" s="12">
        <v>44548</v>
      </c>
      <c r="H78" s="125" t="s">
        <v>1631</v>
      </c>
      <c r="I78" s="15">
        <v>69</v>
      </c>
      <c r="J78" s="15">
        <v>52</v>
      </c>
      <c r="K78" s="15">
        <v>17</v>
      </c>
      <c r="L78" s="15">
        <v>7</v>
      </c>
      <c r="M78" s="73">
        <v>15.249000000000001</v>
      </c>
      <c r="N78" s="104">
        <v>15.249000000000001</v>
      </c>
      <c r="O78" s="57">
        <v>7000</v>
      </c>
      <c r="P78" s="58">
        <f t="shared" si="1"/>
        <v>106743</v>
      </c>
    </row>
    <row r="79" spans="1:16" ht="23.25" customHeight="1" x14ac:dyDescent="0.2">
      <c r="A79" s="100"/>
      <c r="B79" s="100"/>
      <c r="C79" s="15" t="s">
        <v>1709</v>
      </c>
      <c r="D79" s="70" t="s">
        <v>57</v>
      </c>
      <c r="E79" s="12">
        <v>44541</v>
      </c>
      <c r="F79" s="68" t="s">
        <v>59</v>
      </c>
      <c r="G79" s="12">
        <v>44548</v>
      </c>
      <c r="H79" s="125" t="s">
        <v>1631</v>
      </c>
      <c r="I79" s="15">
        <v>5</v>
      </c>
      <c r="J79" s="15">
        <v>38</v>
      </c>
      <c r="K79" s="15">
        <v>23</v>
      </c>
      <c r="L79" s="15">
        <v>6</v>
      </c>
      <c r="M79" s="73">
        <v>1.0925</v>
      </c>
      <c r="N79" s="104">
        <v>6</v>
      </c>
      <c r="O79" s="57">
        <v>7000</v>
      </c>
      <c r="P79" s="58">
        <f t="shared" si="1"/>
        <v>42000</v>
      </c>
    </row>
    <row r="80" spans="1:16" ht="23.25" customHeight="1" x14ac:dyDescent="0.2">
      <c r="A80" s="100"/>
      <c r="B80" s="100"/>
      <c r="C80" s="15" t="s">
        <v>1710</v>
      </c>
      <c r="D80" s="70" t="s">
        <v>57</v>
      </c>
      <c r="E80" s="12">
        <v>44541</v>
      </c>
      <c r="F80" s="68" t="s">
        <v>59</v>
      </c>
      <c r="G80" s="12">
        <v>44548</v>
      </c>
      <c r="H80" s="125" t="s">
        <v>1631</v>
      </c>
      <c r="I80" s="15">
        <v>63</v>
      </c>
      <c r="J80" s="15">
        <v>72</v>
      </c>
      <c r="K80" s="15">
        <v>21</v>
      </c>
      <c r="L80" s="15">
        <v>7</v>
      </c>
      <c r="M80" s="73">
        <v>23.814</v>
      </c>
      <c r="N80" s="104">
        <v>23.814</v>
      </c>
      <c r="O80" s="57">
        <v>7000</v>
      </c>
      <c r="P80" s="58">
        <f t="shared" si="1"/>
        <v>166698</v>
      </c>
    </row>
    <row r="81" spans="1:16" ht="23.25" customHeight="1" x14ac:dyDescent="0.2">
      <c r="A81" s="100"/>
      <c r="B81" s="100"/>
      <c r="C81" s="15" t="s">
        <v>1711</v>
      </c>
      <c r="D81" s="70" t="s">
        <v>57</v>
      </c>
      <c r="E81" s="12">
        <v>44541</v>
      </c>
      <c r="F81" s="68" t="s">
        <v>59</v>
      </c>
      <c r="G81" s="12">
        <v>44548</v>
      </c>
      <c r="H81" s="125" t="s">
        <v>1631</v>
      </c>
      <c r="I81" s="15">
        <v>50</v>
      </c>
      <c r="J81" s="15">
        <v>16</v>
      </c>
      <c r="K81" s="15">
        <v>16</v>
      </c>
      <c r="L81" s="15">
        <v>1</v>
      </c>
      <c r="M81" s="73">
        <v>3.2</v>
      </c>
      <c r="N81" s="104">
        <v>3.2</v>
      </c>
      <c r="O81" s="57">
        <v>7000</v>
      </c>
      <c r="P81" s="58">
        <f t="shared" si="1"/>
        <v>22400</v>
      </c>
    </row>
    <row r="82" spans="1:16" ht="23.25" customHeight="1" x14ac:dyDescent="0.2">
      <c r="A82" s="100"/>
      <c r="B82" s="100"/>
      <c r="C82" s="15" t="s">
        <v>1712</v>
      </c>
      <c r="D82" s="70" t="s">
        <v>57</v>
      </c>
      <c r="E82" s="12">
        <v>44541</v>
      </c>
      <c r="F82" s="68" t="s">
        <v>59</v>
      </c>
      <c r="G82" s="12">
        <v>44548</v>
      </c>
      <c r="H82" s="125" t="s">
        <v>1631</v>
      </c>
      <c r="I82" s="15">
        <v>95</v>
      </c>
      <c r="J82" s="15">
        <v>65</v>
      </c>
      <c r="K82" s="15">
        <v>32</v>
      </c>
      <c r="L82" s="15">
        <v>20</v>
      </c>
      <c r="M82" s="73">
        <v>49.4</v>
      </c>
      <c r="N82" s="104">
        <v>50</v>
      </c>
      <c r="O82" s="57">
        <v>7000</v>
      </c>
      <c r="P82" s="58">
        <f t="shared" si="1"/>
        <v>350000</v>
      </c>
    </row>
    <row r="83" spans="1:16" ht="23.25" customHeight="1" x14ac:dyDescent="0.2">
      <c r="A83" s="100"/>
      <c r="B83" s="100"/>
      <c r="C83" s="15" t="s">
        <v>1713</v>
      </c>
      <c r="D83" s="70" t="s">
        <v>57</v>
      </c>
      <c r="E83" s="12">
        <v>44541</v>
      </c>
      <c r="F83" s="68" t="s">
        <v>59</v>
      </c>
      <c r="G83" s="12">
        <v>44548</v>
      </c>
      <c r="H83" s="125" t="s">
        <v>1631</v>
      </c>
      <c r="I83" s="15">
        <v>52</v>
      </c>
      <c r="J83" s="15">
        <v>42</v>
      </c>
      <c r="K83" s="15">
        <v>32</v>
      </c>
      <c r="L83" s="15">
        <v>13</v>
      </c>
      <c r="M83" s="73">
        <v>17.472000000000001</v>
      </c>
      <c r="N83" s="104">
        <v>18</v>
      </c>
      <c r="O83" s="57">
        <v>7000</v>
      </c>
      <c r="P83" s="58">
        <f t="shared" si="1"/>
        <v>126000</v>
      </c>
    </row>
    <row r="84" spans="1:16" ht="23.25" customHeight="1" x14ac:dyDescent="0.2">
      <c r="A84" s="100"/>
      <c r="B84" s="100"/>
      <c r="C84" s="15" t="s">
        <v>1714</v>
      </c>
      <c r="D84" s="70" t="s">
        <v>57</v>
      </c>
      <c r="E84" s="12">
        <v>44541</v>
      </c>
      <c r="F84" s="68" t="s">
        <v>59</v>
      </c>
      <c r="G84" s="12">
        <v>44548</v>
      </c>
      <c r="H84" s="125" t="s">
        <v>1631</v>
      </c>
      <c r="I84" s="15">
        <v>30</v>
      </c>
      <c r="J84" s="15">
        <v>23</v>
      </c>
      <c r="K84" s="15">
        <v>17</v>
      </c>
      <c r="L84" s="15">
        <v>7</v>
      </c>
      <c r="M84" s="73">
        <v>2.9325000000000001</v>
      </c>
      <c r="N84" s="104">
        <v>7</v>
      </c>
      <c r="O84" s="57">
        <v>7000</v>
      </c>
      <c r="P84" s="58">
        <f t="shared" si="1"/>
        <v>49000</v>
      </c>
    </row>
    <row r="85" spans="1:16" ht="23.25" customHeight="1" x14ac:dyDescent="0.2">
      <c r="A85" s="100"/>
      <c r="B85" s="100"/>
      <c r="C85" s="15" t="s">
        <v>1715</v>
      </c>
      <c r="D85" s="70" t="s">
        <v>57</v>
      </c>
      <c r="E85" s="12">
        <v>44541</v>
      </c>
      <c r="F85" s="68" t="s">
        <v>59</v>
      </c>
      <c r="G85" s="12">
        <v>44548</v>
      </c>
      <c r="H85" s="125" t="s">
        <v>1631</v>
      </c>
      <c r="I85" s="15">
        <v>40</v>
      </c>
      <c r="J85" s="15">
        <v>40</v>
      </c>
      <c r="K85" s="15">
        <v>24</v>
      </c>
      <c r="L85" s="15">
        <v>18</v>
      </c>
      <c r="M85" s="73">
        <v>9.6</v>
      </c>
      <c r="N85" s="104">
        <v>18</v>
      </c>
      <c r="O85" s="57">
        <v>7000</v>
      </c>
      <c r="P85" s="58">
        <f t="shared" si="1"/>
        <v>126000</v>
      </c>
    </row>
    <row r="86" spans="1:16" ht="23.25" customHeight="1" x14ac:dyDescent="0.2">
      <c r="A86" s="100"/>
      <c r="B86" s="100"/>
      <c r="C86" s="15" t="s">
        <v>1716</v>
      </c>
      <c r="D86" s="70" t="s">
        <v>57</v>
      </c>
      <c r="E86" s="12">
        <v>44541</v>
      </c>
      <c r="F86" s="68" t="s">
        <v>59</v>
      </c>
      <c r="G86" s="12">
        <v>44548</v>
      </c>
      <c r="H86" s="125" t="s">
        <v>1631</v>
      </c>
      <c r="I86" s="15">
        <v>35</v>
      </c>
      <c r="J86" s="15">
        <v>35</v>
      </c>
      <c r="K86" s="15">
        <v>23</v>
      </c>
      <c r="L86" s="15">
        <v>7</v>
      </c>
      <c r="M86" s="73">
        <v>7.0437500000000002</v>
      </c>
      <c r="N86" s="104">
        <v>7.0437500000000002</v>
      </c>
      <c r="O86" s="57">
        <v>7000</v>
      </c>
      <c r="P86" s="58">
        <f t="shared" si="1"/>
        <v>49306.25</v>
      </c>
    </row>
    <row r="87" spans="1:16" ht="23.25" customHeight="1" x14ac:dyDescent="0.2">
      <c r="A87" s="100"/>
      <c r="B87" s="100"/>
      <c r="C87" s="15" t="s">
        <v>1717</v>
      </c>
      <c r="D87" s="70" t="s">
        <v>57</v>
      </c>
      <c r="E87" s="12">
        <v>44541</v>
      </c>
      <c r="F87" s="68" t="s">
        <v>59</v>
      </c>
      <c r="G87" s="12">
        <v>44548</v>
      </c>
      <c r="H87" s="125" t="s">
        <v>1631</v>
      </c>
      <c r="I87" s="15">
        <v>57</v>
      </c>
      <c r="J87" s="15">
        <v>28</v>
      </c>
      <c r="K87" s="15">
        <v>28</v>
      </c>
      <c r="L87" s="15">
        <v>15</v>
      </c>
      <c r="M87" s="73">
        <v>11.172000000000001</v>
      </c>
      <c r="N87" s="104">
        <v>15</v>
      </c>
      <c r="O87" s="57">
        <v>7000</v>
      </c>
      <c r="P87" s="58">
        <f t="shared" si="1"/>
        <v>105000</v>
      </c>
    </row>
    <row r="88" spans="1:16" ht="23.25" customHeight="1" x14ac:dyDescent="0.2">
      <c r="A88" s="100"/>
      <c r="B88" s="100"/>
      <c r="C88" s="15" t="s">
        <v>1718</v>
      </c>
      <c r="D88" s="70" t="s">
        <v>57</v>
      </c>
      <c r="E88" s="12">
        <v>44541</v>
      </c>
      <c r="F88" s="68" t="s">
        <v>59</v>
      </c>
      <c r="G88" s="12">
        <v>44548</v>
      </c>
      <c r="H88" s="125" t="s">
        <v>1631</v>
      </c>
      <c r="I88" s="15">
        <v>44</v>
      </c>
      <c r="J88" s="15">
        <v>28</v>
      </c>
      <c r="K88" s="15">
        <v>23</v>
      </c>
      <c r="L88" s="15">
        <v>7</v>
      </c>
      <c r="M88" s="73">
        <v>7.0839999999999996</v>
      </c>
      <c r="N88" s="104">
        <v>7.0839999999999996</v>
      </c>
      <c r="O88" s="57">
        <v>7000</v>
      </c>
      <c r="P88" s="58">
        <f t="shared" si="1"/>
        <v>49588</v>
      </c>
    </row>
    <row r="89" spans="1:16" ht="23.25" customHeight="1" x14ac:dyDescent="0.2">
      <c r="A89" s="100"/>
      <c r="B89" s="100"/>
      <c r="C89" s="15" t="s">
        <v>1719</v>
      </c>
      <c r="D89" s="70" t="s">
        <v>57</v>
      </c>
      <c r="E89" s="12">
        <v>44541</v>
      </c>
      <c r="F89" s="68" t="s">
        <v>59</v>
      </c>
      <c r="G89" s="12">
        <v>44548</v>
      </c>
      <c r="H89" s="125" t="s">
        <v>1631</v>
      </c>
      <c r="I89" s="15">
        <v>47</v>
      </c>
      <c r="J89" s="15">
        <v>31</v>
      </c>
      <c r="K89" s="15">
        <v>26</v>
      </c>
      <c r="L89" s="15">
        <v>8</v>
      </c>
      <c r="M89" s="73">
        <v>9.4704999999999995</v>
      </c>
      <c r="N89" s="104">
        <v>10</v>
      </c>
      <c r="O89" s="57">
        <v>7000</v>
      </c>
      <c r="P89" s="58">
        <f t="shared" si="1"/>
        <v>70000</v>
      </c>
    </row>
    <row r="90" spans="1:16" ht="23.25" customHeight="1" x14ac:dyDescent="0.2">
      <c r="A90" s="100"/>
      <c r="B90" s="100"/>
      <c r="C90" s="15" t="s">
        <v>1720</v>
      </c>
      <c r="D90" s="70" t="s">
        <v>57</v>
      </c>
      <c r="E90" s="12">
        <v>44541</v>
      </c>
      <c r="F90" s="68" t="s">
        <v>59</v>
      </c>
      <c r="G90" s="12">
        <v>44548</v>
      </c>
      <c r="H90" s="125" t="s">
        <v>1631</v>
      </c>
      <c r="I90" s="15">
        <v>96</v>
      </c>
      <c r="J90" s="15">
        <v>56</v>
      </c>
      <c r="K90" s="15">
        <v>33</v>
      </c>
      <c r="L90" s="15">
        <v>23</v>
      </c>
      <c r="M90" s="73">
        <v>44.351999999999997</v>
      </c>
      <c r="N90" s="104">
        <v>45</v>
      </c>
      <c r="O90" s="57">
        <v>7000</v>
      </c>
      <c r="P90" s="58">
        <f t="shared" si="1"/>
        <v>315000</v>
      </c>
    </row>
    <row r="91" spans="1:16" ht="23.25" customHeight="1" x14ac:dyDescent="0.2">
      <c r="A91" s="100"/>
      <c r="B91" s="100"/>
      <c r="C91" s="15" t="s">
        <v>1721</v>
      </c>
      <c r="D91" s="70" t="s">
        <v>57</v>
      </c>
      <c r="E91" s="12">
        <v>44541</v>
      </c>
      <c r="F91" s="68" t="s">
        <v>59</v>
      </c>
      <c r="G91" s="12">
        <v>44548</v>
      </c>
      <c r="H91" s="125" t="s">
        <v>1631</v>
      </c>
      <c r="I91" s="15">
        <v>48</v>
      </c>
      <c r="J91" s="15">
        <v>49</v>
      </c>
      <c r="K91" s="15">
        <v>14</v>
      </c>
      <c r="L91" s="15">
        <v>10</v>
      </c>
      <c r="M91" s="73">
        <v>8.2319999999999993</v>
      </c>
      <c r="N91" s="104">
        <v>10</v>
      </c>
      <c r="O91" s="57">
        <v>7000</v>
      </c>
      <c r="P91" s="58">
        <f t="shared" si="1"/>
        <v>70000</v>
      </c>
    </row>
    <row r="92" spans="1:16" ht="23.25" customHeight="1" x14ac:dyDescent="0.2">
      <c r="A92" s="100"/>
      <c r="B92" s="100"/>
      <c r="C92" s="15" t="s">
        <v>1722</v>
      </c>
      <c r="D92" s="70" t="s">
        <v>57</v>
      </c>
      <c r="E92" s="12">
        <v>44541</v>
      </c>
      <c r="F92" s="68" t="s">
        <v>59</v>
      </c>
      <c r="G92" s="12">
        <v>44548</v>
      </c>
      <c r="H92" s="125" t="s">
        <v>1631</v>
      </c>
      <c r="I92" s="15">
        <v>39</v>
      </c>
      <c r="J92" s="15">
        <v>31</v>
      </c>
      <c r="K92" s="15">
        <v>12</v>
      </c>
      <c r="L92" s="15">
        <v>5</v>
      </c>
      <c r="M92" s="73">
        <v>3.6269999999999998</v>
      </c>
      <c r="N92" s="104">
        <v>5</v>
      </c>
      <c r="O92" s="57">
        <v>7000</v>
      </c>
      <c r="P92" s="58">
        <f t="shared" si="1"/>
        <v>35000</v>
      </c>
    </row>
    <row r="93" spans="1:16" ht="23.25" customHeight="1" x14ac:dyDescent="0.2">
      <c r="A93" s="100"/>
      <c r="B93" s="100"/>
      <c r="C93" s="15" t="s">
        <v>1723</v>
      </c>
      <c r="D93" s="70" t="s">
        <v>57</v>
      </c>
      <c r="E93" s="12">
        <v>44541</v>
      </c>
      <c r="F93" s="68" t="s">
        <v>59</v>
      </c>
      <c r="G93" s="12">
        <v>44548</v>
      </c>
      <c r="H93" s="125" t="s">
        <v>1631</v>
      </c>
      <c r="I93" s="15">
        <v>66</v>
      </c>
      <c r="J93" s="15">
        <v>39</v>
      </c>
      <c r="K93" s="15">
        <v>38</v>
      </c>
      <c r="L93" s="15">
        <v>11</v>
      </c>
      <c r="M93" s="73">
        <v>24.452999999999999</v>
      </c>
      <c r="N93" s="104">
        <v>25</v>
      </c>
      <c r="O93" s="57">
        <v>7000</v>
      </c>
      <c r="P93" s="58">
        <f t="shared" si="1"/>
        <v>175000</v>
      </c>
    </row>
    <row r="94" spans="1:16" ht="23.25" customHeight="1" x14ac:dyDescent="0.2">
      <c r="A94" s="100"/>
      <c r="B94" s="100"/>
      <c r="C94" s="15" t="s">
        <v>1724</v>
      </c>
      <c r="D94" s="70" t="s">
        <v>57</v>
      </c>
      <c r="E94" s="12">
        <v>44541</v>
      </c>
      <c r="F94" s="68" t="s">
        <v>59</v>
      </c>
      <c r="G94" s="12">
        <v>44548</v>
      </c>
      <c r="H94" s="125" t="s">
        <v>1631</v>
      </c>
      <c r="I94" s="15">
        <v>39</v>
      </c>
      <c r="J94" s="15">
        <v>33</v>
      </c>
      <c r="K94" s="15">
        <v>16</v>
      </c>
      <c r="L94" s="15">
        <v>3</v>
      </c>
      <c r="M94" s="73">
        <v>5.1479999999999997</v>
      </c>
      <c r="N94" s="104">
        <v>5.1479999999999997</v>
      </c>
      <c r="O94" s="57">
        <v>7000</v>
      </c>
      <c r="P94" s="58">
        <f t="shared" si="1"/>
        <v>36036</v>
      </c>
    </row>
    <row r="95" spans="1:16" ht="23.25" customHeight="1" x14ac:dyDescent="0.2">
      <c r="A95" s="100"/>
      <c r="B95" s="100"/>
      <c r="C95" s="15" t="s">
        <v>1725</v>
      </c>
      <c r="D95" s="70" t="s">
        <v>57</v>
      </c>
      <c r="E95" s="12">
        <v>44541</v>
      </c>
      <c r="F95" s="68" t="s">
        <v>59</v>
      </c>
      <c r="G95" s="12">
        <v>44548</v>
      </c>
      <c r="H95" s="125" t="s">
        <v>1631</v>
      </c>
      <c r="I95" s="15">
        <v>48</v>
      </c>
      <c r="J95" s="15">
        <v>35</v>
      </c>
      <c r="K95" s="15">
        <v>12</v>
      </c>
      <c r="L95" s="15">
        <v>3</v>
      </c>
      <c r="M95" s="73">
        <v>5.04</v>
      </c>
      <c r="N95" s="104">
        <v>5.04</v>
      </c>
      <c r="O95" s="57">
        <v>7000</v>
      </c>
      <c r="P95" s="58">
        <f t="shared" si="1"/>
        <v>35280</v>
      </c>
    </row>
    <row r="96" spans="1:16" ht="23.25" customHeight="1" x14ac:dyDescent="0.2">
      <c r="A96" s="100"/>
      <c r="B96" s="100"/>
      <c r="C96" s="15" t="s">
        <v>1726</v>
      </c>
      <c r="D96" s="70" t="s">
        <v>57</v>
      </c>
      <c r="E96" s="12">
        <v>44541</v>
      </c>
      <c r="F96" s="68" t="s">
        <v>59</v>
      </c>
      <c r="G96" s="12">
        <v>44548</v>
      </c>
      <c r="H96" s="125" t="s">
        <v>1631</v>
      </c>
      <c r="I96" s="15">
        <v>44</v>
      </c>
      <c r="J96" s="15">
        <v>33</v>
      </c>
      <c r="K96" s="15">
        <v>12</v>
      </c>
      <c r="L96" s="15">
        <v>8</v>
      </c>
      <c r="M96" s="73">
        <v>4.3559999999999999</v>
      </c>
      <c r="N96" s="104">
        <v>9</v>
      </c>
      <c r="O96" s="57">
        <v>7000</v>
      </c>
      <c r="P96" s="58">
        <f t="shared" si="1"/>
        <v>63000</v>
      </c>
    </row>
    <row r="97" spans="1:16" ht="23.25" customHeight="1" x14ac:dyDescent="0.2">
      <c r="A97" s="100"/>
      <c r="B97" s="100"/>
      <c r="C97" s="15" t="s">
        <v>1727</v>
      </c>
      <c r="D97" s="70" t="s">
        <v>57</v>
      </c>
      <c r="E97" s="12">
        <v>44541</v>
      </c>
      <c r="F97" s="68" t="s">
        <v>59</v>
      </c>
      <c r="G97" s="12">
        <v>44548</v>
      </c>
      <c r="H97" s="125" t="s">
        <v>1631</v>
      </c>
      <c r="I97" s="15">
        <v>33</v>
      </c>
      <c r="J97" s="15">
        <v>27</v>
      </c>
      <c r="K97" s="15">
        <v>27</v>
      </c>
      <c r="L97" s="15">
        <v>1</v>
      </c>
      <c r="M97" s="73">
        <v>6.0142499999999997</v>
      </c>
      <c r="N97" s="104">
        <v>6.0142499999999997</v>
      </c>
      <c r="O97" s="57">
        <v>7000</v>
      </c>
      <c r="P97" s="58">
        <f t="shared" si="1"/>
        <v>42099.75</v>
      </c>
    </row>
    <row r="98" spans="1:16" ht="23.25" customHeight="1" x14ac:dyDescent="0.2">
      <c r="A98" s="100"/>
      <c r="B98" s="100"/>
      <c r="C98" s="15" t="s">
        <v>1728</v>
      </c>
      <c r="D98" s="70" t="s">
        <v>57</v>
      </c>
      <c r="E98" s="12">
        <v>44541</v>
      </c>
      <c r="F98" s="68" t="s">
        <v>59</v>
      </c>
      <c r="G98" s="12">
        <v>44548</v>
      </c>
      <c r="H98" s="125" t="s">
        <v>1631</v>
      </c>
      <c r="I98" s="15">
        <v>42</v>
      </c>
      <c r="J98" s="15">
        <v>37</v>
      </c>
      <c r="K98" s="15">
        <v>35</v>
      </c>
      <c r="L98" s="15">
        <v>13</v>
      </c>
      <c r="M98" s="73">
        <v>13.5975</v>
      </c>
      <c r="N98" s="104">
        <v>13.5975</v>
      </c>
      <c r="O98" s="57">
        <v>7000</v>
      </c>
      <c r="P98" s="58">
        <f t="shared" si="1"/>
        <v>95182.5</v>
      </c>
    </row>
    <row r="99" spans="1:16" ht="23.25" customHeight="1" x14ac:dyDescent="0.2">
      <c r="A99" s="100"/>
      <c r="B99" s="100"/>
      <c r="C99" s="15" t="s">
        <v>1729</v>
      </c>
      <c r="D99" s="70" t="s">
        <v>57</v>
      </c>
      <c r="E99" s="12">
        <v>44541</v>
      </c>
      <c r="F99" s="68" t="s">
        <v>59</v>
      </c>
      <c r="G99" s="12">
        <v>44548</v>
      </c>
      <c r="H99" s="125" t="s">
        <v>1631</v>
      </c>
      <c r="I99" s="15">
        <v>135</v>
      </c>
      <c r="J99" s="15">
        <v>18</v>
      </c>
      <c r="K99" s="15">
        <v>18</v>
      </c>
      <c r="L99" s="15">
        <v>3</v>
      </c>
      <c r="M99" s="73">
        <v>10.935</v>
      </c>
      <c r="N99" s="104">
        <v>10.935</v>
      </c>
      <c r="O99" s="57">
        <v>7000</v>
      </c>
      <c r="P99" s="58">
        <f t="shared" si="1"/>
        <v>76545</v>
      </c>
    </row>
    <row r="100" spans="1:16" ht="23.25" customHeight="1" x14ac:dyDescent="0.2">
      <c r="A100" s="100"/>
      <c r="B100" s="100"/>
      <c r="C100" s="15" t="s">
        <v>1730</v>
      </c>
      <c r="D100" s="70" t="s">
        <v>57</v>
      </c>
      <c r="E100" s="12">
        <v>44541</v>
      </c>
      <c r="F100" s="68" t="s">
        <v>59</v>
      </c>
      <c r="G100" s="12">
        <v>44548</v>
      </c>
      <c r="H100" s="125" t="s">
        <v>1631</v>
      </c>
      <c r="I100" s="15">
        <v>76</v>
      </c>
      <c r="J100" s="15">
        <v>58</v>
      </c>
      <c r="K100" s="15">
        <v>23</v>
      </c>
      <c r="L100" s="15">
        <v>11</v>
      </c>
      <c r="M100" s="73">
        <v>25.346</v>
      </c>
      <c r="N100" s="104">
        <v>26</v>
      </c>
      <c r="O100" s="57">
        <v>7000</v>
      </c>
      <c r="P100" s="58">
        <f t="shared" si="1"/>
        <v>182000</v>
      </c>
    </row>
    <row r="101" spans="1:16" ht="23.25" customHeight="1" x14ac:dyDescent="0.2">
      <c r="A101" s="100"/>
      <c r="B101" s="100"/>
      <c r="C101" s="15" t="s">
        <v>1731</v>
      </c>
      <c r="D101" s="70" t="s">
        <v>57</v>
      </c>
      <c r="E101" s="12">
        <v>44541</v>
      </c>
      <c r="F101" s="68" t="s">
        <v>59</v>
      </c>
      <c r="G101" s="12">
        <v>44548</v>
      </c>
      <c r="H101" s="125" t="s">
        <v>1631</v>
      </c>
      <c r="I101" s="15">
        <v>76</v>
      </c>
      <c r="J101" s="15">
        <v>62</v>
      </c>
      <c r="K101" s="15">
        <v>18</v>
      </c>
      <c r="L101" s="15">
        <v>12</v>
      </c>
      <c r="M101" s="73">
        <v>21.204000000000001</v>
      </c>
      <c r="N101" s="104">
        <v>21.204000000000001</v>
      </c>
      <c r="O101" s="57">
        <v>7000</v>
      </c>
      <c r="P101" s="58">
        <f t="shared" si="1"/>
        <v>148428</v>
      </c>
    </row>
    <row r="102" spans="1:16" ht="23.25" customHeight="1" x14ac:dyDescent="0.2">
      <c r="A102" s="100"/>
      <c r="B102" s="100"/>
      <c r="C102" s="15" t="s">
        <v>1732</v>
      </c>
      <c r="D102" s="70" t="s">
        <v>57</v>
      </c>
      <c r="E102" s="12">
        <v>44541</v>
      </c>
      <c r="F102" s="68" t="s">
        <v>59</v>
      </c>
      <c r="G102" s="12">
        <v>44548</v>
      </c>
      <c r="H102" s="125" t="s">
        <v>1631</v>
      </c>
      <c r="I102" s="15">
        <v>95</v>
      </c>
      <c r="J102" s="15">
        <v>54</v>
      </c>
      <c r="K102" s="15">
        <v>40</v>
      </c>
      <c r="L102" s="15">
        <v>15</v>
      </c>
      <c r="M102" s="73">
        <v>51.3</v>
      </c>
      <c r="N102" s="104">
        <v>52</v>
      </c>
      <c r="O102" s="57">
        <v>7000</v>
      </c>
      <c r="P102" s="58">
        <f t="shared" si="1"/>
        <v>364000</v>
      </c>
    </row>
    <row r="103" spans="1:16" ht="23.25" customHeight="1" x14ac:dyDescent="0.2">
      <c r="A103" s="100"/>
      <c r="B103" s="100"/>
      <c r="C103" s="15" t="s">
        <v>1733</v>
      </c>
      <c r="D103" s="70" t="s">
        <v>57</v>
      </c>
      <c r="E103" s="12">
        <v>44541</v>
      </c>
      <c r="F103" s="68" t="s">
        <v>59</v>
      </c>
      <c r="G103" s="12">
        <v>44548</v>
      </c>
      <c r="H103" s="125" t="s">
        <v>1631</v>
      </c>
      <c r="I103" s="15">
        <v>52</v>
      </c>
      <c r="J103" s="15">
        <v>25</v>
      </c>
      <c r="K103" s="15">
        <v>12</v>
      </c>
      <c r="L103" s="15">
        <v>8</v>
      </c>
      <c r="M103" s="73">
        <v>3.9</v>
      </c>
      <c r="N103" s="104">
        <v>8</v>
      </c>
      <c r="O103" s="57">
        <v>7000</v>
      </c>
      <c r="P103" s="58">
        <f t="shared" si="1"/>
        <v>56000</v>
      </c>
    </row>
    <row r="104" spans="1:16" ht="23.25" customHeight="1" x14ac:dyDescent="0.2">
      <c r="A104" s="100"/>
      <c r="B104" s="100"/>
      <c r="C104" s="15" t="s">
        <v>1734</v>
      </c>
      <c r="D104" s="70" t="s">
        <v>57</v>
      </c>
      <c r="E104" s="12">
        <v>44541</v>
      </c>
      <c r="F104" s="68" t="s">
        <v>59</v>
      </c>
      <c r="G104" s="12">
        <v>44548</v>
      </c>
      <c r="H104" s="125" t="s">
        <v>1631</v>
      </c>
      <c r="I104" s="15">
        <v>110</v>
      </c>
      <c r="J104" s="15">
        <v>8</v>
      </c>
      <c r="K104" s="15">
        <v>8</v>
      </c>
      <c r="L104" s="15">
        <v>15</v>
      </c>
      <c r="M104" s="73">
        <v>1.76</v>
      </c>
      <c r="N104" s="104">
        <v>15</v>
      </c>
      <c r="O104" s="57">
        <v>7000</v>
      </c>
      <c r="P104" s="58">
        <f t="shared" si="1"/>
        <v>105000</v>
      </c>
    </row>
    <row r="105" spans="1:16" ht="23.25" customHeight="1" x14ac:dyDescent="0.2">
      <c r="A105" s="100"/>
      <c r="B105" s="100"/>
      <c r="C105" s="15" t="s">
        <v>1735</v>
      </c>
      <c r="D105" s="70" t="s">
        <v>57</v>
      </c>
      <c r="E105" s="12">
        <v>44541</v>
      </c>
      <c r="F105" s="68" t="s">
        <v>59</v>
      </c>
      <c r="G105" s="12">
        <v>44548</v>
      </c>
      <c r="H105" s="125" t="s">
        <v>1631</v>
      </c>
      <c r="I105" s="15">
        <v>52</v>
      </c>
      <c r="J105" s="15">
        <v>37</v>
      </c>
      <c r="K105" s="15">
        <v>25</v>
      </c>
      <c r="L105" s="15">
        <v>8</v>
      </c>
      <c r="M105" s="73">
        <v>12.025</v>
      </c>
      <c r="N105" s="104">
        <v>12.025</v>
      </c>
      <c r="O105" s="57">
        <v>7000</v>
      </c>
      <c r="P105" s="58">
        <f t="shared" si="1"/>
        <v>84175</v>
      </c>
    </row>
    <row r="106" spans="1:16" ht="23.25" customHeight="1" x14ac:dyDescent="0.2">
      <c r="A106" s="100"/>
      <c r="B106" s="100"/>
      <c r="C106" s="15" t="s">
        <v>1736</v>
      </c>
      <c r="D106" s="70" t="s">
        <v>57</v>
      </c>
      <c r="E106" s="12">
        <v>44541</v>
      </c>
      <c r="F106" s="68" t="s">
        <v>59</v>
      </c>
      <c r="G106" s="12">
        <v>44548</v>
      </c>
      <c r="H106" s="125" t="s">
        <v>1631</v>
      </c>
      <c r="I106" s="15">
        <v>67</v>
      </c>
      <c r="J106" s="15">
        <v>72</v>
      </c>
      <c r="K106" s="15">
        <v>22</v>
      </c>
      <c r="L106" s="15">
        <v>7</v>
      </c>
      <c r="M106" s="73">
        <v>26.532</v>
      </c>
      <c r="N106" s="104">
        <v>26.532</v>
      </c>
      <c r="O106" s="57">
        <v>7000</v>
      </c>
      <c r="P106" s="58">
        <f t="shared" si="1"/>
        <v>185724</v>
      </c>
    </row>
    <row r="107" spans="1:16" ht="23.25" customHeight="1" x14ac:dyDescent="0.2">
      <c r="A107" s="100"/>
      <c r="B107" s="100"/>
      <c r="C107" s="15" t="s">
        <v>1737</v>
      </c>
      <c r="D107" s="70" t="s">
        <v>57</v>
      </c>
      <c r="E107" s="12">
        <v>44541</v>
      </c>
      <c r="F107" s="68" t="s">
        <v>59</v>
      </c>
      <c r="G107" s="12">
        <v>44548</v>
      </c>
      <c r="H107" s="125" t="s">
        <v>1631</v>
      </c>
      <c r="I107" s="15">
        <v>58</v>
      </c>
      <c r="J107" s="15">
        <v>40</v>
      </c>
      <c r="K107" s="15">
        <v>18</v>
      </c>
      <c r="L107" s="15">
        <v>4</v>
      </c>
      <c r="M107" s="73">
        <v>10.44</v>
      </c>
      <c r="N107" s="104">
        <v>11</v>
      </c>
      <c r="O107" s="57">
        <v>7000</v>
      </c>
      <c r="P107" s="58">
        <f t="shared" si="1"/>
        <v>77000</v>
      </c>
    </row>
    <row r="108" spans="1:16" ht="23.25" customHeight="1" x14ac:dyDescent="0.2">
      <c r="A108" s="100"/>
      <c r="B108" s="101"/>
      <c r="C108" s="15" t="s">
        <v>1738</v>
      </c>
      <c r="D108" s="70" t="s">
        <v>57</v>
      </c>
      <c r="E108" s="12">
        <v>44541</v>
      </c>
      <c r="F108" s="68" t="s">
        <v>59</v>
      </c>
      <c r="G108" s="12">
        <v>44548</v>
      </c>
      <c r="H108" s="125" t="s">
        <v>1631</v>
      </c>
      <c r="I108" s="15">
        <v>64</v>
      </c>
      <c r="J108" s="15">
        <v>45</v>
      </c>
      <c r="K108" s="15">
        <v>30</v>
      </c>
      <c r="L108" s="15">
        <v>20</v>
      </c>
      <c r="M108" s="73">
        <v>21.6</v>
      </c>
      <c r="N108" s="104">
        <v>21.6</v>
      </c>
      <c r="O108" s="57">
        <v>7000</v>
      </c>
      <c r="P108" s="58">
        <f t="shared" si="1"/>
        <v>151200</v>
      </c>
    </row>
    <row r="109" spans="1:16" ht="23.25" customHeight="1" x14ac:dyDescent="0.2">
      <c r="A109" s="100"/>
      <c r="B109" s="100" t="s">
        <v>1739</v>
      </c>
      <c r="C109" s="15" t="s">
        <v>1740</v>
      </c>
      <c r="D109" s="70" t="s">
        <v>57</v>
      </c>
      <c r="E109" s="12">
        <v>44541</v>
      </c>
      <c r="F109" s="68" t="s">
        <v>59</v>
      </c>
      <c r="G109" s="12">
        <v>44548</v>
      </c>
      <c r="H109" s="125" t="s">
        <v>1631</v>
      </c>
      <c r="I109" s="15">
        <v>58</v>
      </c>
      <c r="J109" s="15">
        <v>50</v>
      </c>
      <c r="K109" s="15">
        <v>21</v>
      </c>
      <c r="L109" s="15">
        <v>15</v>
      </c>
      <c r="M109" s="73">
        <v>15.225</v>
      </c>
      <c r="N109" s="104">
        <v>15.225</v>
      </c>
      <c r="O109" s="57">
        <v>7000</v>
      </c>
      <c r="P109" s="58">
        <f t="shared" si="1"/>
        <v>106575</v>
      </c>
    </row>
    <row r="110" spans="1:16" ht="23.25" customHeight="1" x14ac:dyDescent="0.2">
      <c r="A110" s="100"/>
      <c r="B110" s="100"/>
      <c r="C110" s="15" t="s">
        <v>1741</v>
      </c>
      <c r="D110" s="70" t="s">
        <v>57</v>
      </c>
      <c r="E110" s="12">
        <v>44541</v>
      </c>
      <c r="F110" s="68" t="s">
        <v>59</v>
      </c>
      <c r="G110" s="12">
        <v>44548</v>
      </c>
      <c r="H110" s="125" t="s">
        <v>1631</v>
      </c>
      <c r="I110" s="15">
        <v>55</v>
      </c>
      <c r="J110" s="15">
        <v>37</v>
      </c>
      <c r="K110" s="15">
        <v>16</v>
      </c>
      <c r="L110" s="15">
        <v>6</v>
      </c>
      <c r="M110" s="73">
        <v>8.14</v>
      </c>
      <c r="N110" s="104">
        <v>8.14</v>
      </c>
      <c r="O110" s="57">
        <v>7000</v>
      </c>
      <c r="P110" s="58">
        <f t="shared" si="1"/>
        <v>56980.000000000007</v>
      </c>
    </row>
    <row r="111" spans="1:16" ht="23.25" customHeight="1" x14ac:dyDescent="0.2">
      <c r="A111" s="100"/>
      <c r="B111" s="100"/>
      <c r="C111" s="15" t="s">
        <v>1742</v>
      </c>
      <c r="D111" s="70" t="s">
        <v>57</v>
      </c>
      <c r="E111" s="12">
        <v>44541</v>
      </c>
      <c r="F111" s="68" t="s">
        <v>59</v>
      </c>
      <c r="G111" s="12">
        <v>44548</v>
      </c>
      <c r="H111" s="125" t="s">
        <v>1631</v>
      </c>
      <c r="I111" s="15">
        <v>67</v>
      </c>
      <c r="J111" s="15">
        <v>47</v>
      </c>
      <c r="K111" s="15">
        <v>16</v>
      </c>
      <c r="L111" s="15">
        <v>8</v>
      </c>
      <c r="M111" s="73">
        <v>12.596</v>
      </c>
      <c r="N111" s="104">
        <v>12.596</v>
      </c>
      <c r="O111" s="57">
        <v>7000</v>
      </c>
      <c r="P111" s="58">
        <f t="shared" si="1"/>
        <v>88172</v>
      </c>
    </row>
    <row r="112" spans="1:16" ht="23.25" customHeight="1" x14ac:dyDescent="0.2">
      <c r="A112" s="100"/>
      <c r="B112" s="100"/>
      <c r="C112" s="15" t="s">
        <v>1743</v>
      </c>
      <c r="D112" s="70" t="s">
        <v>57</v>
      </c>
      <c r="E112" s="12">
        <v>44541</v>
      </c>
      <c r="F112" s="68" t="s">
        <v>59</v>
      </c>
      <c r="G112" s="12">
        <v>44548</v>
      </c>
      <c r="H112" s="125" t="s">
        <v>1631</v>
      </c>
      <c r="I112" s="15">
        <v>23</v>
      </c>
      <c r="J112" s="15">
        <v>20</v>
      </c>
      <c r="K112" s="15">
        <v>18</v>
      </c>
      <c r="L112" s="15">
        <v>3</v>
      </c>
      <c r="M112" s="73">
        <v>2.0699999999999998</v>
      </c>
      <c r="N112" s="104">
        <v>3</v>
      </c>
      <c r="O112" s="57">
        <v>7000</v>
      </c>
      <c r="P112" s="58">
        <f t="shared" si="1"/>
        <v>21000</v>
      </c>
    </row>
    <row r="113" spans="1:16" ht="23.25" customHeight="1" x14ac:dyDescent="0.2">
      <c r="A113" s="100"/>
      <c r="B113" s="100"/>
      <c r="C113" s="15" t="s">
        <v>1744</v>
      </c>
      <c r="D113" s="70" t="s">
        <v>57</v>
      </c>
      <c r="E113" s="12">
        <v>44541</v>
      </c>
      <c r="F113" s="68" t="s">
        <v>59</v>
      </c>
      <c r="G113" s="12">
        <v>44548</v>
      </c>
      <c r="H113" s="125" t="s">
        <v>1631</v>
      </c>
      <c r="I113" s="15">
        <v>27</v>
      </c>
      <c r="J113" s="15">
        <v>23</v>
      </c>
      <c r="K113" s="15">
        <v>17</v>
      </c>
      <c r="L113" s="15">
        <v>1</v>
      </c>
      <c r="M113" s="73">
        <v>2.6392500000000001</v>
      </c>
      <c r="N113" s="104">
        <v>2.6392500000000001</v>
      </c>
      <c r="O113" s="57">
        <v>7000</v>
      </c>
      <c r="P113" s="58">
        <f t="shared" si="1"/>
        <v>18474.75</v>
      </c>
    </row>
    <row r="114" spans="1:16" ht="23.25" customHeight="1" x14ac:dyDescent="0.2">
      <c r="A114" s="100"/>
      <c r="B114" s="100"/>
      <c r="C114" s="15" t="s">
        <v>1745</v>
      </c>
      <c r="D114" s="70" t="s">
        <v>57</v>
      </c>
      <c r="E114" s="12">
        <v>44541</v>
      </c>
      <c r="F114" s="68" t="s">
        <v>59</v>
      </c>
      <c r="G114" s="12">
        <v>44548</v>
      </c>
      <c r="H114" s="125" t="s">
        <v>1631</v>
      </c>
      <c r="I114" s="15">
        <v>51</v>
      </c>
      <c r="J114" s="15">
        <v>35</v>
      </c>
      <c r="K114" s="15">
        <v>17</v>
      </c>
      <c r="L114" s="15">
        <v>2</v>
      </c>
      <c r="M114" s="73">
        <v>7.5862499999999997</v>
      </c>
      <c r="N114" s="104">
        <v>7.5862499999999997</v>
      </c>
      <c r="O114" s="57">
        <v>7000</v>
      </c>
      <c r="P114" s="58">
        <f t="shared" si="1"/>
        <v>53103.75</v>
      </c>
    </row>
    <row r="115" spans="1:16" ht="23.25" customHeight="1" x14ac:dyDescent="0.2">
      <c r="A115" s="100"/>
      <c r="B115" s="100"/>
      <c r="C115" s="15" t="s">
        <v>1746</v>
      </c>
      <c r="D115" s="70" t="s">
        <v>57</v>
      </c>
      <c r="E115" s="12">
        <v>44541</v>
      </c>
      <c r="F115" s="68" t="s">
        <v>59</v>
      </c>
      <c r="G115" s="12">
        <v>44548</v>
      </c>
      <c r="H115" s="125" t="s">
        <v>1631</v>
      </c>
      <c r="I115" s="15">
        <v>20</v>
      </c>
      <c r="J115" s="15">
        <v>15</v>
      </c>
      <c r="K115" s="15">
        <v>10</v>
      </c>
      <c r="L115" s="15">
        <v>1</v>
      </c>
      <c r="M115" s="73">
        <v>0.75</v>
      </c>
      <c r="N115" s="104">
        <v>1</v>
      </c>
      <c r="O115" s="57">
        <v>7000</v>
      </c>
      <c r="P115" s="58">
        <f t="shared" si="1"/>
        <v>7000</v>
      </c>
    </row>
    <row r="116" spans="1:16" ht="23.25" customHeight="1" x14ac:dyDescent="0.2">
      <c r="A116" s="100"/>
      <c r="B116" s="100"/>
      <c r="C116" s="15" t="s">
        <v>1747</v>
      </c>
      <c r="D116" s="70" t="s">
        <v>57</v>
      </c>
      <c r="E116" s="12">
        <v>44541</v>
      </c>
      <c r="F116" s="68" t="s">
        <v>59</v>
      </c>
      <c r="G116" s="12">
        <v>44548</v>
      </c>
      <c r="H116" s="125" t="s">
        <v>1631</v>
      </c>
      <c r="I116" s="15">
        <v>57</v>
      </c>
      <c r="J116" s="15">
        <v>35</v>
      </c>
      <c r="K116" s="15">
        <v>43</v>
      </c>
      <c r="L116" s="15">
        <v>14</v>
      </c>
      <c r="M116" s="73">
        <v>21.446249999999999</v>
      </c>
      <c r="N116" s="104">
        <v>22</v>
      </c>
      <c r="O116" s="57">
        <v>7000</v>
      </c>
      <c r="P116" s="58">
        <f t="shared" si="1"/>
        <v>154000</v>
      </c>
    </row>
    <row r="117" spans="1:16" ht="23.25" customHeight="1" x14ac:dyDescent="0.2">
      <c r="A117" s="100"/>
      <c r="B117" s="100"/>
      <c r="C117" s="15" t="s">
        <v>1748</v>
      </c>
      <c r="D117" s="70" t="s">
        <v>57</v>
      </c>
      <c r="E117" s="12">
        <v>44541</v>
      </c>
      <c r="F117" s="68" t="s">
        <v>59</v>
      </c>
      <c r="G117" s="12">
        <v>44548</v>
      </c>
      <c r="H117" s="125" t="s">
        <v>1631</v>
      </c>
      <c r="I117" s="15">
        <v>89</v>
      </c>
      <c r="J117" s="15">
        <v>50</v>
      </c>
      <c r="K117" s="15">
        <v>29</v>
      </c>
      <c r="L117" s="15">
        <v>26</v>
      </c>
      <c r="M117" s="73">
        <v>32.262500000000003</v>
      </c>
      <c r="N117" s="104">
        <v>32.262500000000003</v>
      </c>
      <c r="O117" s="57">
        <v>7000</v>
      </c>
      <c r="P117" s="58">
        <f t="shared" si="1"/>
        <v>225837.50000000003</v>
      </c>
    </row>
    <row r="118" spans="1:16" ht="23.25" customHeight="1" x14ac:dyDescent="0.2">
      <c r="A118" s="100"/>
      <c r="B118" s="100"/>
      <c r="C118" s="15" t="s">
        <v>1749</v>
      </c>
      <c r="D118" s="70" t="s">
        <v>57</v>
      </c>
      <c r="E118" s="12">
        <v>44541</v>
      </c>
      <c r="F118" s="68" t="s">
        <v>59</v>
      </c>
      <c r="G118" s="12">
        <v>44548</v>
      </c>
      <c r="H118" s="125" t="s">
        <v>1631</v>
      </c>
      <c r="I118" s="15">
        <v>53</v>
      </c>
      <c r="J118" s="15">
        <v>40</v>
      </c>
      <c r="K118" s="15">
        <v>22</v>
      </c>
      <c r="L118" s="15">
        <v>12</v>
      </c>
      <c r="M118" s="73">
        <v>11.66</v>
      </c>
      <c r="N118" s="104">
        <v>12</v>
      </c>
      <c r="O118" s="57">
        <v>7000</v>
      </c>
      <c r="P118" s="58">
        <f t="shared" si="1"/>
        <v>84000</v>
      </c>
    </row>
    <row r="119" spans="1:16" ht="23.25" customHeight="1" x14ac:dyDescent="0.2">
      <c r="A119" s="100"/>
      <c r="B119" s="101"/>
      <c r="C119" s="15" t="s">
        <v>1750</v>
      </c>
      <c r="D119" s="70" t="s">
        <v>57</v>
      </c>
      <c r="E119" s="12">
        <v>44541</v>
      </c>
      <c r="F119" s="68" t="s">
        <v>59</v>
      </c>
      <c r="G119" s="12">
        <v>44548</v>
      </c>
      <c r="H119" s="125" t="s">
        <v>1631</v>
      </c>
      <c r="I119" s="15">
        <v>52</v>
      </c>
      <c r="J119" s="15">
        <v>51</v>
      </c>
      <c r="K119" s="15">
        <v>32</v>
      </c>
      <c r="L119" s="15">
        <v>21</v>
      </c>
      <c r="M119" s="73">
        <v>21.216000000000001</v>
      </c>
      <c r="N119" s="104">
        <v>21.216000000000001</v>
      </c>
      <c r="O119" s="57">
        <v>7000</v>
      </c>
      <c r="P119" s="58">
        <f t="shared" si="1"/>
        <v>148512</v>
      </c>
    </row>
    <row r="120" spans="1:16" ht="23.25" customHeight="1" x14ac:dyDescent="0.2">
      <c r="A120" s="100"/>
      <c r="B120" s="100" t="s">
        <v>1751</v>
      </c>
      <c r="C120" s="15" t="s">
        <v>1752</v>
      </c>
      <c r="D120" s="70" t="s">
        <v>57</v>
      </c>
      <c r="E120" s="12">
        <v>44541</v>
      </c>
      <c r="F120" s="68" t="s">
        <v>59</v>
      </c>
      <c r="G120" s="12">
        <v>44548</v>
      </c>
      <c r="H120" s="125" t="s">
        <v>1631</v>
      </c>
      <c r="I120" s="15">
        <v>38</v>
      </c>
      <c r="J120" s="15">
        <v>25</v>
      </c>
      <c r="K120" s="15">
        <v>13</v>
      </c>
      <c r="L120" s="15">
        <v>10</v>
      </c>
      <c r="M120" s="73">
        <v>3.0874999999999999</v>
      </c>
      <c r="N120" s="104">
        <v>10</v>
      </c>
      <c r="O120" s="57">
        <v>7000</v>
      </c>
      <c r="P120" s="58">
        <f t="shared" si="1"/>
        <v>70000</v>
      </c>
    </row>
    <row r="121" spans="1:16" ht="23.25" customHeight="1" x14ac:dyDescent="0.2">
      <c r="A121" s="100"/>
      <c r="B121" s="100"/>
      <c r="C121" s="15" t="s">
        <v>1753</v>
      </c>
      <c r="D121" s="70" t="s">
        <v>57</v>
      </c>
      <c r="E121" s="12">
        <v>44541</v>
      </c>
      <c r="F121" s="68" t="s">
        <v>59</v>
      </c>
      <c r="G121" s="12">
        <v>44548</v>
      </c>
      <c r="H121" s="125" t="s">
        <v>1631</v>
      </c>
      <c r="I121" s="15">
        <v>35</v>
      </c>
      <c r="J121" s="15">
        <v>35</v>
      </c>
      <c r="K121" s="15">
        <v>18</v>
      </c>
      <c r="L121" s="15">
        <v>12</v>
      </c>
      <c r="M121" s="73">
        <v>5.5125000000000002</v>
      </c>
      <c r="N121" s="104">
        <v>12</v>
      </c>
      <c r="O121" s="57">
        <v>7000</v>
      </c>
      <c r="P121" s="58">
        <f t="shared" si="1"/>
        <v>84000</v>
      </c>
    </row>
    <row r="122" spans="1:16" ht="23.25" customHeight="1" x14ac:dyDescent="0.2">
      <c r="A122" s="100"/>
      <c r="B122" s="100"/>
      <c r="C122" s="15" t="s">
        <v>1754</v>
      </c>
      <c r="D122" s="70" t="s">
        <v>57</v>
      </c>
      <c r="E122" s="12">
        <v>44541</v>
      </c>
      <c r="F122" s="68" t="s">
        <v>59</v>
      </c>
      <c r="G122" s="12">
        <v>44548</v>
      </c>
      <c r="H122" s="125" t="s">
        <v>1631</v>
      </c>
      <c r="I122" s="15">
        <v>35</v>
      </c>
      <c r="J122" s="15">
        <v>35</v>
      </c>
      <c r="K122" s="15">
        <v>18</v>
      </c>
      <c r="L122" s="15">
        <v>12</v>
      </c>
      <c r="M122" s="73">
        <v>5.5125000000000002</v>
      </c>
      <c r="N122" s="104">
        <v>12</v>
      </c>
      <c r="O122" s="57">
        <v>7000</v>
      </c>
      <c r="P122" s="58">
        <f t="shared" si="1"/>
        <v>84000</v>
      </c>
    </row>
    <row r="123" spans="1:16" ht="23.25" customHeight="1" x14ac:dyDescent="0.2">
      <c r="A123" s="100"/>
      <c r="B123" s="100"/>
      <c r="C123" s="15" t="s">
        <v>1755</v>
      </c>
      <c r="D123" s="70" t="s">
        <v>57</v>
      </c>
      <c r="E123" s="12">
        <v>44541</v>
      </c>
      <c r="F123" s="68" t="s">
        <v>59</v>
      </c>
      <c r="G123" s="12">
        <v>44548</v>
      </c>
      <c r="H123" s="125" t="s">
        <v>1631</v>
      </c>
      <c r="I123" s="15">
        <v>35</v>
      </c>
      <c r="J123" s="15">
        <v>35</v>
      </c>
      <c r="K123" s="15">
        <v>18</v>
      </c>
      <c r="L123" s="15">
        <v>12</v>
      </c>
      <c r="M123" s="73">
        <v>5.5125000000000002</v>
      </c>
      <c r="N123" s="104">
        <v>12</v>
      </c>
      <c r="O123" s="57">
        <v>7000</v>
      </c>
      <c r="P123" s="58">
        <f t="shared" si="1"/>
        <v>84000</v>
      </c>
    </row>
    <row r="124" spans="1:16" ht="23.25" customHeight="1" x14ac:dyDescent="0.2">
      <c r="A124" s="100"/>
      <c r="B124" s="100"/>
      <c r="C124" s="15" t="s">
        <v>1756</v>
      </c>
      <c r="D124" s="70" t="s">
        <v>57</v>
      </c>
      <c r="E124" s="12">
        <v>44541</v>
      </c>
      <c r="F124" s="68" t="s">
        <v>59</v>
      </c>
      <c r="G124" s="12">
        <v>44548</v>
      </c>
      <c r="H124" s="125" t="s">
        <v>1631</v>
      </c>
      <c r="I124" s="15">
        <v>33</v>
      </c>
      <c r="J124" s="15">
        <v>22</v>
      </c>
      <c r="K124" s="15">
        <v>17</v>
      </c>
      <c r="L124" s="15">
        <v>8</v>
      </c>
      <c r="M124" s="73">
        <v>3.0855000000000001</v>
      </c>
      <c r="N124" s="104">
        <v>8</v>
      </c>
      <c r="O124" s="57">
        <v>7000</v>
      </c>
      <c r="P124" s="58">
        <f t="shared" si="1"/>
        <v>56000</v>
      </c>
    </row>
    <row r="125" spans="1:16" ht="23.25" customHeight="1" x14ac:dyDescent="0.2">
      <c r="A125" s="100"/>
      <c r="B125" s="100"/>
      <c r="C125" s="15" t="s">
        <v>1757</v>
      </c>
      <c r="D125" s="70" t="s">
        <v>57</v>
      </c>
      <c r="E125" s="12">
        <v>44541</v>
      </c>
      <c r="F125" s="68" t="s">
        <v>59</v>
      </c>
      <c r="G125" s="12">
        <v>44548</v>
      </c>
      <c r="H125" s="125" t="s">
        <v>1631</v>
      </c>
      <c r="I125" s="15">
        <v>38</v>
      </c>
      <c r="J125" s="15">
        <v>16</v>
      </c>
      <c r="K125" s="15">
        <v>12</v>
      </c>
      <c r="L125" s="15">
        <v>10</v>
      </c>
      <c r="M125" s="73">
        <v>1.8240000000000001</v>
      </c>
      <c r="N125" s="104">
        <v>10</v>
      </c>
      <c r="O125" s="57">
        <v>7000</v>
      </c>
      <c r="P125" s="58">
        <f t="shared" si="1"/>
        <v>70000</v>
      </c>
    </row>
    <row r="126" spans="1:16" ht="23.25" customHeight="1" x14ac:dyDescent="0.2">
      <c r="A126" s="100"/>
      <c r="B126" s="100"/>
      <c r="C126" s="15" t="s">
        <v>1758</v>
      </c>
      <c r="D126" s="70" t="s">
        <v>57</v>
      </c>
      <c r="E126" s="12">
        <v>44541</v>
      </c>
      <c r="F126" s="68" t="s">
        <v>59</v>
      </c>
      <c r="G126" s="12">
        <v>44548</v>
      </c>
      <c r="H126" s="125" t="s">
        <v>1631</v>
      </c>
      <c r="I126" s="15">
        <v>33</v>
      </c>
      <c r="J126" s="15">
        <v>22</v>
      </c>
      <c r="K126" s="15">
        <v>17</v>
      </c>
      <c r="L126" s="15">
        <v>8</v>
      </c>
      <c r="M126" s="73">
        <v>3.0855000000000001</v>
      </c>
      <c r="N126" s="104">
        <v>8</v>
      </c>
      <c r="O126" s="57">
        <v>7000</v>
      </c>
      <c r="P126" s="58">
        <f t="shared" si="1"/>
        <v>56000</v>
      </c>
    </row>
    <row r="127" spans="1:16" ht="23.25" customHeight="1" x14ac:dyDescent="0.2">
      <c r="A127" s="100"/>
      <c r="B127" s="100"/>
      <c r="C127" s="15" t="s">
        <v>1759</v>
      </c>
      <c r="D127" s="70" t="s">
        <v>57</v>
      </c>
      <c r="E127" s="12">
        <v>44541</v>
      </c>
      <c r="F127" s="68" t="s">
        <v>59</v>
      </c>
      <c r="G127" s="12">
        <v>44548</v>
      </c>
      <c r="H127" s="125" t="s">
        <v>1631</v>
      </c>
      <c r="I127" s="15">
        <v>33</v>
      </c>
      <c r="J127" s="15">
        <v>22</v>
      </c>
      <c r="K127" s="15">
        <v>17</v>
      </c>
      <c r="L127" s="15">
        <v>8</v>
      </c>
      <c r="M127" s="73">
        <v>3.0855000000000001</v>
      </c>
      <c r="N127" s="104">
        <v>8</v>
      </c>
      <c r="O127" s="57">
        <v>7000</v>
      </c>
      <c r="P127" s="58">
        <f t="shared" si="1"/>
        <v>56000</v>
      </c>
    </row>
    <row r="128" spans="1:16" ht="23.25" customHeight="1" x14ac:dyDescent="0.2">
      <c r="A128" s="100"/>
      <c r="B128" s="100"/>
      <c r="C128" s="15" t="s">
        <v>1760</v>
      </c>
      <c r="D128" s="70" t="s">
        <v>57</v>
      </c>
      <c r="E128" s="12">
        <v>44541</v>
      </c>
      <c r="F128" s="68" t="s">
        <v>59</v>
      </c>
      <c r="G128" s="12">
        <v>44548</v>
      </c>
      <c r="H128" s="125" t="s">
        <v>1631</v>
      </c>
      <c r="I128" s="15">
        <v>38</v>
      </c>
      <c r="J128" s="15">
        <v>16</v>
      </c>
      <c r="K128" s="15">
        <v>12</v>
      </c>
      <c r="L128" s="15">
        <v>10</v>
      </c>
      <c r="M128" s="73">
        <v>1.8240000000000001</v>
      </c>
      <c r="N128" s="104">
        <v>10</v>
      </c>
      <c r="O128" s="57">
        <v>7000</v>
      </c>
      <c r="P128" s="58">
        <f t="shared" si="1"/>
        <v>70000</v>
      </c>
    </row>
    <row r="129" spans="1:16" ht="23.25" customHeight="1" x14ac:dyDescent="0.2">
      <c r="A129" s="100"/>
      <c r="B129" s="100"/>
      <c r="C129" s="15" t="s">
        <v>1761</v>
      </c>
      <c r="D129" s="70" t="s">
        <v>57</v>
      </c>
      <c r="E129" s="12">
        <v>44541</v>
      </c>
      <c r="F129" s="68" t="s">
        <v>59</v>
      </c>
      <c r="G129" s="12">
        <v>44548</v>
      </c>
      <c r="H129" s="125" t="s">
        <v>1631</v>
      </c>
      <c r="I129" s="15">
        <v>33</v>
      </c>
      <c r="J129" s="15">
        <v>22</v>
      </c>
      <c r="K129" s="15">
        <v>17</v>
      </c>
      <c r="L129" s="15">
        <v>8</v>
      </c>
      <c r="M129" s="73">
        <v>3.0855000000000001</v>
      </c>
      <c r="N129" s="104">
        <v>8</v>
      </c>
      <c r="O129" s="57">
        <v>7000</v>
      </c>
      <c r="P129" s="58">
        <f t="shared" si="1"/>
        <v>56000</v>
      </c>
    </row>
    <row r="130" spans="1:16" ht="23.25" customHeight="1" x14ac:dyDescent="0.2">
      <c r="A130" s="100"/>
      <c r="B130" s="100"/>
      <c r="C130" s="15" t="s">
        <v>1762</v>
      </c>
      <c r="D130" s="70" t="s">
        <v>57</v>
      </c>
      <c r="E130" s="12">
        <v>44541</v>
      </c>
      <c r="F130" s="68" t="s">
        <v>59</v>
      </c>
      <c r="G130" s="12">
        <v>44548</v>
      </c>
      <c r="H130" s="125" t="s">
        <v>1631</v>
      </c>
      <c r="I130" s="15">
        <v>33</v>
      </c>
      <c r="J130" s="15">
        <v>22</v>
      </c>
      <c r="K130" s="15">
        <v>17</v>
      </c>
      <c r="L130" s="15">
        <v>8</v>
      </c>
      <c r="M130" s="73">
        <v>3.0855000000000001</v>
      </c>
      <c r="N130" s="104">
        <v>8</v>
      </c>
      <c r="O130" s="57">
        <v>7000</v>
      </c>
      <c r="P130" s="58">
        <f t="shared" si="1"/>
        <v>56000</v>
      </c>
    </row>
    <row r="131" spans="1:16" ht="23.25" customHeight="1" x14ac:dyDescent="0.2">
      <c r="A131" s="100"/>
      <c r="B131" s="100"/>
      <c r="C131" s="15" t="s">
        <v>1763</v>
      </c>
      <c r="D131" s="70" t="s">
        <v>57</v>
      </c>
      <c r="E131" s="12">
        <v>44541</v>
      </c>
      <c r="F131" s="68" t="s">
        <v>59</v>
      </c>
      <c r="G131" s="12">
        <v>44548</v>
      </c>
      <c r="H131" s="125" t="s">
        <v>1631</v>
      </c>
      <c r="I131" s="15">
        <v>33</v>
      </c>
      <c r="J131" s="15">
        <v>22</v>
      </c>
      <c r="K131" s="15">
        <v>17</v>
      </c>
      <c r="L131" s="15">
        <v>8</v>
      </c>
      <c r="M131" s="73">
        <v>3.0855000000000001</v>
      </c>
      <c r="N131" s="104">
        <v>8</v>
      </c>
      <c r="O131" s="57">
        <v>7000</v>
      </c>
      <c r="P131" s="58">
        <f t="shared" ref="P131:P149" si="2">N131*O131</f>
        <v>56000</v>
      </c>
    </row>
    <row r="132" spans="1:16" ht="23.25" customHeight="1" x14ac:dyDescent="0.2">
      <c r="A132" s="100"/>
      <c r="B132" s="100"/>
      <c r="C132" s="15" t="s">
        <v>1764</v>
      </c>
      <c r="D132" s="70" t="s">
        <v>57</v>
      </c>
      <c r="E132" s="12">
        <v>44541</v>
      </c>
      <c r="F132" s="68" t="s">
        <v>59</v>
      </c>
      <c r="G132" s="12">
        <v>44548</v>
      </c>
      <c r="H132" s="125" t="s">
        <v>1631</v>
      </c>
      <c r="I132" s="15">
        <v>55</v>
      </c>
      <c r="J132" s="15">
        <v>33</v>
      </c>
      <c r="K132" s="15">
        <v>8</v>
      </c>
      <c r="L132" s="15">
        <v>10</v>
      </c>
      <c r="M132" s="73">
        <v>3.63</v>
      </c>
      <c r="N132" s="104">
        <v>10</v>
      </c>
      <c r="O132" s="57">
        <v>7000</v>
      </c>
      <c r="P132" s="58">
        <f t="shared" si="2"/>
        <v>70000</v>
      </c>
    </row>
    <row r="133" spans="1:16" ht="23.25" customHeight="1" x14ac:dyDescent="0.2">
      <c r="A133" s="100"/>
      <c r="B133" s="100"/>
      <c r="C133" s="15" t="s">
        <v>1765</v>
      </c>
      <c r="D133" s="70" t="s">
        <v>57</v>
      </c>
      <c r="E133" s="12">
        <v>44541</v>
      </c>
      <c r="F133" s="68" t="s">
        <v>59</v>
      </c>
      <c r="G133" s="12">
        <v>44548</v>
      </c>
      <c r="H133" s="125" t="s">
        <v>1631</v>
      </c>
      <c r="I133" s="15">
        <v>55</v>
      </c>
      <c r="J133" s="15">
        <v>33</v>
      </c>
      <c r="K133" s="15">
        <v>8</v>
      </c>
      <c r="L133" s="15">
        <v>10</v>
      </c>
      <c r="M133" s="73">
        <v>3.63</v>
      </c>
      <c r="N133" s="104">
        <v>10</v>
      </c>
      <c r="O133" s="57">
        <v>7000</v>
      </c>
      <c r="P133" s="58">
        <f t="shared" si="2"/>
        <v>70000</v>
      </c>
    </row>
    <row r="134" spans="1:16" ht="23.25" customHeight="1" x14ac:dyDescent="0.2">
      <c r="A134" s="100"/>
      <c r="B134" s="100"/>
      <c r="C134" s="15" t="s">
        <v>1766</v>
      </c>
      <c r="D134" s="70" t="s">
        <v>57</v>
      </c>
      <c r="E134" s="12">
        <v>44541</v>
      </c>
      <c r="F134" s="68" t="s">
        <v>59</v>
      </c>
      <c r="G134" s="12">
        <v>44548</v>
      </c>
      <c r="H134" s="125" t="s">
        <v>1631</v>
      </c>
      <c r="I134" s="15">
        <v>55</v>
      </c>
      <c r="J134" s="15">
        <v>33</v>
      </c>
      <c r="K134" s="15">
        <v>8</v>
      </c>
      <c r="L134" s="15">
        <v>10</v>
      </c>
      <c r="M134" s="73">
        <v>3.63</v>
      </c>
      <c r="N134" s="104">
        <v>10</v>
      </c>
      <c r="O134" s="57">
        <v>7000</v>
      </c>
      <c r="P134" s="58">
        <f t="shared" si="2"/>
        <v>70000</v>
      </c>
    </row>
    <row r="135" spans="1:16" ht="23.25" customHeight="1" x14ac:dyDescent="0.2">
      <c r="A135" s="100"/>
      <c r="B135" s="100"/>
      <c r="C135" s="90" t="s">
        <v>1767</v>
      </c>
      <c r="D135" s="102" t="s">
        <v>57</v>
      </c>
      <c r="E135" s="91">
        <v>44541</v>
      </c>
      <c r="F135" s="102" t="s">
        <v>59</v>
      </c>
      <c r="G135" s="91">
        <v>44548</v>
      </c>
      <c r="H135" s="90" t="s">
        <v>1631</v>
      </c>
      <c r="I135" s="90">
        <v>55</v>
      </c>
      <c r="J135" s="90">
        <v>33</v>
      </c>
      <c r="K135" s="90">
        <v>8</v>
      </c>
      <c r="L135" s="90">
        <v>10</v>
      </c>
      <c r="M135" s="90">
        <v>3.63</v>
      </c>
      <c r="N135" s="104">
        <v>10</v>
      </c>
      <c r="O135" s="57">
        <v>7000</v>
      </c>
      <c r="P135" s="58">
        <f t="shared" si="2"/>
        <v>70000</v>
      </c>
    </row>
    <row r="136" spans="1:16" ht="23.25" customHeight="1" x14ac:dyDescent="0.2">
      <c r="A136" s="100"/>
      <c r="B136" s="100"/>
      <c r="C136" s="90" t="s">
        <v>1768</v>
      </c>
      <c r="D136" s="102" t="s">
        <v>57</v>
      </c>
      <c r="E136" s="91">
        <v>44541</v>
      </c>
      <c r="F136" s="102" t="s">
        <v>59</v>
      </c>
      <c r="G136" s="91">
        <v>44548</v>
      </c>
      <c r="H136" s="90" t="s">
        <v>1631</v>
      </c>
      <c r="I136" s="90">
        <v>55</v>
      </c>
      <c r="J136" s="90">
        <v>33</v>
      </c>
      <c r="K136" s="90">
        <v>8</v>
      </c>
      <c r="L136" s="90">
        <v>10</v>
      </c>
      <c r="M136" s="90">
        <v>3.63</v>
      </c>
      <c r="N136" s="104">
        <v>10</v>
      </c>
      <c r="O136" s="57">
        <v>7000</v>
      </c>
      <c r="P136" s="58">
        <f t="shared" si="2"/>
        <v>70000</v>
      </c>
    </row>
    <row r="137" spans="1:16" ht="23.25" customHeight="1" x14ac:dyDescent="0.2">
      <c r="A137" s="100"/>
      <c r="B137" s="100"/>
      <c r="C137" s="90" t="s">
        <v>1769</v>
      </c>
      <c r="D137" s="102" t="s">
        <v>57</v>
      </c>
      <c r="E137" s="91">
        <v>44541</v>
      </c>
      <c r="F137" s="102" t="s">
        <v>59</v>
      </c>
      <c r="G137" s="91">
        <v>44548</v>
      </c>
      <c r="H137" s="90" t="s">
        <v>1631</v>
      </c>
      <c r="I137" s="90">
        <v>55</v>
      </c>
      <c r="J137" s="90">
        <v>33</v>
      </c>
      <c r="K137" s="90">
        <v>8</v>
      </c>
      <c r="L137" s="90">
        <v>10</v>
      </c>
      <c r="M137" s="90">
        <v>3.63</v>
      </c>
      <c r="N137" s="104">
        <v>10</v>
      </c>
      <c r="O137" s="57">
        <v>7000</v>
      </c>
      <c r="P137" s="58">
        <f t="shared" si="2"/>
        <v>70000</v>
      </c>
    </row>
    <row r="138" spans="1:16" ht="23.25" customHeight="1" x14ac:dyDescent="0.2">
      <c r="A138" s="100"/>
      <c r="B138" s="100"/>
      <c r="C138" s="90" t="s">
        <v>1770</v>
      </c>
      <c r="D138" s="102" t="s">
        <v>57</v>
      </c>
      <c r="E138" s="91">
        <v>44541</v>
      </c>
      <c r="F138" s="102" t="s">
        <v>59</v>
      </c>
      <c r="G138" s="91">
        <v>44548</v>
      </c>
      <c r="H138" s="90" t="s">
        <v>1631</v>
      </c>
      <c r="I138" s="90">
        <v>55</v>
      </c>
      <c r="J138" s="90">
        <v>33</v>
      </c>
      <c r="K138" s="90">
        <v>8</v>
      </c>
      <c r="L138" s="90">
        <v>10</v>
      </c>
      <c r="M138" s="90">
        <v>3.63</v>
      </c>
      <c r="N138" s="104">
        <v>10</v>
      </c>
      <c r="O138" s="57">
        <v>7000</v>
      </c>
      <c r="P138" s="58">
        <f t="shared" si="2"/>
        <v>70000</v>
      </c>
    </row>
    <row r="139" spans="1:16" ht="23.25" customHeight="1" x14ac:dyDescent="0.2">
      <c r="A139" s="100"/>
      <c r="B139" s="100"/>
      <c r="C139" s="90" t="s">
        <v>1771</v>
      </c>
      <c r="D139" s="102" t="s">
        <v>57</v>
      </c>
      <c r="E139" s="91">
        <v>44541</v>
      </c>
      <c r="F139" s="102" t="s">
        <v>59</v>
      </c>
      <c r="G139" s="91">
        <v>44548</v>
      </c>
      <c r="H139" s="90" t="s">
        <v>1631</v>
      </c>
      <c r="I139" s="90">
        <v>43</v>
      </c>
      <c r="J139" s="90">
        <v>33</v>
      </c>
      <c r="K139" s="90">
        <v>28</v>
      </c>
      <c r="L139" s="90">
        <v>8</v>
      </c>
      <c r="M139" s="90">
        <v>9.9329999999999998</v>
      </c>
      <c r="N139" s="104">
        <v>9.9329999999999998</v>
      </c>
      <c r="O139" s="57">
        <v>7000</v>
      </c>
      <c r="P139" s="58">
        <f t="shared" si="2"/>
        <v>69531</v>
      </c>
    </row>
    <row r="140" spans="1:16" ht="23.25" customHeight="1" x14ac:dyDescent="0.2">
      <c r="A140" s="100"/>
      <c r="B140" s="100"/>
      <c r="C140" s="90" t="s">
        <v>1772</v>
      </c>
      <c r="D140" s="102" t="s">
        <v>57</v>
      </c>
      <c r="E140" s="91">
        <v>44541</v>
      </c>
      <c r="F140" s="102" t="s">
        <v>59</v>
      </c>
      <c r="G140" s="91">
        <v>44548</v>
      </c>
      <c r="H140" s="90" t="s">
        <v>1631</v>
      </c>
      <c r="I140" s="90">
        <v>37</v>
      </c>
      <c r="J140" s="90">
        <v>20</v>
      </c>
      <c r="K140" s="90">
        <v>22</v>
      </c>
      <c r="L140" s="90">
        <v>10</v>
      </c>
      <c r="M140" s="90">
        <v>4.07</v>
      </c>
      <c r="N140" s="104">
        <v>10</v>
      </c>
      <c r="O140" s="57">
        <v>7000</v>
      </c>
      <c r="P140" s="58">
        <f t="shared" si="2"/>
        <v>70000</v>
      </c>
    </row>
    <row r="141" spans="1:16" ht="23.25" customHeight="1" x14ac:dyDescent="0.2">
      <c r="A141" s="100"/>
      <c r="B141" s="100"/>
      <c r="C141" s="90" t="s">
        <v>1773</v>
      </c>
      <c r="D141" s="102" t="s">
        <v>57</v>
      </c>
      <c r="E141" s="91">
        <v>44541</v>
      </c>
      <c r="F141" s="102" t="s">
        <v>59</v>
      </c>
      <c r="G141" s="91">
        <v>44548</v>
      </c>
      <c r="H141" s="90" t="s">
        <v>1631</v>
      </c>
      <c r="I141" s="90">
        <v>37</v>
      </c>
      <c r="J141" s="90">
        <v>20</v>
      </c>
      <c r="K141" s="90">
        <v>22</v>
      </c>
      <c r="L141" s="90">
        <v>10</v>
      </c>
      <c r="M141" s="90">
        <v>4.07</v>
      </c>
      <c r="N141" s="104">
        <v>10</v>
      </c>
      <c r="O141" s="57">
        <v>7000</v>
      </c>
      <c r="P141" s="58">
        <f t="shared" si="2"/>
        <v>70000</v>
      </c>
    </row>
    <row r="142" spans="1:16" ht="23.25" customHeight="1" x14ac:dyDescent="0.2">
      <c r="A142" s="100"/>
      <c r="B142" s="100"/>
      <c r="C142" s="90" t="s">
        <v>1774</v>
      </c>
      <c r="D142" s="102" t="s">
        <v>57</v>
      </c>
      <c r="E142" s="91">
        <v>44541</v>
      </c>
      <c r="F142" s="102" t="s">
        <v>59</v>
      </c>
      <c r="G142" s="91">
        <v>44548</v>
      </c>
      <c r="H142" s="90" t="s">
        <v>1631</v>
      </c>
      <c r="I142" s="90">
        <v>38</v>
      </c>
      <c r="J142" s="90">
        <v>23</v>
      </c>
      <c r="K142" s="90">
        <v>17</v>
      </c>
      <c r="L142" s="90">
        <v>10</v>
      </c>
      <c r="M142" s="90">
        <v>3.7145000000000001</v>
      </c>
      <c r="N142" s="104">
        <v>10</v>
      </c>
      <c r="O142" s="57">
        <v>7000</v>
      </c>
      <c r="P142" s="58">
        <f t="shared" si="2"/>
        <v>70000</v>
      </c>
    </row>
    <row r="143" spans="1:16" ht="23.25" customHeight="1" x14ac:dyDescent="0.2">
      <c r="A143" s="100"/>
      <c r="B143" s="100"/>
      <c r="C143" s="90" t="s">
        <v>1775</v>
      </c>
      <c r="D143" s="102" t="s">
        <v>57</v>
      </c>
      <c r="E143" s="91">
        <v>44541</v>
      </c>
      <c r="F143" s="102" t="s">
        <v>59</v>
      </c>
      <c r="G143" s="91">
        <v>44548</v>
      </c>
      <c r="H143" s="90" t="s">
        <v>1631</v>
      </c>
      <c r="I143" s="90">
        <v>40</v>
      </c>
      <c r="J143" s="90">
        <v>31</v>
      </c>
      <c r="K143" s="90">
        <v>17</v>
      </c>
      <c r="L143" s="90">
        <v>10</v>
      </c>
      <c r="M143" s="90">
        <v>5.27</v>
      </c>
      <c r="N143" s="104">
        <v>10</v>
      </c>
      <c r="O143" s="57">
        <v>7000</v>
      </c>
      <c r="P143" s="58">
        <f t="shared" si="2"/>
        <v>70000</v>
      </c>
    </row>
    <row r="144" spans="1:16" ht="23.25" customHeight="1" x14ac:dyDescent="0.2">
      <c r="A144" s="100"/>
      <c r="B144" s="100"/>
      <c r="C144" s="90" t="s">
        <v>1776</v>
      </c>
      <c r="D144" s="102" t="s">
        <v>57</v>
      </c>
      <c r="E144" s="91">
        <v>44541</v>
      </c>
      <c r="F144" s="102" t="s">
        <v>59</v>
      </c>
      <c r="G144" s="91">
        <v>44548</v>
      </c>
      <c r="H144" s="90" t="s">
        <v>1631</v>
      </c>
      <c r="I144" s="90">
        <v>56</v>
      </c>
      <c r="J144" s="90">
        <v>50</v>
      </c>
      <c r="K144" s="90">
        <v>36</v>
      </c>
      <c r="L144" s="90">
        <v>17</v>
      </c>
      <c r="M144" s="90">
        <v>25.2</v>
      </c>
      <c r="N144" s="104">
        <v>25.2</v>
      </c>
      <c r="O144" s="57">
        <v>7000</v>
      </c>
      <c r="P144" s="58">
        <f t="shared" si="2"/>
        <v>176400</v>
      </c>
    </row>
    <row r="145" spans="1:16" ht="23.25" customHeight="1" x14ac:dyDescent="0.2">
      <c r="A145" s="100"/>
      <c r="B145" s="100"/>
      <c r="C145" s="90" t="s">
        <v>1777</v>
      </c>
      <c r="D145" s="102" t="s">
        <v>57</v>
      </c>
      <c r="E145" s="91">
        <v>44541</v>
      </c>
      <c r="F145" s="102" t="s">
        <v>59</v>
      </c>
      <c r="G145" s="91">
        <v>44548</v>
      </c>
      <c r="H145" s="90" t="s">
        <v>1631</v>
      </c>
      <c r="I145" s="90">
        <v>43</v>
      </c>
      <c r="J145" s="90">
        <v>33</v>
      </c>
      <c r="K145" s="90">
        <v>28</v>
      </c>
      <c r="L145" s="90">
        <v>9</v>
      </c>
      <c r="M145" s="90">
        <v>9.9329999999999998</v>
      </c>
      <c r="N145" s="104">
        <v>9.9329999999999998</v>
      </c>
      <c r="O145" s="57">
        <v>7000</v>
      </c>
      <c r="P145" s="58">
        <f t="shared" si="2"/>
        <v>69531</v>
      </c>
    </row>
    <row r="146" spans="1:16" ht="23.25" customHeight="1" x14ac:dyDescent="0.2">
      <c r="A146" s="100"/>
      <c r="B146" s="100"/>
      <c r="C146" s="90" t="s">
        <v>1778</v>
      </c>
      <c r="D146" s="102" t="s">
        <v>57</v>
      </c>
      <c r="E146" s="91">
        <v>44541</v>
      </c>
      <c r="F146" s="102" t="s">
        <v>59</v>
      </c>
      <c r="G146" s="91">
        <v>44548</v>
      </c>
      <c r="H146" s="90" t="s">
        <v>1631</v>
      </c>
      <c r="I146" s="90">
        <v>43</v>
      </c>
      <c r="J146" s="90">
        <v>33</v>
      </c>
      <c r="K146" s="90">
        <v>28</v>
      </c>
      <c r="L146" s="90">
        <v>9</v>
      </c>
      <c r="M146" s="90">
        <v>9.9329999999999998</v>
      </c>
      <c r="N146" s="104">
        <v>9.9329999999999998</v>
      </c>
      <c r="O146" s="57">
        <v>7000</v>
      </c>
      <c r="P146" s="58">
        <f t="shared" si="2"/>
        <v>69531</v>
      </c>
    </row>
    <row r="147" spans="1:16" ht="23.25" customHeight="1" x14ac:dyDescent="0.2">
      <c r="A147" s="100"/>
      <c r="B147" s="100"/>
      <c r="C147" s="90" t="s">
        <v>1779</v>
      </c>
      <c r="D147" s="102" t="s">
        <v>57</v>
      </c>
      <c r="E147" s="91">
        <v>44541</v>
      </c>
      <c r="F147" s="102" t="s">
        <v>59</v>
      </c>
      <c r="G147" s="91">
        <v>44548</v>
      </c>
      <c r="H147" s="90" t="s">
        <v>1631</v>
      </c>
      <c r="I147" s="90">
        <v>9</v>
      </c>
      <c r="J147" s="90">
        <v>43</v>
      </c>
      <c r="K147" s="90">
        <v>33</v>
      </c>
      <c r="L147" s="90">
        <v>8</v>
      </c>
      <c r="M147" s="90">
        <v>3.1927500000000002</v>
      </c>
      <c r="N147" s="104">
        <v>8</v>
      </c>
      <c r="O147" s="57">
        <v>7000</v>
      </c>
      <c r="P147" s="58">
        <f t="shared" si="2"/>
        <v>56000</v>
      </c>
    </row>
    <row r="148" spans="1:16" ht="23.25" customHeight="1" x14ac:dyDescent="0.2">
      <c r="A148" s="100"/>
      <c r="B148" s="100"/>
      <c r="C148" s="90" t="s">
        <v>1780</v>
      </c>
      <c r="D148" s="102" t="s">
        <v>57</v>
      </c>
      <c r="E148" s="91">
        <v>44541</v>
      </c>
      <c r="F148" s="102" t="s">
        <v>59</v>
      </c>
      <c r="G148" s="91">
        <v>44548</v>
      </c>
      <c r="H148" s="90" t="s">
        <v>1631</v>
      </c>
      <c r="I148" s="90">
        <v>35</v>
      </c>
      <c r="J148" s="90">
        <v>35</v>
      </c>
      <c r="K148" s="90">
        <v>18</v>
      </c>
      <c r="L148" s="90">
        <v>12</v>
      </c>
      <c r="M148" s="90">
        <v>5.5125000000000002</v>
      </c>
      <c r="N148" s="104">
        <v>12</v>
      </c>
      <c r="O148" s="57">
        <v>7000</v>
      </c>
      <c r="P148" s="58">
        <f t="shared" si="2"/>
        <v>84000</v>
      </c>
    </row>
    <row r="149" spans="1:16" ht="23.25" customHeight="1" x14ac:dyDescent="0.2">
      <c r="A149" s="100"/>
      <c r="B149" s="100"/>
      <c r="C149" s="90" t="s">
        <v>1781</v>
      </c>
      <c r="D149" s="102" t="s">
        <v>57</v>
      </c>
      <c r="E149" s="91">
        <v>44541</v>
      </c>
      <c r="F149" s="102" t="s">
        <v>59</v>
      </c>
      <c r="G149" s="91">
        <v>44548</v>
      </c>
      <c r="H149" s="90" t="s">
        <v>1631</v>
      </c>
      <c r="I149" s="90">
        <v>35</v>
      </c>
      <c r="J149" s="90">
        <v>35</v>
      </c>
      <c r="K149" s="90">
        <v>18</v>
      </c>
      <c r="L149" s="90">
        <v>12</v>
      </c>
      <c r="M149" s="90">
        <v>5.5125000000000002</v>
      </c>
      <c r="N149" s="104">
        <v>12</v>
      </c>
      <c r="O149" s="57">
        <v>7000</v>
      </c>
      <c r="P149" s="58">
        <f t="shared" si="2"/>
        <v>84000</v>
      </c>
    </row>
    <row r="150" spans="1:16" ht="22.5" customHeight="1" x14ac:dyDescent="0.2">
      <c r="A150" s="159" t="s">
        <v>30</v>
      </c>
      <c r="B150" s="160"/>
      <c r="C150" s="160"/>
      <c r="D150" s="160"/>
      <c r="E150" s="160"/>
      <c r="F150" s="160"/>
      <c r="G150" s="160"/>
      <c r="H150" s="160"/>
      <c r="I150" s="160"/>
      <c r="J150" s="160"/>
      <c r="K150" s="160"/>
      <c r="L150" s="161"/>
      <c r="M150" s="71">
        <f>SUBTOTAL(109,Table224578910112345678910111213141516171819202122232425262728293031[KG VOLUME])</f>
        <v>2203.7605000000008</v>
      </c>
      <c r="N150" s="61">
        <f>SUM(N3:N149)</f>
        <v>2485.8742499999989</v>
      </c>
      <c r="O150" s="162">
        <f>SUM(P3:P149)</f>
        <v>17401119.75</v>
      </c>
      <c r="P150" s="163"/>
    </row>
    <row r="151" spans="1:16" ht="18" customHeight="1" x14ac:dyDescent="0.2">
      <c r="A151" s="78"/>
      <c r="B151" s="49" t="s">
        <v>42</v>
      </c>
      <c r="C151" s="48"/>
      <c r="D151" s="50" t="s">
        <v>43</v>
      </c>
      <c r="E151" s="78"/>
      <c r="F151" s="78"/>
      <c r="G151" s="78"/>
      <c r="H151" s="78"/>
      <c r="I151" s="78"/>
      <c r="J151" s="78"/>
      <c r="K151" s="78"/>
      <c r="L151" s="78"/>
      <c r="M151" s="79"/>
      <c r="N151" s="80" t="s">
        <v>52</v>
      </c>
      <c r="O151" s="81"/>
      <c r="P151" s="81">
        <v>0</v>
      </c>
    </row>
    <row r="152" spans="1:16" ht="18" customHeight="1" thickBot="1" x14ac:dyDescent="0.25">
      <c r="A152" s="78"/>
      <c r="B152" s="49"/>
      <c r="C152" s="48"/>
      <c r="D152" s="50"/>
      <c r="E152" s="78"/>
      <c r="F152" s="78"/>
      <c r="G152" s="78"/>
      <c r="H152" s="78"/>
      <c r="I152" s="78"/>
      <c r="J152" s="78"/>
      <c r="K152" s="78"/>
      <c r="L152" s="78"/>
      <c r="M152" s="79"/>
      <c r="N152" s="82" t="s">
        <v>53</v>
      </c>
      <c r="O152" s="83"/>
      <c r="P152" s="83">
        <f>O150-P151</f>
        <v>17401119.75</v>
      </c>
    </row>
    <row r="153" spans="1:16" ht="18" customHeight="1" x14ac:dyDescent="0.2">
      <c r="A153" s="10"/>
      <c r="H153" s="56"/>
      <c r="N153" s="55" t="s">
        <v>31</v>
      </c>
      <c r="P153" s="62">
        <f>P152*1%</f>
        <v>174011.19750000001</v>
      </c>
    </row>
    <row r="154" spans="1:16" ht="18" customHeight="1" thickBot="1" x14ac:dyDescent="0.25">
      <c r="A154" s="10"/>
      <c r="H154" s="56"/>
      <c r="N154" s="55" t="s">
        <v>54</v>
      </c>
      <c r="P154" s="64">
        <f>P152*2%</f>
        <v>348022.39500000002</v>
      </c>
    </row>
    <row r="155" spans="1:16" ht="18" customHeight="1" x14ac:dyDescent="0.2">
      <c r="A155" s="10"/>
      <c r="H155" s="56"/>
      <c r="N155" s="59" t="s">
        <v>32</v>
      </c>
      <c r="O155" s="60"/>
      <c r="P155" s="63">
        <f>P152+P153-P154</f>
        <v>17227108.552500002</v>
      </c>
    </row>
    <row r="157" spans="1:16" x14ac:dyDescent="0.2">
      <c r="A157" s="10"/>
      <c r="H157" s="56"/>
      <c r="P157" s="64"/>
    </row>
    <row r="158" spans="1:16" x14ac:dyDescent="0.2">
      <c r="A158" s="10"/>
      <c r="H158" s="56"/>
      <c r="O158" s="51"/>
      <c r="P158" s="6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  <row r="160" spans="1:16" s="3" customFormat="1" x14ac:dyDescent="0.25">
      <c r="A160" s="10"/>
      <c r="B160" s="2"/>
      <c r="C160" s="2"/>
      <c r="E160" s="11"/>
      <c r="H160" s="56"/>
      <c r="N160" s="14"/>
      <c r="O160" s="14"/>
      <c r="P160" s="14"/>
    </row>
    <row r="161" spans="1:16" s="3" customFormat="1" x14ac:dyDescent="0.25">
      <c r="A161" s="10"/>
      <c r="B161" s="2"/>
      <c r="C161" s="2"/>
      <c r="E161" s="11"/>
      <c r="H161" s="56"/>
      <c r="N161" s="14"/>
      <c r="O161" s="14"/>
      <c r="P161" s="14"/>
    </row>
    <row r="162" spans="1:16" s="3" customFormat="1" x14ac:dyDescent="0.25">
      <c r="A162" s="10"/>
      <c r="B162" s="2"/>
      <c r="C162" s="2"/>
      <c r="E162" s="11"/>
      <c r="H162" s="56"/>
      <c r="N162" s="14"/>
      <c r="O162" s="14"/>
      <c r="P162" s="14"/>
    </row>
    <row r="163" spans="1:16" s="3" customFormat="1" x14ac:dyDescent="0.25">
      <c r="A163" s="10"/>
      <c r="B163" s="2"/>
      <c r="C163" s="2"/>
      <c r="E163" s="11"/>
      <c r="H163" s="56"/>
      <c r="N163" s="14"/>
      <c r="O163" s="14"/>
      <c r="P163" s="14"/>
    </row>
    <row r="164" spans="1:16" s="3" customFormat="1" x14ac:dyDescent="0.25">
      <c r="A164" s="10"/>
      <c r="B164" s="2"/>
      <c r="C164" s="2"/>
      <c r="E164" s="11"/>
      <c r="H164" s="56"/>
      <c r="N164" s="14"/>
      <c r="O164" s="14"/>
      <c r="P164" s="14"/>
    </row>
    <row r="165" spans="1:16" s="3" customFormat="1" x14ac:dyDescent="0.25">
      <c r="A165" s="10"/>
      <c r="B165" s="2"/>
      <c r="C165" s="2"/>
      <c r="E165" s="11"/>
      <c r="H165" s="56"/>
      <c r="N165" s="14"/>
      <c r="O165" s="14"/>
      <c r="P165" s="14"/>
    </row>
    <row r="166" spans="1:16" s="3" customFormat="1" x14ac:dyDescent="0.25">
      <c r="A166" s="10"/>
      <c r="B166" s="2"/>
      <c r="C166" s="2"/>
      <c r="E166" s="11"/>
      <c r="H166" s="56"/>
      <c r="N166" s="14"/>
      <c r="O166" s="14"/>
      <c r="P166" s="14"/>
    </row>
    <row r="167" spans="1:16" s="3" customFormat="1" x14ac:dyDescent="0.25">
      <c r="A167" s="10"/>
      <c r="B167" s="2"/>
      <c r="C167" s="2"/>
      <c r="E167" s="11"/>
      <c r="H167" s="56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56"/>
      <c r="N168" s="14"/>
      <c r="O168" s="14"/>
      <c r="P168" s="14"/>
    </row>
    <row r="169" spans="1:16" s="3" customFormat="1" x14ac:dyDescent="0.25">
      <c r="A169" s="10"/>
      <c r="B169" s="2"/>
      <c r="C169" s="2"/>
      <c r="E169" s="11"/>
      <c r="H169" s="56"/>
      <c r="N169" s="14"/>
      <c r="O169" s="14"/>
      <c r="P169" s="14"/>
    </row>
    <row r="170" spans="1:16" s="3" customFormat="1" x14ac:dyDescent="0.25">
      <c r="A170" s="10"/>
      <c r="B170" s="2"/>
      <c r="C170" s="2"/>
      <c r="E170" s="11"/>
      <c r="H170" s="56"/>
      <c r="N170" s="14"/>
      <c r="O170" s="14"/>
      <c r="P170" s="14"/>
    </row>
  </sheetData>
  <mergeCells count="2">
    <mergeCell ref="A150:L150"/>
    <mergeCell ref="O150:P150"/>
  </mergeCells>
  <conditionalFormatting sqref="C3:C149">
    <cfRule type="duplicateValues" dxfId="1119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H13" sqref="H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5703125" style="11" customWidth="1"/>
    <col min="6" max="6" width="11.8554687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1.75" customHeight="1" x14ac:dyDescent="0.2">
      <c r="A3" s="99">
        <v>403965</v>
      </c>
      <c r="B3" s="99" t="s">
        <v>1782</v>
      </c>
      <c r="C3" s="90" t="s">
        <v>1784</v>
      </c>
      <c r="D3" s="102" t="s">
        <v>57</v>
      </c>
      <c r="E3" s="91">
        <v>44542</v>
      </c>
      <c r="F3" s="102" t="s">
        <v>59</v>
      </c>
      <c r="G3" s="91">
        <v>44548</v>
      </c>
      <c r="H3" s="90" t="s">
        <v>1631</v>
      </c>
      <c r="I3" s="90">
        <v>20</v>
      </c>
      <c r="J3" s="90">
        <v>20</v>
      </c>
      <c r="K3" s="90">
        <v>12</v>
      </c>
      <c r="L3" s="90">
        <v>1</v>
      </c>
      <c r="M3" s="106">
        <v>1.2</v>
      </c>
      <c r="N3" s="104">
        <v>1.2</v>
      </c>
      <c r="O3" s="57">
        <v>7000</v>
      </c>
      <c r="P3" s="58">
        <f t="shared" ref="P3:P26" si="0">N3*O3</f>
        <v>8400</v>
      </c>
    </row>
    <row r="4" spans="1:16" ht="21.75" customHeight="1" x14ac:dyDescent="0.2">
      <c r="A4" s="100"/>
      <c r="B4" s="100"/>
      <c r="C4" s="65" t="s">
        <v>1785</v>
      </c>
      <c r="D4" s="70" t="s">
        <v>57</v>
      </c>
      <c r="E4" s="12">
        <v>44542</v>
      </c>
      <c r="F4" s="68" t="s">
        <v>59</v>
      </c>
      <c r="G4" s="12">
        <v>44548</v>
      </c>
      <c r="H4" s="69" t="s">
        <v>1631</v>
      </c>
      <c r="I4" s="15">
        <v>62</v>
      </c>
      <c r="J4" s="15">
        <v>53</v>
      </c>
      <c r="K4" s="15">
        <v>30</v>
      </c>
      <c r="L4" s="15">
        <v>6</v>
      </c>
      <c r="M4" s="73">
        <v>24.645</v>
      </c>
      <c r="N4" s="104">
        <v>24.645</v>
      </c>
      <c r="O4" s="57">
        <v>7000</v>
      </c>
      <c r="P4" s="58">
        <f t="shared" si="0"/>
        <v>172515</v>
      </c>
    </row>
    <row r="5" spans="1:16" ht="21.75" customHeight="1" x14ac:dyDescent="0.2">
      <c r="A5" s="100"/>
      <c r="B5" s="100"/>
      <c r="C5" s="65" t="s">
        <v>1786</v>
      </c>
      <c r="D5" s="70" t="s">
        <v>57</v>
      </c>
      <c r="E5" s="12">
        <v>44542</v>
      </c>
      <c r="F5" s="68" t="s">
        <v>59</v>
      </c>
      <c r="G5" s="12">
        <v>44548</v>
      </c>
      <c r="H5" s="69" t="s">
        <v>1631</v>
      </c>
      <c r="I5" s="15">
        <v>55</v>
      </c>
      <c r="J5" s="15">
        <v>27</v>
      </c>
      <c r="K5" s="15">
        <v>27</v>
      </c>
      <c r="L5" s="15">
        <v>7</v>
      </c>
      <c r="M5" s="73">
        <v>10.02375</v>
      </c>
      <c r="N5" s="104">
        <v>10.02375</v>
      </c>
      <c r="O5" s="57">
        <v>7000</v>
      </c>
      <c r="P5" s="58">
        <f t="shared" si="0"/>
        <v>70166.25</v>
      </c>
    </row>
    <row r="6" spans="1:16" ht="21.75" customHeight="1" x14ac:dyDescent="0.2">
      <c r="A6" s="100"/>
      <c r="B6" s="100"/>
      <c r="C6" s="65" t="s">
        <v>1787</v>
      </c>
      <c r="D6" s="70" t="s">
        <v>57</v>
      </c>
      <c r="E6" s="12">
        <v>44542</v>
      </c>
      <c r="F6" s="68" t="s">
        <v>59</v>
      </c>
      <c r="G6" s="12">
        <v>44548</v>
      </c>
      <c r="H6" s="69" t="s">
        <v>1631</v>
      </c>
      <c r="I6" s="15">
        <v>186</v>
      </c>
      <c r="J6" s="15">
        <v>50</v>
      </c>
      <c r="K6" s="15">
        <v>70</v>
      </c>
      <c r="L6" s="15">
        <v>35</v>
      </c>
      <c r="M6" s="73">
        <v>162.75</v>
      </c>
      <c r="N6" s="104">
        <v>162.75</v>
      </c>
      <c r="O6" s="57">
        <v>7000</v>
      </c>
      <c r="P6" s="58">
        <f t="shared" si="0"/>
        <v>1139250</v>
      </c>
    </row>
    <row r="7" spans="1:16" ht="21.75" customHeight="1" x14ac:dyDescent="0.2">
      <c r="A7" s="100"/>
      <c r="B7" s="100"/>
      <c r="C7" s="65" t="s">
        <v>1788</v>
      </c>
      <c r="D7" s="70" t="s">
        <v>57</v>
      </c>
      <c r="E7" s="12">
        <v>44542</v>
      </c>
      <c r="F7" s="68" t="s">
        <v>59</v>
      </c>
      <c r="G7" s="12">
        <v>44548</v>
      </c>
      <c r="H7" s="69" t="s">
        <v>1631</v>
      </c>
      <c r="I7" s="15">
        <v>47</v>
      </c>
      <c r="J7" s="15">
        <v>35</v>
      </c>
      <c r="K7" s="15">
        <v>23</v>
      </c>
      <c r="L7" s="15">
        <v>7</v>
      </c>
      <c r="M7" s="73">
        <v>9.4587500000000002</v>
      </c>
      <c r="N7" s="104">
        <v>10</v>
      </c>
      <c r="O7" s="57">
        <v>7000</v>
      </c>
      <c r="P7" s="58">
        <f t="shared" si="0"/>
        <v>70000</v>
      </c>
    </row>
    <row r="8" spans="1:16" ht="21.75" customHeight="1" x14ac:dyDescent="0.2">
      <c r="A8" s="100"/>
      <c r="B8" s="100"/>
      <c r="C8" s="65" t="s">
        <v>1789</v>
      </c>
      <c r="D8" s="70" t="s">
        <v>57</v>
      </c>
      <c r="E8" s="12">
        <v>44542</v>
      </c>
      <c r="F8" s="68" t="s">
        <v>59</v>
      </c>
      <c r="G8" s="12">
        <v>44548</v>
      </c>
      <c r="H8" s="69" t="s">
        <v>1631</v>
      </c>
      <c r="I8" s="15">
        <v>54</v>
      </c>
      <c r="J8" s="15">
        <v>38</v>
      </c>
      <c r="K8" s="15">
        <v>21</v>
      </c>
      <c r="L8" s="15">
        <v>3</v>
      </c>
      <c r="M8" s="73">
        <v>10.773</v>
      </c>
      <c r="N8" s="104">
        <v>10.773</v>
      </c>
      <c r="O8" s="57">
        <v>7000</v>
      </c>
      <c r="P8" s="58">
        <f t="shared" si="0"/>
        <v>75411</v>
      </c>
    </row>
    <row r="9" spans="1:16" ht="21.75" customHeight="1" x14ac:dyDescent="0.2">
      <c r="A9" s="100"/>
      <c r="B9" s="100"/>
      <c r="C9" s="65" t="s">
        <v>1790</v>
      </c>
      <c r="D9" s="70" t="s">
        <v>57</v>
      </c>
      <c r="E9" s="12">
        <v>44542</v>
      </c>
      <c r="F9" s="68" t="s">
        <v>59</v>
      </c>
      <c r="G9" s="12">
        <v>44548</v>
      </c>
      <c r="H9" s="69" t="s">
        <v>1631</v>
      </c>
      <c r="I9" s="15">
        <v>37</v>
      </c>
      <c r="J9" s="15">
        <v>34</v>
      </c>
      <c r="K9" s="15">
        <v>12</v>
      </c>
      <c r="L9" s="15">
        <v>3</v>
      </c>
      <c r="M9" s="73">
        <v>3.774</v>
      </c>
      <c r="N9" s="104">
        <v>3.774</v>
      </c>
      <c r="O9" s="57">
        <v>7000</v>
      </c>
      <c r="P9" s="58">
        <f t="shared" si="0"/>
        <v>26418</v>
      </c>
    </row>
    <row r="10" spans="1:16" ht="21.75" customHeight="1" x14ac:dyDescent="0.2">
      <c r="A10" s="100"/>
      <c r="B10" s="100"/>
      <c r="C10" s="65" t="s">
        <v>1791</v>
      </c>
      <c r="D10" s="70" t="s">
        <v>57</v>
      </c>
      <c r="E10" s="12">
        <v>44542</v>
      </c>
      <c r="F10" s="68" t="s">
        <v>59</v>
      </c>
      <c r="G10" s="12">
        <v>44548</v>
      </c>
      <c r="H10" s="69" t="s">
        <v>1631</v>
      </c>
      <c r="I10" s="15">
        <v>57</v>
      </c>
      <c r="J10" s="15">
        <v>37</v>
      </c>
      <c r="K10" s="15">
        <v>25</v>
      </c>
      <c r="L10" s="15">
        <v>2</v>
      </c>
      <c r="M10" s="73">
        <v>13.18125</v>
      </c>
      <c r="N10" s="104">
        <v>13.18125</v>
      </c>
      <c r="O10" s="57">
        <v>7000</v>
      </c>
      <c r="P10" s="58">
        <f t="shared" si="0"/>
        <v>92268.75</v>
      </c>
    </row>
    <row r="11" spans="1:16" ht="21.75" customHeight="1" x14ac:dyDescent="0.2">
      <c r="A11" s="100"/>
      <c r="B11" s="100"/>
      <c r="C11" s="65" t="s">
        <v>1792</v>
      </c>
      <c r="D11" s="70" t="s">
        <v>57</v>
      </c>
      <c r="E11" s="12">
        <v>44542</v>
      </c>
      <c r="F11" s="68" t="s">
        <v>59</v>
      </c>
      <c r="G11" s="12">
        <v>44548</v>
      </c>
      <c r="H11" s="69" t="s">
        <v>1631</v>
      </c>
      <c r="I11" s="15">
        <v>67</v>
      </c>
      <c r="J11" s="15">
        <v>58</v>
      </c>
      <c r="K11" s="15">
        <v>26</v>
      </c>
      <c r="L11" s="15">
        <v>22</v>
      </c>
      <c r="M11" s="73">
        <v>25.259</v>
      </c>
      <c r="N11" s="104">
        <v>25.259</v>
      </c>
      <c r="O11" s="57">
        <v>7000</v>
      </c>
      <c r="P11" s="58">
        <f t="shared" si="0"/>
        <v>176813</v>
      </c>
    </row>
    <row r="12" spans="1:16" ht="21.75" customHeight="1" x14ac:dyDescent="0.2">
      <c r="A12" s="100"/>
      <c r="B12" s="100"/>
      <c r="C12" s="65" t="s">
        <v>1793</v>
      </c>
      <c r="D12" s="70" t="s">
        <v>57</v>
      </c>
      <c r="E12" s="12">
        <v>44542</v>
      </c>
      <c r="F12" s="68" t="s">
        <v>59</v>
      </c>
      <c r="G12" s="12">
        <v>44548</v>
      </c>
      <c r="H12" s="69" t="s">
        <v>1631</v>
      </c>
      <c r="I12" s="15">
        <v>135</v>
      </c>
      <c r="J12" s="15">
        <v>9</v>
      </c>
      <c r="K12" s="15">
        <v>6</v>
      </c>
      <c r="L12" s="15">
        <v>2</v>
      </c>
      <c r="M12" s="73">
        <v>1.8225</v>
      </c>
      <c r="N12" s="104">
        <v>2</v>
      </c>
      <c r="O12" s="57">
        <v>7000</v>
      </c>
      <c r="P12" s="58">
        <f t="shared" si="0"/>
        <v>14000</v>
      </c>
    </row>
    <row r="13" spans="1:16" ht="21.75" customHeight="1" x14ac:dyDescent="0.2">
      <c r="A13" s="100"/>
      <c r="B13" s="100"/>
      <c r="C13" s="65" t="s">
        <v>1794</v>
      </c>
      <c r="D13" s="70" t="s">
        <v>57</v>
      </c>
      <c r="E13" s="12">
        <v>44542</v>
      </c>
      <c r="F13" s="68" t="s">
        <v>59</v>
      </c>
      <c r="G13" s="12">
        <v>44548</v>
      </c>
      <c r="H13" s="69" t="s">
        <v>1631</v>
      </c>
      <c r="I13" s="15">
        <v>58</v>
      </c>
      <c r="J13" s="15">
        <v>58</v>
      </c>
      <c r="K13" s="15">
        <v>36</v>
      </c>
      <c r="L13" s="15">
        <v>5</v>
      </c>
      <c r="M13" s="73">
        <v>30.276</v>
      </c>
      <c r="N13" s="104">
        <v>30.276</v>
      </c>
      <c r="O13" s="57">
        <v>7000</v>
      </c>
      <c r="P13" s="58">
        <f t="shared" si="0"/>
        <v>211932</v>
      </c>
    </row>
    <row r="14" spans="1:16" ht="21.75" customHeight="1" x14ac:dyDescent="0.2">
      <c r="A14" s="100"/>
      <c r="B14" s="100"/>
      <c r="C14" s="65" t="s">
        <v>1795</v>
      </c>
      <c r="D14" s="70" t="s">
        <v>57</v>
      </c>
      <c r="E14" s="12">
        <v>44542</v>
      </c>
      <c r="F14" s="68" t="s">
        <v>59</v>
      </c>
      <c r="G14" s="12">
        <v>44548</v>
      </c>
      <c r="H14" s="69" t="s">
        <v>1631</v>
      </c>
      <c r="I14" s="15">
        <v>47</v>
      </c>
      <c r="J14" s="15">
        <v>38</v>
      </c>
      <c r="K14" s="15">
        <v>21</v>
      </c>
      <c r="L14" s="15">
        <v>12</v>
      </c>
      <c r="M14" s="73">
        <v>9.3765000000000001</v>
      </c>
      <c r="N14" s="104">
        <v>13</v>
      </c>
      <c r="O14" s="57">
        <v>7000</v>
      </c>
      <c r="P14" s="58">
        <f t="shared" si="0"/>
        <v>91000</v>
      </c>
    </row>
    <row r="15" spans="1:16" ht="21.75" customHeight="1" x14ac:dyDescent="0.2">
      <c r="A15" s="100"/>
      <c r="B15" s="100"/>
      <c r="C15" s="65" t="s">
        <v>1796</v>
      </c>
      <c r="D15" s="70" t="s">
        <v>57</v>
      </c>
      <c r="E15" s="12">
        <v>44542</v>
      </c>
      <c r="F15" s="68" t="s">
        <v>59</v>
      </c>
      <c r="G15" s="12">
        <v>44548</v>
      </c>
      <c r="H15" s="69" t="s">
        <v>1631</v>
      </c>
      <c r="I15" s="15">
        <v>90</v>
      </c>
      <c r="J15" s="15">
        <v>57</v>
      </c>
      <c r="K15" s="15">
        <v>22</v>
      </c>
      <c r="L15" s="15">
        <v>36</v>
      </c>
      <c r="M15" s="73">
        <v>28.215</v>
      </c>
      <c r="N15" s="104">
        <v>36</v>
      </c>
      <c r="O15" s="57">
        <v>7000</v>
      </c>
      <c r="P15" s="58">
        <f t="shared" si="0"/>
        <v>252000</v>
      </c>
    </row>
    <row r="16" spans="1:16" ht="21.75" customHeight="1" x14ac:dyDescent="0.2">
      <c r="A16" s="100"/>
      <c r="B16" s="100"/>
      <c r="C16" s="65" t="s">
        <v>1797</v>
      </c>
      <c r="D16" s="70" t="s">
        <v>57</v>
      </c>
      <c r="E16" s="12">
        <v>44542</v>
      </c>
      <c r="F16" s="68" t="s">
        <v>59</v>
      </c>
      <c r="G16" s="12">
        <v>44548</v>
      </c>
      <c r="H16" s="69" t="s">
        <v>1631</v>
      </c>
      <c r="I16" s="15">
        <v>25</v>
      </c>
      <c r="J16" s="15">
        <v>22</v>
      </c>
      <c r="K16" s="15">
        <v>12</v>
      </c>
      <c r="L16" s="15">
        <v>1</v>
      </c>
      <c r="M16" s="73">
        <v>1.65</v>
      </c>
      <c r="N16" s="104">
        <v>1.65</v>
      </c>
      <c r="O16" s="57">
        <v>7000</v>
      </c>
      <c r="P16" s="58">
        <f t="shared" si="0"/>
        <v>11550</v>
      </c>
    </row>
    <row r="17" spans="1:16" ht="21.75" customHeight="1" x14ac:dyDescent="0.2">
      <c r="A17" s="100"/>
      <c r="B17" s="100"/>
      <c r="C17" s="65" t="s">
        <v>1798</v>
      </c>
      <c r="D17" s="70" t="s">
        <v>57</v>
      </c>
      <c r="E17" s="12">
        <v>44542</v>
      </c>
      <c r="F17" s="68" t="s">
        <v>59</v>
      </c>
      <c r="G17" s="12">
        <v>44548</v>
      </c>
      <c r="H17" s="69" t="s">
        <v>1631</v>
      </c>
      <c r="I17" s="15">
        <v>58</v>
      </c>
      <c r="J17" s="15">
        <v>27</v>
      </c>
      <c r="K17" s="15">
        <v>23</v>
      </c>
      <c r="L17" s="15">
        <v>7</v>
      </c>
      <c r="M17" s="73">
        <v>9.0045000000000002</v>
      </c>
      <c r="N17" s="104">
        <v>9.0045000000000002</v>
      </c>
      <c r="O17" s="57">
        <v>7000</v>
      </c>
      <c r="P17" s="58">
        <f t="shared" si="0"/>
        <v>63031.5</v>
      </c>
    </row>
    <row r="18" spans="1:16" ht="21.75" customHeight="1" x14ac:dyDescent="0.2">
      <c r="A18" s="100"/>
      <c r="B18" s="100"/>
      <c r="C18" s="65" t="s">
        <v>1799</v>
      </c>
      <c r="D18" s="70" t="s">
        <v>57</v>
      </c>
      <c r="E18" s="12">
        <v>44542</v>
      </c>
      <c r="F18" s="68" t="s">
        <v>59</v>
      </c>
      <c r="G18" s="12">
        <v>44548</v>
      </c>
      <c r="H18" s="69" t="s">
        <v>1631</v>
      </c>
      <c r="I18" s="15">
        <v>50</v>
      </c>
      <c r="J18" s="15">
        <v>23</v>
      </c>
      <c r="K18" s="15">
        <v>12</v>
      </c>
      <c r="L18" s="15">
        <v>1</v>
      </c>
      <c r="M18" s="73">
        <v>3.45</v>
      </c>
      <c r="N18" s="104">
        <v>4</v>
      </c>
      <c r="O18" s="57">
        <v>7000</v>
      </c>
      <c r="P18" s="58">
        <f t="shared" si="0"/>
        <v>28000</v>
      </c>
    </row>
    <row r="19" spans="1:16" ht="21.75" customHeight="1" x14ac:dyDescent="0.2">
      <c r="A19" s="100"/>
      <c r="B19" s="100"/>
      <c r="C19" s="65" t="s">
        <v>1800</v>
      </c>
      <c r="D19" s="70" t="s">
        <v>57</v>
      </c>
      <c r="E19" s="12">
        <v>44542</v>
      </c>
      <c r="F19" s="68" t="s">
        <v>59</v>
      </c>
      <c r="G19" s="12">
        <v>44548</v>
      </c>
      <c r="H19" s="69" t="s">
        <v>1631</v>
      </c>
      <c r="I19" s="15">
        <v>100</v>
      </c>
      <c r="J19" s="15">
        <v>35</v>
      </c>
      <c r="K19" s="15">
        <v>40</v>
      </c>
      <c r="L19" s="15">
        <v>11</v>
      </c>
      <c r="M19" s="73">
        <v>35</v>
      </c>
      <c r="N19" s="104">
        <v>35</v>
      </c>
      <c r="O19" s="57">
        <v>7000</v>
      </c>
      <c r="P19" s="58">
        <f t="shared" si="0"/>
        <v>245000</v>
      </c>
    </row>
    <row r="20" spans="1:16" ht="21.75" customHeight="1" x14ac:dyDescent="0.2">
      <c r="A20" s="100"/>
      <c r="B20" s="100"/>
      <c r="C20" s="65" t="s">
        <v>1801</v>
      </c>
      <c r="D20" s="70" t="s">
        <v>57</v>
      </c>
      <c r="E20" s="12">
        <v>44542</v>
      </c>
      <c r="F20" s="68" t="s">
        <v>59</v>
      </c>
      <c r="G20" s="12">
        <v>44548</v>
      </c>
      <c r="H20" s="69" t="s">
        <v>1631</v>
      </c>
      <c r="I20" s="15">
        <v>97</v>
      </c>
      <c r="J20" s="15">
        <v>60</v>
      </c>
      <c r="K20" s="15">
        <v>32</v>
      </c>
      <c r="L20" s="15">
        <v>7</v>
      </c>
      <c r="M20" s="73">
        <v>46.56</v>
      </c>
      <c r="N20" s="104">
        <v>46.56</v>
      </c>
      <c r="O20" s="57">
        <v>7000</v>
      </c>
      <c r="P20" s="58">
        <f t="shared" si="0"/>
        <v>325920</v>
      </c>
    </row>
    <row r="21" spans="1:16" ht="21.75" customHeight="1" x14ac:dyDescent="0.2">
      <c r="A21" s="100"/>
      <c r="B21" s="100"/>
      <c r="C21" s="65" t="s">
        <v>1802</v>
      </c>
      <c r="D21" s="70" t="s">
        <v>57</v>
      </c>
      <c r="E21" s="12">
        <v>44542</v>
      </c>
      <c r="F21" s="68" t="s">
        <v>59</v>
      </c>
      <c r="G21" s="12">
        <v>44548</v>
      </c>
      <c r="H21" s="69" t="s">
        <v>1631</v>
      </c>
      <c r="I21" s="15">
        <v>27</v>
      </c>
      <c r="J21" s="15">
        <v>28</v>
      </c>
      <c r="K21" s="15">
        <v>10</v>
      </c>
      <c r="L21" s="15">
        <v>1</v>
      </c>
      <c r="M21" s="73">
        <v>1.89</v>
      </c>
      <c r="N21" s="104">
        <v>1.89</v>
      </c>
      <c r="O21" s="57">
        <v>7000</v>
      </c>
      <c r="P21" s="58">
        <f t="shared" si="0"/>
        <v>13230</v>
      </c>
    </row>
    <row r="22" spans="1:16" ht="21.75" customHeight="1" x14ac:dyDescent="0.2">
      <c r="A22" s="100"/>
      <c r="B22" s="100"/>
      <c r="C22" s="65" t="s">
        <v>1803</v>
      </c>
      <c r="D22" s="70" t="s">
        <v>57</v>
      </c>
      <c r="E22" s="12">
        <v>44542</v>
      </c>
      <c r="F22" s="68" t="s">
        <v>59</v>
      </c>
      <c r="G22" s="12">
        <v>44548</v>
      </c>
      <c r="H22" s="69" t="s">
        <v>1631</v>
      </c>
      <c r="I22" s="15">
        <v>38</v>
      </c>
      <c r="J22" s="15">
        <v>27</v>
      </c>
      <c r="K22" s="15">
        <v>17</v>
      </c>
      <c r="L22" s="15">
        <v>2</v>
      </c>
      <c r="M22" s="73">
        <v>4.3605</v>
      </c>
      <c r="N22" s="104">
        <v>5</v>
      </c>
      <c r="O22" s="57">
        <v>7000</v>
      </c>
      <c r="P22" s="58">
        <f t="shared" si="0"/>
        <v>35000</v>
      </c>
    </row>
    <row r="23" spans="1:16" ht="21.75" customHeight="1" x14ac:dyDescent="0.2">
      <c r="A23" s="100"/>
      <c r="B23" s="101"/>
      <c r="C23" s="65" t="s">
        <v>1804</v>
      </c>
      <c r="D23" s="70" t="s">
        <v>57</v>
      </c>
      <c r="E23" s="12">
        <v>44542</v>
      </c>
      <c r="F23" s="68" t="s">
        <v>59</v>
      </c>
      <c r="G23" s="12">
        <v>44548</v>
      </c>
      <c r="H23" s="69" t="s">
        <v>1631</v>
      </c>
      <c r="I23" s="15">
        <v>77</v>
      </c>
      <c r="J23" s="15">
        <v>54</v>
      </c>
      <c r="K23" s="15">
        <v>42</v>
      </c>
      <c r="L23" s="15">
        <v>7</v>
      </c>
      <c r="M23" s="73">
        <v>43.658999999999999</v>
      </c>
      <c r="N23" s="104">
        <v>43.658999999999999</v>
      </c>
      <c r="O23" s="57">
        <v>7000</v>
      </c>
      <c r="P23" s="58">
        <f t="shared" si="0"/>
        <v>305613</v>
      </c>
    </row>
    <row r="24" spans="1:16" ht="21.75" customHeight="1" x14ac:dyDescent="0.2">
      <c r="A24" s="100"/>
      <c r="B24" s="100" t="s">
        <v>1783</v>
      </c>
      <c r="C24" s="65" t="s">
        <v>1805</v>
      </c>
      <c r="D24" s="70" t="s">
        <v>57</v>
      </c>
      <c r="E24" s="12">
        <v>44542</v>
      </c>
      <c r="F24" s="68" t="s">
        <v>59</v>
      </c>
      <c r="G24" s="12">
        <v>44548</v>
      </c>
      <c r="H24" s="69" t="s">
        <v>1631</v>
      </c>
      <c r="I24" s="15">
        <v>23</v>
      </c>
      <c r="J24" s="15">
        <v>25</v>
      </c>
      <c r="K24" s="15">
        <v>8</v>
      </c>
      <c r="L24" s="15">
        <v>1</v>
      </c>
      <c r="M24" s="73">
        <v>1.1499999999999999</v>
      </c>
      <c r="N24" s="104">
        <v>1.1499999999999999</v>
      </c>
      <c r="O24" s="57">
        <v>7000</v>
      </c>
      <c r="P24" s="58">
        <f t="shared" si="0"/>
        <v>8049.9999999999991</v>
      </c>
    </row>
    <row r="25" spans="1:16" ht="21.75" customHeight="1" x14ac:dyDescent="0.2">
      <c r="A25" s="100"/>
      <c r="B25" s="100"/>
      <c r="C25" s="65" t="s">
        <v>1806</v>
      </c>
      <c r="D25" s="70" t="s">
        <v>57</v>
      </c>
      <c r="E25" s="12">
        <v>44542</v>
      </c>
      <c r="F25" s="68" t="s">
        <v>59</v>
      </c>
      <c r="G25" s="12">
        <v>44548</v>
      </c>
      <c r="H25" s="69" t="s">
        <v>1631</v>
      </c>
      <c r="I25" s="15">
        <v>34</v>
      </c>
      <c r="J25" s="15">
        <v>34</v>
      </c>
      <c r="K25" s="15">
        <v>4</v>
      </c>
      <c r="L25" s="15">
        <v>4</v>
      </c>
      <c r="M25" s="73">
        <v>1.1559999999999999</v>
      </c>
      <c r="N25" s="104">
        <v>4</v>
      </c>
      <c r="O25" s="57">
        <v>7000</v>
      </c>
      <c r="P25" s="58">
        <f t="shared" si="0"/>
        <v>28000</v>
      </c>
    </row>
    <row r="26" spans="1:16" ht="21.75" customHeight="1" x14ac:dyDescent="0.2">
      <c r="A26" s="100"/>
      <c r="B26" s="100"/>
      <c r="C26" s="65" t="s">
        <v>1807</v>
      </c>
      <c r="D26" s="70" t="s">
        <v>57</v>
      </c>
      <c r="E26" s="12">
        <v>44542</v>
      </c>
      <c r="F26" s="68" t="s">
        <v>59</v>
      </c>
      <c r="G26" s="12">
        <v>44548</v>
      </c>
      <c r="H26" s="69" t="s">
        <v>1631</v>
      </c>
      <c r="I26" s="15">
        <v>64</v>
      </c>
      <c r="J26" s="15">
        <v>37</v>
      </c>
      <c r="K26" s="15">
        <v>10</v>
      </c>
      <c r="L26" s="15">
        <v>5</v>
      </c>
      <c r="M26" s="73">
        <v>5.92</v>
      </c>
      <c r="N26" s="104">
        <v>5.92</v>
      </c>
      <c r="O26" s="57">
        <v>7000</v>
      </c>
      <c r="P26" s="58">
        <f t="shared" si="0"/>
        <v>41440</v>
      </c>
    </row>
    <row r="27" spans="1:16" ht="22.5" customHeight="1" x14ac:dyDescent="0.2">
      <c r="A27" s="159" t="s">
        <v>30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M27" s="71">
        <f>SUBTOTAL(109,Table22457891011234567891011121314151617181920212223242526272829303132[KG VOLUME])</f>
        <v>484.55474999999996</v>
      </c>
      <c r="N27" s="61">
        <f>SUM(N3:N26)</f>
        <v>500.71549999999996</v>
      </c>
      <c r="O27" s="162">
        <f>SUM(P3:P26)</f>
        <v>3505008.5</v>
      </c>
      <c r="P27" s="163"/>
    </row>
    <row r="28" spans="1:16" ht="18" customHeight="1" x14ac:dyDescent="0.2">
      <c r="A28" s="78"/>
      <c r="B28" s="49" t="s">
        <v>42</v>
      </c>
      <c r="C28" s="48"/>
      <c r="D28" s="50" t="s">
        <v>43</v>
      </c>
      <c r="E28" s="78"/>
      <c r="F28" s="78"/>
      <c r="G28" s="78"/>
      <c r="H28" s="78"/>
      <c r="I28" s="78"/>
      <c r="J28" s="78"/>
      <c r="K28" s="78"/>
      <c r="L28" s="78"/>
      <c r="M28" s="79"/>
      <c r="N28" s="80" t="s">
        <v>52</v>
      </c>
      <c r="O28" s="81"/>
      <c r="P28" s="81">
        <v>0</v>
      </c>
    </row>
    <row r="29" spans="1:16" ht="18" customHeight="1" thickBot="1" x14ac:dyDescent="0.25">
      <c r="A29" s="78"/>
      <c r="B29" s="49"/>
      <c r="C29" s="48"/>
      <c r="D29" s="50"/>
      <c r="E29" s="78"/>
      <c r="F29" s="78"/>
      <c r="G29" s="78"/>
      <c r="H29" s="78"/>
      <c r="I29" s="78"/>
      <c r="J29" s="78"/>
      <c r="K29" s="78"/>
      <c r="L29" s="78"/>
      <c r="M29" s="79"/>
      <c r="N29" s="82" t="s">
        <v>53</v>
      </c>
      <c r="O29" s="83"/>
      <c r="P29" s="83">
        <f>O27-P28</f>
        <v>3505008.5</v>
      </c>
    </row>
    <row r="30" spans="1:16" ht="18" customHeight="1" x14ac:dyDescent="0.2">
      <c r="A30" s="10"/>
      <c r="H30" s="56"/>
      <c r="N30" s="55" t="s">
        <v>31</v>
      </c>
      <c r="P30" s="62">
        <f>P29*1%</f>
        <v>35050.084999999999</v>
      </c>
    </row>
    <row r="31" spans="1:16" ht="18" customHeight="1" thickBot="1" x14ac:dyDescent="0.25">
      <c r="A31" s="10"/>
      <c r="H31" s="56"/>
      <c r="N31" s="55" t="s">
        <v>54</v>
      </c>
      <c r="P31" s="64">
        <f>P29*2%</f>
        <v>70100.17</v>
      </c>
    </row>
    <row r="32" spans="1:16" ht="18" customHeight="1" x14ac:dyDescent="0.2">
      <c r="A32" s="10"/>
      <c r="H32" s="56"/>
      <c r="N32" s="59" t="s">
        <v>32</v>
      </c>
      <c r="O32" s="60"/>
      <c r="P32" s="63">
        <f>P29+P30-P31</f>
        <v>3469958.415</v>
      </c>
    </row>
    <row r="34" spans="1:16" x14ac:dyDescent="0.2">
      <c r="A34" s="10"/>
      <c r="H34" s="56"/>
      <c r="P34" s="64"/>
    </row>
    <row r="35" spans="1:16" x14ac:dyDescent="0.2">
      <c r="A35" s="10"/>
      <c r="H35" s="56"/>
      <c r="O35" s="51"/>
      <c r="P35" s="6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</sheetData>
  <mergeCells count="2">
    <mergeCell ref="A27:L27"/>
    <mergeCell ref="O27:P27"/>
  </mergeCells>
  <conditionalFormatting sqref="C3:C26">
    <cfRule type="duplicateValues" dxfId="1103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27" activePane="bottomRight" state="frozen"/>
      <selection activeCell="H12" sqref="H12"/>
      <selection pane="topRight" activeCell="H12" sqref="H12"/>
      <selection pane="bottomLeft" activeCell="H12" sqref="H12"/>
      <selection pane="bottomRight" activeCell="H36" sqref="H3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9" style="3" customWidth="1"/>
    <col min="5" max="5" width="9.140625" style="11" customWidth="1"/>
    <col min="6" max="6" width="9.7109375" style="3" customWidth="1"/>
    <col min="7" max="7" width="9.5703125" style="3" customWidth="1"/>
    <col min="8" max="8" width="15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2.285156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406245</v>
      </c>
      <c r="B3" s="99" t="s">
        <v>1808</v>
      </c>
      <c r="C3" s="90" t="s">
        <v>1809</v>
      </c>
      <c r="D3" s="102" t="s">
        <v>57</v>
      </c>
      <c r="E3" s="91">
        <v>44542</v>
      </c>
      <c r="F3" s="102" t="s">
        <v>59</v>
      </c>
      <c r="G3" s="91">
        <v>44548</v>
      </c>
      <c r="H3" s="90" t="s">
        <v>1631</v>
      </c>
      <c r="I3" s="90">
        <v>83</v>
      </c>
      <c r="J3" s="90">
        <v>48</v>
      </c>
      <c r="K3" s="90">
        <v>26</v>
      </c>
      <c r="L3" s="90">
        <v>4</v>
      </c>
      <c r="M3" s="90">
        <v>25.896000000000001</v>
      </c>
      <c r="N3" s="104">
        <v>25.896000000000001</v>
      </c>
      <c r="O3" s="57">
        <v>7000</v>
      </c>
      <c r="P3" s="58">
        <f t="shared" ref="P3:P31" si="0">N3*O3</f>
        <v>181272</v>
      </c>
    </row>
    <row r="4" spans="1:16" ht="26.25" customHeight="1" x14ac:dyDescent="0.2">
      <c r="A4" s="100"/>
      <c r="B4" s="100"/>
      <c r="C4" s="65" t="s">
        <v>1810</v>
      </c>
      <c r="D4" s="70" t="s">
        <v>57</v>
      </c>
      <c r="E4" s="12">
        <v>44542</v>
      </c>
      <c r="F4" s="68" t="s">
        <v>59</v>
      </c>
      <c r="G4" s="12">
        <v>44548</v>
      </c>
      <c r="H4" s="69" t="s">
        <v>1631</v>
      </c>
      <c r="I4" s="15">
        <v>54</v>
      </c>
      <c r="J4" s="15">
        <v>40</v>
      </c>
      <c r="K4" s="15">
        <v>28</v>
      </c>
      <c r="L4" s="15">
        <v>1</v>
      </c>
      <c r="M4" s="73">
        <v>15.12</v>
      </c>
      <c r="N4" s="104">
        <v>15.12</v>
      </c>
      <c r="O4" s="57">
        <v>7000</v>
      </c>
      <c r="P4" s="58">
        <f t="shared" si="0"/>
        <v>105840</v>
      </c>
    </row>
    <row r="5" spans="1:16" ht="26.25" customHeight="1" x14ac:dyDescent="0.2">
      <c r="A5" s="100"/>
      <c r="B5" s="100"/>
      <c r="C5" s="65" t="s">
        <v>1811</v>
      </c>
      <c r="D5" s="70" t="s">
        <v>57</v>
      </c>
      <c r="E5" s="12">
        <v>44542</v>
      </c>
      <c r="F5" s="68" t="s">
        <v>59</v>
      </c>
      <c r="G5" s="12">
        <v>44548</v>
      </c>
      <c r="H5" s="69" t="s">
        <v>1631</v>
      </c>
      <c r="I5" s="15">
        <v>38</v>
      </c>
      <c r="J5" s="15">
        <v>38</v>
      </c>
      <c r="K5" s="15">
        <v>24</v>
      </c>
      <c r="L5" s="15">
        <v>5</v>
      </c>
      <c r="M5" s="73">
        <v>8.6639999999999997</v>
      </c>
      <c r="N5" s="104">
        <v>8.6639999999999997</v>
      </c>
      <c r="O5" s="57">
        <v>7000</v>
      </c>
      <c r="P5" s="58">
        <f t="shared" si="0"/>
        <v>60648</v>
      </c>
    </row>
    <row r="6" spans="1:16" ht="26.25" customHeight="1" x14ac:dyDescent="0.2">
      <c r="A6" s="100"/>
      <c r="B6" s="100"/>
      <c r="C6" s="65" t="s">
        <v>1812</v>
      </c>
      <c r="D6" s="70" t="s">
        <v>57</v>
      </c>
      <c r="E6" s="12">
        <v>44542</v>
      </c>
      <c r="F6" s="68" t="s">
        <v>59</v>
      </c>
      <c r="G6" s="12">
        <v>44548</v>
      </c>
      <c r="H6" s="69" t="s">
        <v>1631</v>
      </c>
      <c r="I6" s="15">
        <v>15</v>
      </c>
      <c r="J6" s="15">
        <v>15</v>
      </c>
      <c r="K6" s="15">
        <v>7</v>
      </c>
      <c r="L6" s="15">
        <v>1</v>
      </c>
      <c r="M6" s="73">
        <v>0.39374999999999999</v>
      </c>
      <c r="N6" s="104">
        <v>2</v>
      </c>
      <c r="O6" s="57">
        <v>7000</v>
      </c>
      <c r="P6" s="58">
        <f t="shared" si="0"/>
        <v>14000</v>
      </c>
    </row>
    <row r="7" spans="1:16" ht="26.25" customHeight="1" x14ac:dyDescent="0.2">
      <c r="A7" s="100"/>
      <c r="B7" s="100"/>
      <c r="C7" s="65" t="s">
        <v>1813</v>
      </c>
      <c r="D7" s="70" t="s">
        <v>57</v>
      </c>
      <c r="E7" s="12">
        <v>44542</v>
      </c>
      <c r="F7" s="68" t="s">
        <v>59</v>
      </c>
      <c r="G7" s="12">
        <v>44548</v>
      </c>
      <c r="H7" s="69" t="s">
        <v>1631</v>
      </c>
      <c r="I7" s="15">
        <v>45</v>
      </c>
      <c r="J7" s="15">
        <v>29</v>
      </c>
      <c r="K7" s="15">
        <v>13</v>
      </c>
      <c r="L7" s="15">
        <v>1</v>
      </c>
      <c r="M7" s="73">
        <v>4.24125</v>
      </c>
      <c r="N7" s="104">
        <v>4.24125</v>
      </c>
      <c r="O7" s="57">
        <v>7000</v>
      </c>
      <c r="P7" s="58">
        <f t="shared" si="0"/>
        <v>29688.75</v>
      </c>
    </row>
    <row r="8" spans="1:16" ht="26.25" customHeight="1" x14ac:dyDescent="0.2">
      <c r="A8" s="100"/>
      <c r="B8" s="100"/>
      <c r="C8" s="65" t="s">
        <v>1814</v>
      </c>
      <c r="D8" s="70" t="s">
        <v>57</v>
      </c>
      <c r="E8" s="12">
        <v>44542</v>
      </c>
      <c r="F8" s="68" t="s">
        <v>59</v>
      </c>
      <c r="G8" s="12">
        <v>44548</v>
      </c>
      <c r="H8" s="69" t="s">
        <v>1631</v>
      </c>
      <c r="I8" s="15">
        <v>102</v>
      </c>
      <c r="J8" s="15">
        <v>52</v>
      </c>
      <c r="K8" s="15">
        <v>34</v>
      </c>
      <c r="L8" s="15">
        <v>27</v>
      </c>
      <c r="M8" s="73">
        <v>45.084000000000003</v>
      </c>
      <c r="N8" s="104">
        <v>45.084000000000003</v>
      </c>
      <c r="O8" s="57">
        <v>7000</v>
      </c>
      <c r="P8" s="58">
        <f t="shared" si="0"/>
        <v>315588</v>
      </c>
    </row>
    <row r="9" spans="1:16" ht="26.25" customHeight="1" x14ac:dyDescent="0.2">
      <c r="A9" s="100"/>
      <c r="B9" s="100"/>
      <c r="C9" s="65" t="s">
        <v>1815</v>
      </c>
      <c r="D9" s="70" t="s">
        <v>57</v>
      </c>
      <c r="E9" s="12">
        <v>44542</v>
      </c>
      <c r="F9" s="68" t="s">
        <v>59</v>
      </c>
      <c r="G9" s="12">
        <v>44548</v>
      </c>
      <c r="H9" s="69" t="s">
        <v>1631</v>
      </c>
      <c r="I9" s="15">
        <v>45</v>
      </c>
      <c r="J9" s="15">
        <v>28</v>
      </c>
      <c r="K9" s="15">
        <v>30</v>
      </c>
      <c r="L9" s="15">
        <v>11</v>
      </c>
      <c r="M9" s="73">
        <v>9.4499999999999993</v>
      </c>
      <c r="N9" s="104">
        <v>12</v>
      </c>
      <c r="O9" s="57">
        <v>7000</v>
      </c>
      <c r="P9" s="58">
        <f t="shared" si="0"/>
        <v>84000</v>
      </c>
    </row>
    <row r="10" spans="1:16" ht="26.25" customHeight="1" x14ac:dyDescent="0.2">
      <c r="A10" s="100"/>
      <c r="B10" s="100"/>
      <c r="C10" s="65" t="s">
        <v>1816</v>
      </c>
      <c r="D10" s="70" t="s">
        <v>57</v>
      </c>
      <c r="E10" s="12">
        <v>44542</v>
      </c>
      <c r="F10" s="68" t="s">
        <v>59</v>
      </c>
      <c r="G10" s="12">
        <v>44548</v>
      </c>
      <c r="H10" s="69" t="s">
        <v>1631</v>
      </c>
      <c r="I10" s="15">
        <v>27</v>
      </c>
      <c r="J10" s="15">
        <v>23</v>
      </c>
      <c r="K10" s="15">
        <v>10</v>
      </c>
      <c r="L10" s="15">
        <v>1</v>
      </c>
      <c r="M10" s="73">
        <v>1.5525</v>
      </c>
      <c r="N10" s="104">
        <v>1.5525</v>
      </c>
      <c r="O10" s="57">
        <v>7000</v>
      </c>
      <c r="P10" s="58">
        <f t="shared" si="0"/>
        <v>10867.5</v>
      </c>
    </row>
    <row r="11" spans="1:16" ht="26.25" customHeight="1" x14ac:dyDescent="0.2">
      <c r="A11" s="100"/>
      <c r="B11" s="100"/>
      <c r="C11" s="65" t="s">
        <v>1817</v>
      </c>
      <c r="D11" s="70" t="s">
        <v>57</v>
      </c>
      <c r="E11" s="12">
        <v>44542</v>
      </c>
      <c r="F11" s="68" t="s">
        <v>59</v>
      </c>
      <c r="G11" s="12">
        <v>44548</v>
      </c>
      <c r="H11" s="69" t="s">
        <v>1631</v>
      </c>
      <c r="I11" s="15">
        <v>42</v>
      </c>
      <c r="J11" s="15">
        <v>32</v>
      </c>
      <c r="K11" s="15">
        <v>24</v>
      </c>
      <c r="L11" s="15">
        <v>7</v>
      </c>
      <c r="M11" s="73">
        <v>8.0640000000000001</v>
      </c>
      <c r="N11" s="104">
        <v>8.0640000000000001</v>
      </c>
      <c r="O11" s="57">
        <v>7000</v>
      </c>
      <c r="P11" s="58">
        <f t="shared" si="0"/>
        <v>56448</v>
      </c>
    </row>
    <row r="12" spans="1:16" ht="26.25" customHeight="1" x14ac:dyDescent="0.2">
      <c r="A12" s="100"/>
      <c r="B12" s="100"/>
      <c r="C12" s="65" t="s">
        <v>1818</v>
      </c>
      <c r="D12" s="70" t="s">
        <v>57</v>
      </c>
      <c r="E12" s="12">
        <v>44542</v>
      </c>
      <c r="F12" s="68" t="s">
        <v>59</v>
      </c>
      <c r="G12" s="12">
        <v>44548</v>
      </c>
      <c r="H12" s="69" t="s">
        <v>1631</v>
      </c>
      <c r="I12" s="15">
        <v>60</v>
      </c>
      <c r="J12" s="15">
        <v>36</v>
      </c>
      <c r="K12" s="15">
        <v>33</v>
      </c>
      <c r="L12" s="15">
        <v>10</v>
      </c>
      <c r="M12" s="73">
        <v>17.82</v>
      </c>
      <c r="N12" s="104">
        <v>17.82</v>
      </c>
      <c r="O12" s="57">
        <v>7000</v>
      </c>
      <c r="P12" s="58">
        <f t="shared" si="0"/>
        <v>124740</v>
      </c>
    </row>
    <row r="13" spans="1:16" ht="26.25" customHeight="1" x14ac:dyDescent="0.2">
      <c r="A13" s="100"/>
      <c r="B13" s="100"/>
      <c r="C13" s="65" t="s">
        <v>1819</v>
      </c>
      <c r="D13" s="70" t="s">
        <v>57</v>
      </c>
      <c r="E13" s="12">
        <v>44542</v>
      </c>
      <c r="F13" s="68" t="s">
        <v>59</v>
      </c>
      <c r="G13" s="12">
        <v>44548</v>
      </c>
      <c r="H13" s="69" t="s">
        <v>1631</v>
      </c>
      <c r="I13" s="15">
        <v>76</v>
      </c>
      <c r="J13" s="15">
        <v>52</v>
      </c>
      <c r="K13" s="15">
        <v>10</v>
      </c>
      <c r="L13" s="15">
        <v>3</v>
      </c>
      <c r="M13" s="73">
        <v>9.8800000000000008</v>
      </c>
      <c r="N13" s="104">
        <v>9.8800000000000008</v>
      </c>
      <c r="O13" s="57">
        <v>7000</v>
      </c>
      <c r="P13" s="58">
        <f t="shared" si="0"/>
        <v>69160</v>
      </c>
    </row>
    <row r="14" spans="1:16" ht="26.25" customHeight="1" x14ac:dyDescent="0.2">
      <c r="A14" s="100"/>
      <c r="B14" s="100"/>
      <c r="C14" s="65" t="s">
        <v>1820</v>
      </c>
      <c r="D14" s="70" t="s">
        <v>57</v>
      </c>
      <c r="E14" s="12">
        <v>44542</v>
      </c>
      <c r="F14" s="68" t="s">
        <v>59</v>
      </c>
      <c r="G14" s="12">
        <v>44548</v>
      </c>
      <c r="H14" s="69" t="s">
        <v>1631</v>
      </c>
      <c r="I14" s="15">
        <v>12</v>
      </c>
      <c r="J14" s="15">
        <v>12</v>
      </c>
      <c r="K14" s="15">
        <v>6</v>
      </c>
      <c r="L14" s="15">
        <v>1</v>
      </c>
      <c r="M14" s="73">
        <v>0.216</v>
      </c>
      <c r="N14" s="104">
        <v>1</v>
      </c>
      <c r="O14" s="57">
        <v>7000</v>
      </c>
      <c r="P14" s="58">
        <f t="shared" si="0"/>
        <v>7000</v>
      </c>
    </row>
    <row r="15" spans="1:16" ht="26.25" customHeight="1" x14ac:dyDescent="0.2">
      <c r="A15" s="100"/>
      <c r="B15" s="100"/>
      <c r="C15" s="65" t="s">
        <v>1821</v>
      </c>
      <c r="D15" s="70" t="s">
        <v>57</v>
      </c>
      <c r="E15" s="12">
        <v>44542</v>
      </c>
      <c r="F15" s="68" t="s">
        <v>59</v>
      </c>
      <c r="G15" s="12">
        <v>44548</v>
      </c>
      <c r="H15" s="69" t="s">
        <v>1631</v>
      </c>
      <c r="I15" s="15">
        <v>83</v>
      </c>
      <c r="J15" s="15">
        <v>54</v>
      </c>
      <c r="K15" s="15">
        <v>38</v>
      </c>
      <c r="L15" s="15">
        <v>14</v>
      </c>
      <c r="M15" s="73">
        <v>42.579000000000001</v>
      </c>
      <c r="N15" s="104">
        <v>42.579000000000001</v>
      </c>
      <c r="O15" s="57">
        <v>7000</v>
      </c>
      <c r="P15" s="58">
        <f t="shared" si="0"/>
        <v>298053</v>
      </c>
    </row>
    <row r="16" spans="1:16" ht="26.25" customHeight="1" x14ac:dyDescent="0.2">
      <c r="A16" s="100"/>
      <c r="B16" s="100"/>
      <c r="C16" s="65" t="s">
        <v>1822</v>
      </c>
      <c r="D16" s="70" t="s">
        <v>57</v>
      </c>
      <c r="E16" s="12">
        <v>44542</v>
      </c>
      <c r="F16" s="68" t="s">
        <v>59</v>
      </c>
      <c r="G16" s="12">
        <v>44548</v>
      </c>
      <c r="H16" s="69" t="s">
        <v>1631</v>
      </c>
      <c r="I16" s="15">
        <v>90</v>
      </c>
      <c r="J16" s="15">
        <v>57</v>
      </c>
      <c r="K16" s="15">
        <v>30</v>
      </c>
      <c r="L16" s="15">
        <v>11</v>
      </c>
      <c r="M16" s="73">
        <v>38.475000000000001</v>
      </c>
      <c r="N16" s="104">
        <v>39</v>
      </c>
      <c r="O16" s="57">
        <v>7000</v>
      </c>
      <c r="P16" s="58">
        <f t="shared" si="0"/>
        <v>273000</v>
      </c>
    </row>
    <row r="17" spans="1:16" ht="26.25" customHeight="1" x14ac:dyDescent="0.2">
      <c r="A17" s="100"/>
      <c r="B17" s="100"/>
      <c r="C17" s="65" t="s">
        <v>1823</v>
      </c>
      <c r="D17" s="70" t="s">
        <v>57</v>
      </c>
      <c r="E17" s="12">
        <v>44542</v>
      </c>
      <c r="F17" s="68" t="s">
        <v>59</v>
      </c>
      <c r="G17" s="12">
        <v>44548</v>
      </c>
      <c r="H17" s="69" t="s">
        <v>1631</v>
      </c>
      <c r="I17" s="15">
        <v>84</v>
      </c>
      <c r="J17" s="15">
        <v>55</v>
      </c>
      <c r="K17" s="15">
        <v>20</v>
      </c>
      <c r="L17" s="15">
        <v>3</v>
      </c>
      <c r="M17" s="73">
        <v>23.1</v>
      </c>
      <c r="N17" s="104">
        <v>23.1</v>
      </c>
      <c r="O17" s="57">
        <v>7000</v>
      </c>
      <c r="P17" s="58">
        <f t="shared" si="0"/>
        <v>161700</v>
      </c>
    </row>
    <row r="18" spans="1:16" ht="26.25" customHeight="1" x14ac:dyDescent="0.2">
      <c r="A18" s="100"/>
      <c r="B18" s="100"/>
      <c r="C18" s="65" t="s">
        <v>1824</v>
      </c>
      <c r="D18" s="70" t="s">
        <v>57</v>
      </c>
      <c r="E18" s="12">
        <v>44542</v>
      </c>
      <c r="F18" s="68" t="s">
        <v>59</v>
      </c>
      <c r="G18" s="12">
        <v>44548</v>
      </c>
      <c r="H18" s="69" t="s">
        <v>1631</v>
      </c>
      <c r="I18" s="15">
        <v>16</v>
      </c>
      <c r="J18" s="15">
        <v>22</v>
      </c>
      <c r="K18" s="15">
        <v>7</v>
      </c>
      <c r="L18" s="15">
        <v>4</v>
      </c>
      <c r="M18" s="73">
        <v>0.61599999999999999</v>
      </c>
      <c r="N18" s="104">
        <v>4</v>
      </c>
      <c r="O18" s="57">
        <v>7000</v>
      </c>
      <c r="P18" s="58">
        <f t="shared" si="0"/>
        <v>28000</v>
      </c>
    </row>
    <row r="19" spans="1:16" ht="26.25" customHeight="1" x14ac:dyDescent="0.2">
      <c r="A19" s="100"/>
      <c r="B19" s="100"/>
      <c r="C19" s="65" t="s">
        <v>1825</v>
      </c>
      <c r="D19" s="70" t="s">
        <v>57</v>
      </c>
      <c r="E19" s="12">
        <v>44542</v>
      </c>
      <c r="F19" s="68" t="s">
        <v>59</v>
      </c>
      <c r="G19" s="12">
        <v>44548</v>
      </c>
      <c r="H19" s="69" t="s">
        <v>1631</v>
      </c>
      <c r="I19" s="15">
        <v>60</v>
      </c>
      <c r="J19" s="15">
        <v>51</v>
      </c>
      <c r="K19" s="15">
        <v>18</v>
      </c>
      <c r="L19" s="15">
        <v>15</v>
      </c>
      <c r="M19" s="73">
        <v>13.77</v>
      </c>
      <c r="N19" s="104">
        <v>15</v>
      </c>
      <c r="O19" s="57">
        <v>7000</v>
      </c>
      <c r="P19" s="58">
        <f t="shared" si="0"/>
        <v>105000</v>
      </c>
    </row>
    <row r="20" spans="1:16" ht="26.25" customHeight="1" x14ac:dyDescent="0.2">
      <c r="A20" s="100"/>
      <c r="B20" s="100"/>
      <c r="C20" s="65" t="s">
        <v>1826</v>
      </c>
      <c r="D20" s="70" t="s">
        <v>57</v>
      </c>
      <c r="E20" s="12">
        <v>44542</v>
      </c>
      <c r="F20" s="68" t="s">
        <v>59</v>
      </c>
      <c r="G20" s="12">
        <v>44548</v>
      </c>
      <c r="H20" s="69" t="s">
        <v>1631</v>
      </c>
      <c r="I20" s="15">
        <v>50</v>
      </c>
      <c r="J20" s="15">
        <v>40</v>
      </c>
      <c r="K20" s="15">
        <v>17</v>
      </c>
      <c r="L20" s="15">
        <v>2</v>
      </c>
      <c r="M20" s="73">
        <v>8.5</v>
      </c>
      <c r="N20" s="104">
        <v>10</v>
      </c>
      <c r="O20" s="57">
        <v>7000</v>
      </c>
      <c r="P20" s="58">
        <f t="shared" si="0"/>
        <v>70000</v>
      </c>
    </row>
    <row r="21" spans="1:16" ht="26.25" customHeight="1" x14ac:dyDescent="0.2">
      <c r="A21" s="100"/>
      <c r="B21" s="100"/>
      <c r="C21" s="65" t="s">
        <v>1827</v>
      </c>
      <c r="D21" s="70" t="s">
        <v>57</v>
      </c>
      <c r="E21" s="12">
        <v>44542</v>
      </c>
      <c r="F21" s="68" t="s">
        <v>59</v>
      </c>
      <c r="G21" s="12">
        <v>44548</v>
      </c>
      <c r="H21" s="69" t="s">
        <v>1631</v>
      </c>
      <c r="I21" s="15">
        <v>80</v>
      </c>
      <c r="J21" s="15">
        <v>58</v>
      </c>
      <c r="K21" s="15">
        <v>35</v>
      </c>
      <c r="L21" s="15">
        <v>21</v>
      </c>
      <c r="M21" s="73">
        <v>40.6</v>
      </c>
      <c r="N21" s="104">
        <v>40.6</v>
      </c>
      <c r="O21" s="57">
        <v>7000</v>
      </c>
      <c r="P21" s="58">
        <f t="shared" si="0"/>
        <v>284200</v>
      </c>
    </row>
    <row r="22" spans="1:16" ht="26.25" customHeight="1" x14ac:dyDescent="0.2">
      <c r="A22" s="100"/>
      <c r="B22" s="100"/>
      <c r="C22" s="65" t="s">
        <v>1828</v>
      </c>
      <c r="D22" s="70" t="s">
        <v>57</v>
      </c>
      <c r="E22" s="12">
        <v>44542</v>
      </c>
      <c r="F22" s="68" t="s">
        <v>59</v>
      </c>
      <c r="G22" s="12">
        <v>44548</v>
      </c>
      <c r="H22" s="69" t="s">
        <v>1631</v>
      </c>
      <c r="I22" s="15">
        <v>13</v>
      </c>
      <c r="J22" s="15">
        <v>18</v>
      </c>
      <c r="K22" s="15">
        <v>7</v>
      </c>
      <c r="L22" s="15">
        <v>1</v>
      </c>
      <c r="M22" s="73">
        <v>0.40949999999999998</v>
      </c>
      <c r="N22" s="104">
        <v>2</v>
      </c>
      <c r="O22" s="57">
        <v>7000</v>
      </c>
      <c r="P22" s="58">
        <f t="shared" si="0"/>
        <v>14000</v>
      </c>
    </row>
    <row r="23" spans="1:16" ht="26.25" customHeight="1" x14ac:dyDescent="0.2">
      <c r="A23" s="100"/>
      <c r="B23" s="100"/>
      <c r="C23" s="65" t="s">
        <v>1829</v>
      </c>
      <c r="D23" s="70" t="s">
        <v>57</v>
      </c>
      <c r="E23" s="12">
        <v>44542</v>
      </c>
      <c r="F23" s="68" t="s">
        <v>59</v>
      </c>
      <c r="G23" s="12">
        <v>44548</v>
      </c>
      <c r="H23" s="69" t="s">
        <v>1631</v>
      </c>
      <c r="I23" s="15">
        <v>30</v>
      </c>
      <c r="J23" s="15">
        <v>9</v>
      </c>
      <c r="K23" s="15">
        <v>11</v>
      </c>
      <c r="L23" s="15">
        <v>1</v>
      </c>
      <c r="M23" s="73">
        <v>0.74250000000000005</v>
      </c>
      <c r="N23" s="104">
        <v>1</v>
      </c>
      <c r="O23" s="57">
        <v>7000</v>
      </c>
      <c r="P23" s="58">
        <f t="shared" si="0"/>
        <v>7000</v>
      </c>
    </row>
    <row r="24" spans="1:16" ht="26.25" customHeight="1" x14ac:dyDescent="0.2">
      <c r="A24" s="100"/>
      <c r="B24" s="100"/>
      <c r="C24" s="65" t="s">
        <v>1830</v>
      </c>
      <c r="D24" s="70" t="s">
        <v>57</v>
      </c>
      <c r="E24" s="12">
        <v>44542</v>
      </c>
      <c r="F24" s="68" t="s">
        <v>59</v>
      </c>
      <c r="G24" s="12">
        <v>44548</v>
      </c>
      <c r="H24" s="69" t="s">
        <v>1631</v>
      </c>
      <c r="I24" s="15">
        <v>36</v>
      </c>
      <c r="J24" s="15">
        <v>30</v>
      </c>
      <c r="K24" s="15">
        <v>23</v>
      </c>
      <c r="L24" s="15">
        <v>3</v>
      </c>
      <c r="M24" s="73">
        <v>6.21</v>
      </c>
      <c r="N24" s="104">
        <v>6.21</v>
      </c>
      <c r="O24" s="57">
        <v>7000</v>
      </c>
      <c r="P24" s="58">
        <f t="shared" si="0"/>
        <v>43470</v>
      </c>
    </row>
    <row r="25" spans="1:16" ht="26.25" customHeight="1" x14ac:dyDescent="0.2">
      <c r="A25" s="100"/>
      <c r="B25" s="100"/>
      <c r="C25" s="65" t="s">
        <v>1831</v>
      </c>
      <c r="D25" s="70" t="s">
        <v>57</v>
      </c>
      <c r="E25" s="12">
        <v>44542</v>
      </c>
      <c r="F25" s="68" t="s">
        <v>59</v>
      </c>
      <c r="G25" s="12">
        <v>44548</v>
      </c>
      <c r="H25" s="69" t="s">
        <v>1631</v>
      </c>
      <c r="I25" s="15">
        <v>25</v>
      </c>
      <c r="J25" s="15">
        <v>25</v>
      </c>
      <c r="K25" s="15">
        <v>11</v>
      </c>
      <c r="L25" s="15">
        <v>1</v>
      </c>
      <c r="M25" s="73">
        <v>1.71875</v>
      </c>
      <c r="N25" s="104">
        <v>1.71875</v>
      </c>
      <c r="O25" s="57">
        <v>7000</v>
      </c>
      <c r="P25" s="58">
        <f t="shared" si="0"/>
        <v>12031.25</v>
      </c>
    </row>
    <row r="26" spans="1:16" ht="26.25" customHeight="1" x14ac:dyDescent="0.2">
      <c r="A26" s="100"/>
      <c r="B26" s="100"/>
      <c r="C26" s="65" t="s">
        <v>1832</v>
      </c>
      <c r="D26" s="70" t="s">
        <v>57</v>
      </c>
      <c r="E26" s="12">
        <v>44542</v>
      </c>
      <c r="F26" s="68" t="s">
        <v>59</v>
      </c>
      <c r="G26" s="12">
        <v>44548</v>
      </c>
      <c r="H26" s="69" t="s">
        <v>1631</v>
      </c>
      <c r="I26" s="15">
        <v>64</v>
      </c>
      <c r="J26" s="15">
        <v>40</v>
      </c>
      <c r="K26" s="15">
        <v>25</v>
      </c>
      <c r="L26" s="15">
        <v>2</v>
      </c>
      <c r="M26" s="73">
        <v>16</v>
      </c>
      <c r="N26" s="104">
        <v>16</v>
      </c>
      <c r="O26" s="57">
        <v>7000</v>
      </c>
      <c r="P26" s="58">
        <f t="shared" si="0"/>
        <v>112000</v>
      </c>
    </row>
    <row r="27" spans="1:16" ht="26.25" customHeight="1" x14ac:dyDescent="0.2">
      <c r="A27" s="100"/>
      <c r="B27" s="100"/>
      <c r="C27" s="65" t="s">
        <v>1833</v>
      </c>
      <c r="D27" s="70" t="s">
        <v>57</v>
      </c>
      <c r="E27" s="12">
        <v>44542</v>
      </c>
      <c r="F27" s="68" t="s">
        <v>59</v>
      </c>
      <c r="G27" s="12">
        <v>44548</v>
      </c>
      <c r="H27" s="69" t="s">
        <v>1631</v>
      </c>
      <c r="I27" s="15">
        <v>76</v>
      </c>
      <c r="J27" s="15">
        <v>55</v>
      </c>
      <c r="K27" s="15">
        <v>25</v>
      </c>
      <c r="L27" s="15">
        <v>10</v>
      </c>
      <c r="M27" s="73">
        <v>26.125</v>
      </c>
      <c r="N27" s="104">
        <v>26.125</v>
      </c>
      <c r="O27" s="57">
        <v>7000</v>
      </c>
      <c r="P27" s="58">
        <f t="shared" si="0"/>
        <v>182875</v>
      </c>
    </row>
    <row r="28" spans="1:16" ht="26.25" customHeight="1" x14ac:dyDescent="0.2">
      <c r="A28" s="100"/>
      <c r="B28" s="100"/>
      <c r="C28" s="65" t="s">
        <v>1834</v>
      </c>
      <c r="D28" s="70" t="s">
        <v>57</v>
      </c>
      <c r="E28" s="12">
        <v>44542</v>
      </c>
      <c r="F28" s="68" t="s">
        <v>59</v>
      </c>
      <c r="G28" s="12">
        <v>44548</v>
      </c>
      <c r="H28" s="69" t="s">
        <v>1631</v>
      </c>
      <c r="I28" s="15">
        <v>46</v>
      </c>
      <c r="J28" s="15">
        <v>42</v>
      </c>
      <c r="K28" s="15">
        <v>15</v>
      </c>
      <c r="L28" s="15">
        <v>2</v>
      </c>
      <c r="M28" s="73">
        <v>7.2450000000000001</v>
      </c>
      <c r="N28" s="104">
        <v>7.2450000000000001</v>
      </c>
      <c r="O28" s="57">
        <v>7000</v>
      </c>
      <c r="P28" s="58">
        <f t="shared" si="0"/>
        <v>50715</v>
      </c>
    </row>
    <row r="29" spans="1:16" ht="26.25" customHeight="1" x14ac:dyDescent="0.2">
      <c r="A29" s="100"/>
      <c r="B29" s="100"/>
      <c r="C29" s="65" t="s">
        <v>1835</v>
      </c>
      <c r="D29" s="70" t="s">
        <v>57</v>
      </c>
      <c r="E29" s="12">
        <v>44542</v>
      </c>
      <c r="F29" s="68" t="s">
        <v>59</v>
      </c>
      <c r="G29" s="12">
        <v>44548</v>
      </c>
      <c r="H29" s="69" t="s">
        <v>1631</v>
      </c>
      <c r="I29" s="15">
        <v>52</v>
      </c>
      <c r="J29" s="15">
        <v>55</v>
      </c>
      <c r="K29" s="15">
        <v>12</v>
      </c>
      <c r="L29" s="15">
        <v>16</v>
      </c>
      <c r="M29" s="73">
        <v>8.58</v>
      </c>
      <c r="N29" s="104">
        <v>16</v>
      </c>
      <c r="O29" s="57">
        <v>7000</v>
      </c>
      <c r="P29" s="58">
        <f t="shared" si="0"/>
        <v>112000</v>
      </c>
    </row>
    <row r="30" spans="1:16" ht="26.25" customHeight="1" x14ac:dyDescent="0.2">
      <c r="A30" s="100"/>
      <c r="B30" s="100"/>
      <c r="C30" s="65" t="s">
        <v>1836</v>
      </c>
      <c r="D30" s="70" t="s">
        <v>57</v>
      </c>
      <c r="E30" s="12">
        <v>44542</v>
      </c>
      <c r="F30" s="68" t="s">
        <v>59</v>
      </c>
      <c r="G30" s="12">
        <v>44548</v>
      </c>
      <c r="H30" s="69" t="s">
        <v>1631</v>
      </c>
      <c r="I30" s="15">
        <v>44</v>
      </c>
      <c r="J30" s="15">
        <v>30</v>
      </c>
      <c r="K30" s="15">
        <v>21</v>
      </c>
      <c r="L30" s="15">
        <v>5</v>
      </c>
      <c r="M30" s="73">
        <v>6.93</v>
      </c>
      <c r="N30" s="104">
        <v>6.93</v>
      </c>
      <c r="O30" s="57">
        <v>7000</v>
      </c>
      <c r="P30" s="58">
        <f t="shared" si="0"/>
        <v>48510</v>
      </c>
    </row>
    <row r="31" spans="1:16" ht="26.25" customHeight="1" x14ac:dyDescent="0.2">
      <c r="A31" s="100"/>
      <c r="B31" s="100"/>
      <c r="C31" s="65" t="s">
        <v>1837</v>
      </c>
      <c r="D31" s="70" t="s">
        <v>57</v>
      </c>
      <c r="E31" s="12">
        <v>44542</v>
      </c>
      <c r="F31" s="68" t="s">
        <v>59</v>
      </c>
      <c r="G31" s="12">
        <v>44548</v>
      </c>
      <c r="H31" s="69" t="s">
        <v>1631</v>
      </c>
      <c r="I31" s="15">
        <v>29</v>
      </c>
      <c r="J31" s="15">
        <v>10</v>
      </c>
      <c r="K31" s="15">
        <v>17</v>
      </c>
      <c r="L31" s="15">
        <v>27</v>
      </c>
      <c r="M31" s="73">
        <v>1.2324999999999999</v>
      </c>
      <c r="N31" s="104">
        <v>27</v>
      </c>
      <c r="O31" s="57">
        <v>7000</v>
      </c>
      <c r="P31" s="58">
        <f t="shared" si="0"/>
        <v>189000</v>
      </c>
    </row>
    <row r="32" spans="1:16" ht="22.5" customHeight="1" x14ac:dyDescent="0.2">
      <c r="A32" s="159" t="s">
        <v>30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1"/>
      <c r="M32" s="71">
        <f>SUBTOTAL(109,Table2245789101123456789101112131415161718192021222324252627282930313233[KG VOLUME])</f>
        <v>389.21474999999998</v>
      </c>
      <c r="N32" s="61">
        <f>SUM(N3:N31)</f>
        <v>435.8295</v>
      </c>
      <c r="O32" s="162">
        <f>SUM(P3:P31)</f>
        <v>3050806.5</v>
      </c>
      <c r="P32" s="163"/>
    </row>
    <row r="33" spans="1:16" ht="18" customHeight="1" x14ac:dyDescent="0.2">
      <c r="A33" s="78"/>
      <c r="B33" s="49" t="s">
        <v>42</v>
      </c>
      <c r="C33" s="48"/>
      <c r="D33" s="50" t="s">
        <v>43</v>
      </c>
      <c r="E33" s="78"/>
      <c r="F33" s="78"/>
      <c r="G33" s="78"/>
      <c r="H33" s="78"/>
      <c r="I33" s="78"/>
      <c r="J33" s="78"/>
      <c r="K33" s="78"/>
      <c r="L33" s="78"/>
      <c r="M33" s="79"/>
      <c r="N33" s="80" t="s">
        <v>52</v>
      </c>
      <c r="O33" s="81"/>
      <c r="P33" s="81">
        <v>0</v>
      </c>
    </row>
    <row r="34" spans="1:16" ht="18" customHeight="1" thickBot="1" x14ac:dyDescent="0.25">
      <c r="A34" s="78"/>
      <c r="B34" s="49"/>
      <c r="C34" s="48"/>
      <c r="D34" s="50"/>
      <c r="E34" s="78"/>
      <c r="F34" s="78"/>
      <c r="G34" s="78"/>
      <c r="H34" s="78"/>
      <c r="I34" s="78"/>
      <c r="J34" s="78"/>
      <c r="K34" s="78"/>
      <c r="L34" s="78"/>
      <c r="M34" s="79"/>
      <c r="N34" s="82" t="s">
        <v>53</v>
      </c>
      <c r="O34" s="83"/>
      <c r="P34" s="83">
        <f>O32-P33</f>
        <v>3050806.5</v>
      </c>
    </row>
    <row r="35" spans="1:16" ht="18" customHeight="1" x14ac:dyDescent="0.2">
      <c r="A35" s="10"/>
      <c r="H35" s="56"/>
      <c r="N35" s="55" t="s">
        <v>31</v>
      </c>
      <c r="P35" s="62">
        <f>P34*1%</f>
        <v>30508.065000000002</v>
      </c>
    </row>
    <row r="36" spans="1:16" ht="18" customHeight="1" thickBot="1" x14ac:dyDescent="0.25">
      <c r="A36" s="10"/>
      <c r="H36" s="56"/>
      <c r="N36" s="55" t="s">
        <v>54</v>
      </c>
      <c r="P36" s="64">
        <f>P34*2%</f>
        <v>61016.130000000005</v>
      </c>
    </row>
    <row r="37" spans="1:16" ht="18" customHeight="1" x14ac:dyDescent="0.2">
      <c r="A37" s="10"/>
      <c r="H37" s="56"/>
      <c r="N37" s="59" t="s">
        <v>32</v>
      </c>
      <c r="O37" s="60"/>
      <c r="P37" s="63">
        <f>P34+P35-P36</f>
        <v>3020298.4350000001</v>
      </c>
    </row>
    <row r="39" spans="1:16" x14ac:dyDescent="0.2">
      <c r="A39" s="10"/>
      <c r="H39" s="56"/>
      <c r="P39" s="64"/>
    </row>
    <row r="40" spans="1:16" x14ac:dyDescent="0.2">
      <c r="A40" s="10"/>
      <c r="H40" s="56"/>
      <c r="O40" s="51"/>
      <c r="P40" s="6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</sheetData>
  <mergeCells count="2">
    <mergeCell ref="A32:L32"/>
    <mergeCell ref="O32:P32"/>
  </mergeCells>
  <conditionalFormatting sqref="C3:C31">
    <cfRule type="duplicateValues" dxfId="1087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4"/>
  <sheetViews>
    <sheetView zoomScale="110" zoomScaleNormal="110" workbookViewId="0">
      <pane xSplit="3" ySplit="2" topLeftCell="D78" activePane="bottomRight" state="frozen"/>
      <selection activeCell="H12" sqref="H12"/>
      <selection pane="topRight" activeCell="H12" sqref="H12"/>
      <selection pane="bottomLeft" activeCell="H12" sqref="H12"/>
      <selection pane="bottomRight" activeCell="H89" sqref="H8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.7109375" style="11" customWidth="1"/>
    <col min="6" max="6" width="11.425781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570312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406467</v>
      </c>
      <c r="B3" s="90" t="s">
        <v>1838</v>
      </c>
      <c r="C3" s="90" t="s">
        <v>1839</v>
      </c>
      <c r="D3" s="102" t="s">
        <v>57</v>
      </c>
      <c r="E3" s="91">
        <v>44542</v>
      </c>
      <c r="F3" s="90" t="s">
        <v>59</v>
      </c>
      <c r="G3" s="91">
        <v>44548</v>
      </c>
      <c r="H3" s="90" t="s">
        <v>1631</v>
      </c>
      <c r="I3" s="90">
        <v>34</v>
      </c>
      <c r="J3" s="90">
        <v>30</v>
      </c>
      <c r="K3" s="90">
        <v>21</v>
      </c>
      <c r="L3" s="90">
        <v>3</v>
      </c>
      <c r="M3" s="90">
        <v>5.3550000000000004</v>
      </c>
      <c r="N3" s="104">
        <v>6</v>
      </c>
      <c r="O3" s="57">
        <v>7000</v>
      </c>
      <c r="P3" s="58">
        <f t="shared" ref="P3:P66" si="0">N3*O3</f>
        <v>42000</v>
      </c>
    </row>
    <row r="4" spans="1:16" ht="26.25" customHeight="1" x14ac:dyDescent="0.2">
      <c r="A4" s="100"/>
      <c r="B4" s="100" t="s">
        <v>1840</v>
      </c>
      <c r="C4" s="90" t="s">
        <v>1841</v>
      </c>
      <c r="D4" s="102" t="s">
        <v>57</v>
      </c>
      <c r="E4" s="91">
        <v>44542</v>
      </c>
      <c r="F4" s="90" t="s">
        <v>59</v>
      </c>
      <c r="G4" s="91">
        <v>44548</v>
      </c>
      <c r="H4" s="90" t="s">
        <v>1631</v>
      </c>
      <c r="I4" s="90">
        <v>103</v>
      </c>
      <c r="J4" s="90">
        <v>49</v>
      </c>
      <c r="K4" s="90">
        <v>13</v>
      </c>
      <c r="L4" s="90">
        <v>12</v>
      </c>
      <c r="M4" s="90">
        <v>16.402750000000001</v>
      </c>
      <c r="N4" s="104">
        <v>17</v>
      </c>
      <c r="O4" s="57">
        <v>7000</v>
      </c>
      <c r="P4" s="58">
        <f t="shared" si="0"/>
        <v>119000</v>
      </c>
    </row>
    <row r="5" spans="1:16" ht="26.25" customHeight="1" x14ac:dyDescent="0.2">
      <c r="A5" s="100"/>
      <c r="B5" s="100"/>
      <c r="C5" s="65" t="s">
        <v>1842</v>
      </c>
      <c r="D5" s="70" t="s">
        <v>57</v>
      </c>
      <c r="E5" s="12">
        <v>44542</v>
      </c>
      <c r="F5" s="68" t="s">
        <v>59</v>
      </c>
      <c r="G5" s="12">
        <v>44548</v>
      </c>
      <c r="H5" s="69" t="s">
        <v>1631</v>
      </c>
      <c r="I5" s="15">
        <v>35</v>
      </c>
      <c r="J5" s="15">
        <v>34</v>
      </c>
      <c r="K5" s="15">
        <v>25</v>
      </c>
      <c r="L5" s="15">
        <v>9</v>
      </c>
      <c r="M5" s="126">
        <v>7.4375</v>
      </c>
      <c r="N5" s="104">
        <v>10</v>
      </c>
      <c r="O5" s="57">
        <v>7000</v>
      </c>
      <c r="P5" s="58">
        <f t="shared" si="0"/>
        <v>70000</v>
      </c>
    </row>
    <row r="6" spans="1:16" ht="26.25" customHeight="1" x14ac:dyDescent="0.2">
      <c r="A6" s="100"/>
      <c r="B6" s="100"/>
      <c r="C6" s="65" t="s">
        <v>1843</v>
      </c>
      <c r="D6" s="70" t="s">
        <v>57</v>
      </c>
      <c r="E6" s="12">
        <v>44542</v>
      </c>
      <c r="F6" s="68" t="s">
        <v>59</v>
      </c>
      <c r="G6" s="12">
        <v>44548</v>
      </c>
      <c r="H6" s="69" t="s">
        <v>1631</v>
      </c>
      <c r="I6" s="15">
        <v>50</v>
      </c>
      <c r="J6" s="15">
        <v>42</v>
      </c>
      <c r="K6" s="15">
        <v>33</v>
      </c>
      <c r="L6" s="15">
        <v>9</v>
      </c>
      <c r="M6" s="126">
        <v>17.324999999999999</v>
      </c>
      <c r="N6" s="104">
        <v>18</v>
      </c>
      <c r="O6" s="57">
        <v>7000</v>
      </c>
      <c r="P6" s="58">
        <f t="shared" si="0"/>
        <v>126000</v>
      </c>
    </row>
    <row r="7" spans="1:16" ht="26.25" customHeight="1" x14ac:dyDescent="0.2">
      <c r="A7" s="100"/>
      <c r="B7" s="100"/>
      <c r="C7" s="65" t="s">
        <v>1844</v>
      </c>
      <c r="D7" s="70" t="s">
        <v>57</v>
      </c>
      <c r="E7" s="12">
        <v>44542</v>
      </c>
      <c r="F7" s="68" t="s">
        <v>59</v>
      </c>
      <c r="G7" s="12">
        <v>44548</v>
      </c>
      <c r="H7" s="69" t="s">
        <v>1631</v>
      </c>
      <c r="I7" s="15">
        <v>64</v>
      </c>
      <c r="J7" s="15">
        <v>64</v>
      </c>
      <c r="K7" s="15">
        <v>71</v>
      </c>
      <c r="L7" s="15">
        <v>50</v>
      </c>
      <c r="M7" s="126">
        <v>72.703999999999994</v>
      </c>
      <c r="N7" s="104">
        <v>72.703999999999994</v>
      </c>
      <c r="O7" s="57">
        <v>7000</v>
      </c>
      <c r="P7" s="58">
        <f t="shared" si="0"/>
        <v>508927.99999999994</v>
      </c>
    </row>
    <row r="8" spans="1:16" ht="26.25" customHeight="1" x14ac:dyDescent="0.2">
      <c r="A8" s="100"/>
      <c r="B8" s="100"/>
      <c r="C8" s="65" t="s">
        <v>1845</v>
      </c>
      <c r="D8" s="70" t="s">
        <v>57</v>
      </c>
      <c r="E8" s="12">
        <v>44542</v>
      </c>
      <c r="F8" s="68" t="s">
        <v>59</v>
      </c>
      <c r="G8" s="12">
        <v>44548</v>
      </c>
      <c r="H8" s="69" t="s">
        <v>1631</v>
      </c>
      <c r="I8" s="15">
        <v>32</v>
      </c>
      <c r="J8" s="15">
        <v>25</v>
      </c>
      <c r="K8" s="15">
        <v>20</v>
      </c>
      <c r="L8" s="15">
        <v>8</v>
      </c>
      <c r="M8" s="126">
        <v>4</v>
      </c>
      <c r="N8" s="104">
        <v>8</v>
      </c>
      <c r="O8" s="57">
        <v>7000</v>
      </c>
      <c r="P8" s="58">
        <f t="shared" si="0"/>
        <v>56000</v>
      </c>
    </row>
    <row r="9" spans="1:16" ht="26.25" customHeight="1" x14ac:dyDescent="0.2">
      <c r="A9" s="100"/>
      <c r="B9" s="100"/>
      <c r="C9" s="65" t="s">
        <v>1846</v>
      </c>
      <c r="D9" s="70" t="s">
        <v>57</v>
      </c>
      <c r="E9" s="12">
        <v>44542</v>
      </c>
      <c r="F9" s="68" t="s">
        <v>59</v>
      </c>
      <c r="G9" s="12">
        <v>44548</v>
      </c>
      <c r="H9" s="69" t="s">
        <v>1631</v>
      </c>
      <c r="I9" s="15">
        <v>59</v>
      </c>
      <c r="J9" s="15">
        <v>32</v>
      </c>
      <c r="K9" s="15">
        <v>25</v>
      </c>
      <c r="L9" s="15">
        <v>14</v>
      </c>
      <c r="M9" s="126">
        <v>11.8</v>
      </c>
      <c r="N9" s="104">
        <v>14</v>
      </c>
      <c r="O9" s="57">
        <v>7000</v>
      </c>
      <c r="P9" s="58">
        <f t="shared" si="0"/>
        <v>98000</v>
      </c>
    </row>
    <row r="10" spans="1:16" ht="26.25" customHeight="1" x14ac:dyDescent="0.2">
      <c r="A10" s="100"/>
      <c r="B10" s="100"/>
      <c r="C10" s="65" t="s">
        <v>1847</v>
      </c>
      <c r="D10" s="70" t="s">
        <v>57</v>
      </c>
      <c r="E10" s="12">
        <v>44542</v>
      </c>
      <c r="F10" s="68" t="s">
        <v>59</v>
      </c>
      <c r="G10" s="12">
        <v>44548</v>
      </c>
      <c r="H10" s="69" t="s">
        <v>1631</v>
      </c>
      <c r="I10" s="15">
        <v>50</v>
      </c>
      <c r="J10" s="15">
        <v>32</v>
      </c>
      <c r="K10" s="15">
        <v>105</v>
      </c>
      <c r="L10" s="15">
        <v>30</v>
      </c>
      <c r="M10" s="126">
        <v>42</v>
      </c>
      <c r="N10" s="104">
        <v>42</v>
      </c>
      <c r="O10" s="57">
        <v>7000</v>
      </c>
      <c r="P10" s="58">
        <f t="shared" si="0"/>
        <v>294000</v>
      </c>
    </row>
    <row r="11" spans="1:16" ht="26.25" customHeight="1" x14ac:dyDescent="0.2">
      <c r="A11" s="100"/>
      <c r="B11" s="100"/>
      <c r="C11" s="65" t="s">
        <v>1848</v>
      </c>
      <c r="D11" s="70" t="s">
        <v>57</v>
      </c>
      <c r="E11" s="12">
        <v>44542</v>
      </c>
      <c r="F11" s="68" t="s">
        <v>59</v>
      </c>
      <c r="G11" s="12">
        <v>44548</v>
      </c>
      <c r="H11" s="69" t="s">
        <v>1631</v>
      </c>
      <c r="I11" s="15">
        <v>50</v>
      </c>
      <c r="J11" s="15">
        <v>45</v>
      </c>
      <c r="K11" s="15">
        <v>45</v>
      </c>
      <c r="L11" s="15">
        <v>17</v>
      </c>
      <c r="M11" s="126">
        <v>25.3125</v>
      </c>
      <c r="N11" s="104">
        <v>26</v>
      </c>
      <c r="O11" s="57">
        <v>7000</v>
      </c>
      <c r="P11" s="58">
        <f t="shared" si="0"/>
        <v>182000</v>
      </c>
    </row>
    <row r="12" spans="1:16" ht="26.25" customHeight="1" x14ac:dyDescent="0.2">
      <c r="A12" s="100"/>
      <c r="B12" s="101"/>
      <c r="C12" s="65" t="s">
        <v>1849</v>
      </c>
      <c r="D12" s="70" t="s">
        <v>57</v>
      </c>
      <c r="E12" s="12">
        <v>44542</v>
      </c>
      <c r="F12" s="68" t="s">
        <v>59</v>
      </c>
      <c r="G12" s="12">
        <v>44548</v>
      </c>
      <c r="H12" s="69" t="s">
        <v>1631</v>
      </c>
      <c r="I12" s="15">
        <v>50</v>
      </c>
      <c r="J12" s="15">
        <v>30</v>
      </c>
      <c r="K12" s="15">
        <v>21</v>
      </c>
      <c r="L12" s="15">
        <v>15</v>
      </c>
      <c r="M12" s="126">
        <v>7.875</v>
      </c>
      <c r="N12" s="104">
        <v>15</v>
      </c>
      <c r="O12" s="57">
        <v>7000</v>
      </c>
      <c r="P12" s="58">
        <f t="shared" si="0"/>
        <v>105000</v>
      </c>
    </row>
    <row r="13" spans="1:16" ht="26.25" customHeight="1" x14ac:dyDescent="0.2">
      <c r="A13" s="100"/>
      <c r="B13" s="100" t="s">
        <v>1850</v>
      </c>
      <c r="C13" s="65" t="s">
        <v>1851</v>
      </c>
      <c r="D13" s="70" t="s">
        <v>57</v>
      </c>
      <c r="E13" s="12">
        <v>44542</v>
      </c>
      <c r="F13" s="68" t="s">
        <v>59</v>
      </c>
      <c r="G13" s="12">
        <v>44548</v>
      </c>
      <c r="H13" s="69" t="s">
        <v>1631</v>
      </c>
      <c r="I13" s="15">
        <v>71</v>
      </c>
      <c r="J13" s="15">
        <v>52</v>
      </c>
      <c r="K13" s="15">
        <v>22</v>
      </c>
      <c r="L13" s="15">
        <v>10</v>
      </c>
      <c r="M13" s="126">
        <v>20.306000000000001</v>
      </c>
      <c r="N13" s="104">
        <v>21</v>
      </c>
      <c r="O13" s="57">
        <v>7000</v>
      </c>
      <c r="P13" s="58">
        <f t="shared" si="0"/>
        <v>147000</v>
      </c>
    </row>
    <row r="14" spans="1:16" ht="26.25" customHeight="1" x14ac:dyDescent="0.2">
      <c r="A14" s="100"/>
      <c r="B14" s="100"/>
      <c r="C14" s="65" t="s">
        <v>1852</v>
      </c>
      <c r="D14" s="70" t="s">
        <v>57</v>
      </c>
      <c r="E14" s="12">
        <v>44542</v>
      </c>
      <c r="F14" s="68" t="s">
        <v>59</v>
      </c>
      <c r="G14" s="12">
        <v>44548</v>
      </c>
      <c r="H14" s="69" t="s">
        <v>1631</v>
      </c>
      <c r="I14" s="15">
        <v>70</v>
      </c>
      <c r="J14" s="15">
        <v>53</v>
      </c>
      <c r="K14" s="15">
        <v>30</v>
      </c>
      <c r="L14" s="15">
        <v>7</v>
      </c>
      <c r="M14" s="126">
        <v>27.824999999999999</v>
      </c>
      <c r="N14" s="104">
        <v>27.824999999999999</v>
      </c>
      <c r="O14" s="57">
        <v>7000</v>
      </c>
      <c r="P14" s="58">
        <f t="shared" si="0"/>
        <v>194775</v>
      </c>
    </row>
    <row r="15" spans="1:16" ht="26.25" customHeight="1" x14ac:dyDescent="0.2">
      <c r="A15" s="100"/>
      <c r="B15" s="100"/>
      <c r="C15" s="65" t="s">
        <v>1853</v>
      </c>
      <c r="D15" s="70" t="s">
        <v>57</v>
      </c>
      <c r="E15" s="12">
        <v>44542</v>
      </c>
      <c r="F15" s="68" t="s">
        <v>59</v>
      </c>
      <c r="G15" s="12">
        <v>44548</v>
      </c>
      <c r="H15" s="69" t="s">
        <v>1631</v>
      </c>
      <c r="I15" s="15">
        <v>96</v>
      </c>
      <c r="J15" s="15">
        <v>64</v>
      </c>
      <c r="K15" s="15">
        <v>28</v>
      </c>
      <c r="L15" s="15">
        <v>23</v>
      </c>
      <c r="M15" s="126">
        <v>43.008000000000003</v>
      </c>
      <c r="N15" s="104">
        <v>43.008000000000003</v>
      </c>
      <c r="O15" s="57">
        <v>7000</v>
      </c>
      <c r="P15" s="58">
        <f t="shared" si="0"/>
        <v>301056</v>
      </c>
    </row>
    <row r="16" spans="1:16" ht="26.25" customHeight="1" x14ac:dyDescent="0.2">
      <c r="A16" s="100"/>
      <c r="B16" s="100"/>
      <c r="C16" s="65" t="s">
        <v>1854</v>
      </c>
      <c r="D16" s="70" t="s">
        <v>57</v>
      </c>
      <c r="E16" s="12">
        <v>44542</v>
      </c>
      <c r="F16" s="68" t="s">
        <v>59</v>
      </c>
      <c r="G16" s="12">
        <v>44548</v>
      </c>
      <c r="H16" s="69" t="s">
        <v>1631</v>
      </c>
      <c r="I16" s="15">
        <v>90</v>
      </c>
      <c r="J16" s="15">
        <v>52</v>
      </c>
      <c r="K16" s="15">
        <v>40</v>
      </c>
      <c r="L16" s="15">
        <v>24</v>
      </c>
      <c r="M16" s="126">
        <v>46.8</v>
      </c>
      <c r="N16" s="104">
        <v>46.8</v>
      </c>
      <c r="O16" s="57">
        <v>7000</v>
      </c>
      <c r="P16" s="58">
        <f t="shared" si="0"/>
        <v>327600</v>
      </c>
    </row>
    <row r="17" spans="1:16" ht="26.25" customHeight="1" x14ac:dyDescent="0.2">
      <c r="A17" s="100"/>
      <c r="B17" s="100"/>
      <c r="C17" s="65" t="s">
        <v>1855</v>
      </c>
      <c r="D17" s="70" t="s">
        <v>57</v>
      </c>
      <c r="E17" s="12">
        <v>44542</v>
      </c>
      <c r="F17" s="68" t="s">
        <v>59</v>
      </c>
      <c r="G17" s="12">
        <v>44548</v>
      </c>
      <c r="H17" s="69" t="s">
        <v>1631</v>
      </c>
      <c r="I17" s="15">
        <v>40</v>
      </c>
      <c r="J17" s="15">
        <v>32</v>
      </c>
      <c r="K17" s="15">
        <v>15</v>
      </c>
      <c r="L17" s="15">
        <v>2</v>
      </c>
      <c r="M17" s="126">
        <v>4.8</v>
      </c>
      <c r="N17" s="104">
        <v>4.8</v>
      </c>
      <c r="O17" s="57">
        <v>7000</v>
      </c>
      <c r="P17" s="58">
        <f t="shared" si="0"/>
        <v>33600</v>
      </c>
    </row>
    <row r="18" spans="1:16" ht="26.25" customHeight="1" x14ac:dyDescent="0.2">
      <c r="A18" s="100"/>
      <c r="B18" s="100"/>
      <c r="C18" s="65" t="s">
        <v>1856</v>
      </c>
      <c r="D18" s="70" t="s">
        <v>57</v>
      </c>
      <c r="E18" s="12">
        <v>44542</v>
      </c>
      <c r="F18" s="68" t="s">
        <v>59</v>
      </c>
      <c r="G18" s="12">
        <v>44548</v>
      </c>
      <c r="H18" s="69" t="s">
        <v>1631</v>
      </c>
      <c r="I18" s="15">
        <v>101</v>
      </c>
      <c r="J18" s="15">
        <v>60</v>
      </c>
      <c r="K18" s="15">
        <v>31</v>
      </c>
      <c r="L18" s="15">
        <v>22</v>
      </c>
      <c r="M18" s="126">
        <v>46.965000000000003</v>
      </c>
      <c r="N18" s="104">
        <v>46.965000000000003</v>
      </c>
      <c r="O18" s="57">
        <v>7000</v>
      </c>
      <c r="P18" s="58">
        <f t="shared" si="0"/>
        <v>328755</v>
      </c>
    </row>
    <row r="19" spans="1:16" ht="26.25" customHeight="1" x14ac:dyDescent="0.2">
      <c r="A19" s="100"/>
      <c r="B19" s="100"/>
      <c r="C19" s="65" t="s">
        <v>1857</v>
      </c>
      <c r="D19" s="70" t="s">
        <v>57</v>
      </c>
      <c r="E19" s="12">
        <v>44542</v>
      </c>
      <c r="F19" s="68" t="s">
        <v>59</v>
      </c>
      <c r="G19" s="12">
        <v>44548</v>
      </c>
      <c r="H19" s="69" t="s">
        <v>1631</v>
      </c>
      <c r="I19" s="15">
        <v>56</v>
      </c>
      <c r="J19" s="15">
        <v>31</v>
      </c>
      <c r="K19" s="15">
        <v>20</v>
      </c>
      <c r="L19" s="15">
        <v>6</v>
      </c>
      <c r="M19" s="126">
        <v>8.68</v>
      </c>
      <c r="N19" s="104">
        <v>8.68</v>
      </c>
      <c r="O19" s="57">
        <v>7000</v>
      </c>
      <c r="P19" s="58">
        <f t="shared" si="0"/>
        <v>60760</v>
      </c>
    </row>
    <row r="20" spans="1:16" ht="26.25" customHeight="1" x14ac:dyDescent="0.2">
      <c r="A20" s="100"/>
      <c r="B20" s="100"/>
      <c r="C20" s="65" t="s">
        <v>1858</v>
      </c>
      <c r="D20" s="70" t="s">
        <v>57</v>
      </c>
      <c r="E20" s="12">
        <v>44542</v>
      </c>
      <c r="F20" s="68" t="s">
        <v>59</v>
      </c>
      <c r="G20" s="12">
        <v>44548</v>
      </c>
      <c r="H20" s="69" t="s">
        <v>1631</v>
      </c>
      <c r="I20" s="15">
        <v>35</v>
      </c>
      <c r="J20" s="15">
        <v>28</v>
      </c>
      <c r="K20" s="15">
        <v>26</v>
      </c>
      <c r="L20" s="15">
        <v>5</v>
      </c>
      <c r="M20" s="126">
        <v>6.37</v>
      </c>
      <c r="N20" s="104">
        <v>7</v>
      </c>
      <c r="O20" s="57">
        <v>7000</v>
      </c>
      <c r="P20" s="58">
        <f t="shared" si="0"/>
        <v>49000</v>
      </c>
    </row>
    <row r="21" spans="1:16" ht="26.25" customHeight="1" x14ac:dyDescent="0.2">
      <c r="A21" s="100"/>
      <c r="B21" s="100"/>
      <c r="C21" s="65" t="s">
        <v>1859</v>
      </c>
      <c r="D21" s="70" t="s">
        <v>57</v>
      </c>
      <c r="E21" s="12">
        <v>44542</v>
      </c>
      <c r="F21" s="68" t="s">
        <v>59</v>
      </c>
      <c r="G21" s="12">
        <v>44548</v>
      </c>
      <c r="H21" s="69" t="s">
        <v>1631</v>
      </c>
      <c r="I21" s="15">
        <v>54</v>
      </c>
      <c r="J21" s="15">
        <v>60</v>
      </c>
      <c r="K21" s="15">
        <v>22</v>
      </c>
      <c r="L21" s="15">
        <v>2</v>
      </c>
      <c r="M21" s="126">
        <v>17.82</v>
      </c>
      <c r="N21" s="104">
        <v>17.82</v>
      </c>
      <c r="O21" s="57">
        <v>7000</v>
      </c>
      <c r="P21" s="58">
        <f t="shared" si="0"/>
        <v>124740</v>
      </c>
    </row>
    <row r="22" spans="1:16" ht="26.25" customHeight="1" x14ac:dyDescent="0.2">
      <c r="A22" s="100"/>
      <c r="B22" s="100"/>
      <c r="C22" s="65" t="s">
        <v>1860</v>
      </c>
      <c r="D22" s="70" t="s">
        <v>57</v>
      </c>
      <c r="E22" s="12">
        <v>44542</v>
      </c>
      <c r="F22" s="68" t="s">
        <v>59</v>
      </c>
      <c r="G22" s="12">
        <v>44548</v>
      </c>
      <c r="H22" s="69" t="s">
        <v>1631</v>
      </c>
      <c r="I22" s="15">
        <v>72</v>
      </c>
      <c r="J22" s="15">
        <v>58</v>
      </c>
      <c r="K22" s="15">
        <v>7</v>
      </c>
      <c r="L22" s="15">
        <v>5</v>
      </c>
      <c r="M22" s="126">
        <v>7.3079999999999998</v>
      </c>
      <c r="N22" s="104">
        <v>8</v>
      </c>
      <c r="O22" s="57">
        <v>7000</v>
      </c>
      <c r="P22" s="58">
        <f t="shared" si="0"/>
        <v>56000</v>
      </c>
    </row>
    <row r="23" spans="1:16" ht="26.25" customHeight="1" x14ac:dyDescent="0.2">
      <c r="A23" s="100"/>
      <c r="B23" s="100"/>
      <c r="C23" s="65" t="s">
        <v>1861</v>
      </c>
      <c r="D23" s="70" t="s">
        <v>57</v>
      </c>
      <c r="E23" s="12">
        <v>44542</v>
      </c>
      <c r="F23" s="68" t="s">
        <v>59</v>
      </c>
      <c r="G23" s="12">
        <v>44548</v>
      </c>
      <c r="H23" s="69" t="s">
        <v>1631</v>
      </c>
      <c r="I23" s="15">
        <v>71</v>
      </c>
      <c r="J23" s="15">
        <v>61</v>
      </c>
      <c r="K23" s="15">
        <v>16</v>
      </c>
      <c r="L23" s="15">
        <v>8</v>
      </c>
      <c r="M23" s="126">
        <v>17.324000000000002</v>
      </c>
      <c r="N23" s="104">
        <v>18</v>
      </c>
      <c r="O23" s="57">
        <v>7000</v>
      </c>
      <c r="P23" s="58">
        <f t="shared" si="0"/>
        <v>126000</v>
      </c>
    </row>
    <row r="24" spans="1:16" ht="26.25" customHeight="1" x14ac:dyDescent="0.2">
      <c r="A24" s="100"/>
      <c r="B24" s="100"/>
      <c r="C24" s="65" t="s">
        <v>1862</v>
      </c>
      <c r="D24" s="70" t="s">
        <v>57</v>
      </c>
      <c r="E24" s="12">
        <v>44542</v>
      </c>
      <c r="F24" s="68" t="s">
        <v>59</v>
      </c>
      <c r="G24" s="12">
        <v>44548</v>
      </c>
      <c r="H24" s="69" t="s">
        <v>1631</v>
      </c>
      <c r="I24" s="15">
        <v>30</v>
      </c>
      <c r="J24" s="15">
        <v>30</v>
      </c>
      <c r="K24" s="15">
        <v>30</v>
      </c>
      <c r="L24" s="15">
        <v>10</v>
      </c>
      <c r="M24" s="126">
        <v>6.75</v>
      </c>
      <c r="N24" s="104">
        <v>10</v>
      </c>
      <c r="O24" s="57">
        <v>7000</v>
      </c>
      <c r="P24" s="58">
        <f t="shared" si="0"/>
        <v>70000</v>
      </c>
    </row>
    <row r="25" spans="1:16" ht="26.25" customHeight="1" x14ac:dyDescent="0.2">
      <c r="A25" s="100"/>
      <c r="B25" s="100"/>
      <c r="C25" s="65" t="s">
        <v>1863</v>
      </c>
      <c r="D25" s="70" t="s">
        <v>57</v>
      </c>
      <c r="E25" s="12">
        <v>44542</v>
      </c>
      <c r="F25" s="68" t="s">
        <v>59</v>
      </c>
      <c r="G25" s="12">
        <v>44548</v>
      </c>
      <c r="H25" s="69" t="s">
        <v>1631</v>
      </c>
      <c r="I25" s="15">
        <v>72</v>
      </c>
      <c r="J25" s="15">
        <v>20</v>
      </c>
      <c r="K25" s="15">
        <v>26</v>
      </c>
      <c r="L25" s="15">
        <v>7</v>
      </c>
      <c r="M25" s="126">
        <v>9.36</v>
      </c>
      <c r="N25" s="104">
        <v>10</v>
      </c>
      <c r="O25" s="57">
        <v>7000</v>
      </c>
      <c r="P25" s="58">
        <f t="shared" si="0"/>
        <v>70000</v>
      </c>
    </row>
    <row r="26" spans="1:16" ht="26.25" customHeight="1" x14ac:dyDescent="0.2">
      <c r="A26" s="100"/>
      <c r="B26" s="100"/>
      <c r="C26" s="65" t="s">
        <v>1864</v>
      </c>
      <c r="D26" s="70" t="s">
        <v>57</v>
      </c>
      <c r="E26" s="12">
        <v>44542</v>
      </c>
      <c r="F26" s="68" t="s">
        <v>59</v>
      </c>
      <c r="G26" s="12">
        <v>44548</v>
      </c>
      <c r="H26" s="69" t="s">
        <v>1631</v>
      </c>
      <c r="I26" s="15">
        <v>93</v>
      </c>
      <c r="J26" s="15">
        <v>40</v>
      </c>
      <c r="K26" s="15">
        <v>12</v>
      </c>
      <c r="L26" s="15">
        <v>19</v>
      </c>
      <c r="M26" s="126">
        <v>11.16</v>
      </c>
      <c r="N26" s="104">
        <v>19</v>
      </c>
      <c r="O26" s="57">
        <v>7000</v>
      </c>
      <c r="P26" s="58">
        <f t="shared" si="0"/>
        <v>133000</v>
      </c>
    </row>
    <row r="27" spans="1:16" ht="26.25" customHeight="1" x14ac:dyDescent="0.2">
      <c r="A27" s="100"/>
      <c r="B27" s="100"/>
      <c r="C27" s="65" t="s">
        <v>1865</v>
      </c>
      <c r="D27" s="70" t="s">
        <v>57</v>
      </c>
      <c r="E27" s="12">
        <v>44542</v>
      </c>
      <c r="F27" s="68" t="s">
        <v>59</v>
      </c>
      <c r="G27" s="12">
        <v>44548</v>
      </c>
      <c r="H27" s="69" t="s">
        <v>1631</v>
      </c>
      <c r="I27" s="15">
        <v>40</v>
      </c>
      <c r="J27" s="15">
        <v>32</v>
      </c>
      <c r="K27" s="15">
        <v>25</v>
      </c>
      <c r="L27" s="15">
        <v>3</v>
      </c>
      <c r="M27" s="126">
        <v>8</v>
      </c>
      <c r="N27" s="104">
        <v>8</v>
      </c>
      <c r="O27" s="57">
        <v>7000</v>
      </c>
      <c r="P27" s="58">
        <f t="shared" si="0"/>
        <v>56000</v>
      </c>
    </row>
    <row r="28" spans="1:16" ht="26.25" customHeight="1" x14ac:dyDescent="0.2">
      <c r="A28" s="100"/>
      <c r="B28" s="100"/>
      <c r="C28" s="65" t="s">
        <v>1866</v>
      </c>
      <c r="D28" s="70" t="s">
        <v>57</v>
      </c>
      <c r="E28" s="12">
        <v>44542</v>
      </c>
      <c r="F28" s="68" t="s">
        <v>59</v>
      </c>
      <c r="G28" s="12">
        <v>44548</v>
      </c>
      <c r="H28" s="69" t="s">
        <v>1631</v>
      </c>
      <c r="I28" s="15">
        <v>24</v>
      </c>
      <c r="J28" s="15">
        <v>21</v>
      </c>
      <c r="K28" s="15">
        <v>20</v>
      </c>
      <c r="L28" s="15">
        <v>2</v>
      </c>
      <c r="M28" s="126">
        <v>2.52</v>
      </c>
      <c r="N28" s="104">
        <v>2.52</v>
      </c>
      <c r="O28" s="57">
        <v>7000</v>
      </c>
      <c r="P28" s="58">
        <f t="shared" si="0"/>
        <v>17640</v>
      </c>
    </row>
    <row r="29" spans="1:16" ht="26.25" customHeight="1" x14ac:dyDescent="0.2">
      <c r="A29" s="100"/>
      <c r="B29" s="100"/>
      <c r="C29" s="65" t="s">
        <v>1867</v>
      </c>
      <c r="D29" s="70" t="s">
        <v>57</v>
      </c>
      <c r="E29" s="12">
        <v>44542</v>
      </c>
      <c r="F29" s="68" t="s">
        <v>59</v>
      </c>
      <c r="G29" s="12">
        <v>44548</v>
      </c>
      <c r="H29" s="69" t="s">
        <v>1631</v>
      </c>
      <c r="I29" s="15">
        <v>32</v>
      </c>
      <c r="J29" s="15">
        <v>15</v>
      </c>
      <c r="K29" s="15">
        <v>10</v>
      </c>
      <c r="L29" s="15">
        <v>5</v>
      </c>
      <c r="M29" s="126">
        <v>1.2</v>
      </c>
      <c r="N29" s="104">
        <v>5</v>
      </c>
      <c r="O29" s="57">
        <v>7000</v>
      </c>
      <c r="P29" s="58">
        <f t="shared" si="0"/>
        <v>35000</v>
      </c>
    </row>
    <row r="30" spans="1:16" ht="26.25" customHeight="1" x14ac:dyDescent="0.2">
      <c r="A30" s="100"/>
      <c r="B30" s="100"/>
      <c r="C30" s="65" t="s">
        <v>1868</v>
      </c>
      <c r="D30" s="70" t="s">
        <v>57</v>
      </c>
      <c r="E30" s="12">
        <v>44542</v>
      </c>
      <c r="F30" s="68" t="s">
        <v>59</v>
      </c>
      <c r="G30" s="12">
        <v>44548</v>
      </c>
      <c r="H30" s="69" t="s">
        <v>1631</v>
      </c>
      <c r="I30" s="15">
        <v>98</v>
      </c>
      <c r="J30" s="15">
        <v>52</v>
      </c>
      <c r="K30" s="15">
        <v>20</v>
      </c>
      <c r="L30" s="15">
        <v>29</v>
      </c>
      <c r="M30" s="126">
        <v>25.48</v>
      </c>
      <c r="N30" s="104">
        <v>30</v>
      </c>
      <c r="O30" s="57">
        <v>7000</v>
      </c>
      <c r="P30" s="58">
        <f t="shared" si="0"/>
        <v>210000</v>
      </c>
    </row>
    <row r="31" spans="1:16" ht="26.25" customHeight="1" x14ac:dyDescent="0.2">
      <c r="A31" s="100"/>
      <c r="B31" s="100"/>
      <c r="C31" s="65" t="s">
        <v>1869</v>
      </c>
      <c r="D31" s="70" t="s">
        <v>57</v>
      </c>
      <c r="E31" s="12">
        <v>44542</v>
      </c>
      <c r="F31" s="68" t="s">
        <v>59</v>
      </c>
      <c r="G31" s="12">
        <v>44548</v>
      </c>
      <c r="H31" s="69" t="s">
        <v>1631</v>
      </c>
      <c r="I31" s="15">
        <v>75</v>
      </c>
      <c r="J31" s="15">
        <v>52</v>
      </c>
      <c r="K31" s="15">
        <v>20</v>
      </c>
      <c r="L31" s="15">
        <v>8</v>
      </c>
      <c r="M31" s="126">
        <v>19.5</v>
      </c>
      <c r="N31" s="104">
        <v>21</v>
      </c>
      <c r="O31" s="57">
        <v>7000</v>
      </c>
      <c r="P31" s="58">
        <f t="shared" si="0"/>
        <v>147000</v>
      </c>
    </row>
    <row r="32" spans="1:16" ht="26.25" customHeight="1" x14ac:dyDescent="0.2">
      <c r="A32" s="100"/>
      <c r="B32" s="100"/>
      <c r="C32" s="65" t="s">
        <v>1870</v>
      </c>
      <c r="D32" s="70" t="s">
        <v>57</v>
      </c>
      <c r="E32" s="12">
        <v>44542</v>
      </c>
      <c r="F32" s="68" t="s">
        <v>59</v>
      </c>
      <c r="G32" s="12">
        <v>44548</v>
      </c>
      <c r="H32" s="69" t="s">
        <v>1631</v>
      </c>
      <c r="I32" s="15">
        <v>73</v>
      </c>
      <c r="J32" s="15">
        <v>92</v>
      </c>
      <c r="K32" s="15">
        <v>22</v>
      </c>
      <c r="L32" s="15">
        <v>14</v>
      </c>
      <c r="M32" s="126">
        <v>36.938000000000002</v>
      </c>
      <c r="N32" s="104">
        <v>36.938000000000002</v>
      </c>
      <c r="O32" s="57">
        <v>7000</v>
      </c>
      <c r="P32" s="58">
        <f t="shared" si="0"/>
        <v>258566.00000000003</v>
      </c>
    </row>
    <row r="33" spans="1:16" ht="26.25" customHeight="1" x14ac:dyDescent="0.2">
      <c r="A33" s="100"/>
      <c r="B33" s="100"/>
      <c r="C33" s="65" t="s">
        <v>1871</v>
      </c>
      <c r="D33" s="70" t="s">
        <v>57</v>
      </c>
      <c r="E33" s="12">
        <v>44542</v>
      </c>
      <c r="F33" s="68" t="s">
        <v>59</v>
      </c>
      <c r="G33" s="12">
        <v>44548</v>
      </c>
      <c r="H33" s="69" t="s">
        <v>1631</v>
      </c>
      <c r="I33" s="15">
        <v>101</v>
      </c>
      <c r="J33" s="15">
        <v>52</v>
      </c>
      <c r="K33" s="15">
        <v>22</v>
      </c>
      <c r="L33" s="15">
        <v>9</v>
      </c>
      <c r="M33" s="126">
        <v>28.885999999999999</v>
      </c>
      <c r="N33" s="104">
        <v>28.885999999999999</v>
      </c>
      <c r="O33" s="57">
        <v>7000</v>
      </c>
      <c r="P33" s="58">
        <f t="shared" si="0"/>
        <v>202202</v>
      </c>
    </row>
    <row r="34" spans="1:16" ht="26.25" customHeight="1" x14ac:dyDescent="0.2">
      <c r="A34" s="100"/>
      <c r="B34" s="100"/>
      <c r="C34" s="65" t="s">
        <v>1872</v>
      </c>
      <c r="D34" s="70" t="s">
        <v>57</v>
      </c>
      <c r="E34" s="12">
        <v>44542</v>
      </c>
      <c r="F34" s="68" t="s">
        <v>59</v>
      </c>
      <c r="G34" s="12">
        <v>44548</v>
      </c>
      <c r="H34" s="69" t="s">
        <v>1631</v>
      </c>
      <c r="I34" s="15">
        <v>71</v>
      </c>
      <c r="J34" s="15">
        <v>52</v>
      </c>
      <c r="K34" s="15">
        <v>19</v>
      </c>
      <c r="L34" s="15">
        <v>10</v>
      </c>
      <c r="M34" s="126">
        <v>17.536999999999999</v>
      </c>
      <c r="N34" s="104">
        <v>17.536999999999999</v>
      </c>
      <c r="O34" s="57">
        <v>7000</v>
      </c>
      <c r="P34" s="58">
        <f t="shared" si="0"/>
        <v>122759</v>
      </c>
    </row>
    <row r="35" spans="1:16" ht="26.25" customHeight="1" x14ac:dyDescent="0.2">
      <c r="A35" s="100"/>
      <c r="B35" s="100"/>
      <c r="C35" s="65" t="s">
        <v>1873</v>
      </c>
      <c r="D35" s="70" t="s">
        <v>57</v>
      </c>
      <c r="E35" s="12">
        <v>44542</v>
      </c>
      <c r="F35" s="68" t="s">
        <v>59</v>
      </c>
      <c r="G35" s="12">
        <v>44548</v>
      </c>
      <c r="H35" s="69" t="s">
        <v>1631</v>
      </c>
      <c r="I35" s="15">
        <v>60</v>
      </c>
      <c r="J35" s="15">
        <v>63</v>
      </c>
      <c r="K35" s="15">
        <v>21</v>
      </c>
      <c r="L35" s="15">
        <v>9</v>
      </c>
      <c r="M35" s="126">
        <v>19.844999999999999</v>
      </c>
      <c r="N35" s="104">
        <v>19.844999999999999</v>
      </c>
      <c r="O35" s="57">
        <v>7000</v>
      </c>
      <c r="P35" s="58">
        <f t="shared" si="0"/>
        <v>138915</v>
      </c>
    </row>
    <row r="36" spans="1:16" ht="26.25" customHeight="1" x14ac:dyDescent="0.2">
      <c r="A36" s="100"/>
      <c r="B36" s="100"/>
      <c r="C36" s="65" t="s">
        <v>1874</v>
      </c>
      <c r="D36" s="70" t="s">
        <v>57</v>
      </c>
      <c r="E36" s="12">
        <v>44542</v>
      </c>
      <c r="F36" s="68" t="s">
        <v>59</v>
      </c>
      <c r="G36" s="12">
        <v>44548</v>
      </c>
      <c r="H36" s="69" t="s">
        <v>1631</v>
      </c>
      <c r="I36" s="15">
        <v>43</v>
      </c>
      <c r="J36" s="15">
        <v>32</v>
      </c>
      <c r="K36" s="15">
        <v>40</v>
      </c>
      <c r="L36" s="15">
        <v>25</v>
      </c>
      <c r="M36" s="126">
        <v>13.76</v>
      </c>
      <c r="N36" s="104">
        <v>25</v>
      </c>
      <c r="O36" s="57">
        <v>7000</v>
      </c>
      <c r="P36" s="58">
        <f t="shared" si="0"/>
        <v>175000</v>
      </c>
    </row>
    <row r="37" spans="1:16" ht="26.25" customHeight="1" x14ac:dyDescent="0.2">
      <c r="A37" s="100"/>
      <c r="B37" s="100"/>
      <c r="C37" s="65" t="s">
        <v>1875</v>
      </c>
      <c r="D37" s="70" t="s">
        <v>57</v>
      </c>
      <c r="E37" s="12">
        <v>44542</v>
      </c>
      <c r="F37" s="68" t="s">
        <v>59</v>
      </c>
      <c r="G37" s="12">
        <v>44548</v>
      </c>
      <c r="H37" s="69" t="s">
        <v>1631</v>
      </c>
      <c r="I37" s="15">
        <v>82</v>
      </c>
      <c r="J37" s="15">
        <v>90</v>
      </c>
      <c r="K37" s="15">
        <v>31</v>
      </c>
      <c r="L37" s="15">
        <v>18</v>
      </c>
      <c r="M37" s="126">
        <v>57.195</v>
      </c>
      <c r="N37" s="104">
        <v>57.195</v>
      </c>
      <c r="O37" s="57">
        <v>7000</v>
      </c>
      <c r="P37" s="58">
        <f t="shared" si="0"/>
        <v>400365</v>
      </c>
    </row>
    <row r="38" spans="1:16" ht="26.25" customHeight="1" x14ac:dyDescent="0.2">
      <c r="A38" s="100"/>
      <c r="B38" s="100"/>
      <c r="C38" s="65" t="s">
        <v>1876</v>
      </c>
      <c r="D38" s="70" t="s">
        <v>57</v>
      </c>
      <c r="E38" s="12">
        <v>44542</v>
      </c>
      <c r="F38" s="68" t="s">
        <v>59</v>
      </c>
      <c r="G38" s="12">
        <v>44548</v>
      </c>
      <c r="H38" s="69" t="s">
        <v>1631</v>
      </c>
      <c r="I38" s="15">
        <v>18</v>
      </c>
      <c r="J38" s="15">
        <v>13</v>
      </c>
      <c r="K38" s="15">
        <v>10</v>
      </c>
      <c r="L38" s="15">
        <v>1</v>
      </c>
      <c r="M38" s="126">
        <v>0.58499999999999996</v>
      </c>
      <c r="N38" s="104">
        <v>1</v>
      </c>
      <c r="O38" s="57">
        <v>7000</v>
      </c>
      <c r="P38" s="58">
        <f t="shared" si="0"/>
        <v>7000</v>
      </c>
    </row>
    <row r="39" spans="1:16" ht="26.25" customHeight="1" x14ac:dyDescent="0.2">
      <c r="A39" s="100"/>
      <c r="B39" s="100"/>
      <c r="C39" s="65" t="s">
        <v>1877</v>
      </c>
      <c r="D39" s="70" t="s">
        <v>57</v>
      </c>
      <c r="E39" s="12">
        <v>44542</v>
      </c>
      <c r="F39" s="68" t="s">
        <v>59</v>
      </c>
      <c r="G39" s="12">
        <v>44548</v>
      </c>
      <c r="H39" s="69" t="s">
        <v>1631</v>
      </c>
      <c r="I39" s="15">
        <v>73</v>
      </c>
      <c r="J39" s="15">
        <v>52</v>
      </c>
      <c r="K39" s="15">
        <v>21</v>
      </c>
      <c r="L39" s="15">
        <v>7</v>
      </c>
      <c r="M39" s="126">
        <v>19.928999999999998</v>
      </c>
      <c r="N39" s="104">
        <v>19.928999999999998</v>
      </c>
      <c r="O39" s="57">
        <v>7000</v>
      </c>
      <c r="P39" s="58">
        <f t="shared" si="0"/>
        <v>139503</v>
      </c>
    </row>
    <row r="40" spans="1:16" ht="26.25" customHeight="1" x14ac:dyDescent="0.2">
      <c r="A40" s="100"/>
      <c r="B40" s="100"/>
      <c r="C40" s="65" t="s">
        <v>1878</v>
      </c>
      <c r="D40" s="70" t="s">
        <v>57</v>
      </c>
      <c r="E40" s="12">
        <v>44542</v>
      </c>
      <c r="F40" s="68" t="s">
        <v>59</v>
      </c>
      <c r="G40" s="12">
        <v>44548</v>
      </c>
      <c r="H40" s="69" t="s">
        <v>1631</v>
      </c>
      <c r="I40" s="15">
        <v>63</v>
      </c>
      <c r="J40" s="15">
        <v>33</v>
      </c>
      <c r="K40" s="15">
        <v>20</v>
      </c>
      <c r="L40" s="15">
        <v>6</v>
      </c>
      <c r="M40" s="126">
        <v>10.395</v>
      </c>
      <c r="N40" s="104">
        <v>11</v>
      </c>
      <c r="O40" s="57">
        <v>7000</v>
      </c>
      <c r="P40" s="58">
        <f t="shared" si="0"/>
        <v>77000</v>
      </c>
    </row>
    <row r="41" spans="1:16" ht="26.25" customHeight="1" x14ac:dyDescent="0.2">
      <c r="A41" s="100"/>
      <c r="B41" s="100"/>
      <c r="C41" s="65" t="s">
        <v>1879</v>
      </c>
      <c r="D41" s="70" t="s">
        <v>57</v>
      </c>
      <c r="E41" s="12">
        <v>44542</v>
      </c>
      <c r="F41" s="68" t="s">
        <v>59</v>
      </c>
      <c r="G41" s="12">
        <v>44548</v>
      </c>
      <c r="H41" s="69" t="s">
        <v>1631</v>
      </c>
      <c r="I41" s="15">
        <v>50</v>
      </c>
      <c r="J41" s="15">
        <v>38</v>
      </c>
      <c r="K41" s="15">
        <v>25</v>
      </c>
      <c r="L41" s="15">
        <v>7</v>
      </c>
      <c r="M41" s="126">
        <v>11.875</v>
      </c>
      <c r="N41" s="104">
        <v>11.875</v>
      </c>
      <c r="O41" s="57">
        <v>7000</v>
      </c>
      <c r="P41" s="58">
        <f t="shared" si="0"/>
        <v>83125</v>
      </c>
    </row>
    <row r="42" spans="1:16" ht="26.25" customHeight="1" x14ac:dyDescent="0.2">
      <c r="A42" s="100"/>
      <c r="B42" s="100"/>
      <c r="C42" s="65" t="s">
        <v>1880</v>
      </c>
      <c r="D42" s="70" t="s">
        <v>57</v>
      </c>
      <c r="E42" s="12">
        <v>44542</v>
      </c>
      <c r="F42" s="68" t="s">
        <v>59</v>
      </c>
      <c r="G42" s="12">
        <v>44548</v>
      </c>
      <c r="H42" s="69" t="s">
        <v>1631</v>
      </c>
      <c r="I42" s="15">
        <v>102</v>
      </c>
      <c r="J42" s="15">
        <v>71</v>
      </c>
      <c r="K42" s="15">
        <v>24</v>
      </c>
      <c r="L42" s="15">
        <v>22</v>
      </c>
      <c r="M42" s="126">
        <v>43.451999999999998</v>
      </c>
      <c r="N42" s="104">
        <v>44</v>
      </c>
      <c r="O42" s="57">
        <v>7000</v>
      </c>
      <c r="P42" s="58">
        <f t="shared" si="0"/>
        <v>308000</v>
      </c>
    </row>
    <row r="43" spans="1:16" ht="26.25" customHeight="1" x14ac:dyDescent="0.2">
      <c r="A43" s="100"/>
      <c r="B43" s="100"/>
      <c r="C43" s="65" t="s">
        <v>1881</v>
      </c>
      <c r="D43" s="70" t="s">
        <v>57</v>
      </c>
      <c r="E43" s="12">
        <v>44542</v>
      </c>
      <c r="F43" s="68" t="s">
        <v>59</v>
      </c>
      <c r="G43" s="12">
        <v>44548</v>
      </c>
      <c r="H43" s="69" t="s">
        <v>1631</v>
      </c>
      <c r="I43" s="15">
        <v>65</v>
      </c>
      <c r="J43" s="15">
        <v>43</v>
      </c>
      <c r="K43" s="15">
        <v>12</v>
      </c>
      <c r="L43" s="15">
        <v>5</v>
      </c>
      <c r="M43" s="126">
        <v>8.3849999999999998</v>
      </c>
      <c r="N43" s="104">
        <v>9</v>
      </c>
      <c r="O43" s="57">
        <v>7000</v>
      </c>
      <c r="P43" s="58">
        <f t="shared" si="0"/>
        <v>63000</v>
      </c>
    </row>
    <row r="44" spans="1:16" ht="26.25" customHeight="1" x14ac:dyDescent="0.2">
      <c r="A44" s="100"/>
      <c r="B44" s="100"/>
      <c r="C44" s="65" t="s">
        <v>1882</v>
      </c>
      <c r="D44" s="70" t="s">
        <v>57</v>
      </c>
      <c r="E44" s="12">
        <v>44542</v>
      </c>
      <c r="F44" s="68" t="s">
        <v>59</v>
      </c>
      <c r="G44" s="12">
        <v>44548</v>
      </c>
      <c r="H44" s="69" t="s">
        <v>1631</v>
      </c>
      <c r="I44" s="15">
        <v>92</v>
      </c>
      <c r="J44" s="15">
        <v>53</v>
      </c>
      <c r="K44" s="15">
        <v>32</v>
      </c>
      <c r="L44" s="15">
        <v>28</v>
      </c>
      <c r="M44" s="126">
        <v>39.008000000000003</v>
      </c>
      <c r="N44" s="104">
        <v>39.008000000000003</v>
      </c>
      <c r="O44" s="57">
        <v>7000</v>
      </c>
      <c r="P44" s="58">
        <f t="shared" si="0"/>
        <v>273056</v>
      </c>
    </row>
    <row r="45" spans="1:16" ht="26.25" customHeight="1" x14ac:dyDescent="0.2">
      <c r="A45" s="100"/>
      <c r="B45" s="100"/>
      <c r="C45" s="65" t="s">
        <v>1883</v>
      </c>
      <c r="D45" s="70" t="s">
        <v>57</v>
      </c>
      <c r="E45" s="12">
        <v>44542</v>
      </c>
      <c r="F45" s="68" t="s">
        <v>59</v>
      </c>
      <c r="G45" s="12">
        <v>44548</v>
      </c>
      <c r="H45" s="69" t="s">
        <v>1631</v>
      </c>
      <c r="I45" s="15">
        <v>64</v>
      </c>
      <c r="J45" s="15">
        <v>35</v>
      </c>
      <c r="K45" s="15">
        <v>32</v>
      </c>
      <c r="L45" s="15">
        <v>12</v>
      </c>
      <c r="M45" s="126">
        <v>17.920000000000002</v>
      </c>
      <c r="N45" s="104">
        <v>17.920000000000002</v>
      </c>
      <c r="O45" s="57">
        <v>7000</v>
      </c>
      <c r="P45" s="58">
        <f t="shared" si="0"/>
        <v>125440.00000000001</v>
      </c>
    </row>
    <row r="46" spans="1:16" ht="26.25" customHeight="1" x14ac:dyDescent="0.2">
      <c r="A46" s="100"/>
      <c r="B46" s="100"/>
      <c r="C46" s="65" t="s">
        <v>1884</v>
      </c>
      <c r="D46" s="70" t="s">
        <v>57</v>
      </c>
      <c r="E46" s="12">
        <v>44542</v>
      </c>
      <c r="F46" s="68" t="s">
        <v>59</v>
      </c>
      <c r="G46" s="12">
        <v>44548</v>
      </c>
      <c r="H46" s="69" t="s">
        <v>1631</v>
      </c>
      <c r="I46" s="15">
        <v>54</v>
      </c>
      <c r="J46" s="15">
        <v>40</v>
      </c>
      <c r="K46" s="15">
        <v>22</v>
      </c>
      <c r="L46" s="15">
        <v>3</v>
      </c>
      <c r="M46" s="126">
        <v>11.88</v>
      </c>
      <c r="N46" s="104">
        <v>11.88</v>
      </c>
      <c r="O46" s="57">
        <v>7000</v>
      </c>
      <c r="P46" s="58">
        <f t="shared" si="0"/>
        <v>83160</v>
      </c>
    </row>
    <row r="47" spans="1:16" ht="26.25" customHeight="1" x14ac:dyDescent="0.2">
      <c r="A47" s="100"/>
      <c r="B47" s="100"/>
      <c r="C47" s="65" t="s">
        <v>1885</v>
      </c>
      <c r="D47" s="70" t="s">
        <v>57</v>
      </c>
      <c r="E47" s="12">
        <v>44542</v>
      </c>
      <c r="F47" s="68" t="s">
        <v>59</v>
      </c>
      <c r="G47" s="12">
        <v>44548</v>
      </c>
      <c r="H47" s="69" t="s">
        <v>1631</v>
      </c>
      <c r="I47" s="15">
        <v>94</v>
      </c>
      <c r="J47" s="15">
        <v>54</v>
      </c>
      <c r="K47" s="15">
        <v>25</v>
      </c>
      <c r="L47" s="15">
        <v>20</v>
      </c>
      <c r="M47" s="126">
        <v>31.725000000000001</v>
      </c>
      <c r="N47" s="104">
        <v>31.725000000000001</v>
      </c>
      <c r="O47" s="57">
        <v>7000</v>
      </c>
      <c r="P47" s="58">
        <f t="shared" si="0"/>
        <v>222075</v>
      </c>
    </row>
    <row r="48" spans="1:16" ht="26.25" customHeight="1" x14ac:dyDescent="0.2">
      <c r="A48" s="100"/>
      <c r="B48" s="100"/>
      <c r="C48" s="65" t="s">
        <v>1886</v>
      </c>
      <c r="D48" s="70" t="s">
        <v>57</v>
      </c>
      <c r="E48" s="12">
        <v>44542</v>
      </c>
      <c r="F48" s="68" t="s">
        <v>59</v>
      </c>
      <c r="G48" s="12">
        <v>44548</v>
      </c>
      <c r="H48" s="69" t="s">
        <v>1631</v>
      </c>
      <c r="I48" s="15">
        <v>65</v>
      </c>
      <c r="J48" s="15">
        <v>60</v>
      </c>
      <c r="K48" s="15">
        <v>21</v>
      </c>
      <c r="L48" s="15">
        <v>7</v>
      </c>
      <c r="M48" s="126">
        <v>20.475000000000001</v>
      </c>
      <c r="N48" s="104">
        <v>21</v>
      </c>
      <c r="O48" s="57">
        <v>7000</v>
      </c>
      <c r="P48" s="58">
        <f t="shared" si="0"/>
        <v>147000</v>
      </c>
    </row>
    <row r="49" spans="1:16" ht="26.25" customHeight="1" x14ac:dyDescent="0.2">
      <c r="A49" s="100"/>
      <c r="B49" s="100"/>
      <c r="C49" s="65" t="s">
        <v>1887</v>
      </c>
      <c r="D49" s="70" t="s">
        <v>57</v>
      </c>
      <c r="E49" s="12">
        <v>44542</v>
      </c>
      <c r="F49" s="68" t="s">
        <v>59</v>
      </c>
      <c r="G49" s="12">
        <v>44548</v>
      </c>
      <c r="H49" s="69" t="s">
        <v>1631</v>
      </c>
      <c r="I49" s="15">
        <v>72</v>
      </c>
      <c r="J49" s="15">
        <v>18</v>
      </c>
      <c r="K49" s="15">
        <v>25</v>
      </c>
      <c r="L49" s="15">
        <v>1</v>
      </c>
      <c r="M49" s="126">
        <v>8.1</v>
      </c>
      <c r="N49" s="104">
        <v>8.1</v>
      </c>
      <c r="O49" s="57">
        <v>7000</v>
      </c>
      <c r="P49" s="58">
        <f t="shared" si="0"/>
        <v>56700</v>
      </c>
    </row>
    <row r="50" spans="1:16" ht="26.25" customHeight="1" x14ac:dyDescent="0.2">
      <c r="A50" s="100"/>
      <c r="B50" s="100"/>
      <c r="C50" s="65" t="s">
        <v>1888</v>
      </c>
      <c r="D50" s="70" t="s">
        <v>57</v>
      </c>
      <c r="E50" s="12">
        <v>44542</v>
      </c>
      <c r="F50" s="68" t="s">
        <v>59</v>
      </c>
      <c r="G50" s="12">
        <v>44548</v>
      </c>
      <c r="H50" s="69" t="s">
        <v>1631</v>
      </c>
      <c r="I50" s="15">
        <v>35</v>
      </c>
      <c r="J50" s="15">
        <v>21</v>
      </c>
      <c r="K50" s="15">
        <v>27</v>
      </c>
      <c r="L50" s="15">
        <v>7</v>
      </c>
      <c r="M50" s="126">
        <v>4.9612499999999997</v>
      </c>
      <c r="N50" s="104">
        <v>7</v>
      </c>
      <c r="O50" s="57">
        <v>7000</v>
      </c>
      <c r="P50" s="58">
        <f t="shared" si="0"/>
        <v>49000</v>
      </c>
    </row>
    <row r="51" spans="1:16" ht="26.25" customHeight="1" x14ac:dyDescent="0.2">
      <c r="A51" s="100"/>
      <c r="B51" s="100"/>
      <c r="C51" s="65" t="s">
        <v>1889</v>
      </c>
      <c r="D51" s="70" t="s">
        <v>57</v>
      </c>
      <c r="E51" s="12">
        <v>44542</v>
      </c>
      <c r="F51" s="68" t="s">
        <v>59</v>
      </c>
      <c r="G51" s="12">
        <v>44548</v>
      </c>
      <c r="H51" s="69" t="s">
        <v>1631</v>
      </c>
      <c r="I51" s="15">
        <v>61</v>
      </c>
      <c r="J51" s="15">
        <v>41</v>
      </c>
      <c r="K51" s="15">
        <v>18</v>
      </c>
      <c r="L51" s="15">
        <v>5</v>
      </c>
      <c r="M51" s="126">
        <v>11.2545</v>
      </c>
      <c r="N51" s="104">
        <v>11.2545</v>
      </c>
      <c r="O51" s="57">
        <v>7000</v>
      </c>
      <c r="P51" s="58">
        <f t="shared" si="0"/>
        <v>78781.5</v>
      </c>
    </row>
    <row r="52" spans="1:16" ht="26.25" customHeight="1" x14ac:dyDescent="0.2">
      <c r="A52" s="100"/>
      <c r="B52" s="100"/>
      <c r="C52" s="65" t="s">
        <v>1890</v>
      </c>
      <c r="D52" s="70" t="s">
        <v>57</v>
      </c>
      <c r="E52" s="12">
        <v>44542</v>
      </c>
      <c r="F52" s="68" t="s">
        <v>59</v>
      </c>
      <c r="G52" s="12">
        <v>44548</v>
      </c>
      <c r="H52" s="69" t="s">
        <v>1631</v>
      </c>
      <c r="I52" s="15">
        <v>101</v>
      </c>
      <c r="J52" s="15">
        <v>45</v>
      </c>
      <c r="K52" s="15">
        <v>28</v>
      </c>
      <c r="L52" s="15">
        <v>27</v>
      </c>
      <c r="M52" s="126">
        <v>31.815000000000001</v>
      </c>
      <c r="N52" s="104">
        <v>31.815000000000001</v>
      </c>
      <c r="O52" s="57">
        <v>7000</v>
      </c>
      <c r="P52" s="58">
        <f t="shared" si="0"/>
        <v>222705</v>
      </c>
    </row>
    <row r="53" spans="1:16" ht="26.25" customHeight="1" x14ac:dyDescent="0.2">
      <c r="A53" s="100"/>
      <c r="B53" s="100"/>
      <c r="C53" s="65" t="s">
        <v>1891</v>
      </c>
      <c r="D53" s="70" t="s">
        <v>57</v>
      </c>
      <c r="E53" s="12">
        <v>44542</v>
      </c>
      <c r="F53" s="68" t="s">
        <v>59</v>
      </c>
      <c r="G53" s="12">
        <v>44548</v>
      </c>
      <c r="H53" s="69" t="s">
        <v>1631</v>
      </c>
      <c r="I53" s="15">
        <v>71</v>
      </c>
      <c r="J53" s="15">
        <v>40</v>
      </c>
      <c r="K53" s="15">
        <v>22</v>
      </c>
      <c r="L53" s="15">
        <v>3</v>
      </c>
      <c r="M53" s="126">
        <v>15.62</v>
      </c>
      <c r="N53" s="104">
        <v>15.62</v>
      </c>
      <c r="O53" s="57">
        <v>7000</v>
      </c>
      <c r="P53" s="58">
        <f t="shared" si="0"/>
        <v>109340</v>
      </c>
    </row>
    <row r="54" spans="1:16" ht="26.25" customHeight="1" x14ac:dyDescent="0.2">
      <c r="A54" s="100"/>
      <c r="B54" s="100"/>
      <c r="C54" s="65" t="s">
        <v>1892</v>
      </c>
      <c r="D54" s="70" t="s">
        <v>57</v>
      </c>
      <c r="E54" s="12">
        <v>44542</v>
      </c>
      <c r="F54" s="68" t="s">
        <v>59</v>
      </c>
      <c r="G54" s="12">
        <v>44548</v>
      </c>
      <c r="H54" s="69" t="s">
        <v>1631</v>
      </c>
      <c r="I54" s="15">
        <v>62</v>
      </c>
      <c r="J54" s="15">
        <v>58</v>
      </c>
      <c r="K54" s="15">
        <v>29</v>
      </c>
      <c r="L54" s="15">
        <v>6</v>
      </c>
      <c r="M54" s="126">
        <v>26.071000000000002</v>
      </c>
      <c r="N54" s="104">
        <v>26.071000000000002</v>
      </c>
      <c r="O54" s="57">
        <v>7000</v>
      </c>
      <c r="P54" s="58">
        <f t="shared" si="0"/>
        <v>182497</v>
      </c>
    </row>
    <row r="55" spans="1:16" ht="26.25" customHeight="1" x14ac:dyDescent="0.2">
      <c r="A55" s="100"/>
      <c r="B55" s="100"/>
      <c r="C55" s="65" t="s">
        <v>1893</v>
      </c>
      <c r="D55" s="70" t="s">
        <v>57</v>
      </c>
      <c r="E55" s="12">
        <v>44542</v>
      </c>
      <c r="F55" s="68" t="s">
        <v>59</v>
      </c>
      <c r="G55" s="12">
        <v>44548</v>
      </c>
      <c r="H55" s="69" t="s">
        <v>1631</v>
      </c>
      <c r="I55" s="15">
        <v>50</v>
      </c>
      <c r="J55" s="15">
        <v>32</v>
      </c>
      <c r="K55" s="15">
        <v>6</v>
      </c>
      <c r="L55" s="15">
        <v>1</v>
      </c>
      <c r="M55" s="126">
        <v>2.4</v>
      </c>
      <c r="N55" s="104">
        <v>3</v>
      </c>
      <c r="O55" s="57">
        <v>7000</v>
      </c>
      <c r="P55" s="58">
        <f t="shared" si="0"/>
        <v>21000</v>
      </c>
    </row>
    <row r="56" spans="1:16" ht="26.25" customHeight="1" x14ac:dyDescent="0.2">
      <c r="A56" s="100"/>
      <c r="B56" s="100"/>
      <c r="C56" s="65" t="s">
        <v>1894</v>
      </c>
      <c r="D56" s="70" t="s">
        <v>57</v>
      </c>
      <c r="E56" s="12">
        <v>44542</v>
      </c>
      <c r="F56" s="68" t="s">
        <v>59</v>
      </c>
      <c r="G56" s="12">
        <v>44548</v>
      </c>
      <c r="H56" s="69" t="s">
        <v>1631</v>
      </c>
      <c r="I56" s="15">
        <v>73</v>
      </c>
      <c r="J56" s="15">
        <v>42</v>
      </c>
      <c r="K56" s="15">
        <v>11</v>
      </c>
      <c r="L56" s="15">
        <v>3</v>
      </c>
      <c r="M56" s="126">
        <v>8.4314999999999998</v>
      </c>
      <c r="N56" s="104">
        <v>9</v>
      </c>
      <c r="O56" s="57">
        <v>7000</v>
      </c>
      <c r="P56" s="58">
        <f t="shared" si="0"/>
        <v>63000</v>
      </c>
    </row>
    <row r="57" spans="1:16" ht="26.25" customHeight="1" x14ac:dyDescent="0.2">
      <c r="A57" s="100"/>
      <c r="B57" s="100"/>
      <c r="C57" s="65" t="s">
        <v>1895</v>
      </c>
      <c r="D57" s="70" t="s">
        <v>57</v>
      </c>
      <c r="E57" s="12">
        <v>44542</v>
      </c>
      <c r="F57" s="68" t="s">
        <v>59</v>
      </c>
      <c r="G57" s="12">
        <v>44548</v>
      </c>
      <c r="H57" s="69" t="s">
        <v>1631</v>
      </c>
      <c r="I57" s="15">
        <v>44</v>
      </c>
      <c r="J57" s="15">
        <v>44</v>
      </c>
      <c r="K57" s="15">
        <v>10</v>
      </c>
      <c r="L57" s="15">
        <v>5</v>
      </c>
      <c r="M57" s="126">
        <v>4.84</v>
      </c>
      <c r="N57" s="104">
        <v>5</v>
      </c>
      <c r="O57" s="57">
        <v>7000</v>
      </c>
      <c r="P57" s="58">
        <f t="shared" si="0"/>
        <v>35000</v>
      </c>
    </row>
    <row r="58" spans="1:16" ht="26.25" customHeight="1" x14ac:dyDescent="0.2">
      <c r="A58" s="100"/>
      <c r="B58" s="100"/>
      <c r="C58" s="65" t="s">
        <v>1896</v>
      </c>
      <c r="D58" s="70" t="s">
        <v>57</v>
      </c>
      <c r="E58" s="12">
        <v>44542</v>
      </c>
      <c r="F58" s="68" t="s">
        <v>59</v>
      </c>
      <c r="G58" s="12">
        <v>44548</v>
      </c>
      <c r="H58" s="69" t="s">
        <v>1631</v>
      </c>
      <c r="I58" s="15">
        <v>53</v>
      </c>
      <c r="J58" s="15">
        <v>37</v>
      </c>
      <c r="K58" s="15">
        <v>16</v>
      </c>
      <c r="L58" s="15">
        <v>2</v>
      </c>
      <c r="M58" s="126">
        <v>7.8440000000000003</v>
      </c>
      <c r="N58" s="104">
        <v>7.8440000000000003</v>
      </c>
      <c r="O58" s="57">
        <v>7000</v>
      </c>
      <c r="P58" s="58">
        <f t="shared" si="0"/>
        <v>54908</v>
      </c>
    </row>
    <row r="59" spans="1:16" ht="26.25" customHeight="1" x14ac:dyDescent="0.2">
      <c r="A59" s="100"/>
      <c r="B59" s="100"/>
      <c r="C59" s="65" t="s">
        <v>1897</v>
      </c>
      <c r="D59" s="70" t="s">
        <v>57</v>
      </c>
      <c r="E59" s="12">
        <v>44542</v>
      </c>
      <c r="F59" s="68" t="s">
        <v>59</v>
      </c>
      <c r="G59" s="12">
        <v>44548</v>
      </c>
      <c r="H59" s="69" t="s">
        <v>1631</v>
      </c>
      <c r="I59" s="15">
        <v>37</v>
      </c>
      <c r="J59" s="15">
        <v>43</v>
      </c>
      <c r="K59" s="15">
        <v>12</v>
      </c>
      <c r="L59" s="15">
        <v>8</v>
      </c>
      <c r="M59" s="126">
        <v>4.7729999999999997</v>
      </c>
      <c r="N59" s="104">
        <v>8</v>
      </c>
      <c r="O59" s="57">
        <v>7000</v>
      </c>
      <c r="P59" s="58">
        <f t="shared" si="0"/>
        <v>56000</v>
      </c>
    </row>
    <row r="60" spans="1:16" ht="26.25" customHeight="1" x14ac:dyDescent="0.2">
      <c r="A60" s="100"/>
      <c r="B60" s="100"/>
      <c r="C60" s="65" t="s">
        <v>1898</v>
      </c>
      <c r="D60" s="70" t="s">
        <v>57</v>
      </c>
      <c r="E60" s="12">
        <v>44542</v>
      </c>
      <c r="F60" s="68" t="s">
        <v>59</v>
      </c>
      <c r="G60" s="12">
        <v>44548</v>
      </c>
      <c r="H60" s="69" t="s">
        <v>1631</v>
      </c>
      <c r="I60" s="15">
        <v>40</v>
      </c>
      <c r="J60" s="15">
        <v>24</v>
      </c>
      <c r="K60" s="15">
        <v>44</v>
      </c>
      <c r="L60" s="15">
        <v>12</v>
      </c>
      <c r="M60" s="126">
        <v>10.56</v>
      </c>
      <c r="N60" s="104">
        <v>12</v>
      </c>
      <c r="O60" s="57">
        <v>7000</v>
      </c>
      <c r="P60" s="58">
        <f t="shared" si="0"/>
        <v>84000</v>
      </c>
    </row>
    <row r="61" spans="1:16" ht="26.25" customHeight="1" x14ac:dyDescent="0.2">
      <c r="A61" s="100"/>
      <c r="B61" s="100"/>
      <c r="C61" s="65" t="s">
        <v>1899</v>
      </c>
      <c r="D61" s="70" t="s">
        <v>57</v>
      </c>
      <c r="E61" s="12">
        <v>44542</v>
      </c>
      <c r="F61" s="68" t="s">
        <v>59</v>
      </c>
      <c r="G61" s="12">
        <v>44548</v>
      </c>
      <c r="H61" s="69" t="s">
        <v>1631</v>
      </c>
      <c r="I61" s="15">
        <v>56</v>
      </c>
      <c r="J61" s="15">
        <v>24</v>
      </c>
      <c r="K61" s="15">
        <v>11</v>
      </c>
      <c r="L61" s="15">
        <v>9</v>
      </c>
      <c r="M61" s="126">
        <v>3.6960000000000002</v>
      </c>
      <c r="N61" s="104">
        <v>9</v>
      </c>
      <c r="O61" s="57">
        <v>7000</v>
      </c>
      <c r="P61" s="58">
        <f t="shared" si="0"/>
        <v>63000</v>
      </c>
    </row>
    <row r="62" spans="1:16" ht="26.25" customHeight="1" x14ac:dyDescent="0.2">
      <c r="A62" s="100"/>
      <c r="B62" s="100"/>
      <c r="C62" s="65" t="s">
        <v>1900</v>
      </c>
      <c r="D62" s="70" t="s">
        <v>57</v>
      </c>
      <c r="E62" s="12">
        <v>44542</v>
      </c>
      <c r="F62" s="68" t="s">
        <v>59</v>
      </c>
      <c r="G62" s="12">
        <v>44548</v>
      </c>
      <c r="H62" s="69" t="s">
        <v>1631</v>
      </c>
      <c r="I62" s="15">
        <v>64</v>
      </c>
      <c r="J62" s="15">
        <v>46</v>
      </c>
      <c r="K62" s="15">
        <v>15</v>
      </c>
      <c r="L62" s="15">
        <v>8</v>
      </c>
      <c r="M62" s="126">
        <v>11.04</v>
      </c>
      <c r="N62" s="104">
        <v>11.04</v>
      </c>
      <c r="O62" s="57">
        <v>7000</v>
      </c>
      <c r="P62" s="58">
        <f t="shared" si="0"/>
        <v>77280</v>
      </c>
    </row>
    <row r="63" spans="1:16" ht="26.25" customHeight="1" x14ac:dyDescent="0.2">
      <c r="A63" s="100"/>
      <c r="B63" s="100"/>
      <c r="C63" s="65" t="s">
        <v>1901</v>
      </c>
      <c r="D63" s="70" t="s">
        <v>57</v>
      </c>
      <c r="E63" s="12">
        <v>44542</v>
      </c>
      <c r="F63" s="68" t="s">
        <v>59</v>
      </c>
      <c r="G63" s="12">
        <v>44548</v>
      </c>
      <c r="H63" s="69" t="s">
        <v>1631</v>
      </c>
      <c r="I63" s="15">
        <v>30</v>
      </c>
      <c r="J63" s="15">
        <v>45</v>
      </c>
      <c r="K63" s="15">
        <v>20</v>
      </c>
      <c r="L63" s="15">
        <v>10</v>
      </c>
      <c r="M63" s="126">
        <v>6.75</v>
      </c>
      <c r="N63" s="104">
        <v>10</v>
      </c>
      <c r="O63" s="57">
        <v>7000</v>
      </c>
      <c r="P63" s="58">
        <f t="shared" si="0"/>
        <v>70000</v>
      </c>
    </row>
    <row r="64" spans="1:16" ht="26.25" customHeight="1" x14ac:dyDescent="0.2">
      <c r="A64" s="100"/>
      <c r="B64" s="100"/>
      <c r="C64" s="65" t="s">
        <v>1902</v>
      </c>
      <c r="D64" s="70" t="s">
        <v>57</v>
      </c>
      <c r="E64" s="12">
        <v>44542</v>
      </c>
      <c r="F64" s="68" t="s">
        <v>59</v>
      </c>
      <c r="G64" s="12">
        <v>44548</v>
      </c>
      <c r="H64" s="69" t="s">
        <v>1631</v>
      </c>
      <c r="I64" s="15">
        <v>54</v>
      </c>
      <c r="J64" s="15">
        <v>35</v>
      </c>
      <c r="K64" s="15">
        <v>21</v>
      </c>
      <c r="L64" s="15">
        <v>10</v>
      </c>
      <c r="M64" s="126">
        <v>9.9224999999999994</v>
      </c>
      <c r="N64" s="104">
        <v>10</v>
      </c>
      <c r="O64" s="57">
        <v>7000</v>
      </c>
      <c r="P64" s="58">
        <f t="shared" si="0"/>
        <v>70000</v>
      </c>
    </row>
    <row r="65" spans="1:16" ht="26.25" customHeight="1" x14ac:dyDescent="0.2">
      <c r="A65" s="100"/>
      <c r="B65" s="100"/>
      <c r="C65" s="65" t="s">
        <v>1903</v>
      </c>
      <c r="D65" s="70" t="s">
        <v>57</v>
      </c>
      <c r="E65" s="12">
        <v>44542</v>
      </c>
      <c r="F65" s="68" t="s">
        <v>59</v>
      </c>
      <c r="G65" s="12">
        <v>44548</v>
      </c>
      <c r="H65" s="69" t="s">
        <v>1631</v>
      </c>
      <c r="I65" s="15">
        <v>32</v>
      </c>
      <c r="J65" s="15">
        <v>32</v>
      </c>
      <c r="K65" s="15">
        <v>36</v>
      </c>
      <c r="L65" s="15">
        <v>5</v>
      </c>
      <c r="M65" s="126">
        <v>9.2159999999999993</v>
      </c>
      <c r="N65" s="104">
        <v>9.2159999999999993</v>
      </c>
      <c r="O65" s="57">
        <v>7000</v>
      </c>
      <c r="P65" s="58">
        <f t="shared" si="0"/>
        <v>64511.999999999993</v>
      </c>
    </row>
    <row r="66" spans="1:16" ht="26.25" customHeight="1" x14ac:dyDescent="0.2">
      <c r="A66" s="100"/>
      <c r="B66" s="100"/>
      <c r="C66" s="65" t="s">
        <v>1904</v>
      </c>
      <c r="D66" s="70" t="s">
        <v>57</v>
      </c>
      <c r="E66" s="12">
        <v>44542</v>
      </c>
      <c r="F66" s="68" t="s">
        <v>59</v>
      </c>
      <c r="G66" s="12">
        <v>44548</v>
      </c>
      <c r="H66" s="69" t="s">
        <v>1631</v>
      </c>
      <c r="I66" s="15">
        <v>20</v>
      </c>
      <c r="J66" s="15">
        <v>18</v>
      </c>
      <c r="K66" s="15">
        <v>5</v>
      </c>
      <c r="L66" s="15">
        <v>1</v>
      </c>
      <c r="M66" s="126">
        <v>0.45</v>
      </c>
      <c r="N66" s="104">
        <v>2</v>
      </c>
      <c r="O66" s="57">
        <v>7000</v>
      </c>
      <c r="P66" s="58">
        <f t="shared" si="0"/>
        <v>14000</v>
      </c>
    </row>
    <row r="67" spans="1:16" ht="26.25" customHeight="1" x14ac:dyDescent="0.2">
      <c r="A67" s="100"/>
      <c r="B67" s="100"/>
      <c r="C67" s="65" t="s">
        <v>1905</v>
      </c>
      <c r="D67" s="70" t="s">
        <v>57</v>
      </c>
      <c r="E67" s="12">
        <v>44542</v>
      </c>
      <c r="F67" s="68" t="s">
        <v>59</v>
      </c>
      <c r="G67" s="12">
        <v>44548</v>
      </c>
      <c r="H67" s="69" t="s">
        <v>1631</v>
      </c>
      <c r="I67" s="15">
        <v>41</v>
      </c>
      <c r="J67" s="15">
        <v>20</v>
      </c>
      <c r="K67" s="15">
        <v>5</v>
      </c>
      <c r="L67" s="15">
        <v>1</v>
      </c>
      <c r="M67" s="126">
        <v>1.0249999999999999</v>
      </c>
      <c r="N67" s="104">
        <v>1.0249999999999999</v>
      </c>
      <c r="O67" s="57">
        <v>7000</v>
      </c>
      <c r="P67" s="58">
        <f t="shared" ref="P67:P83" si="1">N67*O67</f>
        <v>7174.9999999999991</v>
      </c>
    </row>
    <row r="68" spans="1:16" ht="26.25" customHeight="1" x14ac:dyDescent="0.2">
      <c r="A68" s="100"/>
      <c r="B68" s="100"/>
      <c r="C68" s="65" t="s">
        <v>1906</v>
      </c>
      <c r="D68" s="70" t="s">
        <v>57</v>
      </c>
      <c r="E68" s="12">
        <v>44542</v>
      </c>
      <c r="F68" s="68" t="s">
        <v>59</v>
      </c>
      <c r="G68" s="12">
        <v>44548</v>
      </c>
      <c r="H68" s="69" t="s">
        <v>1631</v>
      </c>
      <c r="I68" s="15">
        <v>36</v>
      </c>
      <c r="J68" s="15">
        <v>32</v>
      </c>
      <c r="K68" s="15">
        <v>18</v>
      </c>
      <c r="L68" s="15">
        <v>2</v>
      </c>
      <c r="M68" s="126">
        <v>5.1840000000000002</v>
      </c>
      <c r="N68" s="104">
        <v>5.1840000000000002</v>
      </c>
      <c r="O68" s="57">
        <v>7000</v>
      </c>
      <c r="P68" s="58">
        <f t="shared" si="1"/>
        <v>36288</v>
      </c>
    </row>
    <row r="69" spans="1:16" ht="26.25" customHeight="1" x14ac:dyDescent="0.2">
      <c r="A69" s="100"/>
      <c r="B69" s="100"/>
      <c r="C69" s="65" t="s">
        <v>1907</v>
      </c>
      <c r="D69" s="70" t="s">
        <v>57</v>
      </c>
      <c r="E69" s="12">
        <v>44542</v>
      </c>
      <c r="F69" s="68" t="s">
        <v>59</v>
      </c>
      <c r="G69" s="12">
        <v>44548</v>
      </c>
      <c r="H69" s="69" t="s">
        <v>1631</v>
      </c>
      <c r="I69" s="15">
        <v>52</v>
      </c>
      <c r="J69" s="15">
        <v>42</v>
      </c>
      <c r="K69" s="15">
        <v>35</v>
      </c>
      <c r="L69" s="15">
        <v>10</v>
      </c>
      <c r="M69" s="126">
        <v>19.11</v>
      </c>
      <c r="N69" s="104">
        <v>19.11</v>
      </c>
      <c r="O69" s="57">
        <v>7000</v>
      </c>
      <c r="P69" s="58">
        <f t="shared" si="1"/>
        <v>133770</v>
      </c>
    </row>
    <row r="70" spans="1:16" ht="26.25" customHeight="1" x14ac:dyDescent="0.2">
      <c r="A70" s="100"/>
      <c r="B70" s="100"/>
      <c r="C70" s="65" t="s">
        <v>1908</v>
      </c>
      <c r="D70" s="70" t="s">
        <v>57</v>
      </c>
      <c r="E70" s="12">
        <v>44542</v>
      </c>
      <c r="F70" s="68" t="s">
        <v>59</v>
      </c>
      <c r="G70" s="12">
        <v>44548</v>
      </c>
      <c r="H70" s="69" t="s">
        <v>1631</v>
      </c>
      <c r="I70" s="15">
        <v>66</v>
      </c>
      <c r="J70" s="15">
        <v>89</v>
      </c>
      <c r="K70" s="15">
        <v>65</v>
      </c>
      <c r="L70" s="15">
        <v>13</v>
      </c>
      <c r="M70" s="126">
        <v>95.452500000000001</v>
      </c>
      <c r="N70" s="104">
        <v>96</v>
      </c>
      <c r="O70" s="57">
        <v>7000</v>
      </c>
      <c r="P70" s="58">
        <f t="shared" si="1"/>
        <v>672000</v>
      </c>
    </row>
    <row r="71" spans="1:16" ht="26.25" customHeight="1" x14ac:dyDescent="0.2">
      <c r="A71" s="100"/>
      <c r="B71" s="100"/>
      <c r="C71" s="65" t="s">
        <v>1909</v>
      </c>
      <c r="D71" s="70" t="s">
        <v>57</v>
      </c>
      <c r="E71" s="12">
        <v>44542</v>
      </c>
      <c r="F71" s="68" t="s">
        <v>59</v>
      </c>
      <c r="G71" s="12">
        <v>44548</v>
      </c>
      <c r="H71" s="69" t="s">
        <v>1631</v>
      </c>
      <c r="I71" s="15">
        <v>82</v>
      </c>
      <c r="J71" s="15">
        <v>56</v>
      </c>
      <c r="K71" s="15">
        <v>30</v>
      </c>
      <c r="L71" s="15">
        <v>11</v>
      </c>
      <c r="M71" s="126">
        <v>34.44</v>
      </c>
      <c r="N71" s="104">
        <v>35</v>
      </c>
      <c r="O71" s="57">
        <v>7000</v>
      </c>
      <c r="P71" s="58">
        <f t="shared" si="1"/>
        <v>245000</v>
      </c>
    </row>
    <row r="72" spans="1:16" ht="26.25" customHeight="1" x14ac:dyDescent="0.2">
      <c r="A72" s="100"/>
      <c r="B72" s="100"/>
      <c r="C72" s="65" t="s">
        <v>1910</v>
      </c>
      <c r="D72" s="70" t="s">
        <v>57</v>
      </c>
      <c r="E72" s="12">
        <v>44542</v>
      </c>
      <c r="F72" s="68" t="s">
        <v>59</v>
      </c>
      <c r="G72" s="12">
        <v>44548</v>
      </c>
      <c r="H72" s="69" t="s">
        <v>1631</v>
      </c>
      <c r="I72" s="15">
        <v>25</v>
      </c>
      <c r="J72" s="15">
        <v>24</v>
      </c>
      <c r="K72" s="15">
        <v>22</v>
      </c>
      <c r="L72" s="15">
        <v>2</v>
      </c>
      <c r="M72" s="126">
        <v>3.3</v>
      </c>
      <c r="N72" s="104">
        <v>4</v>
      </c>
      <c r="O72" s="57">
        <v>7000</v>
      </c>
      <c r="P72" s="58">
        <f t="shared" si="1"/>
        <v>28000</v>
      </c>
    </row>
    <row r="73" spans="1:16" ht="26.25" customHeight="1" x14ac:dyDescent="0.2">
      <c r="A73" s="100"/>
      <c r="B73" s="100"/>
      <c r="C73" s="65" t="s">
        <v>1911</v>
      </c>
      <c r="D73" s="70" t="s">
        <v>57</v>
      </c>
      <c r="E73" s="12">
        <v>44542</v>
      </c>
      <c r="F73" s="68" t="s">
        <v>59</v>
      </c>
      <c r="G73" s="12">
        <v>44548</v>
      </c>
      <c r="H73" s="69" t="s">
        <v>1631</v>
      </c>
      <c r="I73" s="15">
        <v>102</v>
      </c>
      <c r="J73" s="15">
        <v>52</v>
      </c>
      <c r="K73" s="15">
        <v>32</v>
      </c>
      <c r="L73" s="15">
        <v>32</v>
      </c>
      <c r="M73" s="126">
        <v>42.432000000000002</v>
      </c>
      <c r="N73" s="104">
        <v>43</v>
      </c>
      <c r="O73" s="57">
        <v>7000</v>
      </c>
      <c r="P73" s="58">
        <f t="shared" si="1"/>
        <v>301000</v>
      </c>
    </row>
    <row r="74" spans="1:16" ht="26.25" customHeight="1" x14ac:dyDescent="0.2">
      <c r="A74" s="100"/>
      <c r="B74" s="100"/>
      <c r="C74" s="65" t="s">
        <v>1912</v>
      </c>
      <c r="D74" s="70" t="s">
        <v>57</v>
      </c>
      <c r="E74" s="12">
        <v>44542</v>
      </c>
      <c r="F74" s="68" t="s">
        <v>59</v>
      </c>
      <c r="G74" s="12">
        <v>44548</v>
      </c>
      <c r="H74" s="69" t="s">
        <v>1631</v>
      </c>
      <c r="I74" s="15">
        <v>85</v>
      </c>
      <c r="J74" s="15">
        <v>75</v>
      </c>
      <c r="K74" s="15">
        <v>30</v>
      </c>
      <c r="L74" s="15">
        <v>22</v>
      </c>
      <c r="M74" s="126">
        <v>47.8125</v>
      </c>
      <c r="N74" s="104">
        <v>47.8125</v>
      </c>
      <c r="O74" s="57">
        <v>7000</v>
      </c>
      <c r="P74" s="58">
        <f t="shared" si="1"/>
        <v>334687.5</v>
      </c>
    </row>
    <row r="75" spans="1:16" ht="26.25" customHeight="1" x14ac:dyDescent="0.2">
      <c r="A75" s="100"/>
      <c r="B75" s="100"/>
      <c r="C75" s="65" t="s">
        <v>1913</v>
      </c>
      <c r="D75" s="70" t="s">
        <v>57</v>
      </c>
      <c r="E75" s="12">
        <v>44542</v>
      </c>
      <c r="F75" s="68" t="s">
        <v>59</v>
      </c>
      <c r="G75" s="12">
        <v>44548</v>
      </c>
      <c r="H75" s="69" t="s">
        <v>1631</v>
      </c>
      <c r="I75" s="15">
        <v>95</v>
      </c>
      <c r="J75" s="15">
        <v>64</v>
      </c>
      <c r="K75" s="15">
        <v>20</v>
      </c>
      <c r="L75" s="15">
        <v>28</v>
      </c>
      <c r="M75" s="126">
        <v>30.4</v>
      </c>
      <c r="N75" s="104">
        <v>31</v>
      </c>
      <c r="O75" s="57">
        <v>7000</v>
      </c>
      <c r="P75" s="58">
        <f t="shared" si="1"/>
        <v>217000</v>
      </c>
    </row>
    <row r="76" spans="1:16" ht="26.25" customHeight="1" x14ac:dyDescent="0.2">
      <c r="A76" s="100"/>
      <c r="B76" s="100"/>
      <c r="C76" s="65" t="s">
        <v>1914</v>
      </c>
      <c r="D76" s="70" t="s">
        <v>57</v>
      </c>
      <c r="E76" s="12">
        <v>44542</v>
      </c>
      <c r="F76" s="68" t="s">
        <v>59</v>
      </c>
      <c r="G76" s="12">
        <v>44548</v>
      </c>
      <c r="H76" s="69" t="s">
        <v>1631</v>
      </c>
      <c r="I76" s="15">
        <v>91</v>
      </c>
      <c r="J76" s="15">
        <v>51</v>
      </c>
      <c r="K76" s="15">
        <v>31</v>
      </c>
      <c r="L76" s="15">
        <v>21</v>
      </c>
      <c r="M76" s="126">
        <v>35.967750000000002</v>
      </c>
      <c r="N76" s="104">
        <v>35.967750000000002</v>
      </c>
      <c r="O76" s="57">
        <v>7000</v>
      </c>
      <c r="P76" s="58">
        <f t="shared" si="1"/>
        <v>251774.25000000003</v>
      </c>
    </row>
    <row r="77" spans="1:16" ht="26.25" customHeight="1" x14ac:dyDescent="0.2">
      <c r="A77" s="100"/>
      <c r="B77" s="100"/>
      <c r="C77" s="65" t="s">
        <v>1915</v>
      </c>
      <c r="D77" s="70" t="s">
        <v>57</v>
      </c>
      <c r="E77" s="12">
        <v>44542</v>
      </c>
      <c r="F77" s="68" t="s">
        <v>59</v>
      </c>
      <c r="G77" s="12">
        <v>44548</v>
      </c>
      <c r="H77" s="69" t="s">
        <v>1631</v>
      </c>
      <c r="I77" s="15">
        <v>68</v>
      </c>
      <c r="J77" s="15">
        <v>48</v>
      </c>
      <c r="K77" s="15">
        <v>38</v>
      </c>
      <c r="L77" s="15">
        <v>30</v>
      </c>
      <c r="M77" s="126">
        <v>31.007999999999999</v>
      </c>
      <c r="N77" s="104">
        <v>31.007999999999999</v>
      </c>
      <c r="O77" s="57">
        <v>7000</v>
      </c>
      <c r="P77" s="58">
        <f t="shared" si="1"/>
        <v>217056</v>
      </c>
    </row>
    <row r="78" spans="1:16" ht="26.25" customHeight="1" x14ac:dyDescent="0.2">
      <c r="A78" s="100"/>
      <c r="B78" s="100"/>
      <c r="C78" s="65" t="s">
        <v>1916</v>
      </c>
      <c r="D78" s="70" t="s">
        <v>57</v>
      </c>
      <c r="E78" s="12">
        <v>44542</v>
      </c>
      <c r="F78" s="68" t="s">
        <v>59</v>
      </c>
      <c r="G78" s="12">
        <v>44548</v>
      </c>
      <c r="H78" s="69" t="s">
        <v>1631</v>
      </c>
      <c r="I78" s="15">
        <v>45</v>
      </c>
      <c r="J78" s="15">
        <v>27</v>
      </c>
      <c r="K78" s="15">
        <v>22</v>
      </c>
      <c r="L78" s="15">
        <v>1</v>
      </c>
      <c r="M78" s="126">
        <v>6.6825000000000001</v>
      </c>
      <c r="N78" s="104">
        <v>6.6825000000000001</v>
      </c>
      <c r="O78" s="57">
        <v>7000</v>
      </c>
      <c r="P78" s="58">
        <f t="shared" si="1"/>
        <v>46777.5</v>
      </c>
    </row>
    <row r="79" spans="1:16" ht="26.25" customHeight="1" x14ac:dyDescent="0.2">
      <c r="A79" s="100"/>
      <c r="B79" s="100"/>
      <c r="C79" s="65" t="s">
        <v>1917</v>
      </c>
      <c r="D79" s="70" t="s">
        <v>57</v>
      </c>
      <c r="E79" s="12">
        <v>44542</v>
      </c>
      <c r="F79" s="68" t="s">
        <v>59</v>
      </c>
      <c r="G79" s="12">
        <v>44548</v>
      </c>
      <c r="H79" s="69" t="s">
        <v>1631</v>
      </c>
      <c r="I79" s="15">
        <v>124</v>
      </c>
      <c r="J79" s="15">
        <v>7</v>
      </c>
      <c r="K79" s="15">
        <v>7</v>
      </c>
      <c r="L79" s="15">
        <v>1</v>
      </c>
      <c r="M79" s="126">
        <v>1.5189999999999999</v>
      </c>
      <c r="N79" s="104">
        <v>1.5189999999999999</v>
      </c>
      <c r="O79" s="57">
        <v>7000</v>
      </c>
      <c r="P79" s="58">
        <f t="shared" si="1"/>
        <v>10633</v>
      </c>
    </row>
    <row r="80" spans="1:16" ht="26.25" customHeight="1" x14ac:dyDescent="0.2">
      <c r="A80" s="100"/>
      <c r="B80" s="100"/>
      <c r="C80" s="65" t="s">
        <v>1918</v>
      </c>
      <c r="D80" s="70" t="s">
        <v>57</v>
      </c>
      <c r="E80" s="12">
        <v>44542</v>
      </c>
      <c r="F80" s="68" t="s">
        <v>59</v>
      </c>
      <c r="G80" s="12">
        <v>44548</v>
      </c>
      <c r="H80" s="69" t="s">
        <v>1631</v>
      </c>
      <c r="I80" s="15">
        <v>38</v>
      </c>
      <c r="J80" s="15">
        <v>22</v>
      </c>
      <c r="K80" s="15">
        <v>18</v>
      </c>
      <c r="L80" s="15">
        <v>7</v>
      </c>
      <c r="M80" s="126">
        <v>3.762</v>
      </c>
      <c r="N80" s="104">
        <v>7</v>
      </c>
      <c r="O80" s="57">
        <v>7000</v>
      </c>
      <c r="P80" s="58">
        <f t="shared" si="1"/>
        <v>49000</v>
      </c>
    </row>
    <row r="81" spans="1:16" ht="26.25" customHeight="1" x14ac:dyDescent="0.2">
      <c r="A81" s="100"/>
      <c r="B81" s="100"/>
      <c r="C81" s="65" t="s">
        <v>1919</v>
      </c>
      <c r="D81" s="70" t="s">
        <v>57</v>
      </c>
      <c r="E81" s="12">
        <v>44542</v>
      </c>
      <c r="F81" s="68" t="s">
        <v>59</v>
      </c>
      <c r="G81" s="12">
        <v>44548</v>
      </c>
      <c r="H81" s="69" t="s">
        <v>1631</v>
      </c>
      <c r="I81" s="15">
        <v>49</v>
      </c>
      <c r="J81" s="15">
        <v>26</v>
      </c>
      <c r="K81" s="15">
        <v>22</v>
      </c>
      <c r="L81" s="15">
        <v>7</v>
      </c>
      <c r="M81" s="126">
        <v>7.0069999999999997</v>
      </c>
      <c r="N81" s="104">
        <v>7.0069999999999997</v>
      </c>
      <c r="O81" s="57">
        <v>7000</v>
      </c>
      <c r="P81" s="58">
        <f t="shared" si="1"/>
        <v>49049</v>
      </c>
    </row>
    <row r="82" spans="1:16" ht="26.25" customHeight="1" x14ac:dyDescent="0.2">
      <c r="A82" s="100"/>
      <c r="B82" s="100"/>
      <c r="C82" s="65" t="s">
        <v>1920</v>
      </c>
      <c r="D82" s="70" t="s">
        <v>57</v>
      </c>
      <c r="E82" s="12">
        <v>44542</v>
      </c>
      <c r="F82" s="68" t="s">
        <v>59</v>
      </c>
      <c r="G82" s="12">
        <v>44548</v>
      </c>
      <c r="H82" s="69" t="s">
        <v>1631</v>
      </c>
      <c r="I82" s="15">
        <v>118</v>
      </c>
      <c r="J82" s="15">
        <v>20</v>
      </c>
      <c r="K82" s="15">
        <v>6</v>
      </c>
      <c r="L82" s="15">
        <v>1</v>
      </c>
      <c r="M82" s="126">
        <v>3.54</v>
      </c>
      <c r="N82" s="104">
        <v>3.54</v>
      </c>
      <c r="O82" s="57">
        <v>7000</v>
      </c>
      <c r="P82" s="58">
        <f t="shared" si="1"/>
        <v>24780</v>
      </c>
    </row>
    <row r="83" spans="1:16" ht="26.25" customHeight="1" x14ac:dyDescent="0.2">
      <c r="A83" s="100"/>
      <c r="B83" s="100"/>
      <c r="C83" s="65" t="s">
        <v>1921</v>
      </c>
      <c r="D83" s="70" t="s">
        <v>57</v>
      </c>
      <c r="E83" s="12">
        <v>44542</v>
      </c>
      <c r="F83" s="68" t="s">
        <v>59</v>
      </c>
      <c r="G83" s="12">
        <v>44548</v>
      </c>
      <c r="H83" s="69" t="s">
        <v>1631</v>
      </c>
      <c r="I83" s="15">
        <v>150</v>
      </c>
      <c r="J83" s="15">
        <v>10</v>
      </c>
      <c r="K83" s="15">
        <v>10</v>
      </c>
      <c r="L83" s="15">
        <v>4</v>
      </c>
      <c r="M83" s="126">
        <v>3.75</v>
      </c>
      <c r="N83" s="104">
        <v>4</v>
      </c>
      <c r="O83" s="57">
        <v>7000</v>
      </c>
      <c r="P83" s="58">
        <f t="shared" si="1"/>
        <v>28000</v>
      </c>
    </row>
    <row r="84" spans="1:16" ht="22.5" customHeight="1" x14ac:dyDescent="0.2">
      <c r="A84" s="159" t="s">
        <v>30</v>
      </c>
      <c r="B84" s="160"/>
      <c r="C84" s="160"/>
      <c r="D84" s="160"/>
      <c r="E84" s="160"/>
      <c r="F84" s="160"/>
      <c r="G84" s="160"/>
      <c r="H84" s="160"/>
      <c r="I84" s="160"/>
      <c r="J84" s="160"/>
      <c r="K84" s="160"/>
      <c r="L84" s="161"/>
      <c r="M84" s="71">
        <f>SUBTOTAL(109,Table224578910112345678910111213141516171819202122232425262728293031323334[KG VOLUME])</f>
        <v>1481.3147499999998</v>
      </c>
      <c r="N84" s="61">
        <f>SUM(N3:N83)</f>
        <v>1562.6762499999998</v>
      </c>
      <c r="O84" s="162">
        <f>SUM(P3:P83)</f>
        <v>10938733.75</v>
      </c>
      <c r="P84" s="163"/>
    </row>
    <row r="85" spans="1:16" ht="18" customHeight="1" x14ac:dyDescent="0.2">
      <c r="A85" s="78"/>
      <c r="B85" s="49" t="s">
        <v>42</v>
      </c>
      <c r="C85" s="48"/>
      <c r="D85" s="50" t="s">
        <v>43</v>
      </c>
      <c r="E85" s="78"/>
      <c r="F85" s="78"/>
      <c r="G85" s="78"/>
      <c r="H85" s="78"/>
      <c r="I85" s="78"/>
      <c r="J85" s="78"/>
      <c r="K85" s="78"/>
      <c r="L85" s="78"/>
      <c r="M85" s="79"/>
      <c r="N85" s="80" t="s">
        <v>52</v>
      </c>
      <c r="O85" s="81"/>
      <c r="P85" s="81">
        <v>0</v>
      </c>
    </row>
    <row r="86" spans="1:16" ht="18" customHeight="1" thickBot="1" x14ac:dyDescent="0.25">
      <c r="A86" s="78"/>
      <c r="B86" s="49"/>
      <c r="C86" s="48"/>
      <c r="D86" s="50"/>
      <c r="E86" s="78"/>
      <c r="F86" s="78"/>
      <c r="G86" s="78"/>
      <c r="H86" s="78"/>
      <c r="I86" s="78"/>
      <c r="J86" s="78"/>
      <c r="K86" s="78"/>
      <c r="L86" s="78"/>
      <c r="M86" s="79"/>
      <c r="N86" s="82" t="s">
        <v>53</v>
      </c>
      <c r="O86" s="83"/>
      <c r="P86" s="83">
        <f>O84-P85</f>
        <v>10938733.75</v>
      </c>
    </row>
    <row r="87" spans="1:16" ht="18" customHeight="1" x14ac:dyDescent="0.2">
      <c r="A87" s="10"/>
      <c r="H87" s="56"/>
      <c r="N87" s="55" t="s">
        <v>31</v>
      </c>
      <c r="P87" s="62">
        <f>P86*1%</f>
        <v>109387.33750000001</v>
      </c>
    </row>
    <row r="88" spans="1:16" ht="18" customHeight="1" thickBot="1" x14ac:dyDescent="0.25">
      <c r="A88" s="10"/>
      <c r="H88" s="56"/>
      <c r="N88" s="55" t="s">
        <v>54</v>
      </c>
      <c r="P88" s="64">
        <f>P86*2%</f>
        <v>218774.67500000002</v>
      </c>
    </row>
    <row r="89" spans="1:16" ht="18" customHeight="1" x14ac:dyDescent="0.2">
      <c r="A89" s="10"/>
      <c r="H89" s="56"/>
      <c r="N89" s="59" t="s">
        <v>32</v>
      </c>
      <c r="O89" s="60"/>
      <c r="P89" s="63">
        <f>P86+P87-P88</f>
        <v>10829346.4125</v>
      </c>
    </row>
    <row r="91" spans="1:16" x14ac:dyDescent="0.2">
      <c r="A91" s="10"/>
      <c r="H91" s="56"/>
      <c r="P91" s="64"/>
    </row>
    <row r="92" spans="1:16" x14ac:dyDescent="0.2">
      <c r="A92" s="10"/>
      <c r="H92" s="56"/>
      <c r="O92" s="51"/>
      <c r="P92" s="64"/>
    </row>
    <row r="93" spans="1:16" s="3" customFormat="1" x14ac:dyDescent="0.25">
      <c r="A93" s="10"/>
      <c r="B93" s="2"/>
      <c r="C93" s="2"/>
      <c r="E93" s="11"/>
      <c r="H93" s="56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6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6"/>
      <c r="N95" s="14"/>
      <c r="O95" s="14"/>
      <c r="P95" s="14"/>
    </row>
    <row r="96" spans="1:16" s="3" customFormat="1" x14ac:dyDescent="0.25">
      <c r="A96" s="10"/>
      <c r="B96" s="2"/>
      <c r="C96" s="2"/>
      <c r="E96" s="11"/>
      <c r="H96" s="56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56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6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6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56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56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6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6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6"/>
      <c r="N104" s="14"/>
      <c r="O104" s="14"/>
      <c r="P104" s="14"/>
    </row>
  </sheetData>
  <mergeCells count="2">
    <mergeCell ref="A84:L84"/>
    <mergeCell ref="O84:P84"/>
  </mergeCells>
  <conditionalFormatting sqref="C3:C83">
    <cfRule type="duplicateValues" dxfId="1071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topLeftCell="A18" workbookViewId="0">
      <selection activeCell="G26" sqref="G26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0.140625" style="3" customWidth="1"/>
    <col min="5" max="5" width="10.7109375" style="11" customWidth="1"/>
    <col min="6" max="6" width="15.28515625" style="3" customWidth="1"/>
    <col min="7" max="7" width="11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1.8554687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403967</v>
      </c>
      <c r="B3" s="99" t="s">
        <v>1922</v>
      </c>
      <c r="C3" s="90" t="s">
        <v>1923</v>
      </c>
      <c r="D3" s="102" t="s">
        <v>57</v>
      </c>
      <c r="E3" s="91">
        <v>44543</v>
      </c>
      <c r="F3" s="102" t="s">
        <v>59</v>
      </c>
      <c r="G3" s="91">
        <v>44548</v>
      </c>
      <c r="H3" s="90" t="s">
        <v>1631</v>
      </c>
      <c r="I3" s="90">
        <v>36</v>
      </c>
      <c r="J3" s="90">
        <v>24</v>
      </c>
      <c r="K3" s="90">
        <v>18</v>
      </c>
      <c r="L3" s="90">
        <v>1</v>
      </c>
      <c r="M3" s="90">
        <v>3.8879999999999999</v>
      </c>
      <c r="N3" s="104">
        <v>3.8879999999999999</v>
      </c>
      <c r="O3" s="57">
        <v>7000</v>
      </c>
      <c r="P3" s="58">
        <f t="shared" ref="P3:P29" si="0">N3*O3</f>
        <v>27216</v>
      </c>
    </row>
    <row r="4" spans="1:16" ht="26.25" customHeight="1" x14ac:dyDescent="0.2">
      <c r="A4" s="100"/>
      <c r="B4" s="100"/>
      <c r="C4" s="90" t="s">
        <v>1924</v>
      </c>
      <c r="D4" s="102" t="s">
        <v>57</v>
      </c>
      <c r="E4" s="91">
        <v>44543</v>
      </c>
      <c r="F4" s="102" t="s">
        <v>59</v>
      </c>
      <c r="G4" s="91">
        <v>44548</v>
      </c>
      <c r="H4" s="90" t="s">
        <v>1631</v>
      </c>
      <c r="I4" s="90">
        <v>82</v>
      </c>
      <c r="J4" s="90">
        <v>55</v>
      </c>
      <c r="K4" s="90">
        <v>44</v>
      </c>
      <c r="L4" s="90">
        <v>10</v>
      </c>
      <c r="M4" s="90">
        <v>49.61</v>
      </c>
      <c r="N4" s="104">
        <v>49.61</v>
      </c>
      <c r="O4" s="57">
        <v>7000</v>
      </c>
      <c r="P4" s="58">
        <f t="shared" si="0"/>
        <v>347270</v>
      </c>
    </row>
    <row r="5" spans="1:16" ht="26.25" customHeight="1" x14ac:dyDescent="0.2">
      <c r="A5" s="100"/>
      <c r="B5" s="100"/>
      <c r="C5" s="90" t="s">
        <v>1925</v>
      </c>
      <c r="D5" s="102" t="s">
        <v>57</v>
      </c>
      <c r="E5" s="91">
        <v>44543</v>
      </c>
      <c r="F5" s="102" t="s">
        <v>59</v>
      </c>
      <c r="G5" s="91">
        <v>44548</v>
      </c>
      <c r="H5" s="90" t="s">
        <v>1631</v>
      </c>
      <c r="I5" s="90">
        <v>67</v>
      </c>
      <c r="J5" s="90">
        <v>30</v>
      </c>
      <c r="K5" s="90">
        <v>22</v>
      </c>
      <c r="L5" s="90">
        <v>5</v>
      </c>
      <c r="M5" s="90">
        <v>11.055</v>
      </c>
      <c r="N5" s="104">
        <v>11.055</v>
      </c>
      <c r="O5" s="57">
        <v>7000</v>
      </c>
      <c r="P5" s="58">
        <f t="shared" si="0"/>
        <v>77385</v>
      </c>
    </row>
    <row r="6" spans="1:16" ht="26.25" customHeight="1" x14ac:dyDescent="0.2">
      <c r="A6" s="100"/>
      <c r="B6" s="100"/>
      <c r="C6" s="90" t="s">
        <v>1926</v>
      </c>
      <c r="D6" s="102" t="s">
        <v>57</v>
      </c>
      <c r="E6" s="91">
        <v>44543</v>
      </c>
      <c r="F6" s="102" t="s">
        <v>59</v>
      </c>
      <c r="G6" s="91">
        <v>44548</v>
      </c>
      <c r="H6" s="90" t="s">
        <v>1631</v>
      </c>
      <c r="I6" s="90">
        <v>62</v>
      </c>
      <c r="J6" s="90">
        <v>42</v>
      </c>
      <c r="K6" s="90">
        <v>22</v>
      </c>
      <c r="L6" s="90">
        <v>5</v>
      </c>
      <c r="M6" s="90">
        <v>14.321999999999999</v>
      </c>
      <c r="N6" s="104">
        <v>15</v>
      </c>
      <c r="O6" s="57">
        <v>7000</v>
      </c>
      <c r="P6" s="58">
        <f t="shared" si="0"/>
        <v>105000</v>
      </c>
    </row>
    <row r="7" spans="1:16" ht="26.25" customHeight="1" x14ac:dyDescent="0.2">
      <c r="A7" s="100"/>
      <c r="B7" s="100"/>
      <c r="C7" s="90" t="s">
        <v>1927</v>
      </c>
      <c r="D7" s="102" t="s">
        <v>57</v>
      </c>
      <c r="E7" s="91">
        <v>44543</v>
      </c>
      <c r="F7" s="102" t="s">
        <v>59</v>
      </c>
      <c r="G7" s="91">
        <v>44548</v>
      </c>
      <c r="H7" s="90" t="s">
        <v>1631</v>
      </c>
      <c r="I7" s="90">
        <v>78</v>
      </c>
      <c r="J7" s="90">
        <v>51</v>
      </c>
      <c r="K7" s="90">
        <v>15</v>
      </c>
      <c r="L7" s="90">
        <v>8</v>
      </c>
      <c r="M7" s="90">
        <v>14.9175</v>
      </c>
      <c r="N7" s="104">
        <v>14.9175</v>
      </c>
      <c r="O7" s="57">
        <v>7000</v>
      </c>
      <c r="P7" s="58">
        <f t="shared" si="0"/>
        <v>104422.5</v>
      </c>
    </row>
    <row r="8" spans="1:16" ht="26.25" customHeight="1" x14ac:dyDescent="0.2">
      <c r="A8" s="100"/>
      <c r="B8" s="100"/>
      <c r="C8" s="90" t="s">
        <v>1928</v>
      </c>
      <c r="D8" s="102" t="s">
        <v>57</v>
      </c>
      <c r="E8" s="91">
        <v>44543</v>
      </c>
      <c r="F8" s="102" t="s">
        <v>59</v>
      </c>
      <c r="G8" s="91">
        <v>44548</v>
      </c>
      <c r="H8" s="90" t="s">
        <v>1631</v>
      </c>
      <c r="I8" s="90">
        <v>97</v>
      </c>
      <c r="J8" s="90">
        <v>54</v>
      </c>
      <c r="K8" s="90">
        <v>21</v>
      </c>
      <c r="L8" s="90">
        <v>8</v>
      </c>
      <c r="M8" s="90">
        <v>27.499500000000001</v>
      </c>
      <c r="N8" s="104">
        <v>28</v>
      </c>
      <c r="O8" s="57">
        <v>7000</v>
      </c>
      <c r="P8" s="58">
        <f t="shared" si="0"/>
        <v>196000</v>
      </c>
    </row>
    <row r="9" spans="1:16" ht="26.25" customHeight="1" x14ac:dyDescent="0.2">
      <c r="A9" s="100"/>
      <c r="B9" s="100"/>
      <c r="C9" s="90" t="s">
        <v>1929</v>
      </c>
      <c r="D9" s="102" t="s">
        <v>57</v>
      </c>
      <c r="E9" s="91">
        <v>44543</v>
      </c>
      <c r="F9" s="102" t="s">
        <v>59</v>
      </c>
      <c r="G9" s="91">
        <v>44548</v>
      </c>
      <c r="H9" s="90" t="s">
        <v>1631</v>
      </c>
      <c r="I9" s="90">
        <v>40</v>
      </c>
      <c r="J9" s="90">
        <v>57</v>
      </c>
      <c r="K9" s="90">
        <v>21</v>
      </c>
      <c r="L9" s="90">
        <v>7</v>
      </c>
      <c r="M9" s="90">
        <v>11.97</v>
      </c>
      <c r="N9" s="104">
        <v>11.97</v>
      </c>
      <c r="O9" s="57">
        <v>7000</v>
      </c>
      <c r="P9" s="58">
        <f t="shared" si="0"/>
        <v>83790</v>
      </c>
    </row>
    <row r="10" spans="1:16" ht="26.25" customHeight="1" x14ac:dyDescent="0.2">
      <c r="A10" s="100"/>
      <c r="B10" s="100"/>
      <c r="C10" s="90" t="s">
        <v>1930</v>
      </c>
      <c r="D10" s="102" t="s">
        <v>57</v>
      </c>
      <c r="E10" s="91">
        <v>44543</v>
      </c>
      <c r="F10" s="102" t="s">
        <v>59</v>
      </c>
      <c r="G10" s="91">
        <v>44548</v>
      </c>
      <c r="H10" s="90" t="s">
        <v>1631</v>
      </c>
      <c r="I10" s="90">
        <v>82</v>
      </c>
      <c r="J10" s="90">
        <v>52</v>
      </c>
      <c r="K10" s="90">
        <v>17</v>
      </c>
      <c r="L10" s="90">
        <v>5</v>
      </c>
      <c r="M10" s="90">
        <v>18.122</v>
      </c>
      <c r="N10" s="104">
        <v>18.122</v>
      </c>
      <c r="O10" s="57">
        <v>7000</v>
      </c>
      <c r="P10" s="58">
        <f t="shared" si="0"/>
        <v>126854</v>
      </c>
    </row>
    <row r="11" spans="1:16" ht="26.25" customHeight="1" x14ac:dyDescent="0.2">
      <c r="A11" s="100"/>
      <c r="B11" s="100"/>
      <c r="C11" s="90" t="s">
        <v>1931</v>
      </c>
      <c r="D11" s="102" t="s">
        <v>57</v>
      </c>
      <c r="E11" s="91">
        <v>44543</v>
      </c>
      <c r="F11" s="102" t="s">
        <v>59</v>
      </c>
      <c r="G11" s="91">
        <v>44548</v>
      </c>
      <c r="H11" s="90" t="s">
        <v>1631</v>
      </c>
      <c r="I11" s="90">
        <v>72</v>
      </c>
      <c r="J11" s="90">
        <v>56</v>
      </c>
      <c r="K11" s="90">
        <v>30</v>
      </c>
      <c r="L11" s="90">
        <v>11</v>
      </c>
      <c r="M11" s="90">
        <v>30.24</v>
      </c>
      <c r="N11" s="104">
        <v>30.24</v>
      </c>
      <c r="O11" s="57">
        <v>7000</v>
      </c>
      <c r="P11" s="58">
        <f t="shared" si="0"/>
        <v>211680</v>
      </c>
    </row>
    <row r="12" spans="1:16" ht="26.25" customHeight="1" x14ac:dyDescent="0.2">
      <c r="A12" s="100"/>
      <c r="B12" s="100"/>
      <c r="C12" s="90" t="s">
        <v>1932</v>
      </c>
      <c r="D12" s="102" t="s">
        <v>57</v>
      </c>
      <c r="E12" s="91">
        <v>44543</v>
      </c>
      <c r="F12" s="102" t="s">
        <v>59</v>
      </c>
      <c r="G12" s="91">
        <v>44548</v>
      </c>
      <c r="H12" s="90" t="s">
        <v>1631</v>
      </c>
      <c r="I12" s="90">
        <v>87</v>
      </c>
      <c r="J12" s="90">
        <v>52</v>
      </c>
      <c r="K12" s="90">
        <v>38</v>
      </c>
      <c r="L12" s="90">
        <v>19</v>
      </c>
      <c r="M12" s="90">
        <v>42.978000000000002</v>
      </c>
      <c r="N12" s="104">
        <v>42.978000000000002</v>
      </c>
      <c r="O12" s="57">
        <v>7000</v>
      </c>
      <c r="P12" s="58">
        <f t="shared" si="0"/>
        <v>300846</v>
      </c>
    </row>
    <row r="13" spans="1:16" ht="26.25" customHeight="1" x14ac:dyDescent="0.2">
      <c r="A13" s="100"/>
      <c r="B13" s="100"/>
      <c r="C13" s="90" t="s">
        <v>1933</v>
      </c>
      <c r="D13" s="102" t="s">
        <v>57</v>
      </c>
      <c r="E13" s="91">
        <v>44543</v>
      </c>
      <c r="F13" s="102" t="s">
        <v>59</v>
      </c>
      <c r="G13" s="91">
        <v>44548</v>
      </c>
      <c r="H13" s="90" t="s">
        <v>1631</v>
      </c>
      <c r="I13" s="90">
        <v>58</v>
      </c>
      <c r="J13" s="90">
        <v>32</v>
      </c>
      <c r="K13" s="90">
        <v>24</v>
      </c>
      <c r="L13" s="90">
        <v>7</v>
      </c>
      <c r="M13" s="90">
        <v>11.135999999999999</v>
      </c>
      <c r="N13" s="104">
        <v>11.135999999999999</v>
      </c>
      <c r="O13" s="57">
        <v>7000</v>
      </c>
      <c r="P13" s="58">
        <f t="shared" si="0"/>
        <v>77952</v>
      </c>
    </row>
    <row r="14" spans="1:16" ht="26.25" customHeight="1" x14ac:dyDescent="0.2">
      <c r="A14" s="100"/>
      <c r="B14" s="100"/>
      <c r="C14" s="90" t="s">
        <v>1934</v>
      </c>
      <c r="D14" s="102" t="s">
        <v>57</v>
      </c>
      <c r="E14" s="91">
        <v>44543</v>
      </c>
      <c r="F14" s="102" t="s">
        <v>59</v>
      </c>
      <c r="G14" s="91">
        <v>44548</v>
      </c>
      <c r="H14" s="90" t="s">
        <v>1631</v>
      </c>
      <c r="I14" s="90">
        <v>45</v>
      </c>
      <c r="J14" s="90">
        <v>30</v>
      </c>
      <c r="K14" s="90">
        <v>8</v>
      </c>
      <c r="L14" s="90">
        <v>1</v>
      </c>
      <c r="M14" s="90">
        <v>2.7</v>
      </c>
      <c r="N14" s="104">
        <v>2.7</v>
      </c>
      <c r="O14" s="57">
        <v>7000</v>
      </c>
      <c r="P14" s="58">
        <f t="shared" si="0"/>
        <v>18900</v>
      </c>
    </row>
    <row r="15" spans="1:16" ht="26.25" customHeight="1" x14ac:dyDescent="0.2">
      <c r="A15" s="100"/>
      <c r="B15" s="100"/>
      <c r="C15" s="90" t="s">
        <v>1935</v>
      </c>
      <c r="D15" s="102" t="s">
        <v>57</v>
      </c>
      <c r="E15" s="91">
        <v>44543</v>
      </c>
      <c r="F15" s="102" t="s">
        <v>59</v>
      </c>
      <c r="G15" s="91">
        <v>44548</v>
      </c>
      <c r="H15" s="90" t="s">
        <v>1631</v>
      </c>
      <c r="I15" s="90">
        <v>87</v>
      </c>
      <c r="J15" s="90">
        <v>58</v>
      </c>
      <c r="K15" s="90">
        <v>36</v>
      </c>
      <c r="L15" s="90">
        <v>17</v>
      </c>
      <c r="M15" s="90">
        <v>45.414000000000001</v>
      </c>
      <c r="N15" s="104">
        <v>46</v>
      </c>
      <c r="O15" s="57">
        <v>7000</v>
      </c>
      <c r="P15" s="58">
        <f t="shared" si="0"/>
        <v>322000</v>
      </c>
    </row>
    <row r="16" spans="1:16" ht="26.25" customHeight="1" x14ac:dyDescent="0.2">
      <c r="A16" s="100"/>
      <c r="B16" s="100"/>
      <c r="C16" s="90" t="s">
        <v>1936</v>
      </c>
      <c r="D16" s="102" t="s">
        <v>57</v>
      </c>
      <c r="E16" s="91">
        <v>44543</v>
      </c>
      <c r="F16" s="102" t="s">
        <v>59</v>
      </c>
      <c r="G16" s="91">
        <v>44548</v>
      </c>
      <c r="H16" s="90" t="s">
        <v>1631</v>
      </c>
      <c r="I16" s="90">
        <v>18</v>
      </c>
      <c r="J16" s="90">
        <v>28</v>
      </c>
      <c r="K16" s="90">
        <v>18</v>
      </c>
      <c r="L16" s="90">
        <v>1</v>
      </c>
      <c r="M16" s="90">
        <v>2.2679999999999998</v>
      </c>
      <c r="N16" s="104">
        <v>2.2679999999999998</v>
      </c>
      <c r="O16" s="57">
        <v>7000</v>
      </c>
      <c r="P16" s="58">
        <f t="shared" si="0"/>
        <v>15875.999999999998</v>
      </c>
    </row>
    <row r="17" spans="1:16" ht="26.25" customHeight="1" x14ac:dyDescent="0.2">
      <c r="A17" s="100"/>
      <c r="B17" s="100"/>
      <c r="C17" s="90" t="s">
        <v>1937</v>
      </c>
      <c r="D17" s="102" t="s">
        <v>57</v>
      </c>
      <c r="E17" s="91">
        <v>44543</v>
      </c>
      <c r="F17" s="102" t="s">
        <v>59</v>
      </c>
      <c r="G17" s="91">
        <v>44548</v>
      </c>
      <c r="H17" s="90" t="s">
        <v>1631</v>
      </c>
      <c r="I17" s="90">
        <v>52</v>
      </c>
      <c r="J17" s="90">
        <v>52</v>
      </c>
      <c r="K17" s="90">
        <v>28</v>
      </c>
      <c r="L17" s="90">
        <v>3</v>
      </c>
      <c r="M17" s="90">
        <v>18.928000000000001</v>
      </c>
      <c r="N17" s="104">
        <v>18.928000000000001</v>
      </c>
      <c r="O17" s="57">
        <v>7000</v>
      </c>
      <c r="P17" s="58">
        <f t="shared" si="0"/>
        <v>132496</v>
      </c>
    </row>
    <row r="18" spans="1:16" ht="26.25" customHeight="1" x14ac:dyDescent="0.2">
      <c r="A18" s="100"/>
      <c r="B18" s="100"/>
      <c r="C18" s="90" t="s">
        <v>1938</v>
      </c>
      <c r="D18" s="102" t="s">
        <v>57</v>
      </c>
      <c r="E18" s="91">
        <v>44543</v>
      </c>
      <c r="F18" s="102" t="s">
        <v>59</v>
      </c>
      <c r="G18" s="91">
        <v>44548</v>
      </c>
      <c r="H18" s="90" t="s">
        <v>1631</v>
      </c>
      <c r="I18" s="90">
        <v>77</v>
      </c>
      <c r="J18" s="90">
        <v>56</v>
      </c>
      <c r="K18" s="90">
        <v>37</v>
      </c>
      <c r="L18" s="90">
        <v>7</v>
      </c>
      <c r="M18" s="90">
        <v>39.886000000000003</v>
      </c>
      <c r="N18" s="104">
        <v>39.886000000000003</v>
      </c>
      <c r="O18" s="57">
        <v>7000</v>
      </c>
      <c r="P18" s="58">
        <f t="shared" si="0"/>
        <v>279202</v>
      </c>
    </row>
    <row r="19" spans="1:16" ht="26.25" customHeight="1" x14ac:dyDescent="0.2">
      <c r="A19" s="100"/>
      <c r="B19" s="100"/>
      <c r="C19" s="90" t="s">
        <v>1939</v>
      </c>
      <c r="D19" s="102" t="s">
        <v>57</v>
      </c>
      <c r="E19" s="91">
        <v>44543</v>
      </c>
      <c r="F19" s="102" t="s">
        <v>59</v>
      </c>
      <c r="G19" s="91">
        <v>44548</v>
      </c>
      <c r="H19" s="90" t="s">
        <v>1631</v>
      </c>
      <c r="I19" s="90">
        <v>77</v>
      </c>
      <c r="J19" s="90">
        <v>41</v>
      </c>
      <c r="K19" s="90">
        <v>26</v>
      </c>
      <c r="L19" s="90">
        <v>6</v>
      </c>
      <c r="M19" s="90">
        <v>20.520499999999998</v>
      </c>
      <c r="N19" s="104">
        <v>20.520499999999998</v>
      </c>
      <c r="O19" s="57">
        <v>7000</v>
      </c>
      <c r="P19" s="58">
        <f t="shared" si="0"/>
        <v>143643.5</v>
      </c>
    </row>
    <row r="20" spans="1:16" ht="26.25" customHeight="1" x14ac:dyDescent="0.2">
      <c r="A20" s="100"/>
      <c r="B20" s="100"/>
      <c r="C20" s="90" t="s">
        <v>1940</v>
      </c>
      <c r="D20" s="102" t="s">
        <v>57</v>
      </c>
      <c r="E20" s="91">
        <v>44543</v>
      </c>
      <c r="F20" s="102" t="s">
        <v>59</v>
      </c>
      <c r="G20" s="91">
        <v>44548</v>
      </c>
      <c r="H20" s="90" t="s">
        <v>1631</v>
      </c>
      <c r="I20" s="90">
        <v>54</v>
      </c>
      <c r="J20" s="90">
        <v>43</v>
      </c>
      <c r="K20" s="90">
        <v>21</v>
      </c>
      <c r="L20" s="90">
        <v>6</v>
      </c>
      <c r="M20" s="90">
        <v>12.1905</v>
      </c>
      <c r="N20" s="104">
        <v>12.1905</v>
      </c>
      <c r="O20" s="57">
        <v>7000</v>
      </c>
      <c r="P20" s="58">
        <f t="shared" si="0"/>
        <v>85333.5</v>
      </c>
    </row>
    <row r="21" spans="1:16" ht="26.25" customHeight="1" x14ac:dyDescent="0.2">
      <c r="A21" s="100"/>
      <c r="B21" s="100"/>
      <c r="C21" s="90" t="s">
        <v>1941</v>
      </c>
      <c r="D21" s="102" t="s">
        <v>57</v>
      </c>
      <c r="E21" s="91">
        <v>44543</v>
      </c>
      <c r="F21" s="102" t="s">
        <v>59</v>
      </c>
      <c r="G21" s="91">
        <v>44548</v>
      </c>
      <c r="H21" s="90" t="s">
        <v>1631</v>
      </c>
      <c r="I21" s="90">
        <v>58</v>
      </c>
      <c r="J21" s="90">
        <v>34</v>
      </c>
      <c r="K21" s="90">
        <v>12</v>
      </c>
      <c r="L21" s="90">
        <v>1</v>
      </c>
      <c r="M21" s="90">
        <v>5.9160000000000004</v>
      </c>
      <c r="N21" s="104">
        <v>5.9160000000000004</v>
      </c>
      <c r="O21" s="57">
        <v>7000</v>
      </c>
      <c r="P21" s="58">
        <f t="shared" si="0"/>
        <v>41412</v>
      </c>
    </row>
    <row r="22" spans="1:16" ht="26.25" customHeight="1" x14ac:dyDescent="0.2">
      <c r="A22" s="100"/>
      <c r="B22" s="100"/>
      <c r="C22" s="90" t="s">
        <v>1942</v>
      </c>
      <c r="D22" s="102" t="s">
        <v>57</v>
      </c>
      <c r="E22" s="91">
        <v>44543</v>
      </c>
      <c r="F22" s="102" t="s">
        <v>59</v>
      </c>
      <c r="G22" s="91">
        <v>44548</v>
      </c>
      <c r="H22" s="90" t="s">
        <v>1631</v>
      </c>
      <c r="I22" s="90">
        <v>26</v>
      </c>
      <c r="J22" s="90">
        <v>17</v>
      </c>
      <c r="K22" s="90">
        <v>10</v>
      </c>
      <c r="L22" s="90">
        <v>1</v>
      </c>
      <c r="M22" s="90">
        <v>1.105</v>
      </c>
      <c r="N22" s="104">
        <v>1.105</v>
      </c>
      <c r="O22" s="57">
        <v>7000</v>
      </c>
      <c r="P22" s="58">
        <f t="shared" si="0"/>
        <v>7735</v>
      </c>
    </row>
    <row r="23" spans="1:16" ht="26.25" customHeight="1" x14ac:dyDescent="0.2">
      <c r="A23" s="100"/>
      <c r="B23" s="100"/>
      <c r="C23" s="90" t="s">
        <v>1943</v>
      </c>
      <c r="D23" s="102" t="s">
        <v>57</v>
      </c>
      <c r="E23" s="91">
        <v>44543</v>
      </c>
      <c r="F23" s="102" t="s">
        <v>59</v>
      </c>
      <c r="G23" s="91">
        <v>44548</v>
      </c>
      <c r="H23" s="90" t="s">
        <v>1631</v>
      </c>
      <c r="I23" s="90">
        <v>55</v>
      </c>
      <c r="J23" s="90">
        <v>36</v>
      </c>
      <c r="K23" s="90">
        <v>24</v>
      </c>
      <c r="L23" s="90">
        <v>3</v>
      </c>
      <c r="M23" s="90">
        <v>11.88</v>
      </c>
      <c r="N23" s="104">
        <v>11.88</v>
      </c>
      <c r="O23" s="57">
        <v>7000</v>
      </c>
      <c r="P23" s="58">
        <f t="shared" si="0"/>
        <v>83160</v>
      </c>
    </row>
    <row r="24" spans="1:16" ht="26.25" customHeight="1" x14ac:dyDescent="0.2">
      <c r="A24" s="100"/>
      <c r="B24" s="100"/>
      <c r="C24" s="90" t="s">
        <v>1944</v>
      </c>
      <c r="D24" s="102" t="s">
        <v>57</v>
      </c>
      <c r="E24" s="91">
        <v>44543</v>
      </c>
      <c r="F24" s="102" t="s">
        <v>59</v>
      </c>
      <c r="G24" s="91">
        <v>44548</v>
      </c>
      <c r="H24" s="90" t="s">
        <v>1631</v>
      </c>
      <c r="I24" s="90">
        <v>90</v>
      </c>
      <c r="J24" s="90">
        <v>40</v>
      </c>
      <c r="K24" s="90">
        <v>32</v>
      </c>
      <c r="L24" s="90">
        <v>20</v>
      </c>
      <c r="M24" s="90">
        <v>28.8</v>
      </c>
      <c r="N24" s="104">
        <v>28.8</v>
      </c>
      <c r="O24" s="57">
        <v>7000</v>
      </c>
      <c r="P24" s="58">
        <f t="shared" si="0"/>
        <v>201600</v>
      </c>
    </row>
    <row r="25" spans="1:16" ht="26.25" customHeight="1" x14ac:dyDescent="0.2">
      <c r="A25" s="100"/>
      <c r="B25" s="100"/>
      <c r="C25" s="90" t="s">
        <v>1945</v>
      </c>
      <c r="D25" s="102" t="s">
        <v>57</v>
      </c>
      <c r="E25" s="91">
        <v>44543</v>
      </c>
      <c r="F25" s="102" t="s">
        <v>59</v>
      </c>
      <c r="G25" s="91">
        <v>44548</v>
      </c>
      <c r="H25" s="90" t="s">
        <v>1631</v>
      </c>
      <c r="I25" s="90">
        <v>94</v>
      </c>
      <c r="J25" s="90">
        <v>52</v>
      </c>
      <c r="K25" s="90">
        <v>45</v>
      </c>
      <c r="L25" s="90">
        <v>26</v>
      </c>
      <c r="M25" s="90">
        <v>54.99</v>
      </c>
      <c r="N25" s="104">
        <v>54.99</v>
      </c>
      <c r="O25" s="57">
        <v>7000</v>
      </c>
      <c r="P25" s="58">
        <f t="shared" si="0"/>
        <v>384930</v>
      </c>
    </row>
    <row r="26" spans="1:16" ht="26.25" customHeight="1" x14ac:dyDescent="0.2">
      <c r="A26" s="100"/>
      <c r="B26" s="101"/>
      <c r="C26" s="90" t="s">
        <v>1946</v>
      </c>
      <c r="D26" s="102" t="s">
        <v>57</v>
      </c>
      <c r="E26" s="91">
        <v>44543</v>
      </c>
      <c r="F26" s="102" t="s">
        <v>59</v>
      </c>
      <c r="G26" s="91">
        <v>44548</v>
      </c>
      <c r="H26" s="90" t="s">
        <v>1631</v>
      </c>
      <c r="I26" s="90">
        <v>31</v>
      </c>
      <c r="J26" s="90">
        <v>31</v>
      </c>
      <c r="K26" s="90">
        <v>24</v>
      </c>
      <c r="L26" s="90">
        <v>5</v>
      </c>
      <c r="M26" s="90">
        <v>5.766</v>
      </c>
      <c r="N26" s="104">
        <v>5.766</v>
      </c>
      <c r="O26" s="57">
        <v>7000</v>
      </c>
      <c r="P26" s="58">
        <f t="shared" si="0"/>
        <v>40362</v>
      </c>
    </row>
    <row r="27" spans="1:16" ht="26.25" customHeight="1" x14ac:dyDescent="0.2">
      <c r="A27" s="100"/>
      <c r="B27" s="100" t="s">
        <v>1947</v>
      </c>
      <c r="C27" s="90" t="s">
        <v>1948</v>
      </c>
      <c r="D27" s="102" t="s">
        <v>57</v>
      </c>
      <c r="E27" s="91">
        <v>44543</v>
      </c>
      <c r="F27" s="102" t="s">
        <v>59</v>
      </c>
      <c r="G27" s="91">
        <v>44548</v>
      </c>
      <c r="H27" s="90" t="s">
        <v>1631</v>
      </c>
      <c r="I27" s="90">
        <v>26</v>
      </c>
      <c r="J27" s="90">
        <v>36</v>
      </c>
      <c r="K27" s="90">
        <v>10</v>
      </c>
      <c r="L27" s="90">
        <v>2</v>
      </c>
      <c r="M27" s="90">
        <v>2.34</v>
      </c>
      <c r="N27" s="104">
        <v>3</v>
      </c>
      <c r="O27" s="57">
        <v>7000</v>
      </c>
      <c r="P27" s="58">
        <f t="shared" si="0"/>
        <v>21000</v>
      </c>
    </row>
    <row r="28" spans="1:16" ht="26.25" customHeight="1" x14ac:dyDescent="0.2">
      <c r="A28" s="100"/>
      <c r="B28" s="100"/>
      <c r="C28" s="90" t="s">
        <v>1949</v>
      </c>
      <c r="D28" s="102" t="s">
        <v>57</v>
      </c>
      <c r="E28" s="91">
        <v>44543</v>
      </c>
      <c r="F28" s="102" t="s">
        <v>59</v>
      </c>
      <c r="G28" s="91">
        <v>44548</v>
      </c>
      <c r="H28" s="90" t="s">
        <v>1631</v>
      </c>
      <c r="I28" s="90">
        <v>68</v>
      </c>
      <c r="J28" s="90">
        <v>48</v>
      </c>
      <c r="K28" s="90">
        <v>23</v>
      </c>
      <c r="L28" s="90">
        <v>14</v>
      </c>
      <c r="M28" s="90">
        <v>18.768000000000001</v>
      </c>
      <c r="N28" s="104">
        <v>18.768000000000001</v>
      </c>
      <c r="O28" s="57">
        <v>7000</v>
      </c>
      <c r="P28" s="58">
        <f t="shared" si="0"/>
        <v>131376</v>
      </c>
    </row>
    <row r="29" spans="1:16" ht="26.25" customHeight="1" x14ac:dyDescent="0.2">
      <c r="A29" s="100"/>
      <c r="B29" s="100"/>
      <c r="C29" s="90" t="s">
        <v>1950</v>
      </c>
      <c r="D29" s="102" t="s">
        <v>57</v>
      </c>
      <c r="E29" s="91">
        <v>44543</v>
      </c>
      <c r="F29" s="102" t="s">
        <v>59</v>
      </c>
      <c r="G29" s="91">
        <v>44548</v>
      </c>
      <c r="H29" s="90" t="s">
        <v>1631</v>
      </c>
      <c r="I29" s="90">
        <v>40</v>
      </c>
      <c r="J29" s="90">
        <v>46</v>
      </c>
      <c r="K29" s="90">
        <v>21</v>
      </c>
      <c r="L29" s="90">
        <v>16</v>
      </c>
      <c r="M29" s="90">
        <v>9.66</v>
      </c>
      <c r="N29" s="104">
        <v>16</v>
      </c>
      <c r="O29" s="57">
        <v>7000</v>
      </c>
      <c r="P29" s="58">
        <f t="shared" si="0"/>
        <v>112000</v>
      </c>
    </row>
    <row r="30" spans="1:16" ht="22.5" customHeight="1" x14ac:dyDescent="0.2">
      <c r="A30" s="159" t="s">
        <v>30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1"/>
      <c r="M30" s="71">
        <f>SUBTOTAL(109,Table22457891011234567891011121314151617181920212223242526272829303132333435[KG VOLUME])</f>
        <v>516.87</v>
      </c>
      <c r="N30" s="61">
        <f>SUM(N3:N29)</f>
        <v>525.6345</v>
      </c>
      <c r="O30" s="162">
        <f>SUM(P3:P29)</f>
        <v>3679441.5</v>
      </c>
      <c r="P30" s="163"/>
    </row>
    <row r="31" spans="1:16" ht="18" customHeight="1" x14ac:dyDescent="0.2">
      <c r="A31" s="78"/>
      <c r="B31" s="49" t="s">
        <v>42</v>
      </c>
      <c r="C31" s="48"/>
      <c r="D31" s="50" t="s">
        <v>43</v>
      </c>
      <c r="E31" s="78"/>
      <c r="F31" s="78"/>
      <c r="G31" s="78"/>
      <c r="H31" s="78"/>
      <c r="I31" s="78"/>
      <c r="J31" s="78"/>
      <c r="K31" s="78"/>
      <c r="L31" s="78"/>
      <c r="M31" s="79"/>
      <c r="N31" s="80" t="s">
        <v>52</v>
      </c>
      <c r="O31" s="81"/>
      <c r="P31" s="81">
        <v>0</v>
      </c>
    </row>
    <row r="32" spans="1:16" ht="18" customHeight="1" thickBot="1" x14ac:dyDescent="0.25">
      <c r="A32" s="78"/>
      <c r="B32" s="49"/>
      <c r="C32" s="48"/>
      <c r="D32" s="50"/>
      <c r="E32" s="78"/>
      <c r="F32" s="78"/>
      <c r="G32" s="78"/>
      <c r="H32" s="78"/>
      <c r="I32" s="78"/>
      <c r="J32" s="78"/>
      <c r="K32" s="78"/>
      <c r="L32" s="78"/>
      <c r="M32" s="79"/>
      <c r="N32" s="82" t="s">
        <v>53</v>
      </c>
      <c r="O32" s="83"/>
      <c r="P32" s="83">
        <f>O30-P31</f>
        <v>3679441.5</v>
      </c>
    </row>
    <row r="33" spans="1:16" ht="18" customHeight="1" x14ac:dyDescent="0.2">
      <c r="A33" s="10"/>
      <c r="H33" s="56"/>
      <c r="N33" s="55" t="s">
        <v>31</v>
      </c>
      <c r="P33" s="62">
        <f>P32*1%</f>
        <v>36794.415000000001</v>
      </c>
    </row>
    <row r="34" spans="1:16" ht="18" customHeight="1" thickBot="1" x14ac:dyDescent="0.25">
      <c r="A34" s="10"/>
      <c r="H34" s="56"/>
      <c r="N34" s="55" t="s">
        <v>54</v>
      </c>
      <c r="P34" s="64">
        <f>P32*2%</f>
        <v>73588.83</v>
      </c>
    </row>
    <row r="35" spans="1:16" ht="18" customHeight="1" x14ac:dyDescent="0.2">
      <c r="A35" s="10"/>
      <c r="H35" s="56"/>
      <c r="N35" s="59" t="s">
        <v>32</v>
      </c>
      <c r="O35" s="60"/>
      <c r="P35" s="63">
        <f>P32+P33-P34</f>
        <v>3642647.085</v>
      </c>
    </row>
    <row r="37" spans="1:16" x14ac:dyDescent="0.2">
      <c r="A37" s="10"/>
      <c r="H37" s="56"/>
      <c r="P37" s="64"/>
    </row>
    <row r="38" spans="1:16" x14ac:dyDescent="0.2">
      <c r="A38" s="10"/>
      <c r="H38" s="56"/>
      <c r="O38" s="51"/>
      <c r="P38" s="6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</sheetData>
  <mergeCells count="2">
    <mergeCell ref="A30:L30"/>
    <mergeCell ref="O30:P30"/>
  </mergeCells>
  <conditionalFormatting sqref="C3:C29">
    <cfRule type="duplicateValues" dxfId="1055" priority="60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"/>
  <sheetViews>
    <sheetView workbookViewId="0">
      <selection activeCell="N3" sqref="N3: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10.85546875" style="11" customWidth="1"/>
    <col min="6" max="6" width="12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402434</v>
      </c>
      <c r="B3" s="99" t="s">
        <v>1951</v>
      </c>
      <c r="C3" s="90" t="s">
        <v>1952</v>
      </c>
      <c r="D3" s="102" t="s">
        <v>57</v>
      </c>
      <c r="E3" s="91">
        <v>44543</v>
      </c>
      <c r="F3" s="90" t="s">
        <v>59</v>
      </c>
      <c r="G3" s="91">
        <v>44548</v>
      </c>
      <c r="H3" s="90" t="s">
        <v>1631</v>
      </c>
      <c r="I3" s="90">
        <v>82</v>
      </c>
      <c r="J3" s="90">
        <v>42</v>
      </c>
      <c r="K3" s="90">
        <v>37</v>
      </c>
      <c r="L3" s="90">
        <v>10</v>
      </c>
      <c r="M3" s="90">
        <v>31.856999999999999</v>
      </c>
      <c r="N3" s="104">
        <v>31.856999999999999</v>
      </c>
      <c r="O3" s="57">
        <v>7000</v>
      </c>
      <c r="P3" s="58">
        <f t="shared" ref="P3:P37" si="0">N3*O3</f>
        <v>222999</v>
      </c>
    </row>
    <row r="4" spans="1:16" ht="26.25" customHeight="1" x14ac:dyDescent="0.2">
      <c r="A4" s="100"/>
      <c r="B4" s="100"/>
      <c r="C4" s="65" t="s">
        <v>1953</v>
      </c>
      <c r="D4" s="70" t="s">
        <v>57</v>
      </c>
      <c r="E4" s="12">
        <v>44543</v>
      </c>
      <c r="F4" s="68" t="s">
        <v>59</v>
      </c>
      <c r="G4" s="12">
        <v>44548</v>
      </c>
      <c r="H4" s="69" t="s">
        <v>1631</v>
      </c>
      <c r="I4" s="15">
        <v>45</v>
      </c>
      <c r="J4" s="15">
        <v>48</v>
      </c>
      <c r="K4" s="15">
        <v>48</v>
      </c>
      <c r="L4" s="15">
        <v>10</v>
      </c>
      <c r="M4" s="126">
        <v>25.92</v>
      </c>
      <c r="N4" s="104">
        <v>25.92</v>
      </c>
      <c r="O4" s="57">
        <v>7000</v>
      </c>
      <c r="P4" s="58">
        <f t="shared" si="0"/>
        <v>181440</v>
      </c>
    </row>
    <row r="5" spans="1:16" ht="26.25" customHeight="1" x14ac:dyDescent="0.2">
      <c r="A5" s="100"/>
      <c r="B5" s="100"/>
      <c r="C5" s="65" t="s">
        <v>1954</v>
      </c>
      <c r="D5" s="70" t="s">
        <v>57</v>
      </c>
      <c r="E5" s="12">
        <v>44543</v>
      </c>
      <c r="F5" s="68" t="s">
        <v>59</v>
      </c>
      <c r="G5" s="12">
        <v>44548</v>
      </c>
      <c r="H5" s="69" t="s">
        <v>1631</v>
      </c>
      <c r="I5" s="15">
        <v>72</v>
      </c>
      <c r="J5" s="15">
        <v>58</v>
      </c>
      <c r="K5" s="15">
        <v>21</v>
      </c>
      <c r="L5" s="15">
        <v>10</v>
      </c>
      <c r="M5" s="126">
        <v>21.923999999999999</v>
      </c>
      <c r="N5" s="104">
        <v>21.923999999999999</v>
      </c>
      <c r="O5" s="57">
        <v>7000</v>
      </c>
      <c r="P5" s="58">
        <f t="shared" si="0"/>
        <v>153468</v>
      </c>
    </row>
    <row r="6" spans="1:16" ht="26.25" customHeight="1" x14ac:dyDescent="0.2">
      <c r="A6" s="100"/>
      <c r="B6" s="100"/>
      <c r="C6" s="65" t="s">
        <v>1955</v>
      </c>
      <c r="D6" s="70" t="s">
        <v>57</v>
      </c>
      <c r="E6" s="12">
        <v>44543</v>
      </c>
      <c r="F6" s="68" t="s">
        <v>59</v>
      </c>
      <c r="G6" s="12">
        <v>44548</v>
      </c>
      <c r="H6" s="69" t="s">
        <v>1631</v>
      </c>
      <c r="I6" s="15">
        <v>43</v>
      </c>
      <c r="J6" s="15">
        <v>23</v>
      </c>
      <c r="K6" s="15">
        <v>23</v>
      </c>
      <c r="L6" s="15">
        <v>6</v>
      </c>
      <c r="M6" s="126">
        <v>5.68675</v>
      </c>
      <c r="N6" s="104">
        <v>6</v>
      </c>
      <c r="O6" s="57">
        <v>7000</v>
      </c>
      <c r="P6" s="58">
        <f t="shared" si="0"/>
        <v>42000</v>
      </c>
    </row>
    <row r="7" spans="1:16" ht="26.25" customHeight="1" x14ac:dyDescent="0.2">
      <c r="A7" s="100"/>
      <c r="B7" s="100"/>
      <c r="C7" s="65" t="s">
        <v>1956</v>
      </c>
      <c r="D7" s="70" t="s">
        <v>57</v>
      </c>
      <c r="E7" s="12">
        <v>44543</v>
      </c>
      <c r="F7" s="68" t="s">
        <v>59</v>
      </c>
      <c r="G7" s="12">
        <v>44548</v>
      </c>
      <c r="H7" s="69" t="s">
        <v>1631</v>
      </c>
      <c r="I7" s="15">
        <v>37</v>
      </c>
      <c r="J7" s="15">
        <v>37</v>
      </c>
      <c r="K7" s="15">
        <v>37</v>
      </c>
      <c r="L7" s="15">
        <v>7</v>
      </c>
      <c r="M7" s="126">
        <v>12.66325</v>
      </c>
      <c r="N7" s="104">
        <v>12.66325</v>
      </c>
      <c r="O7" s="57">
        <v>7000</v>
      </c>
      <c r="P7" s="58">
        <f t="shared" si="0"/>
        <v>88642.75</v>
      </c>
    </row>
    <row r="8" spans="1:16" ht="26.25" customHeight="1" x14ac:dyDescent="0.2">
      <c r="A8" s="100"/>
      <c r="B8" s="100"/>
      <c r="C8" s="65" t="s">
        <v>1957</v>
      </c>
      <c r="D8" s="70" t="s">
        <v>57</v>
      </c>
      <c r="E8" s="12">
        <v>44543</v>
      </c>
      <c r="F8" s="68" t="s">
        <v>59</v>
      </c>
      <c r="G8" s="12">
        <v>44548</v>
      </c>
      <c r="H8" s="69" t="s">
        <v>1631</v>
      </c>
      <c r="I8" s="15">
        <v>52</v>
      </c>
      <c r="J8" s="15">
        <v>27</v>
      </c>
      <c r="K8" s="15">
        <v>20</v>
      </c>
      <c r="L8" s="15">
        <v>5</v>
      </c>
      <c r="M8" s="126">
        <v>7.02</v>
      </c>
      <c r="N8" s="104">
        <v>7.02</v>
      </c>
      <c r="O8" s="57">
        <v>7000</v>
      </c>
      <c r="P8" s="58">
        <f t="shared" si="0"/>
        <v>49140</v>
      </c>
    </row>
    <row r="9" spans="1:16" ht="26.25" customHeight="1" x14ac:dyDescent="0.2">
      <c r="A9" s="100"/>
      <c r="B9" s="100"/>
      <c r="C9" s="65" t="s">
        <v>1958</v>
      </c>
      <c r="D9" s="70" t="s">
        <v>57</v>
      </c>
      <c r="E9" s="12">
        <v>44543</v>
      </c>
      <c r="F9" s="68" t="s">
        <v>59</v>
      </c>
      <c r="G9" s="12">
        <v>44548</v>
      </c>
      <c r="H9" s="69" t="s">
        <v>1631</v>
      </c>
      <c r="I9" s="15">
        <v>48</v>
      </c>
      <c r="J9" s="15">
        <v>32</v>
      </c>
      <c r="K9" s="15">
        <v>17</v>
      </c>
      <c r="L9" s="15">
        <v>3</v>
      </c>
      <c r="M9" s="126">
        <v>6.5279999999999996</v>
      </c>
      <c r="N9" s="104">
        <v>6.5279999999999996</v>
      </c>
      <c r="O9" s="57">
        <v>7000</v>
      </c>
      <c r="P9" s="58">
        <f t="shared" si="0"/>
        <v>45696</v>
      </c>
    </row>
    <row r="10" spans="1:16" ht="26.25" customHeight="1" x14ac:dyDescent="0.2">
      <c r="A10" s="100"/>
      <c r="B10" s="100"/>
      <c r="C10" s="65" t="s">
        <v>1959</v>
      </c>
      <c r="D10" s="70" t="s">
        <v>57</v>
      </c>
      <c r="E10" s="12">
        <v>44543</v>
      </c>
      <c r="F10" s="68" t="s">
        <v>59</v>
      </c>
      <c r="G10" s="12">
        <v>44548</v>
      </c>
      <c r="H10" s="69" t="s">
        <v>1631</v>
      </c>
      <c r="I10" s="15">
        <v>60</v>
      </c>
      <c r="J10" s="15">
        <v>37</v>
      </c>
      <c r="K10" s="15">
        <v>20</v>
      </c>
      <c r="L10" s="15">
        <v>5</v>
      </c>
      <c r="M10" s="126">
        <v>11.1</v>
      </c>
      <c r="N10" s="104">
        <v>11.1</v>
      </c>
      <c r="O10" s="57">
        <v>7000</v>
      </c>
      <c r="P10" s="58">
        <f t="shared" si="0"/>
        <v>77700</v>
      </c>
    </row>
    <row r="11" spans="1:16" ht="26.25" customHeight="1" x14ac:dyDescent="0.2">
      <c r="A11" s="100"/>
      <c r="B11" s="100"/>
      <c r="C11" s="65" t="s">
        <v>1960</v>
      </c>
      <c r="D11" s="70" t="s">
        <v>57</v>
      </c>
      <c r="E11" s="12">
        <v>44543</v>
      </c>
      <c r="F11" s="68" t="s">
        <v>59</v>
      </c>
      <c r="G11" s="12">
        <v>44548</v>
      </c>
      <c r="H11" s="69" t="s">
        <v>1631</v>
      </c>
      <c r="I11" s="15">
        <v>17</v>
      </c>
      <c r="J11" s="15">
        <v>20</v>
      </c>
      <c r="K11" s="15">
        <v>6</v>
      </c>
      <c r="L11" s="15">
        <v>1</v>
      </c>
      <c r="M11" s="126">
        <v>0.51</v>
      </c>
      <c r="N11" s="104">
        <v>1</v>
      </c>
      <c r="O11" s="57">
        <v>7000</v>
      </c>
      <c r="P11" s="58">
        <f t="shared" si="0"/>
        <v>7000</v>
      </c>
    </row>
    <row r="12" spans="1:16" ht="26.25" customHeight="1" x14ac:dyDescent="0.2">
      <c r="A12" s="100"/>
      <c r="B12" s="100"/>
      <c r="C12" s="65" t="s">
        <v>1961</v>
      </c>
      <c r="D12" s="70" t="s">
        <v>57</v>
      </c>
      <c r="E12" s="12">
        <v>44543</v>
      </c>
      <c r="F12" s="68" t="s">
        <v>59</v>
      </c>
      <c r="G12" s="12">
        <v>44548</v>
      </c>
      <c r="H12" s="69" t="s">
        <v>1631</v>
      </c>
      <c r="I12" s="15">
        <v>37</v>
      </c>
      <c r="J12" s="15">
        <v>37</v>
      </c>
      <c r="K12" s="15">
        <v>37</v>
      </c>
      <c r="L12" s="15">
        <v>7</v>
      </c>
      <c r="M12" s="126">
        <v>12.66325</v>
      </c>
      <c r="N12" s="104">
        <v>12.66325</v>
      </c>
      <c r="O12" s="57">
        <v>7000</v>
      </c>
      <c r="P12" s="58">
        <f t="shared" si="0"/>
        <v>88642.75</v>
      </c>
    </row>
    <row r="13" spans="1:16" ht="26.25" customHeight="1" x14ac:dyDescent="0.2">
      <c r="A13" s="100"/>
      <c r="B13" s="100"/>
      <c r="C13" s="65" t="s">
        <v>1962</v>
      </c>
      <c r="D13" s="70" t="s">
        <v>57</v>
      </c>
      <c r="E13" s="12">
        <v>44543</v>
      </c>
      <c r="F13" s="68" t="s">
        <v>59</v>
      </c>
      <c r="G13" s="12">
        <v>44548</v>
      </c>
      <c r="H13" s="69" t="s">
        <v>1631</v>
      </c>
      <c r="I13" s="15">
        <v>38</v>
      </c>
      <c r="J13" s="15">
        <v>38</v>
      </c>
      <c r="K13" s="15">
        <v>10</v>
      </c>
      <c r="L13" s="15">
        <v>2</v>
      </c>
      <c r="M13" s="126">
        <v>3.61</v>
      </c>
      <c r="N13" s="104">
        <v>3.61</v>
      </c>
      <c r="O13" s="57">
        <v>7000</v>
      </c>
      <c r="P13" s="58">
        <f t="shared" si="0"/>
        <v>25270</v>
      </c>
    </row>
    <row r="14" spans="1:16" ht="26.25" customHeight="1" x14ac:dyDescent="0.2">
      <c r="A14" s="100"/>
      <c r="B14" s="100"/>
      <c r="C14" s="65" t="s">
        <v>1963</v>
      </c>
      <c r="D14" s="70" t="s">
        <v>57</v>
      </c>
      <c r="E14" s="12">
        <v>44543</v>
      </c>
      <c r="F14" s="68" t="s">
        <v>59</v>
      </c>
      <c r="G14" s="12">
        <v>44548</v>
      </c>
      <c r="H14" s="69" t="s">
        <v>1631</v>
      </c>
      <c r="I14" s="15">
        <v>85</v>
      </c>
      <c r="J14" s="15">
        <v>60</v>
      </c>
      <c r="K14" s="15">
        <v>27</v>
      </c>
      <c r="L14" s="15">
        <v>14</v>
      </c>
      <c r="M14" s="126">
        <v>34.424999999999997</v>
      </c>
      <c r="N14" s="104">
        <v>35</v>
      </c>
      <c r="O14" s="57">
        <v>7000</v>
      </c>
      <c r="P14" s="58">
        <f t="shared" si="0"/>
        <v>245000</v>
      </c>
    </row>
    <row r="15" spans="1:16" ht="26.25" customHeight="1" x14ac:dyDescent="0.2">
      <c r="A15" s="100"/>
      <c r="B15" s="100"/>
      <c r="C15" s="65" t="s">
        <v>1964</v>
      </c>
      <c r="D15" s="70" t="s">
        <v>57</v>
      </c>
      <c r="E15" s="12">
        <v>44543</v>
      </c>
      <c r="F15" s="68" t="s">
        <v>59</v>
      </c>
      <c r="G15" s="12">
        <v>44548</v>
      </c>
      <c r="H15" s="69" t="s">
        <v>1631</v>
      </c>
      <c r="I15" s="15">
        <v>60</v>
      </c>
      <c r="J15" s="15">
        <v>44</v>
      </c>
      <c r="K15" s="15">
        <v>30</v>
      </c>
      <c r="L15" s="15">
        <v>6</v>
      </c>
      <c r="M15" s="126">
        <v>19.8</v>
      </c>
      <c r="N15" s="104">
        <v>19.8</v>
      </c>
      <c r="O15" s="57">
        <v>7000</v>
      </c>
      <c r="P15" s="58">
        <f t="shared" si="0"/>
        <v>138600</v>
      </c>
    </row>
    <row r="16" spans="1:16" ht="26.25" customHeight="1" x14ac:dyDescent="0.2">
      <c r="A16" s="100"/>
      <c r="B16" s="100"/>
      <c r="C16" s="65" t="s">
        <v>1965</v>
      </c>
      <c r="D16" s="70" t="s">
        <v>57</v>
      </c>
      <c r="E16" s="12">
        <v>44543</v>
      </c>
      <c r="F16" s="68" t="s">
        <v>59</v>
      </c>
      <c r="G16" s="12">
        <v>44548</v>
      </c>
      <c r="H16" s="69" t="s">
        <v>1631</v>
      </c>
      <c r="I16" s="15">
        <v>85</v>
      </c>
      <c r="J16" s="15">
        <v>54</v>
      </c>
      <c r="K16" s="15">
        <v>22</v>
      </c>
      <c r="L16" s="15">
        <v>15</v>
      </c>
      <c r="M16" s="126">
        <v>25.245000000000001</v>
      </c>
      <c r="N16" s="104">
        <v>25.245000000000001</v>
      </c>
      <c r="O16" s="57">
        <v>7000</v>
      </c>
      <c r="P16" s="58">
        <f t="shared" si="0"/>
        <v>176715</v>
      </c>
    </row>
    <row r="17" spans="1:16" ht="26.25" customHeight="1" x14ac:dyDescent="0.2">
      <c r="A17" s="100"/>
      <c r="B17" s="100"/>
      <c r="C17" s="65" t="s">
        <v>1966</v>
      </c>
      <c r="D17" s="70" t="s">
        <v>57</v>
      </c>
      <c r="E17" s="12">
        <v>44543</v>
      </c>
      <c r="F17" s="68" t="s">
        <v>59</v>
      </c>
      <c r="G17" s="12">
        <v>44548</v>
      </c>
      <c r="H17" s="69" t="s">
        <v>1631</v>
      </c>
      <c r="I17" s="15">
        <v>52</v>
      </c>
      <c r="J17" s="15">
        <v>52</v>
      </c>
      <c r="K17" s="15">
        <v>24</v>
      </c>
      <c r="L17" s="15">
        <v>4</v>
      </c>
      <c r="M17" s="126">
        <v>16.224</v>
      </c>
      <c r="N17" s="104">
        <v>16.224</v>
      </c>
      <c r="O17" s="57">
        <v>7000</v>
      </c>
      <c r="P17" s="58">
        <f t="shared" si="0"/>
        <v>113568</v>
      </c>
    </row>
    <row r="18" spans="1:16" ht="26.25" customHeight="1" x14ac:dyDescent="0.2">
      <c r="A18" s="100"/>
      <c r="B18" s="100"/>
      <c r="C18" s="65" t="s">
        <v>1967</v>
      </c>
      <c r="D18" s="70" t="s">
        <v>57</v>
      </c>
      <c r="E18" s="12">
        <v>44543</v>
      </c>
      <c r="F18" s="68" t="s">
        <v>59</v>
      </c>
      <c r="G18" s="12">
        <v>44548</v>
      </c>
      <c r="H18" s="69" t="s">
        <v>1631</v>
      </c>
      <c r="I18" s="15">
        <v>67</v>
      </c>
      <c r="J18" s="15">
        <v>48</v>
      </c>
      <c r="K18" s="15">
        <v>25</v>
      </c>
      <c r="L18" s="15">
        <v>12</v>
      </c>
      <c r="M18" s="126">
        <v>20.100000000000001</v>
      </c>
      <c r="N18" s="104">
        <v>20.100000000000001</v>
      </c>
      <c r="O18" s="57">
        <v>7000</v>
      </c>
      <c r="P18" s="58">
        <f t="shared" si="0"/>
        <v>140700</v>
      </c>
    </row>
    <row r="19" spans="1:16" ht="26.25" customHeight="1" x14ac:dyDescent="0.2">
      <c r="A19" s="100"/>
      <c r="B19" s="100"/>
      <c r="C19" s="65" t="s">
        <v>1968</v>
      </c>
      <c r="D19" s="70" t="s">
        <v>57</v>
      </c>
      <c r="E19" s="12">
        <v>44543</v>
      </c>
      <c r="F19" s="68" t="s">
        <v>59</v>
      </c>
      <c r="G19" s="12">
        <v>44548</v>
      </c>
      <c r="H19" s="69" t="s">
        <v>1631</v>
      </c>
      <c r="I19" s="15">
        <v>95</v>
      </c>
      <c r="J19" s="15">
        <v>57</v>
      </c>
      <c r="K19" s="15">
        <v>23</v>
      </c>
      <c r="L19" s="15">
        <v>10</v>
      </c>
      <c r="M19" s="126">
        <v>31.13625</v>
      </c>
      <c r="N19" s="104">
        <v>31.13625</v>
      </c>
      <c r="O19" s="57">
        <v>7000</v>
      </c>
      <c r="P19" s="58">
        <f t="shared" si="0"/>
        <v>217953.75</v>
      </c>
    </row>
    <row r="20" spans="1:16" ht="26.25" customHeight="1" x14ac:dyDescent="0.2">
      <c r="A20" s="100"/>
      <c r="B20" s="100"/>
      <c r="C20" s="65" t="s">
        <v>1969</v>
      </c>
      <c r="D20" s="70" t="s">
        <v>57</v>
      </c>
      <c r="E20" s="12">
        <v>44543</v>
      </c>
      <c r="F20" s="68" t="s">
        <v>59</v>
      </c>
      <c r="G20" s="12">
        <v>44548</v>
      </c>
      <c r="H20" s="69" t="s">
        <v>1631</v>
      </c>
      <c r="I20" s="15">
        <v>104</v>
      </c>
      <c r="J20" s="15">
        <v>17</v>
      </c>
      <c r="K20" s="15">
        <v>17</v>
      </c>
      <c r="L20" s="15">
        <v>4</v>
      </c>
      <c r="M20" s="126">
        <v>7.5140000000000002</v>
      </c>
      <c r="N20" s="104">
        <v>7.5140000000000002</v>
      </c>
      <c r="O20" s="57">
        <v>7000</v>
      </c>
      <c r="P20" s="58">
        <f t="shared" si="0"/>
        <v>52598</v>
      </c>
    </row>
    <row r="21" spans="1:16" ht="26.25" customHeight="1" x14ac:dyDescent="0.2">
      <c r="A21" s="100"/>
      <c r="B21" s="100"/>
      <c r="C21" s="65" t="s">
        <v>1970</v>
      </c>
      <c r="D21" s="70" t="s">
        <v>57</v>
      </c>
      <c r="E21" s="12">
        <v>44543</v>
      </c>
      <c r="F21" s="68" t="s">
        <v>59</v>
      </c>
      <c r="G21" s="12">
        <v>44548</v>
      </c>
      <c r="H21" s="69" t="s">
        <v>1631</v>
      </c>
      <c r="I21" s="15">
        <v>57</v>
      </c>
      <c r="J21" s="15">
        <v>38</v>
      </c>
      <c r="K21" s="15">
        <v>41</v>
      </c>
      <c r="L21" s="15">
        <v>9</v>
      </c>
      <c r="M21" s="126">
        <v>22.201499999999999</v>
      </c>
      <c r="N21" s="104">
        <v>22.201499999999999</v>
      </c>
      <c r="O21" s="57">
        <v>7000</v>
      </c>
      <c r="P21" s="58">
        <f t="shared" si="0"/>
        <v>155410.5</v>
      </c>
    </row>
    <row r="22" spans="1:16" ht="26.25" customHeight="1" x14ac:dyDescent="0.2">
      <c r="A22" s="100"/>
      <c r="B22" s="100"/>
      <c r="C22" s="65" t="s">
        <v>1971</v>
      </c>
      <c r="D22" s="70" t="s">
        <v>57</v>
      </c>
      <c r="E22" s="12">
        <v>44543</v>
      </c>
      <c r="F22" s="68" t="s">
        <v>59</v>
      </c>
      <c r="G22" s="12">
        <v>44548</v>
      </c>
      <c r="H22" s="69" t="s">
        <v>1631</v>
      </c>
      <c r="I22" s="15">
        <v>60</v>
      </c>
      <c r="J22" s="15">
        <v>17</v>
      </c>
      <c r="K22" s="15">
        <v>17</v>
      </c>
      <c r="L22" s="15">
        <v>1</v>
      </c>
      <c r="M22" s="126">
        <v>4.335</v>
      </c>
      <c r="N22" s="104">
        <v>5</v>
      </c>
      <c r="O22" s="57">
        <v>7000</v>
      </c>
      <c r="P22" s="58">
        <f t="shared" si="0"/>
        <v>35000</v>
      </c>
    </row>
    <row r="23" spans="1:16" ht="26.25" customHeight="1" x14ac:dyDescent="0.2">
      <c r="A23" s="100"/>
      <c r="B23" s="100"/>
      <c r="C23" s="65" t="s">
        <v>1972</v>
      </c>
      <c r="D23" s="70" t="s">
        <v>57</v>
      </c>
      <c r="E23" s="12">
        <v>44543</v>
      </c>
      <c r="F23" s="68" t="s">
        <v>59</v>
      </c>
      <c r="G23" s="12">
        <v>44548</v>
      </c>
      <c r="H23" s="69" t="s">
        <v>1631</v>
      </c>
      <c r="I23" s="15">
        <v>67</v>
      </c>
      <c r="J23" s="15">
        <v>30</v>
      </c>
      <c r="K23" s="15">
        <v>20</v>
      </c>
      <c r="L23" s="15">
        <v>6</v>
      </c>
      <c r="M23" s="126">
        <v>10.050000000000001</v>
      </c>
      <c r="N23" s="104">
        <v>10.050000000000001</v>
      </c>
      <c r="O23" s="57">
        <v>7000</v>
      </c>
      <c r="P23" s="58">
        <f t="shared" si="0"/>
        <v>70350</v>
      </c>
    </row>
    <row r="24" spans="1:16" ht="26.25" customHeight="1" x14ac:dyDescent="0.2">
      <c r="A24" s="100"/>
      <c r="B24" s="100"/>
      <c r="C24" s="65" t="s">
        <v>1973</v>
      </c>
      <c r="D24" s="70" t="s">
        <v>57</v>
      </c>
      <c r="E24" s="12">
        <v>44543</v>
      </c>
      <c r="F24" s="68" t="s">
        <v>59</v>
      </c>
      <c r="G24" s="12">
        <v>44548</v>
      </c>
      <c r="H24" s="69" t="s">
        <v>1631</v>
      </c>
      <c r="I24" s="15">
        <v>20</v>
      </c>
      <c r="J24" s="15">
        <v>18</v>
      </c>
      <c r="K24" s="15">
        <v>5</v>
      </c>
      <c r="L24" s="15">
        <v>1</v>
      </c>
      <c r="M24" s="126">
        <v>0.45</v>
      </c>
      <c r="N24" s="104">
        <v>2</v>
      </c>
      <c r="O24" s="57">
        <v>7000</v>
      </c>
      <c r="P24" s="58">
        <f t="shared" si="0"/>
        <v>14000</v>
      </c>
    </row>
    <row r="25" spans="1:16" ht="26.25" customHeight="1" x14ac:dyDescent="0.2">
      <c r="A25" s="100"/>
      <c r="B25" s="100"/>
      <c r="C25" s="65" t="s">
        <v>1974</v>
      </c>
      <c r="D25" s="70" t="s">
        <v>57</v>
      </c>
      <c r="E25" s="12">
        <v>44543</v>
      </c>
      <c r="F25" s="68" t="s">
        <v>59</v>
      </c>
      <c r="G25" s="12">
        <v>44548</v>
      </c>
      <c r="H25" s="69" t="s">
        <v>1631</v>
      </c>
      <c r="I25" s="15">
        <v>62</v>
      </c>
      <c r="J25" s="15">
        <v>52</v>
      </c>
      <c r="K25" s="15">
        <v>22</v>
      </c>
      <c r="L25" s="15">
        <v>4</v>
      </c>
      <c r="M25" s="126">
        <v>17.731999999999999</v>
      </c>
      <c r="N25" s="104">
        <v>17.731999999999999</v>
      </c>
      <c r="O25" s="57">
        <v>7000</v>
      </c>
      <c r="P25" s="58">
        <f t="shared" si="0"/>
        <v>124124</v>
      </c>
    </row>
    <row r="26" spans="1:16" ht="26.25" customHeight="1" x14ac:dyDescent="0.2">
      <c r="A26" s="100"/>
      <c r="B26" s="100"/>
      <c r="C26" s="65" t="s">
        <v>1975</v>
      </c>
      <c r="D26" s="70" t="s">
        <v>57</v>
      </c>
      <c r="E26" s="12">
        <v>44543</v>
      </c>
      <c r="F26" s="68" t="s">
        <v>59</v>
      </c>
      <c r="G26" s="12">
        <v>44548</v>
      </c>
      <c r="H26" s="69" t="s">
        <v>1631</v>
      </c>
      <c r="I26" s="15">
        <v>62</v>
      </c>
      <c r="J26" s="15">
        <v>47</v>
      </c>
      <c r="K26" s="15">
        <v>10</v>
      </c>
      <c r="L26" s="15">
        <v>6</v>
      </c>
      <c r="M26" s="126">
        <v>7.2850000000000001</v>
      </c>
      <c r="N26" s="104">
        <v>7.2850000000000001</v>
      </c>
      <c r="O26" s="57">
        <v>7000</v>
      </c>
      <c r="P26" s="58">
        <f t="shared" si="0"/>
        <v>50995</v>
      </c>
    </row>
    <row r="27" spans="1:16" ht="26.25" customHeight="1" x14ac:dyDescent="0.2">
      <c r="A27" s="100"/>
      <c r="B27" s="100"/>
      <c r="C27" s="65" t="s">
        <v>1976</v>
      </c>
      <c r="D27" s="70" t="s">
        <v>57</v>
      </c>
      <c r="E27" s="12">
        <v>44543</v>
      </c>
      <c r="F27" s="68" t="s">
        <v>59</v>
      </c>
      <c r="G27" s="12">
        <v>44548</v>
      </c>
      <c r="H27" s="69" t="s">
        <v>1631</v>
      </c>
      <c r="I27" s="15">
        <v>68</v>
      </c>
      <c r="J27" s="15">
        <v>23</v>
      </c>
      <c r="K27" s="15">
        <v>5</v>
      </c>
      <c r="L27" s="15">
        <v>1</v>
      </c>
      <c r="M27" s="126">
        <v>1.9550000000000001</v>
      </c>
      <c r="N27" s="104">
        <v>1.9550000000000001</v>
      </c>
      <c r="O27" s="57">
        <v>7000</v>
      </c>
      <c r="P27" s="58">
        <f t="shared" si="0"/>
        <v>13685</v>
      </c>
    </row>
    <row r="28" spans="1:16" ht="26.25" customHeight="1" x14ac:dyDescent="0.2">
      <c r="A28" s="100"/>
      <c r="B28" s="100"/>
      <c r="C28" s="65" t="s">
        <v>1977</v>
      </c>
      <c r="D28" s="70" t="s">
        <v>57</v>
      </c>
      <c r="E28" s="12">
        <v>44543</v>
      </c>
      <c r="F28" s="68" t="s">
        <v>59</v>
      </c>
      <c r="G28" s="12">
        <v>44548</v>
      </c>
      <c r="H28" s="69" t="s">
        <v>1631</v>
      </c>
      <c r="I28" s="15">
        <v>41</v>
      </c>
      <c r="J28" s="15">
        <v>31</v>
      </c>
      <c r="K28" s="15">
        <v>5</v>
      </c>
      <c r="L28" s="15">
        <v>1</v>
      </c>
      <c r="M28" s="126">
        <v>1.5887500000000001</v>
      </c>
      <c r="N28" s="104">
        <v>1.5887500000000001</v>
      </c>
      <c r="O28" s="57">
        <v>7000</v>
      </c>
      <c r="P28" s="58">
        <f t="shared" si="0"/>
        <v>11121.25</v>
      </c>
    </row>
    <row r="29" spans="1:16" ht="26.25" customHeight="1" x14ac:dyDescent="0.2">
      <c r="A29" s="100"/>
      <c r="B29" s="100"/>
      <c r="C29" s="65" t="s">
        <v>1978</v>
      </c>
      <c r="D29" s="70" t="s">
        <v>57</v>
      </c>
      <c r="E29" s="12">
        <v>44543</v>
      </c>
      <c r="F29" s="68" t="s">
        <v>59</v>
      </c>
      <c r="G29" s="12">
        <v>44548</v>
      </c>
      <c r="H29" s="69" t="s">
        <v>1631</v>
      </c>
      <c r="I29" s="15">
        <v>38</v>
      </c>
      <c r="J29" s="15">
        <v>25</v>
      </c>
      <c r="K29" s="15">
        <v>27</v>
      </c>
      <c r="L29" s="15">
        <v>6</v>
      </c>
      <c r="M29" s="126">
        <v>6.4124999999999996</v>
      </c>
      <c r="N29" s="104">
        <v>7</v>
      </c>
      <c r="O29" s="57">
        <v>7000</v>
      </c>
      <c r="P29" s="58">
        <f t="shared" si="0"/>
        <v>49000</v>
      </c>
    </row>
    <row r="30" spans="1:16" ht="26.25" customHeight="1" x14ac:dyDescent="0.2">
      <c r="A30" s="100"/>
      <c r="B30" s="100"/>
      <c r="C30" s="65" t="s">
        <v>1979</v>
      </c>
      <c r="D30" s="70" t="s">
        <v>57</v>
      </c>
      <c r="E30" s="12">
        <v>44543</v>
      </c>
      <c r="F30" s="68" t="s">
        <v>59</v>
      </c>
      <c r="G30" s="12">
        <v>44548</v>
      </c>
      <c r="H30" s="69" t="s">
        <v>1631</v>
      </c>
      <c r="I30" s="15">
        <v>64</v>
      </c>
      <c r="J30" s="15">
        <v>44</v>
      </c>
      <c r="K30" s="15">
        <v>17</v>
      </c>
      <c r="L30" s="15">
        <v>4</v>
      </c>
      <c r="M30" s="126">
        <v>11.968</v>
      </c>
      <c r="N30" s="104">
        <v>11.968</v>
      </c>
      <c r="O30" s="57">
        <v>7000</v>
      </c>
      <c r="P30" s="58">
        <f t="shared" si="0"/>
        <v>83776</v>
      </c>
    </row>
    <row r="31" spans="1:16" ht="26.25" customHeight="1" x14ac:dyDescent="0.2">
      <c r="A31" s="100"/>
      <c r="B31" s="100"/>
      <c r="C31" s="65" t="s">
        <v>1980</v>
      </c>
      <c r="D31" s="70" t="s">
        <v>57</v>
      </c>
      <c r="E31" s="12">
        <v>44543</v>
      </c>
      <c r="F31" s="68" t="s">
        <v>59</v>
      </c>
      <c r="G31" s="12">
        <v>44548</v>
      </c>
      <c r="H31" s="69" t="s">
        <v>1631</v>
      </c>
      <c r="I31" s="15">
        <v>102</v>
      </c>
      <c r="J31" s="15">
        <v>35</v>
      </c>
      <c r="K31" s="15">
        <v>17</v>
      </c>
      <c r="L31" s="15">
        <v>14</v>
      </c>
      <c r="M31" s="126">
        <v>15.172499999999999</v>
      </c>
      <c r="N31" s="104">
        <v>15.172499999999999</v>
      </c>
      <c r="O31" s="57">
        <v>7000</v>
      </c>
      <c r="P31" s="58">
        <f t="shared" si="0"/>
        <v>106207.5</v>
      </c>
    </row>
    <row r="32" spans="1:16" ht="26.25" customHeight="1" x14ac:dyDescent="0.2">
      <c r="A32" s="100"/>
      <c r="B32" s="100"/>
      <c r="C32" s="65" t="s">
        <v>1981</v>
      </c>
      <c r="D32" s="70" t="s">
        <v>57</v>
      </c>
      <c r="E32" s="12">
        <v>44543</v>
      </c>
      <c r="F32" s="68" t="s">
        <v>59</v>
      </c>
      <c r="G32" s="12">
        <v>44548</v>
      </c>
      <c r="H32" s="69" t="s">
        <v>1631</v>
      </c>
      <c r="I32" s="15">
        <v>57</v>
      </c>
      <c r="J32" s="15">
        <v>47</v>
      </c>
      <c r="K32" s="15">
        <v>15</v>
      </c>
      <c r="L32" s="15">
        <v>7</v>
      </c>
      <c r="M32" s="126">
        <v>10.046250000000001</v>
      </c>
      <c r="N32" s="104">
        <v>10.046250000000001</v>
      </c>
      <c r="O32" s="57">
        <v>7000</v>
      </c>
      <c r="P32" s="58">
        <f t="shared" si="0"/>
        <v>70323.75</v>
      </c>
    </row>
    <row r="33" spans="1:16" ht="26.25" customHeight="1" x14ac:dyDescent="0.2">
      <c r="A33" s="100"/>
      <c r="B33" s="100"/>
      <c r="C33" s="65" t="s">
        <v>1982</v>
      </c>
      <c r="D33" s="70" t="s">
        <v>57</v>
      </c>
      <c r="E33" s="12">
        <v>44543</v>
      </c>
      <c r="F33" s="68" t="s">
        <v>59</v>
      </c>
      <c r="G33" s="12">
        <v>44548</v>
      </c>
      <c r="H33" s="69" t="s">
        <v>1631</v>
      </c>
      <c r="I33" s="15">
        <v>33</v>
      </c>
      <c r="J33" s="15">
        <v>32</v>
      </c>
      <c r="K33" s="15">
        <v>35</v>
      </c>
      <c r="L33" s="15">
        <v>6</v>
      </c>
      <c r="M33" s="126">
        <v>9.24</v>
      </c>
      <c r="N33" s="104">
        <v>9.24</v>
      </c>
      <c r="O33" s="57">
        <v>7000</v>
      </c>
      <c r="P33" s="58">
        <f t="shared" si="0"/>
        <v>64680</v>
      </c>
    </row>
    <row r="34" spans="1:16" ht="26.25" customHeight="1" x14ac:dyDescent="0.2">
      <c r="A34" s="100"/>
      <c r="B34" s="100"/>
      <c r="C34" s="65" t="s">
        <v>1983</v>
      </c>
      <c r="D34" s="70" t="s">
        <v>57</v>
      </c>
      <c r="E34" s="12">
        <v>44543</v>
      </c>
      <c r="F34" s="68" t="s">
        <v>59</v>
      </c>
      <c r="G34" s="12">
        <v>44548</v>
      </c>
      <c r="H34" s="69" t="s">
        <v>1631</v>
      </c>
      <c r="I34" s="15">
        <v>43</v>
      </c>
      <c r="J34" s="15">
        <v>32</v>
      </c>
      <c r="K34" s="15">
        <v>8</v>
      </c>
      <c r="L34" s="15">
        <v>4</v>
      </c>
      <c r="M34" s="126">
        <v>2.7519999999999998</v>
      </c>
      <c r="N34" s="104">
        <v>4</v>
      </c>
      <c r="O34" s="57">
        <v>7000</v>
      </c>
      <c r="P34" s="58">
        <f t="shared" si="0"/>
        <v>28000</v>
      </c>
    </row>
    <row r="35" spans="1:16" ht="26.25" customHeight="1" x14ac:dyDescent="0.2">
      <c r="A35" s="100"/>
      <c r="B35" s="100"/>
      <c r="C35" s="65" t="s">
        <v>1984</v>
      </c>
      <c r="D35" s="70" t="s">
        <v>57</v>
      </c>
      <c r="E35" s="12">
        <v>44543</v>
      </c>
      <c r="F35" s="68" t="s">
        <v>59</v>
      </c>
      <c r="G35" s="12">
        <v>44548</v>
      </c>
      <c r="H35" s="69" t="s">
        <v>1631</v>
      </c>
      <c r="I35" s="15">
        <v>44</v>
      </c>
      <c r="J35" s="15">
        <v>43</v>
      </c>
      <c r="K35" s="15">
        <v>38</v>
      </c>
      <c r="L35" s="15">
        <v>12</v>
      </c>
      <c r="M35" s="126">
        <v>17.974</v>
      </c>
      <c r="N35" s="104">
        <v>17.974</v>
      </c>
      <c r="O35" s="57">
        <v>7000</v>
      </c>
      <c r="P35" s="58">
        <f t="shared" si="0"/>
        <v>125818</v>
      </c>
    </row>
    <row r="36" spans="1:16" ht="26.25" customHeight="1" x14ac:dyDescent="0.2">
      <c r="A36" s="100"/>
      <c r="B36" s="101"/>
      <c r="C36" s="65" t="s">
        <v>1985</v>
      </c>
      <c r="D36" s="70" t="s">
        <v>57</v>
      </c>
      <c r="E36" s="12">
        <v>44543</v>
      </c>
      <c r="F36" s="68" t="s">
        <v>59</v>
      </c>
      <c r="G36" s="12">
        <v>44548</v>
      </c>
      <c r="H36" s="69" t="s">
        <v>1631</v>
      </c>
      <c r="I36" s="15">
        <v>104</v>
      </c>
      <c r="J36" s="15">
        <v>66</v>
      </c>
      <c r="K36" s="15">
        <v>28</v>
      </c>
      <c r="L36" s="15">
        <v>32</v>
      </c>
      <c r="M36" s="126">
        <v>48.048000000000002</v>
      </c>
      <c r="N36" s="104">
        <v>48.048000000000002</v>
      </c>
      <c r="O36" s="57">
        <v>7000</v>
      </c>
      <c r="P36" s="58">
        <f t="shared" si="0"/>
        <v>336336</v>
      </c>
    </row>
    <row r="37" spans="1:16" ht="26.25" customHeight="1" x14ac:dyDescent="0.2">
      <c r="A37" s="100"/>
      <c r="B37" s="100" t="s">
        <v>1986</v>
      </c>
      <c r="C37" s="65" t="s">
        <v>1987</v>
      </c>
      <c r="D37" s="70" t="s">
        <v>57</v>
      </c>
      <c r="E37" s="12">
        <v>44543</v>
      </c>
      <c r="F37" s="68" t="s">
        <v>59</v>
      </c>
      <c r="G37" s="12">
        <v>44548</v>
      </c>
      <c r="H37" s="69" t="s">
        <v>1631</v>
      </c>
      <c r="I37" s="15">
        <v>83</v>
      </c>
      <c r="J37" s="15">
        <v>20</v>
      </c>
      <c r="K37" s="15">
        <v>55</v>
      </c>
      <c r="L37" s="15">
        <v>9</v>
      </c>
      <c r="M37" s="126">
        <v>22.824999999999999</v>
      </c>
      <c r="N37" s="104">
        <v>22.824999999999999</v>
      </c>
      <c r="O37" s="57">
        <v>7000</v>
      </c>
      <c r="P37" s="58">
        <f t="shared" si="0"/>
        <v>159775</v>
      </c>
    </row>
    <row r="38" spans="1:16" ht="22.5" customHeight="1" x14ac:dyDescent="0.2">
      <c r="A38" s="159" t="s">
        <v>30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1"/>
      <c r="M38" s="71">
        <f>SUBTOTAL(109,Table22457891011234567891011121314151617181920212223242526272829303132333436[KG VOLUME])</f>
        <v>503.9620000000001</v>
      </c>
      <c r="N38" s="61">
        <f>SUM(N3:N37)</f>
        <v>509.39075000000008</v>
      </c>
      <c r="O38" s="162">
        <f>SUM(P3:P37)</f>
        <v>3565735.25</v>
      </c>
      <c r="P38" s="163"/>
    </row>
    <row r="39" spans="1:16" ht="18" customHeight="1" x14ac:dyDescent="0.2">
      <c r="A39" s="78"/>
      <c r="B39" s="49" t="s">
        <v>42</v>
      </c>
      <c r="C39" s="48"/>
      <c r="D39" s="50" t="s">
        <v>43</v>
      </c>
      <c r="E39" s="78"/>
      <c r="F39" s="78"/>
      <c r="G39" s="78"/>
      <c r="H39" s="78"/>
      <c r="I39" s="78"/>
      <c r="J39" s="78"/>
      <c r="K39" s="78"/>
      <c r="L39" s="78"/>
      <c r="M39" s="79"/>
      <c r="N39" s="80" t="s">
        <v>52</v>
      </c>
      <c r="O39" s="81"/>
      <c r="P39" s="81">
        <v>0</v>
      </c>
    </row>
    <row r="40" spans="1:16" ht="18" customHeight="1" thickBot="1" x14ac:dyDescent="0.25">
      <c r="A40" s="78"/>
      <c r="B40" s="49"/>
      <c r="C40" s="48"/>
      <c r="D40" s="50"/>
      <c r="E40" s="78"/>
      <c r="F40" s="78"/>
      <c r="G40" s="78"/>
      <c r="H40" s="78"/>
      <c r="I40" s="78"/>
      <c r="J40" s="78"/>
      <c r="K40" s="78"/>
      <c r="L40" s="78"/>
      <c r="M40" s="79"/>
      <c r="N40" s="82" t="s">
        <v>53</v>
      </c>
      <c r="O40" s="83"/>
      <c r="P40" s="83">
        <f>O38-P39</f>
        <v>3565735.25</v>
      </c>
    </row>
    <row r="41" spans="1:16" ht="18" customHeight="1" x14ac:dyDescent="0.2">
      <c r="A41" s="10"/>
      <c r="H41" s="56"/>
      <c r="N41" s="55" t="s">
        <v>31</v>
      </c>
      <c r="P41" s="62">
        <f>P40*1%</f>
        <v>35657.352500000001</v>
      </c>
    </row>
    <row r="42" spans="1:16" ht="18" customHeight="1" thickBot="1" x14ac:dyDescent="0.25">
      <c r="A42" s="10"/>
      <c r="H42" s="56"/>
      <c r="N42" s="55" t="s">
        <v>54</v>
      </c>
      <c r="P42" s="64">
        <f>P40*2%</f>
        <v>71314.705000000002</v>
      </c>
    </row>
    <row r="43" spans="1:16" ht="18" customHeight="1" x14ac:dyDescent="0.2">
      <c r="A43" s="10"/>
      <c r="H43" s="56"/>
      <c r="N43" s="59" t="s">
        <v>32</v>
      </c>
      <c r="O43" s="60"/>
      <c r="P43" s="63">
        <f>P40+P41-P42</f>
        <v>3530077.8975</v>
      </c>
    </row>
    <row r="45" spans="1:16" x14ac:dyDescent="0.2">
      <c r="A45" s="10"/>
      <c r="H45" s="56"/>
      <c r="P45" s="64"/>
    </row>
    <row r="46" spans="1:16" x14ac:dyDescent="0.2">
      <c r="A46" s="10"/>
      <c r="H46" s="56"/>
      <c r="O46" s="51"/>
      <c r="P46" s="6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</sheetData>
  <mergeCells count="2">
    <mergeCell ref="A38:L38"/>
    <mergeCell ref="O38:P38"/>
  </mergeCells>
  <conditionalFormatting sqref="C3:C37">
    <cfRule type="duplicateValues" dxfId="1039" priority="61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3"/>
  <sheetViews>
    <sheetView topLeftCell="A107" workbookViewId="0">
      <selection activeCell="N3" sqref="N3:N11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9.42578125" style="3" customWidth="1"/>
    <col min="5" max="5" width="9.42578125" style="11" customWidth="1"/>
    <col min="6" max="6" width="14.42578125" style="3" customWidth="1"/>
    <col min="7" max="7" width="9.5703125" style="3" customWidth="1"/>
    <col min="8" max="8" width="15.5703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402653</v>
      </c>
      <c r="B3" s="90" t="s">
        <v>1988</v>
      </c>
      <c r="C3" s="90" t="s">
        <v>1989</v>
      </c>
      <c r="D3" s="102" t="s">
        <v>57</v>
      </c>
      <c r="E3" s="91">
        <v>44543</v>
      </c>
      <c r="F3" s="102" t="s">
        <v>59</v>
      </c>
      <c r="G3" s="91">
        <v>44548</v>
      </c>
      <c r="H3" s="90" t="s">
        <v>1631</v>
      </c>
      <c r="I3" s="90">
        <v>35</v>
      </c>
      <c r="J3" s="90">
        <v>28</v>
      </c>
      <c r="K3" s="90">
        <v>25</v>
      </c>
      <c r="L3" s="90">
        <v>16</v>
      </c>
      <c r="M3" s="90">
        <v>6.125</v>
      </c>
      <c r="N3" s="104">
        <v>16</v>
      </c>
      <c r="O3" s="57">
        <v>7000</v>
      </c>
      <c r="P3" s="58">
        <f t="shared" ref="P3:P66" si="0">N3*O3</f>
        <v>112000</v>
      </c>
    </row>
    <row r="4" spans="1:16" ht="26.25" customHeight="1" x14ac:dyDescent="0.2">
      <c r="A4" s="100"/>
      <c r="B4" s="100" t="s">
        <v>1990</v>
      </c>
      <c r="C4" s="90" t="s">
        <v>1991</v>
      </c>
      <c r="D4" s="102" t="s">
        <v>57</v>
      </c>
      <c r="E4" s="91">
        <v>44543</v>
      </c>
      <c r="F4" s="102" t="s">
        <v>59</v>
      </c>
      <c r="G4" s="91">
        <v>44548</v>
      </c>
      <c r="H4" s="90" t="s">
        <v>1631</v>
      </c>
      <c r="I4" s="90">
        <v>54</v>
      </c>
      <c r="J4" s="90">
        <v>28</v>
      </c>
      <c r="K4" s="90">
        <v>41</v>
      </c>
      <c r="L4" s="90">
        <v>10</v>
      </c>
      <c r="M4" s="90">
        <v>15.497999999999999</v>
      </c>
      <c r="N4" s="104">
        <v>16</v>
      </c>
      <c r="O4" s="57">
        <v>7000</v>
      </c>
      <c r="P4" s="58">
        <f t="shared" si="0"/>
        <v>112000</v>
      </c>
    </row>
    <row r="5" spans="1:16" ht="26.25" customHeight="1" x14ac:dyDescent="0.2">
      <c r="A5" s="100"/>
      <c r="B5" s="100"/>
      <c r="C5" s="90" t="s">
        <v>1992</v>
      </c>
      <c r="D5" s="102" t="s">
        <v>57</v>
      </c>
      <c r="E5" s="91">
        <v>44543</v>
      </c>
      <c r="F5" s="102" t="s">
        <v>59</v>
      </c>
      <c r="G5" s="91">
        <v>44548</v>
      </c>
      <c r="H5" s="90" t="s">
        <v>1631</v>
      </c>
      <c r="I5" s="90">
        <v>51</v>
      </c>
      <c r="J5" s="90">
        <v>31</v>
      </c>
      <c r="K5" s="90">
        <v>15</v>
      </c>
      <c r="L5" s="90">
        <v>4</v>
      </c>
      <c r="M5" s="90">
        <v>5.92875</v>
      </c>
      <c r="N5" s="104">
        <v>5.92875</v>
      </c>
      <c r="O5" s="57">
        <v>7000</v>
      </c>
      <c r="P5" s="58">
        <f t="shared" si="0"/>
        <v>41501.25</v>
      </c>
    </row>
    <row r="6" spans="1:16" ht="26.25" customHeight="1" x14ac:dyDescent="0.2">
      <c r="A6" s="100"/>
      <c r="B6" s="100"/>
      <c r="C6" s="65" t="s">
        <v>1993</v>
      </c>
      <c r="D6" s="70" t="s">
        <v>57</v>
      </c>
      <c r="E6" s="12">
        <v>44543</v>
      </c>
      <c r="F6" s="68" t="s">
        <v>59</v>
      </c>
      <c r="G6" s="12">
        <v>44548</v>
      </c>
      <c r="H6" s="69" t="s">
        <v>1631</v>
      </c>
      <c r="I6" s="15">
        <v>61</v>
      </c>
      <c r="J6" s="15">
        <v>40</v>
      </c>
      <c r="K6" s="15">
        <v>22</v>
      </c>
      <c r="L6" s="15">
        <v>1</v>
      </c>
      <c r="M6" s="73">
        <v>13.42</v>
      </c>
      <c r="N6" s="104">
        <v>14</v>
      </c>
      <c r="O6" s="57">
        <v>7000</v>
      </c>
      <c r="P6" s="58">
        <f t="shared" si="0"/>
        <v>98000</v>
      </c>
    </row>
    <row r="7" spans="1:16" ht="26.25" customHeight="1" x14ac:dyDescent="0.2">
      <c r="A7" s="100"/>
      <c r="B7" s="100"/>
      <c r="C7" s="65" t="s">
        <v>1994</v>
      </c>
      <c r="D7" s="70" t="s">
        <v>57</v>
      </c>
      <c r="E7" s="12">
        <v>44543</v>
      </c>
      <c r="F7" s="68" t="s">
        <v>59</v>
      </c>
      <c r="G7" s="12">
        <v>44548</v>
      </c>
      <c r="H7" s="69" t="s">
        <v>1631</v>
      </c>
      <c r="I7" s="15">
        <v>66</v>
      </c>
      <c r="J7" s="15">
        <v>44</v>
      </c>
      <c r="K7" s="15">
        <v>14</v>
      </c>
      <c r="L7" s="15">
        <v>7</v>
      </c>
      <c r="M7" s="73">
        <v>10.164</v>
      </c>
      <c r="N7" s="104">
        <v>10.164</v>
      </c>
      <c r="O7" s="57">
        <v>7000</v>
      </c>
      <c r="P7" s="58">
        <f t="shared" si="0"/>
        <v>71148</v>
      </c>
    </row>
    <row r="8" spans="1:16" ht="26.25" customHeight="1" x14ac:dyDescent="0.2">
      <c r="A8" s="100"/>
      <c r="B8" s="100"/>
      <c r="C8" s="65" t="s">
        <v>1995</v>
      </c>
      <c r="D8" s="70" t="s">
        <v>57</v>
      </c>
      <c r="E8" s="12">
        <v>44543</v>
      </c>
      <c r="F8" s="68" t="s">
        <v>59</v>
      </c>
      <c r="G8" s="12">
        <v>44548</v>
      </c>
      <c r="H8" s="69" t="s">
        <v>1631</v>
      </c>
      <c r="I8" s="15">
        <v>85</v>
      </c>
      <c r="J8" s="15">
        <v>53</v>
      </c>
      <c r="K8" s="15">
        <v>25</v>
      </c>
      <c r="L8" s="15">
        <v>9</v>
      </c>
      <c r="M8" s="73">
        <v>28.15625</v>
      </c>
      <c r="N8" s="104">
        <v>28.15625</v>
      </c>
      <c r="O8" s="57">
        <v>7000</v>
      </c>
      <c r="P8" s="58">
        <f t="shared" si="0"/>
        <v>197093.75</v>
      </c>
    </row>
    <row r="9" spans="1:16" ht="26.25" customHeight="1" x14ac:dyDescent="0.2">
      <c r="A9" s="100"/>
      <c r="B9" s="100"/>
      <c r="C9" s="65" t="s">
        <v>1996</v>
      </c>
      <c r="D9" s="70" t="s">
        <v>57</v>
      </c>
      <c r="E9" s="12">
        <v>44543</v>
      </c>
      <c r="F9" s="68" t="s">
        <v>59</v>
      </c>
      <c r="G9" s="12">
        <v>44548</v>
      </c>
      <c r="H9" s="69" t="s">
        <v>1631</v>
      </c>
      <c r="I9" s="15">
        <v>51</v>
      </c>
      <c r="J9" s="15">
        <v>42</v>
      </c>
      <c r="K9" s="15">
        <v>16</v>
      </c>
      <c r="L9" s="15">
        <v>11</v>
      </c>
      <c r="M9" s="73">
        <v>8.5679999999999996</v>
      </c>
      <c r="N9" s="104">
        <v>11</v>
      </c>
      <c r="O9" s="57">
        <v>7000</v>
      </c>
      <c r="P9" s="58">
        <f t="shared" si="0"/>
        <v>77000</v>
      </c>
    </row>
    <row r="10" spans="1:16" ht="26.25" customHeight="1" x14ac:dyDescent="0.2">
      <c r="A10" s="100"/>
      <c r="B10" s="100"/>
      <c r="C10" s="65" t="s">
        <v>1997</v>
      </c>
      <c r="D10" s="70" t="s">
        <v>57</v>
      </c>
      <c r="E10" s="12">
        <v>44543</v>
      </c>
      <c r="F10" s="68" t="s">
        <v>59</v>
      </c>
      <c r="G10" s="12">
        <v>44548</v>
      </c>
      <c r="H10" s="69" t="s">
        <v>1631</v>
      </c>
      <c r="I10" s="15">
        <v>26</v>
      </c>
      <c r="J10" s="15">
        <v>26</v>
      </c>
      <c r="K10" s="15">
        <v>21</v>
      </c>
      <c r="L10" s="15">
        <v>2</v>
      </c>
      <c r="M10" s="73">
        <v>3.5489999999999999</v>
      </c>
      <c r="N10" s="104">
        <v>3.5489999999999999</v>
      </c>
      <c r="O10" s="57">
        <v>7000</v>
      </c>
      <c r="P10" s="58">
        <f t="shared" si="0"/>
        <v>24843</v>
      </c>
    </row>
    <row r="11" spans="1:16" ht="26.25" customHeight="1" x14ac:dyDescent="0.2">
      <c r="A11" s="100"/>
      <c r="B11" s="100"/>
      <c r="C11" s="65" t="s">
        <v>1998</v>
      </c>
      <c r="D11" s="70" t="s">
        <v>57</v>
      </c>
      <c r="E11" s="12">
        <v>44543</v>
      </c>
      <c r="F11" s="68" t="s">
        <v>59</v>
      </c>
      <c r="G11" s="12">
        <v>44548</v>
      </c>
      <c r="H11" s="69" t="s">
        <v>1631</v>
      </c>
      <c r="I11" s="15">
        <v>66</v>
      </c>
      <c r="J11" s="15">
        <v>56</v>
      </c>
      <c r="K11" s="15">
        <v>57</v>
      </c>
      <c r="L11" s="15">
        <v>5</v>
      </c>
      <c r="M11" s="73">
        <v>52.667999999999999</v>
      </c>
      <c r="N11" s="104">
        <v>52.667999999999999</v>
      </c>
      <c r="O11" s="57">
        <v>7000</v>
      </c>
      <c r="P11" s="58">
        <f t="shared" si="0"/>
        <v>368676</v>
      </c>
    </row>
    <row r="12" spans="1:16" ht="26.25" customHeight="1" x14ac:dyDescent="0.2">
      <c r="A12" s="100"/>
      <c r="B12" s="100"/>
      <c r="C12" s="65" t="s">
        <v>1999</v>
      </c>
      <c r="D12" s="70" t="s">
        <v>57</v>
      </c>
      <c r="E12" s="12">
        <v>44543</v>
      </c>
      <c r="F12" s="68" t="s">
        <v>59</v>
      </c>
      <c r="G12" s="12">
        <v>44548</v>
      </c>
      <c r="H12" s="69" t="s">
        <v>1631</v>
      </c>
      <c r="I12" s="15">
        <v>67</v>
      </c>
      <c r="J12" s="15">
        <v>52</v>
      </c>
      <c r="K12" s="15">
        <v>42</v>
      </c>
      <c r="L12" s="15">
        <v>28</v>
      </c>
      <c r="M12" s="73">
        <v>36.582000000000001</v>
      </c>
      <c r="N12" s="104">
        <v>36.582000000000001</v>
      </c>
      <c r="O12" s="57">
        <v>7000</v>
      </c>
      <c r="P12" s="58">
        <f t="shared" si="0"/>
        <v>256074</v>
      </c>
    </row>
    <row r="13" spans="1:16" ht="26.25" customHeight="1" x14ac:dyDescent="0.2">
      <c r="A13" s="100"/>
      <c r="B13" s="100"/>
      <c r="C13" s="65" t="s">
        <v>2000</v>
      </c>
      <c r="D13" s="70" t="s">
        <v>57</v>
      </c>
      <c r="E13" s="12">
        <v>44543</v>
      </c>
      <c r="F13" s="68" t="s">
        <v>59</v>
      </c>
      <c r="G13" s="12">
        <v>44548</v>
      </c>
      <c r="H13" s="69" t="s">
        <v>1631</v>
      </c>
      <c r="I13" s="15">
        <v>92</v>
      </c>
      <c r="J13" s="15">
        <v>55</v>
      </c>
      <c r="K13" s="15">
        <v>27</v>
      </c>
      <c r="L13" s="15">
        <v>18</v>
      </c>
      <c r="M13" s="73">
        <v>34.155000000000001</v>
      </c>
      <c r="N13" s="104">
        <v>34.155000000000001</v>
      </c>
      <c r="O13" s="57">
        <v>7000</v>
      </c>
      <c r="P13" s="58">
        <f t="shared" si="0"/>
        <v>239085</v>
      </c>
    </row>
    <row r="14" spans="1:16" ht="26.25" customHeight="1" x14ac:dyDescent="0.2">
      <c r="A14" s="100"/>
      <c r="B14" s="100"/>
      <c r="C14" s="65" t="s">
        <v>2001</v>
      </c>
      <c r="D14" s="70" t="s">
        <v>57</v>
      </c>
      <c r="E14" s="12">
        <v>44543</v>
      </c>
      <c r="F14" s="68" t="s">
        <v>59</v>
      </c>
      <c r="G14" s="12">
        <v>44548</v>
      </c>
      <c r="H14" s="69" t="s">
        <v>1631</v>
      </c>
      <c r="I14" s="15">
        <v>58</v>
      </c>
      <c r="J14" s="15">
        <v>17</v>
      </c>
      <c r="K14" s="15">
        <v>10</v>
      </c>
      <c r="L14" s="15">
        <v>2</v>
      </c>
      <c r="M14" s="73">
        <v>2.4649999999999999</v>
      </c>
      <c r="N14" s="104">
        <v>3</v>
      </c>
      <c r="O14" s="57">
        <v>7000</v>
      </c>
      <c r="P14" s="58">
        <f t="shared" si="0"/>
        <v>21000</v>
      </c>
    </row>
    <row r="15" spans="1:16" ht="26.25" customHeight="1" x14ac:dyDescent="0.2">
      <c r="A15" s="100"/>
      <c r="B15" s="100"/>
      <c r="C15" s="65" t="s">
        <v>2002</v>
      </c>
      <c r="D15" s="70" t="s">
        <v>57</v>
      </c>
      <c r="E15" s="12">
        <v>44543</v>
      </c>
      <c r="F15" s="68" t="s">
        <v>59</v>
      </c>
      <c r="G15" s="12">
        <v>44548</v>
      </c>
      <c r="H15" s="69" t="s">
        <v>1631</v>
      </c>
      <c r="I15" s="15">
        <v>93</v>
      </c>
      <c r="J15" s="15">
        <v>15</v>
      </c>
      <c r="K15" s="15">
        <v>13</v>
      </c>
      <c r="L15" s="15">
        <v>2</v>
      </c>
      <c r="M15" s="73">
        <v>4.5337500000000004</v>
      </c>
      <c r="N15" s="104">
        <v>4.5337500000000004</v>
      </c>
      <c r="O15" s="57">
        <v>7000</v>
      </c>
      <c r="P15" s="58">
        <f t="shared" si="0"/>
        <v>31736.250000000004</v>
      </c>
    </row>
    <row r="16" spans="1:16" ht="26.25" customHeight="1" x14ac:dyDescent="0.2">
      <c r="A16" s="100"/>
      <c r="B16" s="100"/>
      <c r="C16" s="65" t="s">
        <v>2003</v>
      </c>
      <c r="D16" s="70" t="s">
        <v>57</v>
      </c>
      <c r="E16" s="12">
        <v>44543</v>
      </c>
      <c r="F16" s="68" t="s">
        <v>59</v>
      </c>
      <c r="G16" s="12">
        <v>44548</v>
      </c>
      <c r="H16" s="69" t="s">
        <v>1631</v>
      </c>
      <c r="I16" s="15">
        <v>101</v>
      </c>
      <c r="J16" s="15">
        <v>60</v>
      </c>
      <c r="K16" s="15">
        <v>30</v>
      </c>
      <c r="L16" s="15">
        <v>28</v>
      </c>
      <c r="M16" s="73">
        <v>45.45</v>
      </c>
      <c r="N16" s="104">
        <v>46</v>
      </c>
      <c r="O16" s="57">
        <v>7000</v>
      </c>
      <c r="P16" s="58">
        <f t="shared" si="0"/>
        <v>322000</v>
      </c>
    </row>
    <row r="17" spans="1:16" ht="26.25" customHeight="1" x14ac:dyDescent="0.2">
      <c r="A17" s="100"/>
      <c r="B17" s="100"/>
      <c r="C17" s="65" t="s">
        <v>2004</v>
      </c>
      <c r="D17" s="70" t="s">
        <v>57</v>
      </c>
      <c r="E17" s="12">
        <v>44543</v>
      </c>
      <c r="F17" s="68" t="s">
        <v>59</v>
      </c>
      <c r="G17" s="12">
        <v>44548</v>
      </c>
      <c r="H17" s="69" t="s">
        <v>1631</v>
      </c>
      <c r="I17" s="15">
        <v>51</v>
      </c>
      <c r="J17" s="15">
        <v>61</v>
      </c>
      <c r="K17" s="15">
        <v>28</v>
      </c>
      <c r="L17" s="15">
        <v>19</v>
      </c>
      <c r="M17" s="73">
        <v>21.777000000000001</v>
      </c>
      <c r="N17" s="104">
        <v>21.777000000000001</v>
      </c>
      <c r="O17" s="57">
        <v>7000</v>
      </c>
      <c r="P17" s="58">
        <f t="shared" si="0"/>
        <v>152439</v>
      </c>
    </row>
    <row r="18" spans="1:16" ht="26.25" customHeight="1" x14ac:dyDescent="0.2">
      <c r="A18" s="100"/>
      <c r="B18" s="100"/>
      <c r="C18" s="65" t="s">
        <v>2005</v>
      </c>
      <c r="D18" s="70" t="s">
        <v>57</v>
      </c>
      <c r="E18" s="12">
        <v>44543</v>
      </c>
      <c r="F18" s="68" t="s">
        <v>59</v>
      </c>
      <c r="G18" s="12">
        <v>44548</v>
      </c>
      <c r="H18" s="69" t="s">
        <v>1631</v>
      </c>
      <c r="I18" s="15">
        <v>101</v>
      </c>
      <c r="J18" s="15">
        <v>51</v>
      </c>
      <c r="K18" s="15">
        <v>35</v>
      </c>
      <c r="L18" s="15">
        <v>25</v>
      </c>
      <c r="M18" s="73">
        <v>45.071249999999999</v>
      </c>
      <c r="N18" s="104">
        <v>45.071249999999999</v>
      </c>
      <c r="O18" s="57">
        <v>7000</v>
      </c>
      <c r="P18" s="58">
        <f t="shared" si="0"/>
        <v>315498.75</v>
      </c>
    </row>
    <row r="19" spans="1:16" ht="26.25" customHeight="1" x14ac:dyDescent="0.2">
      <c r="A19" s="100"/>
      <c r="B19" s="100"/>
      <c r="C19" s="65" t="s">
        <v>2006</v>
      </c>
      <c r="D19" s="70" t="s">
        <v>57</v>
      </c>
      <c r="E19" s="12">
        <v>44543</v>
      </c>
      <c r="F19" s="68" t="s">
        <v>59</v>
      </c>
      <c r="G19" s="12">
        <v>44548</v>
      </c>
      <c r="H19" s="69" t="s">
        <v>1631</v>
      </c>
      <c r="I19" s="15">
        <v>48</v>
      </c>
      <c r="J19" s="15">
        <v>30</v>
      </c>
      <c r="K19" s="15">
        <v>16</v>
      </c>
      <c r="L19" s="15">
        <v>5</v>
      </c>
      <c r="M19" s="73">
        <v>5.76</v>
      </c>
      <c r="N19" s="104">
        <v>5.76</v>
      </c>
      <c r="O19" s="57">
        <v>7000</v>
      </c>
      <c r="P19" s="58">
        <f t="shared" si="0"/>
        <v>40320</v>
      </c>
    </row>
    <row r="20" spans="1:16" ht="26.25" customHeight="1" x14ac:dyDescent="0.2">
      <c r="A20" s="100"/>
      <c r="B20" s="100"/>
      <c r="C20" s="65" t="s">
        <v>2007</v>
      </c>
      <c r="D20" s="70" t="s">
        <v>57</v>
      </c>
      <c r="E20" s="12">
        <v>44543</v>
      </c>
      <c r="F20" s="68" t="s">
        <v>59</v>
      </c>
      <c r="G20" s="12">
        <v>44548</v>
      </c>
      <c r="H20" s="69" t="s">
        <v>1631</v>
      </c>
      <c r="I20" s="15">
        <v>51</v>
      </c>
      <c r="J20" s="15">
        <v>41</v>
      </c>
      <c r="K20" s="15">
        <v>26</v>
      </c>
      <c r="L20" s="15">
        <v>1</v>
      </c>
      <c r="M20" s="73">
        <v>13.5915</v>
      </c>
      <c r="N20" s="104">
        <v>13.5915</v>
      </c>
      <c r="O20" s="57">
        <v>7000</v>
      </c>
      <c r="P20" s="58">
        <f t="shared" si="0"/>
        <v>95140.5</v>
      </c>
    </row>
    <row r="21" spans="1:16" ht="26.25" customHeight="1" x14ac:dyDescent="0.2">
      <c r="A21" s="100"/>
      <c r="B21" s="100"/>
      <c r="C21" s="65" t="s">
        <v>2008</v>
      </c>
      <c r="D21" s="70" t="s">
        <v>57</v>
      </c>
      <c r="E21" s="12">
        <v>44543</v>
      </c>
      <c r="F21" s="68" t="s">
        <v>59</v>
      </c>
      <c r="G21" s="12">
        <v>44548</v>
      </c>
      <c r="H21" s="69" t="s">
        <v>1631</v>
      </c>
      <c r="I21" s="15">
        <v>71</v>
      </c>
      <c r="J21" s="15">
        <v>53</v>
      </c>
      <c r="K21" s="15">
        <v>25</v>
      </c>
      <c r="L21" s="15">
        <v>7</v>
      </c>
      <c r="M21" s="73">
        <v>23.518750000000001</v>
      </c>
      <c r="N21" s="104">
        <v>23.518750000000001</v>
      </c>
      <c r="O21" s="57">
        <v>7000</v>
      </c>
      <c r="P21" s="58">
        <f t="shared" si="0"/>
        <v>164631.25</v>
      </c>
    </row>
    <row r="22" spans="1:16" ht="26.25" customHeight="1" x14ac:dyDescent="0.2">
      <c r="A22" s="100"/>
      <c r="B22" s="100"/>
      <c r="C22" s="65" t="s">
        <v>2009</v>
      </c>
      <c r="D22" s="70" t="s">
        <v>57</v>
      </c>
      <c r="E22" s="12">
        <v>44543</v>
      </c>
      <c r="F22" s="68" t="s">
        <v>59</v>
      </c>
      <c r="G22" s="12">
        <v>44548</v>
      </c>
      <c r="H22" s="69" t="s">
        <v>1631</v>
      </c>
      <c r="I22" s="15">
        <v>50</v>
      </c>
      <c r="J22" s="15">
        <v>31</v>
      </c>
      <c r="K22" s="15">
        <v>20</v>
      </c>
      <c r="L22" s="15">
        <v>5</v>
      </c>
      <c r="M22" s="73">
        <v>7.75</v>
      </c>
      <c r="N22" s="104">
        <v>7.75</v>
      </c>
      <c r="O22" s="57">
        <v>7000</v>
      </c>
      <c r="P22" s="58">
        <f t="shared" si="0"/>
        <v>54250</v>
      </c>
    </row>
    <row r="23" spans="1:16" ht="26.25" customHeight="1" x14ac:dyDescent="0.2">
      <c r="A23" s="100"/>
      <c r="B23" s="100"/>
      <c r="C23" s="65" t="s">
        <v>2010</v>
      </c>
      <c r="D23" s="70" t="s">
        <v>57</v>
      </c>
      <c r="E23" s="12">
        <v>44543</v>
      </c>
      <c r="F23" s="68" t="s">
        <v>59</v>
      </c>
      <c r="G23" s="12">
        <v>44548</v>
      </c>
      <c r="H23" s="69" t="s">
        <v>1631</v>
      </c>
      <c r="I23" s="15">
        <v>88</v>
      </c>
      <c r="J23" s="15">
        <v>53</v>
      </c>
      <c r="K23" s="15">
        <v>23</v>
      </c>
      <c r="L23" s="15">
        <v>13</v>
      </c>
      <c r="M23" s="73">
        <v>26.818000000000001</v>
      </c>
      <c r="N23" s="104">
        <v>26.818000000000001</v>
      </c>
      <c r="O23" s="57">
        <v>7000</v>
      </c>
      <c r="P23" s="58">
        <f t="shared" si="0"/>
        <v>187726</v>
      </c>
    </row>
    <row r="24" spans="1:16" ht="26.25" customHeight="1" x14ac:dyDescent="0.2">
      <c r="A24" s="100"/>
      <c r="B24" s="100"/>
      <c r="C24" s="65" t="s">
        <v>2011</v>
      </c>
      <c r="D24" s="70" t="s">
        <v>57</v>
      </c>
      <c r="E24" s="12">
        <v>44543</v>
      </c>
      <c r="F24" s="68" t="s">
        <v>59</v>
      </c>
      <c r="G24" s="12">
        <v>44548</v>
      </c>
      <c r="H24" s="69" t="s">
        <v>1631</v>
      </c>
      <c r="I24" s="15">
        <v>101</v>
      </c>
      <c r="J24" s="15">
        <v>41</v>
      </c>
      <c r="K24" s="15">
        <v>32</v>
      </c>
      <c r="L24" s="15">
        <v>22</v>
      </c>
      <c r="M24" s="73">
        <v>33.128</v>
      </c>
      <c r="N24" s="104">
        <v>33.128</v>
      </c>
      <c r="O24" s="57">
        <v>7000</v>
      </c>
      <c r="P24" s="58">
        <f t="shared" si="0"/>
        <v>231896</v>
      </c>
    </row>
    <row r="25" spans="1:16" ht="26.25" customHeight="1" x14ac:dyDescent="0.2">
      <c r="A25" s="100"/>
      <c r="B25" s="100"/>
      <c r="C25" s="65" t="s">
        <v>2012</v>
      </c>
      <c r="D25" s="70" t="s">
        <v>57</v>
      </c>
      <c r="E25" s="12">
        <v>44543</v>
      </c>
      <c r="F25" s="68" t="s">
        <v>59</v>
      </c>
      <c r="G25" s="12">
        <v>44548</v>
      </c>
      <c r="H25" s="69" t="s">
        <v>1631</v>
      </c>
      <c r="I25" s="15">
        <v>48</v>
      </c>
      <c r="J25" s="15">
        <v>20</v>
      </c>
      <c r="K25" s="15">
        <v>26</v>
      </c>
      <c r="L25" s="15">
        <v>4</v>
      </c>
      <c r="M25" s="73">
        <v>6.24</v>
      </c>
      <c r="N25" s="104">
        <v>6.24</v>
      </c>
      <c r="O25" s="57">
        <v>7000</v>
      </c>
      <c r="P25" s="58">
        <f t="shared" si="0"/>
        <v>43680</v>
      </c>
    </row>
    <row r="26" spans="1:16" ht="26.25" customHeight="1" x14ac:dyDescent="0.2">
      <c r="A26" s="100"/>
      <c r="B26" s="100"/>
      <c r="C26" s="65" t="s">
        <v>2013</v>
      </c>
      <c r="D26" s="70" t="s">
        <v>57</v>
      </c>
      <c r="E26" s="12">
        <v>44543</v>
      </c>
      <c r="F26" s="68" t="s">
        <v>59</v>
      </c>
      <c r="G26" s="12">
        <v>44548</v>
      </c>
      <c r="H26" s="69" t="s">
        <v>1631</v>
      </c>
      <c r="I26" s="15">
        <v>41</v>
      </c>
      <c r="J26" s="15">
        <v>40</v>
      </c>
      <c r="K26" s="15">
        <v>12</v>
      </c>
      <c r="L26" s="15">
        <v>3</v>
      </c>
      <c r="M26" s="73">
        <v>4.92</v>
      </c>
      <c r="N26" s="104">
        <v>4.92</v>
      </c>
      <c r="O26" s="57">
        <v>7000</v>
      </c>
      <c r="P26" s="58">
        <f t="shared" si="0"/>
        <v>34440</v>
      </c>
    </row>
    <row r="27" spans="1:16" ht="26.25" customHeight="1" x14ac:dyDescent="0.2">
      <c r="A27" s="100"/>
      <c r="B27" s="100"/>
      <c r="C27" s="65" t="s">
        <v>2014</v>
      </c>
      <c r="D27" s="70" t="s">
        <v>57</v>
      </c>
      <c r="E27" s="12">
        <v>44543</v>
      </c>
      <c r="F27" s="68" t="s">
        <v>59</v>
      </c>
      <c r="G27" s="12">
        <v>44548</v>
      </c>
      <c r="H27" s="69" t="s">
        <v>1631</v>
      </c>
      <c r="I27" s="15">
        <v>96</v>
      </c>
      <c r="J27" s="15">
        <v>67</v>
      </c>
      <c r="K27" s="15">
        <v>23</v>
      </c>
      <c r="L27" s="15">
        <v>16</v>
      </c>
      <c r="M27" s="73">
        <v>36.984000000000002</v>
      </c>
      <c r="N27" s="104">
        <v>36.984000000000002</v>
      </c>
      <c r="O27" s="57">
        <v>7000</v>
      </c>
      <c r="P27" s="58">
        <f t="shared" si="0"/>
        <v>258888</v>
      </c>
    </row>
    <row r="28" spans="1:16" ht="26.25" customHeight="1" x14ac:dyDescent="0.2">
      <c r="A28" s="100"/>
      <c r="B28" s="100"/>
      <c r="C28" s="65" t="s">
        <v>2015</v>
      </c>
      <c r="D28" s="70" t="s">
        <v>57</v>
      </c>
      <c r="E28" s="12">
        <v>44543</v>
      </c>
      <c r="F28" s="68" t="s">
        <v>59</v>
      </c>
      <c r="G28" s="12">
        <v>44548</v>
      </c>
      <c r="H28" s="69" t="s">
        <v>1631</v>
      </c>
      <c r="I28" s="15">
        <v>40</v>
      </c>
      <c r="J28" s="15">
        <v>33</v>
      </c>
      <c r="K28" s="15">
        <v>35</v>
      </c>
      <c r="L28" s="15">
        <v>5</v>
      </c>
      <c r="M28" s="73">
        <v>11.55</v>
      </c>
      <c r="N28" s="104">
        <v>11.55</v>
      </c>
      <c r="O28" s="57">
        <v>7000</v>
      </c>
      <c r="P28" s="58">
        <f t="shared" si="0"/>
        <v>80850</v>
      </c>
    </row>
    <row r="29" spans="1:16" ht="26.25" customHeight="1" x14ac:dyDescent="0.2">
      <c r="A29" s="100"/>
      <c r="B29" s="100"/>
      <c r="C29" s="65" t="s">
        <v>2016</v>
      </c>
      <c r="D29" s="70" t="s">
        <v>57</v>
      </c>
      <c r="E29" s="12">
        <v>44543</v>
      </c>
      <c r="F29" s="68" t="s">
        <v>59</v>
      </c>
      <c r="G29" s="12">
        <v>44548</v>
      </c>
      <c r="H29" s="69" t="s">
        <v>1631</v>
      </c>
      <c r="I29" s="15">
        <v>44</v>
      </c>
      <c r="J29" s="15">
        <v>38</v>
      </c>
      <c r="K29" s="15">
        <v>20</v>
      </c>
      <c r="L29" s="15">
        <v>1</v>
      </c>
      <c r="M29" s="73">
        <v>8.36</v>
      </c>
      <c r="N29" s="104">
        <v>9</v>
      </c>
      <c r="O29" s="57">
        <v>7000</v>
      </c>
      <c r="P29" s="58">
        <f t="shared" si="0"/>
        <v>63000</v>
      </c>
    </row>
    <row r="30" spans="1:16" ht="26.25" customHeight="1" x14ac:dyDescent="0.2">
      <c r="A30" s="100"/>
      <c r="B30" s="100"/>
      <c r="C30" s="65" t="s">
        <v>2017</v>
      </c>
      <c r="D30" s="70" t="s">
        <v>57</v>
      </c>
      <c r="E30" s="12">
        <v>44543</v>
      </c>
      <c r="F30" s="68" t="s">
        <v>59</v>
      </c>
      <c r="G30" s="12">
        <v>44548</v>
      </c>
      <c r="H30" s="69" t="s">
        <v>1631</v>
      </c>
      <c r="I30" s="15">
        <v>35</v>
      </c>
      <c r="J30" s="15">
        <v>25</v>
      </c>
      <c r="K30" s="15">
        <v>30</v>
      </c>
      <c r="L30" s="15">
        <v>2</v>
      </c>
      <c r="M30" s="73">
        <v>6.5625</v>
      </c>
      <c r="N30" s="104">
        <v>6.5625</v>
      </c>
      <c r="O30" s="57">
        <v>7000</v>
      </c>
      <c r="P30" s="58">
        <f t="shared" si="0"/>
        <v>45937.5</v>
      </c>
    </row>
    <row r="31" spans="1:16" ht="26.25" customHeight="1" x14ac:dyDescent="0.2">
      <c r="A31" s="100"/>
      <c r="B31" s="100"/>
      <c r="C31" s="65" t="s">
        <v>2018</v>
      </c>
      <c r="D31" s="70" t="s">
        <v>57</v>
      </c>
      <c r="E31" s="12">
        <v>44543</v>
      </c>
      <c r="F31" s="68" t="s">
        <v>59</v>
      </c>
      <c r="G31" s="12">
        <v>44548</v>
      </c>
      <c r="H31" s="69" t="s">
        <v>1631</v>
      </c>
      <c r="I31" s="15">
        <v>76</v>
      </c>
      <c r="J31" s="15">
        <v>50</v>
      </c>
      <c r="K31" s="15">
        <v>4</v>
      </c>
      <c r="L31" s="15">
        <v>3</v>
      </c>
      <c r="M31" s="73">
        <v>3.8</v>
      </c>
      <c r="N31" s="104">
        <v>3.8</v>
      </c>
      <c r="O31" s="57">
        <v>7000</v>
      </c>
      <c r="P31" s="58">
        <f t="shared" si="0"/>
        <v>26600</v>
      </c>
    </row>
    <row r="32" spans="1:16" ht="26.25" customHeight="1" x14ac:dyDescent="0.2">
      <c r="A32" s="100"/>
      <c r="B32" s="100"/>
      <c r="C32" s="65" t="s">
        <v>2019</v>
      </c>
      <c r="D32" s="70" t="s">
        <v>57</v>
      </c>
      <c r="E32" s="12">
        <v>44543</v>
      </c>
      <c r="F32" s="68" t="s">
        <v>59</v>
      </c>
      <c r="G32" s="12">
        <v>44548</v>
      </c>
      <c r="H32" s="69" t="s">
        <v>1631</v>
      </c>
      <c r="I32" s="15">
        <v>44</v>
      </c>
      <c r="J32" s="15">
        <v>53</v>
      </c>
      <c r="K32" s="15">
        <v>28</v>
      </c>
      <c r="L32" s="15">
        <v>6</v>
      </c>
      <c r="M32" s="73">
        <v>16.324000000000002</v>
      </c>
      <c r="N32" s="104">
        <v>17</v>
      </c>
      <c r="O32" s="57">
        <v>7000</v>
      </c>
      <c r="P32" s="58">
        <f t="shared" si="0"/>
        <v>119000</v>
      </c>
    </row>
    <row r="33" spans="1:16" ht="26.25" customHeight="1" x14ac:dyDescent="0.2">
      <c r="A33" s="100"/>
      <c r="B33" s="100"/>
      <c r="C33" s="65" t="s">
        <v>2020</v>
      </c>
      <c r="D33" s="70" t="s">
        <v>57</v>
      </c>
      <c r="E33" s="12">
        <v>44543</v>
      </c>
      <c r="F33" s="68" t="s">
        <v>59</v>
      </c>
      <c r="G33" s="12">
        <v>44548</v>
      </c>
      <c r="H33" s="69" t="s">
        <v>1631</v>
      </c>
      <c r="I33" s="15">
        <v>74</v>
      </c>
      <c r="J33" s="15">
        <v>54</v>
      </c>
      <c r="K33" s="15">
        <v>23</v>
      </c>
      <c r="L33" s="15">
        <v>7</v>
      </c>
      <c r="M33" s="73">
        <v>22.977</v>
      </c>
      <c r="N33" s="104">
        <v>22.977</v>
      </c>
      <c r="O33" s="57">
        <v>7000</v>
      </c>
      <c r="P33" s="58">
        <f t="shared" si="0"/>
        <v>160839</v>
      </c>
    </row>
    <row r="34" spans="1:16" ht="26.25" customHeight="1" x14ac:dyDescent="0.2">
      <c r="A34" s="100"/>
      <c r="B34" s="100"/>
      <c r="C34" s="65" t="s">
        <v>2021</v>
      </c>
      <c r="D34" s="70" t="s">
        <v>57</v>
      </c>
      <c r="E34" s="12">
        <v>44543</v>
      </c>
      <c r="F34" s="68" t="s">
        <v>59</v>
      </c>
      <c r="G34" s="12">
        <v>44548</v>
      </c>
      <c r="H34" s="69" t="s">
        <v>1631</v>
      </c>
      <c r="I34" s="15">
        <v>81</v>
      </c>
      <c r="J34" s="15">
        <v>57</v>
      </c>
      <c r="K34" s="15">
        <v>23</v>
      </c>
      <c r="L34" s="15">
        <v>11</v>
      </c>
      <c r="M34" s="73">
        <v>26.547750000000001</v>
      </c>
      <c r="N34" s="104">
        <v>26.547750000000001</v>
      </c>
      <c r="O34" s="57">
        <v>7000</v>
      </c>
      <c r="P34" s="58">
        <f t="shared" si="0"/>
        <v>185834.25</v>
      </c>
    </row>
    <row r="35" spans="1:16" ht="26.25" customHeight="1" x14ac:dyDescent="0.2">
      <c r="A35" s="100"/>
      <c r="B35" s="100"/>
      <c r="C35" s="65" t="s">
        <v>2022</v>
      </c>
      <c r="D35" s="70" t="s">
        <v>57</v>
      </c>
      <c r="E35" s="12">
        <v>44543</v>
      </c>
      <c r="F35" s="68" t="s">
        <v>59</v>
      </c>
      <c r="G35" s="12">
        <v>44548</v>
      </c>
      <c r="H35" s="69" t="s">
        <v>1631</v>
      </c>
      <c r="I35" s="15">
        <v>54</v>
      </c>
      <c r="J35" s="15">
        <v>48</v>
      </c>
      <c r="K35" s="15">
        <v>28</v>
      </c>
      <c r="L35" s="15">
        <v>4</v>
      </c>
      <c r="M35" s="73">
        <v>18.143999999999998</v>
      </c>
      <c r="N35" s="104">
        <v>18.143999999999998</v>
      </c>
      <c r="O35" s="57">
        <v>7000</v>
      </c>
      <c r="P35" s="58">
        <f t="shared" si="0"/>
        <v>127007.99999999999</v>
      </c>
    </row>
    <row r="36" spans="1:16" ht="26.25" customHeight="1" x14ac:dyDescent="0.2">
      <c r="A36" s="100"/>
      <c r="B36" s="100"/>
      <c r="C36" s="65" t="s">
        <v>2023</v>
      </c>
      <c r="D36" s="70" t="s">
        <v>57</v>
      </c>
      <c r="E36" s="12">
        <v>44543</v>
      </c>
      <c r="F36" s="68" t="s">
        <v>59</v>
      </c>
      <c r="G36" s="12">
        <v>44548</v>
      </c>
      <c r="H36" s="69" t="s">
        <v>1631</v>
      </c>
      <c r="I36" s="15">
        <v>50</v>
      </c>
      <c r="J36" s="15">
        <v>34</v>
      </c>
      <c r="K36" s="15">
        <v>15</v>
      </c>
      <c r="L36" s="15">
        <v>4</v>
      </c>
      <c r="M36" s="73">
        <v>6.375</v>
      </c>
      <c r="N36" s="104">
        <v>7</v>
      </c>
      <c r="O36" s="57">
        <v>7000</v>
      </c>
      <c r="P36" s="58">
        <f t="shared" si="0"/>
        <v>49000</v>
      </c>
    </row>
    <row r="37" spans="1:16" ht="26.25" customHeight="1" x14ac:dyDescent="0.2">
      <c r="A37" s="100"/>
      <c r="B37" s="100"/>
      <c r="C37" s="65" t="s">
        <v>2024</v>
      </c>
      <c r="D37" s="70" t="s">
        <v>57</v>
      </c>
      <c r="E37" s="12">
        <v>44543</v>
      </c>
      <c r="F37" s="68" t="s">
        <v>59</v>
      </c>
      <c r="G37" s="12">
        <v>44548</v>
      </c>
      <c r="H37" s="69" t="s">
        <v>1631</v>
      </c>
      <c r="I37" s="15">
        <v>57</v>
      </c>
      <c r="J37" s="15">
        <v>41</v>
      </c>
      <c r="K37" s="15">
        <v>36</v>
      </c>
      <c r="L37" s="15">
        <v>19</v>
      </c>
      <c r="M37" s="73">
        <v>21.033000000000001</v>
      </c>
      <c r="N37" s="104">
        <v>21.033000000000001</v>
      </c>
      <c r="O37" s="57">
        <v>7000</v>
      </c>
      <c r="P37" s="58">
        <f t="shared" si="0"/>
        <v>147231</v>
      </c>
    </row>
    <row r="38" spans="1:16" ht="26.25" customHeight="1" x14ac:dyDescent="0.2">
      <c r="A38" s="100"/>
      <c r="B38" s="100"/>
      <c r="C38" s="65" t="s">
        <v>2025</v>
      </c>
      <c r="D38" s="70" t="s">
        <v>57</v>
      </c>
      <c r="E38" s="12">
        <v>44543</v>
      </c>
      <c r="F38" s="68" t="s">
        <v>59</v>
      </c>
      <c r="G38" s="12">
        <v>44548</v>
      </c>
      <c r="H38" s="69" t="s">
        <v>1631</v>
      </c>
      <c r="I38" s="15">
        <v>54</v>
      </c>
      <c r="J38" s="15">
        <v>42</v>
      </c>
      <c r="K38" s="15">
        <v>37</v>
      </c>
      <c r="L38" s="15">
        <v>10</v>
      </c>
      <c r="M38" s="73">
        <v>20.978999999999999</v>
      </c>
      <c r="N38" s="104">
        <v>20.978999999999999</v>
      </c>
      <c r="O38" s="57">
        <v>7000</v>
      </c>
      <c r="P38" s="58">
        <f t="shared" si="0"/>
        <v>146853</v>
      </c>
    </row>
    <row r="39" spans="1:16" ht="26.25" customHeight="1" x14ac:dyDescent="0.2">
      <c r="A39" s="100"/>
      <c r="B39" s="100"/>
      <c r="C39" s="65" t="s">
        <v>2026</v>
      </c>
      <c r="D39" s="70" t="s">
        <v>57</v>
      </c>
      <c r="E39" s="12">
        <v>44543</v>
      </c>
      <c r="F39" s="68" t="s">
        <v>59</v>
      </c>
      <c r="G39" s="12">
        <v>44548</v>
      </c>
      <c r="H39" s="69" t="s">
        <v>1631</v>
      </c>
      <c r="I39" s="15">
        <v>47</v>
      </c>
      <c r="J39" s="15">
        <v>37</v>
      </c>
      <c r="K39" s="15">
        <v>42</v>
      </c>
      <c r="L39" s="15">
        <v>20</v>
      </c>
      <c r="M39" s="73">
        <v>18.259499999999999</v>
      </c>
      <c r="N39" s="104">
        <v>20</v>
      </c>
      <c r="O39" s="57">
        <v>7000</v>
      </c>
      <c r="P39" s="58">
        <f t="shared" si="0"/>
        <v>140000</v>
      </c>
    </row>
    <row r="40" spans="1:16" ht="26.25" customHeight="1" x14ac:dyDescent="0.2">
      <c r="A40" s="100"/>
      <c r="B40" s="100"/>
      <c r="C40" s="65" t="s">
        <v>2027</v>
      </c>
      <c r="D40" s="70" t="s">
        <v>57</v>
      </c>
      <c r="E40" s="12">
        <v>44543</v>
      </c>
      <c r="F40" s="68" t="s">
        <v>59</v>
      </c>
      <c r="G40" s="12">
        <v>44548</v>
      </c>
      <c r="H40" s="69" t="s">
        <v>1631</v>
      </c>
      <c r="I40" s="15">
        <v>41</v>
      </c>
      <c r="J40" s="15">
        <v>32</v>
      </c>
      <c r="K40" s="15">
        <v>37</v>
      </c>
      <c r="L40" s="15">
        <v>6</v>
      </c>
      <c r="M40" s="73">
        <v>12.135999999999999</v>
      </c>
      <c r="N40" s="104">
        <v>12.135999999999999</v>
      </c>
      <c r="O40" s="57">
        <v>7000</v>
      </c>
      <c r="P40" s="58">
        <f t="shared" si="0"/>
        <v>84952</v>
      </c>
    </row>
    <row r="41" spans="1:16" ht="26.25" customHeight="1" x14ac:dyDescent="0.2">
      <c r="A41" s="100"/>
      <c r="B41" s="100"/>
      <c r="C41" s="65" t="s">
        <v>2028</v>
      </c>
      <c r="D41" s="70" t="s">
        <v>57</v>
      </c>
      <c r="E41" s="12">
        <v>44543</v>
      </c>
      <c r="F41" s="68" t="s">
        <v>59</v>
      </c>
      <c r="G41" s="12">
        <v>44548</v>
      </c>
      <c r="H41" s="69" t="s">
        <v>1631</v>
      </c>
      <c r="I41" s="15">
        <v>53</v>
      </c>
      <c r="J41" s="15">
        <v>42</v>
      </c>
      <c r="K41" s="15">
        <v>37</v>
      </c>
      <c r="L41" s="15">
        <v>10</v>
      </c>
      <c r="M41" s="73">
        <v>20.590499999999999</v>
      </c>
      <c r="N41" s="104">
        <v>20.590499999999999</v>
      </c>
      <c r="O41" s="57">
        <v>7000</v>
      </c>
      <c r="P41" s="58">
        <f t="shared" si="0"/>
        <v>144133.5</v>
      </c>
    </row>
    <row r="42" spans="1:16" ht="26.25" customHeight="1" x14ac:dyDescent="0.2">
      <c r="A42" s="100"/>
      <c r="B42" s="100"/>
      <c r="C42" s="65" t="s">
        <v>2029</v>
      </c>
      <c r="D42" s="70" t="s">
        <v>57</v>
      </c>
      <c r="E42" s="12">
        <v>44543</v>
      </c>
      <c r="F42" s="68" t="s">
        <v>59</v>
      </c>
      <c r="G42" s="12">
        <v>44548</v>
      </c>
      <c r="H42" s="69" t="s">
        <v>1631</v>
      </c>
      <c r="I42" s="15">
        <v>41</v>
      </c>
      <c r="J42" s="15">
        <v>37</v>
      </c>
      <c r="K42" s="15">
        <v>28</v>
      </c>
      <c r="L42" s="15">
        <v>4</v>
      </c>
      <c r="M42" s="73">
        <v>10.619</v>
      </c>
      <c r="N42" s="104">
        <v>10.619</v>
      </c>
      <c r="O42" s="57">
        <v>7000</v>
      </c>
      <c r="P42" s="58">
        <f t="shared" si="0"/>
        <v>74333</v>
      </c>
    </row>
    <row r="43" spans="1:16" ht="26.25" customHeight="1" x14ac:dyDescent="0.2">
      <c r="A43" s="100"/>
      <c r="B43" s="100"/>
      <c r="C43" s="65" t="s">
        <v>2030</v>
      </c>
      <c r="D43" s="70" t="s">
        <v>57</v>
      </c>
      <c r="E43" s="12">
        <v>44543</v>
      </c>
      <c r="F43" s="68" t="s">
        <v>59</v>
      </c>
      <c r="G43" s="12">
        <v>44548</v>
      </c>
      <c r="H43" s="69" t="s">
        <v>1631</v>
      </c>
      <c r="I43" s="15">
        <v>37</v>
      </c>
      <c r="J43" s="15">
        <v>31</v>
      </c>
      <c r="K43" s="15">
        <v>28</v>
      </c>
      <c r="L43" s="15">
        <v>7</v>
      </c>
      <c r="M43" s="73">
        <v>8.0289999999999999</v>
      </c>
      <c r="N43" s="104">
        <v>8.0289999999999999</v>
      </c>
      <c r="O43" s="57">
        <v>7000</v>
      </c>
      <c r="P43" s="58">
        <f t="shared" si="0"/>
        <v>56203</v>
      </c>
    </row>
    <row r="44" spans="1:16" ht="26.25" customHeight="1" x14ac:dyDescent="0.2">
      <c r="A44" s="100"/>
      <c r="B44" s="100"/>
      <c r="C44" s="65" t="s">
        <v>2031</v>
      </c>
      <c r="D44" s="70" t="s">
        <v>57</v>
      </c>
      <c r="E44" s="12">
        <v>44543</v>
      </c>
      <c r="F44" s="68" t="s">
        <v>59</v>
      </c>
      <c r="G44" s="12">
        <v>44548</v>
      </c>
      <c r="H44" s="69" t="s">
        <v>1631</v>
      </c>
      <c r="I44" s="15">
        <v>58</v>
      </c>
      <c r="J44" s="15">
        <v>42</v>
      </c>
      <c r="K44" s="15">
        <v>35</v>
      </c>
      <c r="L44" s="15">
        <v>13</v>
      </c>
      <c r="M44" s="73">
        <v>21.315000000000001</v>
      </c>
      <c r="N44" s="104">
        <v>22</v>
      </c>
      <c r="O44" s="57">
        <v>7000</v>
      </c>
      <c r="P44" s="58">
        <f t="shared" si="0"/>
        <v>154000</v>
      </c>
    </row>
    <row r="45" spans="1:16" ht="26.25" customHeight="1" x14ac:dyDescent="0.2">
      <c r="A45" s="100"/>
      <c r="B45" s="100"/>
      <c r="C45" s="65" t="s">
        <v>2032</v>
      </c>
      <c r="D45" s="70" t="s">
        <v>57</v>
      </c>
      <c r="E45" s="12">
        <v>44543</v>
      </c>
      <c r="F45" s="68" t="s">
        <v>59</v>
      </c>
      <c r="G45" s="12">
        <v>44548</v>
      </c>
      <c r="H45" s="69" t="s">
        <v>1631</v>
      </c>
      <c r="I45" s="15">
        <v>103</v>
      </c>
      <c r="J45" s="15">
        <v>45</v>
      </c>
      <c r="K45" s="15">
        <v>5</v>
      </c>
      <c r="L45" s="15">
        <v>4</v>
      </c>
      <c r="M45" s="73">
        <v>5.7937500000000002</v>
      </c>
      <c r="N45" s="104">
        <v>5.7937500000000002</v>
      </c>
      <c r="O45" s="57">
        <v>7000</v>
      </c>
      <c r="P45" s="58">
        <f t="shared" si="0"/>
        <v>40556.25</v>
      </c>
    </row>
    <row r="46" spans="1:16" ht="26.25" customHeight="1" x14ac:dyDescent="0.2">
      <c r="A46" s="100"/>
      <c r="B46" s="100"/>
      <c r="C46" s="65" t="s">
        <v>2033</v>
      </c>
      <c r="D46" s="70" t="s">
        <v>57</v>
      </c>
      <c r="E46" s="12">
        <v>44543</v>
      </c>
      <c r="F46" s="68" t="s">
        <v>59</v>
      </c>
      <c r="G46" s="12">
        <v>44548</v>
      </c>
      <c r="H46" s="69" t="s">
        <v>1631</v>
      </c>
      <c r="I46" s="15">
        <v>62</v>
      </c>
      <c r="J46" s="15">
        <v>33</v>
      </c>
      <c r="K46" s="15">
        <v>31</v>
      </c>
      <c r="L46" s="15">
        <v>10</v>
      </c>
      <c r="M46" s="73">
        <v>15.8565</v>
      </c>
      <c r="N46" s="104">
        <v>15.8565</v>
      </c>
      <c r="O46" s="57">
        <v>7000</v>
      </c>
      <c r="P46" s="58">
        <f t="shared" si="0"/>
        <v>110995.5</v>
      </c>
    </row>
    <row r="47" spans="1:16" ht="26.25" customHeight="1" x14ac:dyDescent="0.2">
      <c r="A47" s="100"/>
      <c r="B47" s="100"/>
      <c r="C47" s="65" t="s">
        <v>2034</v>
      </c>
      <c r="D47" s="70" t="s">
        <v>57</v>
      </c>
      <c r="E47" s="12">
        <v>44543</v>
      </c>
      <c r="F47" s="68" t="s">
        <v>59</v>
      </c>
      <c r="G47" s="12">
        <v>44548</v>
      </c>
      <c r="H47" s="69" t="s">
        <v>1631</v>
      </c>
      <c r="I47" s="15">
        <v>65</v>
      </c>
      <c r="J47" s="15">
        <v>43</v>
      </c>
      <c r="K47" s="15">
        <v>33</v>
      </c>
      <c r="L47" s="15">
        <v>14</v>
      </c>
      <c r="M47" s="73">
        <v>23.05875</v>
      </c>
      <c r="N47" s="104">
        <v>23.05875</v>
      </c>
      <c r="O47" s="57">
        <v>7000</v>
      </c>
      <c r="P47" s="58">
        <f t="shared" si="0"/>
        <v>161411.25</v>
      </c>
    </row>
    <row r="48" spans="1:16" ht="26.25" customHeight="1" x14ac:dyDescent="0.2">
      <c r="A48" s="100"/>
      <c r="B48" s="100"/>
      <c r="C48" s="65" t="s">
        <v>2035</v>
      </c>
      <c r="D48" s="70" t="s">
        <v>57</v>
      </c>
      <c r="E48" s="12">
        <v>44543</v>
      </c>
      <c r="F48" s="68" t="s">
        <v>59</v>
      </c>
      <c r="G48" s="12">
        <v>44548</v>
      </c>
      <c r="H48" s="69" t="s">
        <v>1631</v>
      </c>
      <c r="I48" s="15">
        <v>50</v>
      </c>
      <c r="J48" s="15">
        <v>41</v>
      </c>
      <c r="K48" s="15">
        <v>31</v>
      </c>
      <c r="L48" s="15">
        <v>5</v>
      </c>
      <c r="M48" s="73">
        <v>15.887499999999999</v>
      </c>
      <c r="N48" s="104">
        <v>15.887499999999999</v>
      </c>
      <c r="O48" s="57">
        <v>7000</v>
      </c>
      <c r="P48" s="58">
        <f t="shared" si="0"/>
        <v>111212.5</v>
      </c>
    </row>
    <row r="49" spans="1:16" ht="26.25" customHeight="1" x14ac:dyDescent="0.2">
      <c r="A49" s="100"/>
      <c r="B49" s="100"/>
      <c r="C49" s="65" t="s">
        <v>2036</v>
      </c>
      <c r="D49" s="70" t="s">
        <v>57</v>
      </c>
      <c r="E49" s="12">
        <v>44543</v>
      </c>
      <c r="F49" s="68" t="s">
        <v>59</v>
      </c>
      <c r="G49" s="12">
        <v>44548</v>
      </c>
      <c r="H49" s="69" t="s">
        <v>1631</v>
      </c>
      <c r="I49" s="15">
        <v>91</v>
      </c>
      <c r="J49" s="15">
        <v>54</v>
      </c>
      <c r="K49" s="15">
        <v>25</v>
      </c>
      <c r="L49" s="15">
        <v>15</v>
      </c>
      <c r="M49" s="73">
        <v>30.712499999999999</v>
      </c>
      <c r="N49" s="104">
        <v>30.712499999999999</v>
      </c>
      <c r="O49" s="57">
        <v>7000</v>
      </c>
      <c r="P49" s="58">
        <f t="shared" si="0"/>
        <v>214987.5</v>
      </c>
    </row>
    <row r="50" spans="1:16" ht="26.25" customHeight="1" x14ac:dyDescent="0.2">
      <c r="A50" s="100"/>
      <c r="B50" s="100"/>
      <c r="C50" s="65" t="s">
        <v>2037</v>
      </c>
      <c r="D50" s="70" t="s">
        <v>57</v>
      </c>
      <c r="E50" s="12">
        <v>44543</v>
      </c>
      <c r="F50" s="68" t="s">
        <v>59</v>
      </c>
      <c r="G50" s="12">
        <v>44548</v>
      </c>
      <c r="H50" s="69" t="s">
        <v>1631</v>
      </c>
      <c r="I50" s="15">
        <v>95</v>
      </c>
      <c r="J50" s="15">
        <v>95</v>
      </c>
      <c r="K50" s="15">
        <v>8</v>
      </c>
      <c r="L50" s="15">
        <v>6</v>
      </c>
      <c r="M50" s="73">
        <v>18.05</v>
      </c>
      <c r="N50" s="104">
        <v>18.05</v>
      </c>
      <c r="O50" s="57">
        <v>7000</v>
      </c>
      <c r="P50" s="58">
        <f t="shared" si="0"/>
        <v>126350</v>
      </c>
    </row>
    <row r="51" spans="1:16" ht="26.25" customHeight="1" x14ac:dyDescent="0.2">
      <c r="A51" s="100"/>
      <c r="B51" s="100"/>
      <c r="C51" s="65" t="s">
        <v>2038</v>
      </c>
      <c r="D51" s="70" t="s">
        <v>57</v>
      </c>
      <c r="E51" s="12">
        <v>44543</v>
      </c>
      <c r="F51" s="68" t="s">
        <v>59</v>
      </c>
      <c r="G51" s="12">
        <v>44548</v>
      </c>
      <c r="H51" s="69" t="s">
        <v>1631</v>
      </c>
      <c r="I51" s="15">
        <v>46</v>
      </c>
      <c r="J51" s="15">
        <v>46</v>
      </c>
      <c r="K51" s="15">
        <v>22</v>
      </c>
      <c r="L51" s="15">
        <v>3</v>
      </c>
      <c r="M51" s="73">
        <v>11.638</v>
      </c>
      <c r="N51" s="104">
        <v>11.638</v>
      </c>
      <c r="O51" s="57">
        <v>7000</v>
      </c>
      <c r="P51" s="58">
        <f t="shared" si="0"/>
        <v>81466</v>
      </c>
    </row>
    <row r="52" spans="1:16" ht="26.25" customHeight="1" x14ac:dyDescent="0.2">
      <c r="A52" s="100"/>
      <c r="B52" s="100"/>
      <c r="C52" s="65" t="s">
        <v>2039</v>
      </c>
      <c r="D52" s="70" t="s">
        <v>57</v>
      </c>
      <c r="E52" s="12">
        <v>44543</v>
      </c>
      <c r="F52" s="68" t="s">
        <v>59</v>
      </c>
      <c r="G52" s="12">
        <v>44548</v>
      </c>
      <c r="H52" s="69" t="s">
        <v>1631</v>
      </c>
      <c r="I52" s="15">
        <v>84</v>
      </c>
      <c r="J52" s="15">
        <v>51</v>
      </c>
      <c r="K52" s="15">
        <v>32</v>
      </c>
      <c r="L52" s="15">
        <v>27</v>
      </c>
      <c r="M52" s="73">
        <v>34.271999999999998</v>
      </c>
      <c r="N52" s="104">
        <v>34.271999999999998</v>
      </c>
      <c r="O52" s="57">
        <v>7000</v>
      </c>
      <c r="P52" s="58">
        <f t="shared" si="0"/>
        <v>239904</v>
      </c>
    </row>
    <row r="53" spans="1:16" ht="26.25" customHeight="1" x14ac:dyDescent="0.2">
      <c r="A53" s="100"/>
      <c r="B53" s="100"/>
      <c r="C53" s="65" t="s">
        <v>2040</v>
      </c>
      <c r="D53" s="70" t="s">
        <v>57</v>
      </c>
      <c r="E53" s="12">
        <v>44543</v>
      </c>
      <c r="F53" s="68" t="s">
        <v>59</v>
      </c>
      <c r="G53" s="12">
        <v>44548</v>
      </c>
      <c r="H53" s="69" t="s">
        <v>1631</v>
      </c>
      <c r="I53" s="15">
        <v>88</v>
      </c>
      <c r="J53" s="15">
        <v>53</v>
      </c>
      <c r="K53" s="15">
        <v>27</v>
      </c>
      <c r="L53" s="15">
        <v>25</v>
      </c>
      <c r="M53" s="73">
        <v>31.481999999999999</v>
      </c>
      <c r="N53" s="104">
        <v>32</v>
      </c>
      <c r="O53" s="57">
        <v>7000</v>
      </c>
      <c r="P53" s="58">
        <f t="shared" si="0"/>
        <v>224000</v>
      </c>
    </row>
    <row r="54" spans="1:16" ht="26.25" customHeight="1" x14ac:dyDescent="0.2">
      <c r="A54" s="100"/>
      <c r="B54" s="100"/>
      <c r="C54" s="65" t="s">
        <v>2041</v>
      </c>
      <c r="D54" s="70" t="s">
        <v>57</v>
      </c>
      <c r="E54" s="12">
        <v>44543</v>
      </c>
      <c r="F54" s="68" t="s">
        <v>59</v>
      </c>
      <c r="G54" s="12">
        <v>44548</v>
      </c>
      <c r="H54" s="69" t="s">
        <v>1631</v>
      </c>
      <c r="I54" s="15">
        <v>50</v>
      </c>
      <c r="J54" s="15">
        <v>58</v>
      </c>
      <c r="K54" s="15">
        <v>10</v>
      </c>
      <c r="L54" s="15">
        <v>4</v>
      </c>
      <c r="M54" s="73">
        <v>7.25</v>
      </c>
      <c r="N54" s="104">
        <v>7.25</v>
      </c>
      <c r="O54" s="57">
        <v>7000</v>
      </c>
      <c r="P54" s="58">
        <f t="shared" si="0"/>
        <v>50750</v>
      </c>
    </row>
    <row r="55" spans="1:16" ht="26.25" customHeight="1" x14ac:dyDescent="0.2">
      <c r="A55" s="100"/>
      <c r="B55" s="100"/>
      <c r="C55" s="65" t="s">
        <v>2042</v>
      </c>
      <c r="D55" s="70" t="s">
        <v>57</v>
      </c>
      <c r="E55" s="12">
        <v>44543</v>
      </c>
      <c r="F55" s="68" t="s">
        <v>59</v>
      </c>
      <c r="G55" s="12">
        <v>44548</v>
      </c>
      <c r="H55" s="69" t="s">
        <v>1631</v>
      </c>
      <c r="I55" s="15">
        <v>80</v>
      </c>
      <c r="J55" s="15">
        <v>52</v>
      </c>
      <c r="K55" s="15">
        <v>26</v>
      </c>
      <c r="L55" s="15">
        <v>11</v>
      </c>
      <c r="M55" s="73">
        <v>27.04</v>
      </c>
      <c r="N55" s="104">
        <v>27.04</v>
      </c>
      <c r="O55" s="57">
        <v>7000</v>
      </c>
      <c r="P55" s="58">
        <f t="shared" si="0"/>
        <v>189280</v>
      </c>
    </row>
    <row r="56" spans="1:16" ht="26.25" customHeight="1" x14ac:dyDescent="0.2">
      <c r="A56" s="100"/>
      <c r="B56" s="100"/>
      <c r="C56" s="65" t="s">
        <v>2043</v>
      </c>
      <c r="D56" s="70" t="s">
        <v>57</v>
      </c>
      <c r="E56" s="12">
        <v>44543</v>
      </c>
      <c r="F56" s="68" t="s">
        <v>59</v>
      </c>
      <c r="G56" s="12">
        <v>44548</v>
      </c>
      <c r="H56" s="69" t="s">
        <v>1631</v>
      </c>
      <c r="I56" s="15">
        <v>57</v>
      </c>
      <c r="J56" s="15">
        <v>20</v>
      </c>
      <c r="K56" s="15">
        <v>8</v>
      </c>
      <c r="L56" s="15">
        <v>1</v>
      </c>
      <c r="M56" s="73">
        <v>2.2799999999999998</v>
      </c>
      <c r="N56" s="104">
        <v>2.2799999999999998</v>
      </c>
      <c r="O56" s="57">
        <v>7000</v>
      </c>
      <c r="P56" s="58">
        <f t="shared" si="0"/>
        <v>15959.999999999998</v>
      </c>
    </row>
    <row r="57" spans="1:16" ht="26.25" customHeight="1" x14ac:dyDescent="0.2">
      <c r="A57" s="100"/>
      <c r="B57" s="100"/>
      <c r="C57" s="65" t="s">
        <v>2044</v>
      </c>
      <c r="D57" s="70" t="s">
        <v>57</v>
      </c>
      <c r="E57" s="12">
        <v>44543</v>
      </c>
      <c r="F57" s="68" t="s">
        <v>59</v>
      </c>
      <c r="G57" s="12">
        <v>44548</v>
      </c>
      <c r="H57" s="69" t="s">
        <v>1631</v>
      </c>
      <c r="I57" s="15">
        <v>55</v>
      </c>
      <c r="J57" s="15">
        <v>38</v>
      </c>
      <c r="K57" s="15">
        <v>28</v>
      </c>
      <c r="L57" s="15">
        <v>14</v>
      </c>
      <c r="M57" s="73">
        <v>14.63</v>
      </c>
      <c r="N57" s="104">
        <v>14.63</v>
      </c>
      <c r="O57" s="57">
        <v>7000</v>
      </c>
      <c r="P57" s="58">
        <f t="shared" si="0"/>
        <v>102410</v>
      </c>
    </row>
    <row r="58" spans="1:16" ht="26.25" customHeight="1" x14ac:dyDescent="0.2">
      <c r="A58" s="100"/>
      <c r="B58" s="100"/>
      <c r="C58" s="65" t="s">
        <v>2045</v>
      </c>
      <c r="D58" s="70" t="s">
        <v>57</v>
      </c>
      <c r="E58" s="12">
        <v>44543</v>
      </c>
      <c r="F58" s="68" t="s">
        <v>59</v>
      </c>
      <c r="G58" s="12">
        <v>44548</v>
      </c>
      <c r="H58" s="69" t="s">
        <v>1631</v>
      </c>
      <c r="I58" s="15">
        <v>66</v>
      </c>
      <c r="J58" s="15">
        <v>47</v>
      </c>
      <c r="K58" s="15">
        <v>52</v>
      </c>
      <c r="L58" s="15">
        <v>22</v>
      </c>
      <c r="M58" s="73">
        <v>40.326000000000001</v>
      </c>
      <c r="N58" s="104">
        <v>41</v>
      </c>
      <c r="O58" s="57">
        <v>7000</v>
      </c>
      <c r="P58" s="58">
        <f t="shared" si="0"/>
        <v>287000</v>
      </c>
    </row>
    <row r="59" spans="1:16" ht="26.25" customHeight="1" x14ac:dyDescent="0.2">
      <c r="A59" s="100"/>
      <c r="B59" s="100"/>
      <c r="C59" s="65" t="s">
        <v>2046</v>
      </c>
      <c r="D59" s="70" t="s">
        <v>57</v>
      </c>
      <c r="E59" s="12">
        <v>44543</v>
      </c>
      <c r="F59" s="68" t="s">
        <v>59</v>
      </c>
      <c r="G59" s="12">
        <v>44548</v>
      </c>
      <c r="H59" s="69" t="s">
        <v>1631</v>
      </c>
      <c r="I59" s="15">
        <v>56</v>
      </c>
      <c r="J59" s="15">
        <v>44</v>
      </c>
      <c r="K59" s="15">
        <v>24</v>
      </c>
      <c r="L59" s="15">
        <v>4</v>
      </c>
      <c r="M59" s="73">
        <v>14.784000000000001</v>
      </c>
      <c r="N59" s="104">
        <v>14.784000000000001</v>
      </c>
      <c r="O59" s="57">
        <v>7000</v>
      </c>
      <c r="P59" s="58">
        <f t="shared" si="0"/>
        <v>103488</v>
      </c>
    </row>
    <row r="60" spans="1:16" ht="26.25" customHeight="1" x14ac:dyDescent="0.2">
      <c r="A60" s="100"/>
      <c r="B60" s="100"/>
      <c r="C60" s="65" t="s">
        <v>2047</v>
      </c>
      <c r="D60" s="70" t="s">
        <v>57</v>
      </c>
      <c r="E60" s="12">
        <v>44543</v>
      </c>
      <c r="F60" s="68" t="s">
        <v>59</v>
      </c>
      <c r="G60" s="12">
        <v>44548</v>
      </c>
      <c r="H60" s="69" t="s">
        <v>1631</v>
      </c>
      <c r="I60" s="15">
        <v>74</v>
      </c>
      <c r="J60" s="15">
        <v>54</v>
      </c>
      <c r="K60" s="15">
        <v>24</v>
      </c>
      <c r="L60" s="15">
        <v>13</v>
      </c>
      <c r="M60" s="73">
        <v>23.975999999999999</v>
      </c>
      <c r="N60" s="104">
        <v>23.975999999999999</v>
      </c>
      <c r="O60" s="57">
        <v>7000</v>
      </c>
      <c r="P60" s="58">
        <f t="shared" si="0"/>
        <v>167832</v>
      </c>
    </row>
    <row r="61" spans="1:16" ht="26.25" customHeight="1" x14ac:dyDescent="0.2">
      <c r="A61" s="100"/>
      <c r="B61" s="100"/>
      <c r="C61" s="65" t="s">
        <v>2048</v>
      </c>
      <c r="D61" s="70" t="s">
        <v>57</v>
      </c>
      <c r="E61" s="12">
        <v>44543</v>
      </c>
      <c r="F61" s="68" t="s">
        <v>59</v>
      </c>
      <c r="G61" s="12">
        <v>44548</v>
      </c>
      <c r="H61" s="69" t="s">
        <v>1631</v>
      </c>
      <c r="I61" s="15">
        <v>66</v>
      </c>
      <c r="J61" s="15">
        <v>60</v>
      </c>
      <c r="K61" s="15">
        <v>10</v>
      </c>
      <c r="L61" s="15">
        <v>3</v>
      </c>
      <c r="M61" s="73">
        <v>9.9</v>
      </c>
      <c r="N61" s="104">
        <v>9.9</v>
      </c>
      <c r="O61" s="57">
        <v>7000</v>
      </c>
      <c r="P61" s="58">
        <f t="shared" si="0"/>
        <v>69300</v>
      </c>
    </row>
    <row r="62" spans="1:16" ht="26.25" customHeight="1" x14ac:dyDescent="0.2">
      <c r="A62" s="100"/>
      <c r="B62" s="100"/>
      <c r="C62" s="65" t="s">
        <v>2049</v>
      </c>
      <c r="D62" s="70" t="s">
        <v>57</v>
      </c>
      <c r="E62" s="12">
        <v>44543</v>
      </c>
      <c r="F62" s="68" t="s">
        <v>59</v>
      </c>
      <c r="G62" s="12">
        <v>44548</v>
      </c>
      <c r="H62" s="69" t="s">
        <v>1631</v>
      </c>
      <c r="I62" s="15">
        <v>66</v>
      </c>
      <c r="J62" s="15">
        <v>65</v>
      </c>
      <c r="K62" s="15">
        <v>31</v>
      </c>
      <c r="L62" s="15">
        <v>13</v>
      </c>
      <c r="M62" s="73">
        <v>33.247500000000002</v>
      </c>
      <c r="N62" s="104">
        <v>33.247500000000002</v>
      </c>
      <c r="O62" s="57">
        <v>7000</v>
      </c>
      <c r="P62" s="58">
        <f t="shared" si="0"/>
        <v>232732.50000000003</v>
      </c>
    </row>
    <row r="63" spans="1:16" ht="26.25" customHeight="1" x14ac:dyDescent="0.2">
      <c r="A63" s="100"/>
      <c r="B63" s="100"/>
      <c r="C63" s="65" t="s">
        <v>2050</v>
      </c>
      <c r="D63" s="70" t="s">
        <v>57</v>
      </c>
      <c r="E63" s="12">
        <v>44543</v>
      </c>
      <c r="F63" s="68" t="s">
        <v>59</v>
      </c>
      <c r="G63" s="12">
        <v>44548</v>
      </c>
      <c r="H63" s="69" t="s">
        <v>1631</v>
      </c>
      <c r="I63" s="15">
        <v>77</v>
      </c>
      <c r="J63" s="15">
        <v>60</v>
      </c>
      <c r="K63" s="15">
        <v>24</v>
      </c>
      <c r="L63" s="15">
        <v>12</v>
      </c>
      <c r="M63" s="73">
        <v>27.72</v>
      </c>
      <c r="N63" s="104">
        <v>27.72</v>
      </c>
      <c r="O63" s="57">
        <v>7000</v>
      </c>
      <c r="P63" s="58">
        <f t="shared" si="0"/>
        <v>194040</v>
      </c>
    </row>
    <row r="64" spans="1:16" ht="26.25" customHeight="1" x14ac:dyDescent="0.2">
      <c r="A64" s="100"/>
      <c r="B64" s="100"/>
      <c r="C64" s="65" t="s">
        <v>2051</v>
      </c>
      <c r="D64" s="70" t="s">
        <v>57</v>
      </c>
      <c r="E64" s="12">
        <v>44543</v>
      </c>
      <c r="F64" s="68" t="s">
        <v>59</v>
      </c>
      <c r="G64" s="12">
        <v>44548</v>
      </c>
      <c r="H64" s="69" t="s">
        <v>1631</v>
      </c>
      <c r="I64" s="15">
        <v>96</v>
      </c>
      <c r="J64" s="15">
        <v>68</v>
      </c>
      <c r="K64" s="15">
        <v>29</v>
      </c>
      <c r="L64" s="15">
        <v>24</v>
      </c>
      <c r="M64" s="73">
        <v>47.328000000000003</v>
      </c>
      <c r="N64" s="104">
        <v>48</v>
      </c>
      <c r="O64" s="57">
        <v>7000</v>
      </c>
      <c r="P64" s="58">
        <f t="shared" si="0"/>
        <v>336000</v>
      </c>
    </row>
    <row r="65" spans="1:16" ht="26.25" customHeight="1" x14ac:dyDescent="0.2">
      <c r="A65" s="100"/>
      <c r="B65" s="100"/>
      <c r="C65" s="65" t="s">
        <v>2052</v>
      </c>
      <c r="D65" s="70" t="s">
        <v>57</v>
      </c>
      <c r="E65" s="12">
        <v>44543</v>
      </c>
      <c r="F65" s="68" t="s">
        <v>59</v>
      </c>
      <c r="G65" s="12">
        <v>44548</v>
      </c>
      <c r="H65" s="69" t="s">
        <v>1631</v>
      </c>
      <c r="I65" s="15">
        <v>92</v>
      </c>
      <c r="J65" s="15">
        <v>62</v>
      </c>
      <c r="K65" s="15">
        <v>25</v>
      </c>
      <c r="L65" s="15">
        <v>33</v>
      </c>
      <c r="M65" s="73">
        <v>35.65</v>
      </c>
      <c r="N65" s="104">
        <v>35.65</v>
      </c>
      <c r="O65" s="57">
        <v>7000</v>
      </c>
      <c r="P65" s="58">
        <f t="shared" si="0"/>
        <v>249550</v>
      </c>
    </row>
    <row r="66" spans="1:16" ht="26.25" customHeight="1" x14ac:dyDescent="0.2">
      <c r="A66" s="100"/>
      <c r="B66" s="100"/>
      <c r="C66" s="65" t="s">
        <v>2053</v>
      </c>
      <c r="D66" s="70" t="s">
        <v>57</v>
      </c>
      <c r="E66" s="12">
        <v>44543</v>
      </c>
      <c r="F66" s="68" t="s">
        <v>59</v>
      </c>
      <c r="G66" s="12">
        <v>44548</v>
      </c>
      <c r="H66" s="69" t="s">
        <v>1631</v>
      </c>
      <c r="I66" s="15">
        <v>103</v>
      </c>
      <c r="J66" s="15">
        <v>66</v>
      </c>
      <c r="K66" s="15">
        <v>27</v>
      </c>
      <c r="L66" s="15">
        <v>20</v>
      </c>
      <c r="M66" s="73">
        <v>45.886499999999998</v>
      </c>
      <c r="N66" s="104">
        <v>45.886499999999998</v>
      </c>
      <c r="O66" s="57">
        <v>7000</v>
      </c>
      <c r="P66" s="58">
        <f t="shared" si="0"/>
        <v>321205.5</v>
      </c>
    </row>
    <row r="67" spans="1:16" ht="26.25" customHeight="1" x14ac:dyDescent="0.2">
      <c r="A67" s="100"/>
      <c r="B67" s="100"/>
      <c r="C67" s="65" t="s">
        <v>2054</v>
      </c>
      <c r="D67" s="70" t="s">
        <v>57</v>
      </c>
      <c r="E67" s="12">
        <v>44543</v>
      </c>
      <c r="F67" s="68" t="s">
        <v>59</v>
      </c>
      <c r="G67" s="12">
        <v>44548</v>
      </c>
      <c r="H67" s="69" t="s">
        <v>1631</v>
      </c>
      <c r="I67" s="15">
        <v>167</v>
      </c>
      <c r="J67" s="15">
        <v>14</v>
      </c>
      <c r="K67" s="15">
        <v>14</v>
      </c>
      <c r="L67" s="15">
        <v>5</v>
      </c>
      <c r="M67" s="73">
        <v>8.1829999999999998</v>
      </c>
      <c r="N67" s="104">
        <v>8.1829999999999998</v>
      </c>
      <c r="O67" s="57">
        <v>7000</v>
      </c>
      <c r="P67" s="58">
        <f t="shared" ref="P67:P112" si="1">N67*O67</f>
        <v>57281</v>
      </c>
    </row>
    <row r="68" spans="1:16" ht="26.25" customHeight="1" x14ac:dyDescent="0.2">
      <c r="A68" s="100"/>
      <c r="B68" s="100"/>
      <c r="C68" s="65" t="s">
        <v>2055</v>
      </c>
      <c r="D68" s="70" t="s">
        <v>57</v>
      </c>
      <c r="E68" s="12">
        <v>44543</v>
      </c>
      <c r="F68" s="68" t="s">
        <v>59</v>
      </c>
      <c r="G68" s="12">
        <v>44548</v>
      </c>
      <c r="H68" s="69" t="s">
        <v>1631</v>
      </c>
      <c r="I68" s="15">
        <v>35</v>
      </c>
      <c r="J68" s="15">
        <v>35</v>
      </c>
      <c r="K68" s="15">
        <v>35</v>
      </c>
      <c r="L68" s="15">
        <v>8</v>
      </c>
      <c r="M68" s="73">
        <v>10.71875</v>
      </c>
      <c r="N68" s="104">
        <v>10.71875</v>
      </c>
      <c r="O68" s="57">
        <v>7000</v>
      </c>
      <c r="P68" s="58">
        <f t="shared" si="1"/>
        <v>75031.25</v>
      </c>
    </row>
    <row r="69" spans="1:16" ht="26.25" customHeight="1" x14ac:dyDescent="0.2">
      <c r="A69" s="100"/>
      <c r="B69" s="100"/>
      <c r="C69" s="65" t="s">
        <v>2056</v>
      </c>
      <c r="D69" s="70" t="s">
        <v>57</v>
      </c>
      <c r="E69" s="12">
        <v>44543</v>
      </c>
      <c r="F69" s="68" t="s">
        <v>59</v>
      </c>
      <c r="G69" s="12">
        <v>44548</v>
      </c>
      <c r="H69" s="69" t="s">
        <v>1631</v>
      </c>
      <c r="I69" s="15">
        <v>67</v>
      </c>
      <c r="J69" s="15">
        <v>70</v>
      </c>
      <c r="K69" s="15">
        <v>17</v>
      </c>
      <c r="L69" s="15">
        <v>11</v>
      </c>
      <c r="M69" s="73">
        <v>19.932500000000001</v>
      </c>
      <c r="N69" s="104">
        <v>19.932500000000001</v>
      </c>
      <c r="O69" s="57">
        <v>7000</v>
      </c>
      <c r="P69" s="58">
        <f t="shared" si="1"/>
        <v>139527.5</v>
      </c>
    </row>
    <row r="70" spans="1:16" ht="26.25" customHeight="1" x14ac:dyDescent="0.2">
      <c r="A70" s="100"/>
      <c r="B70" s="100"/>
      <c r="C70" s="65" t="s">
        <v>2057</v>
      </c>
      <c r="D70" s="70" t="s">
        <v>57</v>
      </c>
      <c r="E70" s="12">
        <v>44543</v>
      </c>
      <c r="F70" s="68" t="s">
        <v>59</v>
      </c>
      <c r="G70" s="12">
        <v>44548</v>
      </c>
      <c r="H70" s="69" t="s">
        <v>1631</v>
      </c>
      <c r="I70" s="15">
        <v>45</v>
      </c>
      <c r="J70" s="15">
        <v>38</v>
      </c>
      <c r="K70" s="15">
        <v>38</v>
      </c>
      <c r="L70" s="15">
        <v>5</v>
      </c>
      <c r="M70" s="73">
        <v>16.245000000000001</v>
      </c>
      <c r="N70" s="104">
        <v>16.245000000000001</v>
      </c>
      <c r="O70" s="57">
        <v>7000</v>
      </c>
      <c r="P70" s="58">
        <f t="shared" si="1"/>
        <v>113715</v>
      </c>
    </row>
    <row r="71" spans="1:16" ht="26.25" customHeight="1" x14ac:dyDescent="0.2">
      <c r="A71" s="100"/>
      <c r="B71" s="100"/>
      <c r="C71" s="65" t="s">
        <v>2058</v>
      </c>
      <c r="D71" s="70" t="s">
        <v>57</v>
      </c>
      <c r="E71" s="12">
        <v>44543</v>
      </c>
      <c r="F71" s="68" t="s">
        <v>59</v>
      </c>
      <c r="G71" s="12">
        <v>44548</v>
      </c>
      <c r="H71" s="69" t="s">
        <v>1631</v>
      </c>
      <c r="I71" s="15">
        <v>60</v>
      </c>
      <c r="J71" s="15">
        <v>62</v>
      </c>
      <c r="K71" s="15">
        <v>24</v>
      </c>
      <c r="L71" s="15">
        <v>12</v>
      </c>
      <c r="M71" s="73">
        <v>22.32</v>
      </c>
      <c r="N71" s="104">
        <v>23</v>
      </c>
      <c r="O71" s="57">
        <v>7000</v>
      </c>
      <c r="P71" s="58">
        <f t="shared" si="1"/>
        <v>161000</v>
      </c>
    </row>
    <row r="72" spans="1:16" ht="26.25" customHeight="1" x14ac:dyDescent="0.2">
      <c r="A72" s="100"/>
      <c r="B72" s="100"/>
      <c r="C72" s="65" t="s">
        <v>2059</v>
      </c>
      <c r="D72" s="70" t="s">
        <v>57</v>
      </c>
      <c r="E72" s="12">
        <v>44543</v>
      </c>
      <c r="F72" s="68" t="s">
        <v>59</v>
      </c>
      <c r="G72" s="12">
        <v>44548</v>
      </c>
      <c r="H72" s="69" t="s">
        <v>1631</v>
      </c>
      <c r="I72" s="15">
        <v>150</v>
      </c>
      <c r="J72" s="15">
        <v>5</v>
      </c>
      <c r="K72" s="15">
        <v>5</v>
      </c>
      <c r="L72" s="15">
        <v>11</v>
      </c>
      <c r="M72" s="73">
        <v>0.9375</v>
      </c>
      <c r="N72" s="104">
        <v>11</v>
      </c>
      <c r="O72" s="57">
        <v>7000</v>
      </c>
      <c r="P72" s="58">
        <f t="shared" si="1"/>
        <v>77000</v>
      </c>
    </row>
    <row r="73" spans="1:16" ht="26.25" customHeight="1" x14ac:dyDescent="0.2">
      <c r="A73" s="100"/>
      <c r="B73" s="100"/>
      <c r="C73" s="65" t="s">
        <v>2060</v>
      </c>
      <c r="D73" s="70" t="s">
        <v>57</v>
      </c>
      <c r="E73" s="12">
        <v>44543</v>
      </c>
      <c r="F73" s="68" t="s">
        <v>59</v>
      </c>
      <c r="G73" s="12">
        <v>44548</v>
      </c>
      <c r="H73" s="69" t="s">
        <v>1631</v>
      </c>
      <c r="I73" s="15">
        <v>105</v>
      </c>
      <c r="J73" s="15">
        <v>58</v>
      </c>
      <c r="K73" s="15">
        <v>30</v>
      </c>
      <c r="L73" s="15">
        <v>10</v>
      </c>
      <c r="M73" s="73">
        <v>45.674999999999997</v>
      </c>
      <c r="N73" s="104">
        <v>45.674999999999997</v>
      </c>
      <c r="O73" s="57">
        <v>7000</v>
      </c>
      <c r="P73" s="58">
        <f t="shared" si="1"/>
        <v>319725</v>
      </c>
    </row>
    <row r="74" spans="1:16" ht="26.25" customHeight="1" x14ac:dyDescent="0.2">
      <c r="A74" s="100"/>
      <c r="B74" s="100"/>
      <c r="C74" s="65" t="s">
        <v>2061</v>
      </c>
      <c r="D74" s="70" t="s">
        <v>57</v>
      </c>
      <c r="E74" s="12">
        <v>44543</v>
      </c>
      <c r="F74" s="68" t="s">
        <v>59</v>
      </c>
      <c r="G74" s="12">
        <v>44548</v>
      </c>
      <c r="H74" s="69" t="s">
        <v>1631</v>
      </c>
      <c r="I74" s="15">
        <v>87</v>
      </c>
      <c r="J74" s="15">
        <v>52</v>
      </c>
      <c r="K74" s="15">
        <v>35</v>
      </c>
      <c r="L74" s="15">
        <v>21</v>
      </c>
      <c r="M74" s="73">
        <v>39.585000000000001</v>
      </c>
      <c r="N74" s="104">
        <v>39.585000000000001</v>
      </c>
      <c r="O74" s="57">
        <v>7000</v>
      </c>
      <c r="P74" s="58">
        <f t="shared" si="1"/>
        <v>277095</v>
      </c>
    </row>
    <row r="75" spans="1:16" ht="26.25" customHeight="1" x14ac:dyDescent="0.2">
      <c r="A75" s="100"/>
      <c r="B75" s="100"/>
      <c r="C75" s="65" t="s">
        <v>2062</v>
      </c>
      <c r="D75" s="70" t="s">
        <v>57</v>
      </c>
      <c r="E75" s="12">
        <v>44543</v>
      </c>
      <c r="F75" s="68" t="s">
        <v>59</v>
      </c>
      <c r="G75" s="12">
        <v>44548</v>
      </c>
      <c r="H75" s="69" t="s">
        <v>1631</v>
      </c>
      <c r="I75" s="15">
        <v>87</v>
      </c>
      <c r="J75" s="15">
        <v>57</v>
      </c>
      <c r="K75" s="15">
        <v>28</v>
      </c>
      <c r="L75" s="15">
        <v>16</v>
      </c>
      <c r="M75" s="73">
        <v>34.713000000000001</v>
      </c>
      <c r="N75" s="104">
        <v>34.713000000000001</v>
      </c>
      <c r="O75" s="57">
        <v>7000</v>
      </c>
      <c r="P75" s="58">
        <f t="shared" si="1"/>
        <v>242991</v>
      </c>
    </row>
    <row r="76" spans="1:16" ht="26.25" customHeight="1" x14ac:dyDescent="0.2">
      <c r="A76" s="100"/>
      <c r="B76" s="100"/>
      <c r="C76" s="65" t="s">
        <v>2063</v>
      </c>
      <c r="D76" s="70" t="s">
        <v>57</v>
      </c>
      <c r="E76" s="12">
        <v>44543</v>
      </c>
      <c r="F76" s="68" t="s">
        <v>59</v>
      </c>
      <c r="G76" s="12">
        <v>44548</v>
      </c>
      <c r="H76" s="69" t="s">
        <v>1631</v>
      </c>
      <c r="I76" s="15">
        <v>77</v>
      </c>
      <c r="J76" s="15">
        <v>55</v>
      </c>
      <c r="K76" s="15">
        <v>20</v>
      </c>
      <c r="L76" s="15">
        <v>3</v>
      </c>
      <c r="M76" s="73">
        <v>21.175000000000001</v>
      </c>
      <c r="N76" s="104">
        <v>21.175000000000001</v>
      </c>
      <c r="O76" s="57">
        <v>7000</v>
      </c>
      <c r="P76" s="58">
        <f t="shared" si="1"/>
        <v>148225</v>
      </c>
    </row>
    <row r="77" spans="1:16" ht="26.25" customHeight="1" x14ac:dyDescent="0.2">
      <c r="A77" s="100"/>
      <c r="B77" s="100"/>
      <c r="C77" s="90" t="s">
        <v>2064</v>
      </c>
      <c r="D77" s="102" t="s">
        <v>57</v>
      </c>
      <c r="E77" s="91">
        <v>44543</v>
      </c>
      <c r="F77" s="102" t="s">
        <v>59</v>
      </c>
      <c r="G77" s="91">
        <v>44548</v>
      </c>
      <c r="H77" s="90" t="s">
        <v>1631</v>
      </c>
      <c r="I77" s="90">
        <v>67</v>
      </c>
      <c r="J77" s="90">
        <v>30</v>
      </c>
      <c r="K77" s="90">
        <v>12</v>
      </c>
      <c r="L77" s="90">
        <v>3</v>
      </c>
      <c r="M77" s="90">
        <v>6.03</v>
      </c>
      <c r="N77" s="104">
        <v>6.03</v>
      </c>
      <c r="O77" s="57">
        <v>7000</v>
      </c>
      <c r="P77" s="58">
        <f t="shared" si="1"/>
        <v>42210</v>
      </c>
    </row>
    <row r="78" spans="1:16" ht="26.25" customHeight="1" x14ac:dyDescent="0.2">
      <c r="A78" s="100"/>
      <c r="B78" s="100"/>
      <c r="C78" s="65" t="s">
        <v>2065</v>
      </c>
      <c r="D78" s="70" t="s">
        <v>57</v>
      </c>
      <c r="E78" s="12">
        <v>44543</v>
      </c>
      <c r="F78" s="68" t="s">
        <v>59</v>
      </c>
      <c r="G78" s="12">
        <v>44548</v>
      </c>
      <c r="H78" s="69" t="s">
        <v>1631</v>
      </c>
      <c r="I78" s="15">
        <v>20</v>
      </c>
      <c r="J78" s="15">
        <v>22</v>
      </c>
      <c r="K78" s="15">
        <v>10</v>
      </c>
      <c r="L78" s="15">
        <v>1</v>
      </c>
      <c r="M78" s="73">
        <v>1.1000000000000001</v>
      </c>
      <c r="N78" s="104">
        <v>1.1000000000000001</v>
      </c>
      <c r="O78" s="57">
        <v>7000</v>
      </c>
      <c r="P78" s="58">
        <f t="shared" si="1"/>
        <v>7700.0000000000009</v>
      </c>
    </row>
    <row r="79" spans="1:16" ht="26.25" customHeight="1" x14ac:dyDescent="0.2">
      <c r="A79" s="100"/>
      <c r="B79" s="100"/>
      <c r="C79" s="65" t="s">
        <v>2066</v>
      </c>
      <c r="D79" s="70" t="s">
        <v>57</v>
      </c>
      <c r="E79" s="12">
        <v>44543</v>
      </c>
      <c r="F79" s="68" t="s">
        <v>59</v>
      </c>
      <c r="G79" s="12">
        <v>44548</v>
      </c>
      <c r="H79" s="69" t="s">
        <v>1631</v>
      </c>
      <c r="I79" s="15">
        <v>126</v>
      </c>
      <c r="J79" s="15">
        <v>18</v>
      </c>
      <c r="K79" s="15">
        <v>18</v>
      </c>
      <c r="L79" s="15">
        <v>5</v>
      </c>
      <c r="M79" s="73">
        <v>10.206</v>
      </c>
      <c r="N79" s="104">
        <v>10.206</v>
      </c>
      <c r="O79" s="57">
        <v>7000</v>
      </c>
      <c r="P79" s="58">
        <f t="shared" si="1"/>
        <v>71442</v>
      </c>
    </row>
    <row r="80" spans="1:16" ht="26.25" customHeight="1" x14ac:dyDescent="0.2">
      <c r="A80" s="100"/>
      <c r="B80" s="100"/>
      <c r="C80" s="65" t="s">
        <v>2067</v>
      </c>
      <c r="D80" s="70" t="s">
        <v>57</v>
      </c>
      <c r="E80" s="12">
        <v>44543</v>
      </c>
      <c r="F80" s="68" t="s">
        <v>59</v>
      </c>
      <c r="G80" s="12">
        <v>44548</v>
      </c>
      <c r="H80" s="69" t="s">
        <v>1631</v>
      </c>
      <c r="I80" s="15">
        <v>48</v>
      </c>
      <c r="J80" s="15">
        <v>48</v>
      </c>
      <c r="K80" s="15">
        <v>26</v>
      </c>
      <c r="L80" s="15">
        <v>10</v>
      </c>
      <c r="M80" s="73">
        <v>14.976000000000001</v>
      </c>
      <c r="N80" s="104">
        <v>14.976000000000001</v>
      </c>
      <c r="O80" s="57">
        <v>7000</v>
      </c>
      <c r="P80" s="58">
        <f t="shared" si="1"/>
        <v>104832</v>
      </c>
    </row>
    <row r="81" spans="1:16" ht="26.25" customHeight="1" x14ac:dyDescent="0.2">
      <c r="A81" s="100"/>
      <c r="B81" s="100"/>
      <c r="C81" s="65" t="s">
        <v>2068</v>
      </c>
      <c r="D81" s="70" t="s">
        <v>57</v>
      </c>
      <c r="E81" s="12">
        <v>44543</v>
      </c>
      <c r="F81" s="68" t="s">
        <v>59</v>
      </c>
      <c r="G81" s="12">
        <v>44548</v>
      </c>
      <c r="H81" s="69" t="s">
        <v>1631</v>
      </c>
      <c r="I81" s="15">
        <v>78</v>
      </c>
      <c r="J81" s="15">
        <v>60</v>
      </c>
      <c r="K81" s="15">
        <v>22</v>
      </c>
      <c r="L81" s="15">
        <v>18</v>
      </c>
      <c r="M81" s="73">
        <v>25.74</v>
      </c>
      <c r="N81" s="104">
        <v>25.74</v>
      </c>
      <c r="O81" s="57">
        <v>7000</v>
      </c>
      <c r="P81" s="58">
        <f t="shared" si="1"/>
        <v>180180</v>
      </c>
    </row>
    <row r="82" spans="1:16" ht="26.25" customHeight="1" x14ac:dyDescent="0.2">
      <c r="A82" s="100"/>
      <c r="B82" s="100"/>
      <c r="C82" s="65" t="s">
        <v>2069</v>
      </c>
      <c r="D82" s="70" t="s">
        <v>57</v>
      </c>
      <c r="E82" s="12">
        <v>44543</v>
      </c>
      <c r="F82" s="68" t="s">
        <v>59</v>
      </c>
      <c r="G82" s="12">
        <v>44548</v>
      </c>
      <c r="H82" s="69" t="s">
        <v>1631</v>
      </c>
      <c r="I82" s="15">
        <v>85</v>
      </c>
      <c r="J82" s="15">
        <v>52</v>
      </c>
      <c r="K82" s="15">
        <v>32</v>
      </c>
      <c r="L82" s="15">
        <v>11</v>
      </c>
      <c r="M82" s="73">
        <v>35.36</v>
      </c>
      <c r="N82" s="104">
        <v>36</v>
      </c>
      <c r="O82" s="57">
        <v>7000</v>
      </c>
      <c r="P82" s="58">
        <f t="shared" si="1"/>
        <v>252000</v>
      </c>
    </row>
    <row r="83" spans="1:16" ht="26.25" customHeight="1" x14ac:dyDescent="0.2">
      <c r="A83" s="100"/>
      <c r="B83" s="100"/>
      <c r="C83" s="65" t="s">
        <v>2070</v>
      </c>
      <c r="D83" s="70" t="s">
        <v>57</v>
      </c>
      <c r="E83" s="12">
        <v>44543</v>
      </c>
      <c r="F83" s="68" t="s">
        <v>59</v>
      </c>
      <c r="G83" s="12">
        <v>44548</v>
      </c>
      <c r="H83" s="69" t="s">
        <v>1631</v>
      </c>
      <c r="I83" s="15">
        <v>65</v>
      </c>
      <c r="J83" s="15">
        <v>65</v>
      </c>
      <c r="K83" s="15">
        <v>17</v>
      </c>
      <c r="L83" s="15">
        <v>6</v>
      </c>
      <c r="M83" s="73">
        <v>17.956250000000001</v>
      </c>
      <c r="N83" s="104">
        <v>17.956250000000001</v>
      </c>
      <c r="O83" s="57">
        <v>7000</v>
      </c>
      <c r="P83" s="58">
        <f t="shared" si="1"/>
        <v>125693.75</v>
      </c>
    </row>
    <row r="84" spans="1:16" ht="26.25" customHeight="1" x14ac:dyDescent="0.2">
      <c r="A84" s="100"/>
      <c r="B84" s="100"/>
      <c r="C84" s="65" t="s">
        <v>2071</v>
      </c>
      <c r="D84" s="70" t="s">
        <v>57</v>
      </c>
      <c r="E84" s="12">
        <v>44543</v>
      </c>
      <c r="F84" s="68" t="s">
        <v>59</v>
      </c>
      <c r="G84" s="12">
        <v>44548</v>
      </c>
      <c r="H84" s="69" t="s">
        <v>1631</v>
      </c>
      <c r="I84" s="15">
        <v>57</v>
      </c>
      <c r="J84" s="15">
        <v>42</v>
      </c>
      <c r="K84" s="15">
        <v>37</v>
      </c>
      <c r="L84" s="15">
        <v>17</v>
      </c>
      <c r="M84" s="73">
        <v>22.144500000000001</v>
      </c>
      <c r="N84" s="104">
        <v>22.144500000000001</v>
      </c>
      <c r="O84" s="57">
        <v>7000</v>
      </c>
      <c r="P84" s="58">
        <f t="shared" si="1"/>
        <v>155011.5</v>
      </c>
    </row>
    <row r="85" spans="1:16" ht="26.25" customHeight="1" x14ac:dyDescent="0.2">
      <c r="A85" s="100"/>
      <c r="B85" s="100"/>
      <c r="C85" s="65" t="s">
        <v>2072</v>
      </c>
      <c r="D85" s="70" t="s">
        <v>57</v>
      </c>
      <c r="E85" s="12">
        <v>44543</v>
      </c>
      <c r="F85" s="68" t="s">
        <v>59</v>
      </c>
      <c r="G85" s="12">
        <v>44548</v>
      </c>
      <c r="H85" s="69" t="s">
        <v>1631</v>
      </c>
      <c r="I85" s="15">
        <v>45</v>
      </c>
      <c r="J85" s="15">
        <v>44</v>
      </c>
      <c r="K85" s="15">
        <v>47</v>
      </c>
      <c r="L85" s="15">
        <v>1</v>
      </c>
      <c r="M85" s="73">
        <v>23.265000000000001</v>
      </c>
      <c r="N85" s="104">
        <v>23.265000000000001</v>
      </c>
      <c r="O85" s="57">
        <v>7000</v>
      </c>
      <c r="P85" s="58">
        <f t="shared" si="1"/>
        <v>162855</v>
      </c>
    </row>
    <row r="86" spans="1:16" ht="26.25" customHeight="1" x14ac:dyDescent="0.2">
      <c r="A86" s="100"/>
      <c r="B86" s="100"/>
      <c r="C86" s="65" t="s">
        <v>2073</v>
      </c>
      <c r="D86" s="70" t="s">
        <v>57</v>
      </c>
      <c r="E86" s="12">
        <v>44543</v>
      </c>
      <c r="F86" s="68" t="s">
        <v>59</v>
      </c>
      <c r="G86" s="12">
        <v>44548</v>
      </c>
      <c r="H86" s="69" t="s">
        <v>1631</v>
      </c>
      <c r="I86" s="15">
        <v>50</v>
      </c>
      <c r="J86" s="15">
        <v>48</v>
      </c>
      <c r="K86" s="15">
        <v>11</v>
      </c>
      <c r="L86" s="15">
        <v>3</v>
      </c>
      <c r="M86" s="73">
        <v>6.6</v>
      </c>
      <c r="N86" s="104">
        <v>6.6</v>
      </c>
      <c r="O86" s="57">
        <v>7000</v>
      </c>
      <c r="P86" s="58">
        <f t="shared" si="1"/>
        <v>46200</v>
      </c>
    </row>
    <row r="87" spans="1:16" ht="26.25" customHeight="1" x14ac:dyDescent="0.2">
      <c r="A87" s="100"/>
      <c r="B87" s="100"/>
      <c r="C87" s="65" t="s">
        <v>2074</v>
      </c>
      <c r="D87" s="70" t="s">
        <v>57</v>
      </c>
      <c r="E87" s="12">
        <v>44543</v>
      </c>
      <c r="F87" s="68" t="s">
        <v>59</v>
      </c>
      <c r="G87" s="12">
        <v>44548</v>
      </c>
      <c r="H87" s="69" t="s">
        <v>1631</v>
      </c>
      <c r="I87" s="15">
        <v>80</v>
      </c>
      <c r="J87" s="15">
        <v>58</v>
      </c>
      <c r="K87" s="15">
        <v>24</v>
      </c>
      <c r="L87" s="15">
        <v>14</v>
      </c>
      <c r="M87" s="73">
        <v>27.84</v>
      </c>
      <c r="N87" s="104">
        <v>27.84</v>
      </c>
      <c r="O87" s="57">
        <v>7000</v>
      </c>
      <c r="P87" s="58">
        <f t="shared" si="1"/>
        <v>194880</v>
      </c>
    </row>
    <row r="88" spans="1:16" ht="26.25" customHeight="1" x14ac:dyDescent="0.2">
      <c r="A88" s="100"/>
      <c r="B88" s="100"/>
      <c r="C88" s="65" t="s">
        <v>2075</v>
      </c>
      <c r="D88" s="70" t="s">
        <v>57</v>
      </c>
      <c r="E88" s="12">
        <v>44543</v>
      </c>
      <c r="F88" s="68" t="s">
        <v>59</v>
      </c>
      <c r="G88" s="12">
        <v>44548</v>
      </c>
      <c r="H88" s="69" t="s">
        <v>1631</v>
      </c>
      <c r="I88" s="15">
        <v>42</v>
      </c>
      <c r="J88" s="15">
        <v>42</v>
      </c>
      <c r="K88" s="15">
        <v>12</v>
      </c>
      <c r="L88" s="15">
        <v>3</v>
      </c>
      <c r="M88" s="73">
        <v>5.2919999999999998</v>
      </c>
      <c r="N88" s="104">
        <v>5.2919999999999998</v>
      </c>
      <c r="O88" s="57">
        <v>7000</v>
      </c>
      <c r="P88" s="58">
        <f t="shared" si="1"/>
        <v>37044</v>
      </c>
    </row>
    <row r="89" spans="1:16" ht="26.25" customHeight="1" x14ac:dyDescent="0.2">
      <c r="A89" s="100"/>
      <c r="B89" s="100"/>
      <c r="C89" s="65" t="s">
        <v>2076</v>
      </c>
      <c r="D89" s="70" t="s">
        <v>57</v>
      </c>
      <c r="E89" s="12">
        <v>44543</v>
      </c>
      <c r="F89" s="68" t="s">
        <v>59</v>
      </c>
      <c r="G89" s="12">
        <v>44548</v>
      </c>
      <c r="H89" s="69" t="s">
        <v>1631</v>
      </c>
      <c r="I89" s="15">
        <v>94</v>
      </c>
      <c r="J89" s="15">
        <v>38</v>
      </c>
      <c r="K89" s="15">
        <v>30</v>
      </c>
      <c r="L89" s="15">
        <v>34</v>
      </c>
      <c r="M89" s="73">
        <v>26.79</v>
      </c>
      <c r="N89" s="104">
        <v>34</v>
      </c>
      <c r="O89" s="57">
        <v>7000</v>
      </c>
      <c r="P89" s="58">
        <f t="shared" si="1"/>
        <v>238000</v>
      </c>
    </row>
    <row r="90" spans="1:16" ht="26.25" customHeight="1" x14ac:dyDescent="0.2">
      <c r="A90" s="100"/>
      <c r="B90" s="100"/>
      <c r="C90" s="65" t="s">
        <v>2077</v>
      </c>
      <c r="D90" s="70" t="s">
        <v>57</v>
      </c>
      <c r="E90" s="12">
        <v>44543</v>
      </c>
      <c r="F90" s="68" t="s">
        <v>59</v>
      </c>
      <c r="G90" s="12">
        <v>44548</v>
      </c>
      <c r="H90" s="69" t="s">
        <v>1631</v>
      </c>
      <c r="I90" s="15">
        <v>45</v>
      </c>
      <c r="J90" s="15">
        <v>32</v>
      </c>
      <c r="K90" s="15">
        <v>20</v>
      </c>
      <c r="L90" s="15">
        <v>12</v>
      </c>
      <c r="M90" s="73">
        <v>7.2</v>
      </c>
      <c r="N90" s="104">
        <v>12</v>
      </c>
      <c r="O90" s="57">
        <v>7000</v>
      </c>
      <c r="P90" s="58">
        <f t="shared" si="1"/>
        <v>84000</v>
      </c>
    </row>
    <row r="91" spans="1:16" ht="26.25" customHeight="1" x14ac:dyDescent="0.2">
      <c r="A91" s="100"/>
      <c r="B91" s="100"/>
      <c r="C91" s="65" t="s">
        <v>2078</v>
      </c>
      <c r="D91" s="70" t="s">
        <v>57</v>
      </c>
      <c r="E91" s="12">
        <v>44543</v>
      </c>
      <c r="F91" s="68" t="s">
        <v>59</v>
      </c>
      <c r="G91" s="12">
        <v>44548</v>
      </c>
      <c r="H91" s="69" t="s">
        <v>1631</v>
      </c>
      <c r="I91" s="15">
        <v>57</v>
      </c>
      <c r="J91" s="15">
        <v>28</v>
      </c>
      <c r="K91" s="15">
        <v>40</v>
      </c>
      <c r="L91" s="15">
        <v>10</v>
      </c>
      <c r="M91" s="73">
        <v>15.96</v>
      </c>
      <c r="N91" s="104">
        <v>15.96</v>
      </c>
      <c r="O91" s="57">
        <v>7000</v>
      </c>
      <c r="P91" s="58">
        <f t="shared" si="1"/>
        <v>111720</v>
      </c>
    </row>
    <row r="92" spans="1:16" ht="26.25" customHeight="1" x14ac:dyDescent="0.2">
      <c r="A92" s="100"/>
      <c r="B92" s="100"/>
      <c r="C92" s="65" t="s">
        <v>2079</v>
      </c>
      <c r="D92" s="70" t="s">
        <v>57</v>
      </c>
      <c r="E92" s="12">
        <v>44543</v>
      </c>
      <c r="F92" s="68" t="s">
        <v>59</v>
      </c>
      <c r="G92" s="12">
        <v>44548</v>
      </c>
      <c r="H92" s="69" t="s">
        <v>1631</v>
      </c>
      <c r="I92" s="15">
        <v>35</v>
      </c>
      <c r="J92" s="15">
        <v>35</v>
      </c>
      <c r="K92" s="15">
        <v>35</v>
      </c>
      <c r="L92" s="15">
        <v>6</v>
      </c>
      <c r="M92" s="73">
        <v>10.71875</v>
      </c>
      <c r="N92" s="104">
        <v>10.71875</v>
      </c>
      <c r="O92" s="57">
        <v>7000</v>
      </c>
      <c r="P92" s="58">
        <f t="shared" si="1"/>
        <v>75031.25</v>
      </c>
    </row>
    <row r="93" spans="1:16" ht="26.25" customHeight="1" x14ac:dyDescent="0.2">
      <c r="A93" s="100"/>
      <c r="B93" s="100"/>
      <c r="C93" s="65" t="s">
        <v>2080</v>
      </c>
      <c r="D93" s="70" t="s">
        <v>57</v>
      </c>
      <c r="E93" s="12">
        <v>44543</v>
      </c>
      <c r="F93" s="68" t="s">
        <v>59</v>
      </c>
      <c r="G93" s="12">
        <v>44548</v>
      </c>
      <c r="H93" s="69" t="s">
        <v>1631</v>
      </c>
      <c r="I93" s="15">
        <v>110</v>
      </c>
      <c r="J93" s="15">
        <v>80</v>
      </c>
      <c r="K93" s="15">
        <v>10</v>
      </c>
      <c r="L93" s="15">
        <v>13</v>
      </c>
      <c r="M93" s="73">
        <v>22</v>
      </c>
      <c r="N93" s="104">
        <v>22</v>
      </c>
      <c r="O93" s="57">
        <v>7000</v>
      </c>
      <c r="P93" s="58">
        <f t="shared" si="1"/>
        <v>154000</v>
      </c>
    </row>
    <row r="94" spans="1:16" ht="26.25" customHeight="1" x14ac:dyDescent="0.2">
      <c r="A94" s="100"/>
      <c r="B94" s="100"/>
      <c r="C94" s="65" t="s">
        <v>2081</v>
      </c>
      <c r="D94" s="70" t="s">
        <v>57</v>
      </c>
      <c r="E94" s="12">
        <v>44543</v>
      </c>
      <c r="F94" s="68" t="s">
        <v>59</v>
      </c>
      <c r="G94" s="12">
        <v>44548</v>
      </c>
      <c r="H94" s="69" t="s">
        <v>1631</v>
      </c>
      <c r="I94" s="15">
        <v>80</v>
      </c>
      <c r="J94" s="15">
        <v>55</v>
      </c>
      <c r="K94" s="15">
        <v>22</v>
      </c>
      <c r="L94" s="15">
        <v>9</v>
      </c>
      <c r="M94" s="73">
        <v>24.2</v>
      </c>
      <c r="N94" s="104">
        <v>24.2</v>
      </c>
      <c r="O94" s="57">
        <v>7000</v>
      </c>
      <c r="P94" s="58">
        <f t="shared" si="1"/>
        <v>169400</v>
      </c>
    </row>
    <row r="95" spans="1:16" ht="26.25" customHeight="1" x14ac:dyDescent="0.2">
      <c r="A95" s="100"/>
      <c r="B95" s="100"/>
      <c r="C95" s="65" t="s">
        <v>2082</v>
      </c>
      <c r="D95" s="70" t="s">
        <v>57</v>
      </c>
      <c r="E95" s="12">
        <v>44543</v>
      </c>
      <c r="F95" s="68" t="s">
        <v>59</v>
      </c>
      <c r="G95" s="12">
        <v>44548</v>
      </c>
      <c r="H95" s="69" t="s">
        <v>1631</v>
      </c>
      <c r="I95" s="15">
        <v>72</v>
      </c>
      <c r="J95" s="15">
        <v>68</v>
      </c>
      <c r="K95" s="15">
        <v>21</v>
      </c>
      <c r="L95" s="15">
        <v>8</v>
      </c>
      <c r="M95" s="73">
        <v>25.704000000000001</v>
      </c>
      <c r="N95" s="104">
        <v>25.704000000000001</v>
      </c>
      <c r="O95" s="57">
        <v>7000</v>
      </c>
      <c r="P95" s="58">
        <f t="shared" si="1"/>
        <v>179928</v>
      </c>
    </row>
    <row r="96" spans="1:16" ht="26.25" customHeight="1" x14ac:dyDescent="0.2">
      <c r="A96" s="100"/>
      <c r="B96" s="100"/>
      <c r="C96" s="65" t="s">
        <v>2083</v>
      </c>
      <c r="D96" s="70" t="s">
        <v>57</v>
      </c>
      <c r="E96" s="12">
        <v>44543</v>
      </c>
      <c r="F96" s="68" t="s">
        <v>59</v>
      </c>
      <c r="G96" s="12">
        <v>44548</v>
      </c>
      <c r="H96" s="69" t="s">
        <v>1631</v>
      </c>
      <c r="I96" s="15">
        <v>87</v>
      </c>
      <c r="J96" s="15">
        <v>63</v>
      </c>
      <c r="K96" s="15">
        <v>27</v>
      </c>
      <c r="L96" s="15">
        <v>21</v>
      </c>
      <c r="M96" s="73">
        <v>36.996749999999999</v>
      </c>
      <c r="N96" s="104">
        <v>36.996749999999999</v>
      </c>
      <c r="O96" s="57">
        <v>7000</v>
      </c>
      <c r="P96" s="58">
        <f t="shared" si="1"/>
        <v>258977.25</v>
      </c>
    </row>
    <row r="97" spans="1:16" ht="26.25" customHeight="1" x14ac:dyDescent="0.2">
      <c r="A97" s="100"/>
      <c r="B97" s="100"/>
      <c r="C97" s="65" t="s">
        <v>2084</v>
      </c>
      <c r="D97" s="70" t="s">
        <v>57</v>
      </c>
      <c r="E97" s="12">
        <v>44543</v>
      </c>
      <c r="F97" s="68" t="s">
        <v>59</v>
      </c>
      <c r="G97" s="12">
        <v>44548</v>
      </c>
      <c r="H97" s="69" t="s">
        <v>1631</v>
      </c>
      <c r="I97" s="15">
        <v>62</v>
      </c>
      <c r="J97" s="15">
        <v>67</v>
      </c>
      <c r="K97" s="15">
        <v>20</v>
      </c>
      <c r="L97" s="15">
        <v>13</v>
      </c>
      <c r="M97" s="73">
        <v>20.77</v>
      </c>
      <c r="N97" s="104">
        <v>20.77</v>
      </c>
      <c r="O97" s="57">
        <v>7000</v>
      </c>
      <c r="P97" s="58">
        <f t="shared" si="1"/>
        <v>145390</v>
      </c>
    </row>
    <row r="98" spans="1:16" ht="26.25" customHeight="1" x14ac:dyDescent="0.2">
      <c r="A98" s="100"/>
      <c r="B98" s="100"/>
      <c r="C98" s="65" t="s">
        <v>2085</v>
      </c>
      <c r="D98" s="70" t="s">
        <v>57</v>
      </c>
      <c r="E98" s="12">
        <v>44543</v>
      </c>
      <c r="F98" s="68" t="s">
        <v>59</v>
      </c>
      <c r="G98" s="12">
        <v>44548</v>
      </c>
      <c r="H98" s="69" t="s">
        <v>1631</v>
      </c>
      <c r="I98" s="15">
        <v>102</v>
      </c>
      <c r="J98" s="15">
        <v>50</v>
      </c>
      <c r="K98" s="15">
        <v>37</v>
      </c>
      <c r="L98" s="15">
        <v>40</v>
      </c>
      <c r="M98" s="73">
        <v>47.174999999999997</v>
      </c>
      <c r="N98" s="104">
        <v>47.174999999999997</v>
      </c>
      <c r="O98" s="57">
        <v>7000</v>
      </c>
      <c r="P98" s="58">
        <f t="shared" si="1"/>
        <v>330225</v>
      </c>
    </row>
    <row r="99" spans="1:16" ht="26.25" customHeight="1" x14ac:dyDescent="0.2">
      <c r="A99" s="100"/>
      <c r="B99" s="100"/>
      <c r="C99" s="65" t="s">
        <v>2086</v>
      </c>
      <c r="D99" s="70" t="s">
        <v>57</v>
      </c>
      <c r="E99" s="12">
        <v>44543</v>
      </c>
      <c r="F99" s="68" t="s">
        <v>59</v>
      </c>
      <c r="G99" s="12">
        <v>44548</v>
      </c>
      <c r="H99" s="69" t="s">
        <v>1631</v>
      </c>
      <c r="I99" s="15">
        <v>38</v>
      </c>
      <c r="J99" s="15">
        <v>28</v>
      </c>
      <c r="K99" s="15">
        <v>18</v>
      </c>
      <c r="L99" s="15">
        <v>10</v>
      </c>
      <c r="M99" s="73">
        <v>4.7880000000000003</v>
      </c>
      <c r="N99" s="104">
        <v>10</v>
      </c>
      <c r="O99" s="57">
        <v>7000</v>
      </c>
      <c r="P99" s="58">
        <f t="shared" si="1"/>
        <v>70000</v>
      </c>
    </row>
    <row r="100" spans="1:16" ht="26.25" customHeight="1" x14ac:dyDescent="0.2">
      <c r="A100" s="100"/>
      <c r="B100" s="100"/>
      <c r="C100" s="65" t="s">
        <v>2087</v>
      </c>
      <c r="D100" s="70" t="s">
        <v>57</v>
      </c>
      <c r="E100" s="12">
        <v>44543</v>
      </c>
      <c r="F100" s="68" t="s">
        <v>59</v>
      </c>
      <c r="G100" s="12">
        <v>44548</v>
      </c>
      <c r="H100" s="69" t="s">
        <v>1631</v>
      </c>
      <c r="I100" s="15">
        <v>96</v>
      </c>
      <c r="J100" s="15">
        <v>47</v>
      </c>
      <c r="K100" s="15">
        <v>47</v>
      </c>
      <c r="L100" s="15">
        <v>27</v>
      </c>
      <c r="M100" s="73">
        <v>53.015999999999998</v>
      </c>
      <c r="N100" s="104">
        <v>53.015999999999998</v>
      </c>
      <c r="O100" s="57">
        <v>7000</v>
      </c>
      <c r="P100" s="58">
        <f t="shared" si="1"/>
        <v>371112</v>
      </c>
    </row>
    <row r="101" spans="1:16" ht="26.25" customHeight="1" x14ac:dyDescent="0.2">
      <c r="A101" s="100"/>
      <c r="B101" s="100"/>
      <c r="C101" s="65" t="s">
        <v>2088</v>
      </c>
      <c r="D101" s="70" t="s">
        <v>57</v>
      </c>
      <c r="E101" s="12">
        <v>44543</v>
      </c>
      <c r="F101" s="68" t="s">
        <v>59</v>
      </c>
      <c r="G101" s="12">
        <v>44548</v>
      </c>
      <c r="H101" s="69" t="s">
        <v>1631</v>
      </c>
      <c r="I101" s="15">
        <v>25</v>
      </c>
      <c r="J101" s="15">
        <v>23</v>
      </c>
      <c r="K101" s="15">
        <v>13</v>
      </c>
      <c r="L101" s="15">
        <v>2</v>
      </c>
      <c r="M101" s="73">
        <v>1.8687499999999999</v>
      </c>
      <c r="N101" s="104">
        <v>2</v>
      </c>
      <c r="O101" s="57">
        <v>7000</v>
      </c>
      <c r="P101" s="58">
        <f t="shared" si="1"/>
        <v>14000</v>
      </c>
    </row>
    <row r="102" spans="1:16" ht="26.25" customHeight="1" x14ac:dyDescent="0.2">
      <c r="A102" s="100"/>
      <c r="B102" s="100"/>
      <c r="C102" s="65" t="s">
        <v>2089</v>
      </c>
      <c r="D102" s="70" t="s">
        <v>57</v>
      </c>
      <c r="E102" s="12">
        <v>44543</v>
      </c>
      <c r="F102" s="68" t="s">
        <v>59</v>
      </c>
      <c r="G102" s="12">
        <v>44548</v>
      </c>
      <c r="H102" s="69" t="s">
        <v>1631</v>
      </c>
      <c r="I102" s="15">
        <v>50</v>
      </c>
      <c r="J102" s="15">
        <v>39</v>
      </c>
      <c r="K102" s="15">
        <v>12</v>
      </c>
      <c r="L102" s="15">
        <v>3</v>
      </c>
      <c r="M102" s="73">
        <v>5.85</v>
      </c>
      <c r="N102" s="104">
        <v>5.85</v>
      </c>
      <c r="O102" s="57">
        <v>7000</v>
      </c>
      <c r="P102" s="58">
        <f t="shared" si="1"/>
        <v>40950</v>
      </c>
    </row>
    <row r="103" spans="1:16" ht="26.25" customHeight="1" x14ac:dyDescent="0.2">
      <c r="A103" s="100"/>
      <c r="B103" s="100"/>
      <c r="C103" s="65" t="s">
        <v>2090</v>
      </c>
      <c r="D103" s="70" t="s">
        <v>57</v>
      </c>
      <c r="E103" s="12">
        <v>44543</v>
      </c>
      <c r="F103" s="68" t="s">
        <v>59</v>
      </c>
      <c r="G103" s="12">
        <v>44548</v>
      </c>
      <c r="H103" s="69" t="s">
        <v>1631</v>
      </c>
      <c r="I103" s="15">
        <v>31</v>
      </c>
      <c r="J103" s="15">
        <v>31</v>
      </c>
      <c r="K103" s="15">
        <v>25</v>
      </c>
      <c r="L103" s="15">
        <v>1</v>
      </c>
      <c r="M103" s="73">
        <v>6.0062499999999996</v>
      </c>
      <c r="N103" s="104">
        <v>6.0062499999999996</v>
      </c>
      <c r="O103" s="57">
        <v>7000</v>
      </c>
      <c r="P103" s="58">
        <f t="shared" si="1"/>
        <v>42043.75</v>
      </c>
    </row>
    <row r="104" spans="1:16" ht="26.25" customHeight="1" x14ac:dyDescent="0.2">
      <c r="A104" s="100"/>
      <c r="B104" s="100"/>
      <c r="C104" s="65" t="s">
        <v>2091</v>
      </c>
      <c r="D104" s="70" t="s">
        <v>57</v>
      </c>
      <c r="E104" s="12">
        <v>44543</v>
      </c>
      <c r="F104" s="68" t="s">
        <v>59</v>
      </c>
      <c r="G104" s="12">
        <v>44548</v>
      </c>
      <c r="H104" s="69" t="s">
        <v>1631</v>
      </c>
      <c r="I104" s="15">
        <v>54</v>
      </c>
      <c r="J104" s="15">
        <v>44</v>
      </c>
      <c r="K104" s="15">
        <v>27</v>
      </c>
      <c r="L104" s="15">
        <v>10</v>
      </c>
      <c r="M104" s="73">
        <v>16.038</v>
      </c>
      <c r="N104" s="104">
        <v>16.038</v>
      </c>
      <c r="O104" s="57">
        <v>7000</v>
      </c>
      <c r="P104" s="58">
        <f t="shared" si="1"/>
        <v>112266</v>
      </c>
    </row>
    <row r="105" spans="1:16" ht="26.25" customHeight="1" x14ac:dyDescent="0.2">
      <c r="A105" s="100"/>
      <c r="B105" s="100"/>
      <c r="C105" s="65" t="s">
        <v>2092</v>
      </c>
      <c r="D105" s="70" t="s">
        <v>57</v>
      </c>
      <c r="E105" s="12">
        <v>44543</v>
      </c>
      <c r="F105" s="68" t="s">
        <v>59</v>
      </c>
      <c r="G105" s="12">
        <v>44548</v>
      </c>
      <c r="H105" s="69" t="s">
        <v>1631</v>
      </c>
      <c r="I105" s="15">
        <v>53</v>
      </c>
      <c r="J105" s="15">
        <v>43</v>
      </c>
      <c r="K105" s="15">
        <v>20</v>
      </c>
      <c r="L105" s="15">
        <v>17</v>
      </c>
      <c r="M105" s="73">
        <v>11.395</v>
      </c>
      <c r="N105" s="104">
        <v>18</v>
      </c>
      <c r="O105" s="57">
        <v>7000</v>
      </c>
      <c r="P105" s="58">
        <f t="shared" si="1"/>
        <v>126000</v>
      </c>
    </row>
    <row r="106" spans="1:16" ht="26.25" customHeight="1" x14ac:dyDescent="0.2">
      <c r="A106" s="100"/>
      <c r="B106" s="101"/>
      <c r="C106" s="65" t="s">
        <v>2093</v>
      </c>
      <c r="D106" s="70" t="s">
        <v>57</v>
      </c>
      <c r="E106" s="12">
        <v>44543</v>
      </c>
      <c r="F106" s="68" t="s">
        <v>59</v>
      </c>
      <c r="G106" s="12">
        <v>44548</v>
      </c>
      <c r="H106" s="69" t="s">
        <v>1631</v>
      </c>
      <c r="I106" s="15">
        <v>47</v>
      </c>
      <c r="J106" s="15">
        <v>62</v>
      </c>
      <c r="K106" s="15">
        <v>18</v>
      </c>
      <c r="L106" s="15">
        <v>5</v>
      </c>
      <c r="M106" s="73">
        <v>13.113</v>
      </c>
      <c r="N106" s="104">
        <v>13.113</v>
      </c>
      <c r="O106" s="57">
        <v>7000</v>
      </c>
      <c r="P106" s="58">
        <f t="shared" si="1"/>
        <v>91791</v>
      </c>
    </row>
    <row r="107" spans="1:16" ht="26.25" customHeight="1" x14ac:dyDescent="0.2">
      <c r="A107" s="100"/>
      <c r="B107" s="90" t="s">
        <v>2094</v>
      </c>
      <c r="C107" s="90" t="s">
        <v>2095</v>
      </c>
      <c r="D107" s="102" t="s">
        <v>57</v>
      </c>
      <c r="E107" s="91">
        <v>44543</v>
      </c>
      <c r="F107" s="102" t="s">
        <v>59</v>
      </c>
      <c r="G107" s="91">
        <v>44548</v>
      </c>
      <c r="H107" s="90" t="s">
        <v>1631</v>
      </c>
      <c r="I107" s="90">
        <v>34</v>
      </c>
      <c r="J107" s="90">
        <v>22</v>
      </c>
      <c r="K107" s="90">
        <v>28</v>
      </c>
      <c r="L107" s="90">
        <v>3</v>
      </c>
      <c r="M107" s="90">
        <v>5.2359999999999998</v>
      </c>
      <c r="N107" s="104">
        <v>5.2359999999999998</v>
      </c>
      <c r="O107" s="57">
        <v>7000</v>
      </c>
      <c r="P107" s="58">
        <f t="shared" si="1"/>
        <v>36652</v>
      </c>
    </row>
    <row r="108" spans="1:16" ht="26.25" customHeight="1" x14ac:dyDescent="0.2">
      <c r="A108" s="100"/>
      <c r="B108" s="100" t="s">
        <v>2096</v>
      </c>
      <c r="C108" s="90" t="s">
        <v>2097</v>
      </c>
      <c r="D108" s="102" t="s">
        <v>57</v>
      </c>
      <c r="E108" s="91">
        <v>44543</v>
      </c>
      <c r="F108" s="102" t="s">
        <v>59</v>
      </c>
      <c r="G108" s="91">
        <v>44548</v>
      </c>
      <c r="H108" s="90" t="s">
        <v>1631</v>
      </c>
      <c r="I108" s="90">
        <v>44</v>
      </c>
      <c r="J108" s="90">
        <v>28</v>
      </c>
      <c r="K108" s="90">
        <v>27</v>
      </c>
      <c r="L108" s="90">
        <v>5</v>
      </c>
      <c r="M108" s="90">
        <v>8.3160000000000007</v>
      </c>
      <c r="N108" s="104">
        <v>9</v>
      </c>
      <c r="O108" s="57">
        <v>7000</v>
      </c>
      <c r="P108" s="58">
        <f t="shared" si="1"/>
        <v>63000</v>
      </c>
    </row>
    <row r="109" spans="1:16" ht="26.25" customHeight="1" x14ac:dyDescent="0.2">
      <c r="A109" s="100"/>
      <c r="B109" s="100"/>
      <c r="C109" s="90" t="s">
        <v>2098</v>
      </c>
      <c r="D109" s="102" t="s">
        <v>57</v>
      </c>
      <c r="E109" s="91">
        <v>44543</v>
      </c>
      <c r="F109" s="102" t="s">
        <v>59</v>
      </c>
      <c r="G109" s="91">
        <v>44548</v>
      </c>
      <c r="H109" s="90" t="s">
        <v>1631</v>
      </c>
      <c r="I109" s="90">
        <v>44</v>
      </c>
      <c r="J109" s="90">
        <v>40</v>
      </c>
      <c r="K109" s="90">
        <v>11</v>
      </c>
      <c r="L109" s="90">
        <v>2</v>
      </c>
      <c r="M109" s="90">
        <v>4.84</v>
      </c>
      <c r="N109" s="104">
        <v>4.84</v>
      </c>
      <c r="O109" s="57">
        <v>7000</v>
      </c>
      <c r="P109" s="58">
        <f t="shared" si="1"/>
        <v>33880</v>
      </c>
    </row>
    <row r="110" spans="1:16" ht="26.25" customHeight="1" x14ac:dyDescent="0.2">
      <c r="A110" s="100"/>
      <c r="B110" s="100"/>
      <c r="C110" s="90" t="s">
        <v>2099</v>
      </c>
      <c r="D110" s="102" t="s">
        <v>57</v>
      </c>
      <c r="E110" s="91">
        <v>44543</v>
      </c>
      <c r="F110" s="102" t="s">
        <v>59</v>
      </c>
      <c r="G110" s="91">
        <v>44548</v>
      </c>
      <c r="H110" s="90" t="s">
        <v>1631</v>
      </c>
      <c r="I110" s="90">
        <v>68</v>
      </c>
      <c r="J110" s="90">
        <v>44</v>
      </c>
      <c r="K110" s="90">
        <v>37</v>
      </c>
      <c r="L110" s="90">
        <v>16</v>
      </c>
      <c r="M110" s="90">
        <v>27.675999999999998</v>
      </c>
      <c r="N110" s="104">
        <v>27.675999999999998</v>
      </c>
      <c r="O110" s="57">
        <v>7000</v>
      </c>
      <c r="P110" s="58">
        <f t="shared" si="1"/>
        <v>193732</v>
      </c>
    </row>
    <row r="111" spans="1:16" ht="26.25" customHeight="1" x14ac:dyDescent="0.2">
      <c r="A111" s="100"/>
      <c r="B111" s="100"/>
      <c r="C111" s="90" t="s">
        <v>2100</v>
      </c>
      <c r="D111" s="102" t="s">
        <v>57</v>
      </c>
      <c r="E111" s="91">
        <v>44543</v>
      </c>
      <c r="F111" s="102" t="s">
        <v>59</v>
      </c>
      <c r="G111" s="91">
        <v>44548</v>
      </c>
      <c r="H111" s="90" t="s">
        <v>1631</v>
      </c>
      <c r="I111" s="90">
        <v>30</v>
      </c>
      <c r="J111" s="90">
        <v>21</v>
      </c>
      <c r="K111" s="90">
        <v>11</v>
      </c>
      <c r="L111" s="90">
        <v>1</v>
      </c>
      <c r="M111" s="90">
        <v>1.7324999999999999</v>
      </c>
      <c r="N111" s="104">
        <v>1.7324999999999999</v>
      </c>
      <c r="O111" s="57">
        <v>7000</v>
      </c>
      <c r="P111" s="58">
        <f t="shared" si="1"/>
        <v>12127.5</v>
      </c>
    </row>
    <row r="112" spans="1:16" ht="26.25" customHeight="1" x14ac:dyDescent="0.2">
      <c r="A112" s="100"/>
      <c r="B112" s="100"/>
      <c r="C112" s="90" t="s">
        <v>2101</v>
      </c>
      <c r="D112" s="102" t="s">
        <v>57</v>
      </c>
      <c r="E112" s="91">
        <v>44543</v>
      </c>
      <c r="F112" s="102" t="s">
        <v>59</v>
      </c>
      <c r="G112" s="91">
        <v>44548</v>
      </c>
      <c r="H112" s="90" t="s">
        <v>1631</v>
      </c>
      <c r="I112" s="90">
        <v>50</v>
      </c>
      <c r="J112" s="90">
        <v>50</v>
      </c>
      <c r="K112" s="90">
        <v>30</v>
      </c>
      <c r="L112" s="90">
        <v>3</v>
      </c>
      <c r="M112" s="90">
        <v>18.75</v>
      </c>
      <c r="N112" s="104">
        <v>18.75</v>
      </c>
      <c r="O112" s="57">
        <v>7000</v>
      </c>
      <c r="P112" s="58">
        <f t="shared" si="1"/>
        <v>131250</v>
      </c>
    </row>
    <row r="113" spans="1:16" ht="22.5" customHeight="1" x14ac:dyDescent="0.2">
      <c r="A113" s="159" t="s">
        <v>30</v>
      </c>
      <c r="B113" s="160"/>
      <c r="C113" s="160"/>
      <c r="D113" s="160"/>
      <c r="E113" s="160"/>
      <c r="F113" s="160"/>
      <c r="G113" s="160"/>
      <c r="H113" s="160"/>
      <c r="I113" s="160"/>
      <c r="J113" s="160"/>
      <c r="K113" s="160"/>
      <c r="L113" s="161"/>
      <c r="M113" s="71">
        <f>SUBTOTAL(109,Table2245789101123456789101112131415161718192021222324252627282930313233343537[KG VOLUME])</f>
        <v>2095.3259999999996</v>
      </c>
      <c r="N113" s="61">
        <f>SUM(N3:N112)</f>
        <v>2152.0552499999994</v>
      </c>
      <c r="O113" s="162">
        <f>SUM(P3:P112)</f>
        <v>15064386.75</v>
      </c>
      <c r="P113" s="163"/>
    </row>
    <row r="114" spans="1:16" ht="18" customHeight="1" x14ac:dyDescent="0.2">
      <c r="A114" s="78"/>
      <c r="B114" s="49" t="s">
        <v>42</v>
      </c>
      <c r="C114" s="48"/>
      <c r="D114" s="50" t="s">
        <v>43</v>
      </c>
      <c r="E114" s="78"/>
      <c r="F114" s="78"/>
      <c r="G114" s="78"/>
      <c r="H114" s="78"/>
      <c r="I114" s="78"/>
      <c r="J114" s="78"/>
      <c r="K114" s="78"/>
      <c r="L114" s="78"/>
      <c r="M114" s="79"/>
      <c r="N114" s="80" t="s">
        <v>52</v>
      </c>
      <c r="O114" s="81"/>
      <c r="P114" s="81">
        <v>0</v>
      </c>
    </row>
    <row r="115" spans="1:16" ht="18" customHeight="1" thickBot="1" x14ac:dyDescent="0.25">
      <c r="A115" s="78"/>
      <c r="B115" s="49"/>
      <c r="C115" s="48"/>
      <c r="D115" s="50"/>
      <c r="E115" s="78"/>
      <c r="F115" s="78"/>
      <c r="G115" s="78"/>
      <c r="H115" s="78"/>
      <c r="I115" s="78"/>
      <c r="J115" s="78"/>
      <c r="K115" s="78"/>
      <c r="L115" s="78"/>
      <c r="M115" s="79"/>
      <c r="N115" s="82" t="s">
        <v>53</v>
      </c>
      <c r="O115" s="83"/>
      <c r="P115" s="83">
        <f>O113-P114</f>
        <v>15064386.75</v>
      </c>
    </row>
    <row r="116" spans="1:16" ht="18" customHeight="1" x14ac:dyDescent="0.2">
      <c r="A116" s="10"/>
      <c r="H116" s="56"/>
      <c r="N116" s="55" t="s">
        <v>31</v>
      </c>
      <c r="P116" s="62">
        <f>P115*1%</f>
        <v>150643.86749999999</v>
      </c>
    </row>
    <row r="117" spans="1:16" ht="18" customHeight="1" thickBot="1" x14ac:dyDescent="0.25">
      <c r="A117" s="10"/>
      <c r="H117" s="56"/>
      <c r="N117" s="55" t="s">
        <v>54</v>
      </c>
      <c r="P117" s="64">
        <f>P115*2%</f>
        <v>301287.73499999999</v>
      </c>
    </row>
    <row r="118" spans="1:16" ht="18" customHeight="1" x14ac:dyDescent="0.2">
      <c r="A118" s="10"/>
      <c r="H118" s="56"/>
      <c r="N118" s="59" t="s">
        <v>32</v>
      </c>
      <c r="O118" s="60"/>
      <c r="P118" s="63">
        <f>P115+P116-P117</f>
        <v>14913742.8825</v>
      </c>
    </row>
    <row r="120" spans="1:16" x14ac:dyDescent="0.2">
      <c r="A120" s="10"/>
      <c r="H120" s="56"/>
      <c r="P120" s="64"/>
    </row>
    <row r="121" spans="1:16" x14ac:dyDescent="0.2">
      <c r="A121" s="10"/>
      <c r="H121" s="56"/>
      <c r="O121" s="51"/>
      <c r="P121" s="64"/>
    </row>
    <row r="122" spans="1:16" s="3" customFormat="1" x14ac:dyDescent="0.25">
      <c r="A122" s="10"/>
      <c r="B122" s="2"/>
      <c r="C122" s="2"/>
      <c r="E122" s="11"/>
      <c r="H122" s="56"/>
      <c r="N122" s="14"/>
      <c r="O122" s="14"/>
      <c r="P122" s="14"/>
    </row>
    <row r="123" spans="1:16" s="3" customFormat="1" x14ac:dyDescent="0.25">
      <c r="A123" s="10"/>
      <c r="B123" s="2"/>
      <c r="C123" s="2"/>
      <c r="E123" s="11"/>
      <c r="H123" s="56"/>
      <c r="N123" s="14"/>
      <c r="O123" s="14"/>
      <c r="P123" s="14"/>
    </row>
    <row r="124" spans="1:16" s="3" customFormat="1" x14ac:dyDescent="0.25">
      <c r="A124" s="10"/>
      <c r="B124" s="2"/>
      <c r="C124" s="2"/>
      <c r="E124" s="11"/>
      <c r="H124" s="56"/>
      <c r="N124" s="14"/>
      <c r="O124" s="14"/>
      <c r="P124" s="14"/>
    </row>
    <row r="125" spans="1:16" s="3" customFormat="1" x14ac:dyDescent="0.25">
      <c r="A125" s="10"/>
      <c r="B125" s="2"/>
      <c r="C125" s="2"/>
      <c r="E125" s="11"/>
      <c r="H125" s="56"/>
      <c r="N125" s="14"/>
      <c r="O125" s="14"/>
      <c r="P125" s="14"/>
    </row>
    <row r="126" spans="1:16" s="3" customFormat="1" x14ac:dyDescent="0.25">
      <c r="A126" s="10"/>
      <c r="B126" s="2"/>
      <c r="C126" s="2"/>
      <c r="E126" s="11"/>
      <c r="H126" s="56"/>
      <c r="N126" s="14"/>
      <c r="O126" s="14"/>
      <c r="P126" s="14"/>
    </row>
    <row r="127" spans="1:16" s="3" customFormat="1" x14ac:dyDescent="0.25">
      <c r="A127" s="10"/>
      <c r="B127" s="2"/>
      <c r="C127" s="2"/>
      <c r="E127" s="11"/>
      <c r="H127" s="56"/>
      <c r="N127" s="14"/>
      <c r="O127" s="14"/>
      <c r="P127" s="14"/>
    </row>
    <row r="128" spans="1:16" s="3" customFormat="1" x14ac:dyDescent="0.25">
      <c r="A128" s="10"/>
      <c r="B128" s="2"/>
      <c r="C128" s="2"/>
      <c r="E128" s="11"/>
      <c r="H128" s="56"/>
      <c r="N128" s="14"/>
      <c r="O128" s="14"/>
      <c r="P128" s="14"/>
    </row>
    <row r="129" spans="1:16" s="3" customFormat="1" x14ac:dyDescent="0.25">
      <c r="A129" s="10"/>
      <c r="B129" s="2"/>
      <c r="C129" s="2"/>
      <c r="E129" s="11"/>
      <c r="H129" s="56"/>
      <c r="N129" s="14"/>
      <c r="O129" s="14"/>
      <c r="P129" s="14"/>
    </row>
    <row r="130" spans="1:16" s="3" customFormat="1" x14ac:dyDescent="0.25">
      <c r="A130" s="10"/>
      <c r="B130" s="2"/>
      <c r="C130" s="2"/>
      <c r="E130" s="11"/>
      <c r="H130" s="56"/>
      <c r="N130" s="14"/>
      <c r="O130" s="14"/>
      <c r="P130" s="14"/>
    </row>
    <row r="131" spans="1:16" s="3" customFormat="1" x14ac:dyDescent="0.25">
      <c r="A131" s="10"/>
      <c r="B131" s="2"/>
      <c r="C131" s="2"/>
      <c r="E131" s="11"/>
      <c r="H131" s="56"/>
      <c r="N131" s="14"/>
      <c r="O131" s="14"/>
      <c r="P131" s="14"/>
    </row>
    <row r="132" spans="1:16" s="3" customFormat="1" x14ac:dyDescent="0.25">
      <c r="A132" s="10"/>
      <c r="B132" s="2"/>
      <c r="C132" s="2"/>
      <c r="E132" s="11"/>
      <c r="H132" s="56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56"/>
      <c r="N133" s="14"/>
      <c r="O133" s="14"/>
      <c r="P133" s="14"/>
    </row>
  </sheetData>
  <mergeCells count="2">
    <mergeCell ref="A113:L113"/>
    <mergeCell ref="O113:P113"/>
  </mergeCells>
  <conditionalFormatting sqref="C3:C112">
    <cfRule type="duplicateValues" dxfId="1023" priority="62"/>
  </conditionalFormatting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workbookViewId="0">
      <selection activeCell="O31" sqref="O3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403972</v>
      </c>
      <c r="B3" s="99" t="s">
        <v>2102</v>
      </c>
      <c r="C3" s="90" t="s">
        <v>2103</v>
      </c>
      <c r="D3" s="102" t="s">
        <v>57</v>
      </c>
      <c r="E3" s="91">
        <v>44544</v>
      </c>
      <c r="F3" s="102" t="s">
        <v>59</v>
      </c>
      <c r="G3" s="91">
        <v>44552</v>
      </c>
      <c r="H3" s="90" t="s">
        <v>2130</v>
      </c>
      <c r="I3" s="90">
        <v>38</v>
      </c>
      <c r="J3" s="90">
        <v>34</v>
      </c>
      <c r="K3" s="90">
        <v>23</v>
      </c>
      <c r="L3" s="90">
        <v>2</v>
      </c>
      <c r="M3" s="90">
        <v>7.4290000000000003</v>
      </c>
      <c r="N3" s="104">
        <v>8</v>
      </c>
      <c r="O3" s="57">
        <v>7000</v>
      </c>
      <c r="P3" s="58">
        <f t="shared" ref="P3:P29" si="0">N3*O3</f>
        <v>56000</v>
      </c>
    </row>
    <row r="4" spans="1:16" ht="26.25" customHeight="1" x14ac:dyDescent="0.2">
      <c r="A4" s="100"/>
      <c r="B4" s="100"/>
      <c r="C4" s="90" t="s">
        <v>2104</v>
      </c>
      <c r="D4" s="102" t="s">
        <v>57</v>
      </c>
      <c r="E4" s="91">
        <v>44544</v>
      </c>
      <c r="F4" s="102" t="s">
        <v>59</v>
      </c>
      <c r="G4" s="91">
        <v>44552</v>
      </c>
      <c r="H4" s="90" t="s">
        <v>2130</v>
      </c>
      <c r="I4" s="90">
        <v>110</v>
      </c>
      <c r="J4" s="90">
        <v>55</v>
      </c>
      <c r="K4" s="90">
        <v>32</v>
      </c>
      <c r="L4" s="90">
        <v>18</v>
      </c>
      <c r="M4" s="90">
        <v>48.4</v>
      </c>
      <c r="N4" s="104">
        <v>49</v>
      </c>
      <c r="O4" s="57">
        <v>7000</v>
      </c>
      <c r="P4" s="58">
        <f t="shared" si="0"/>
        <v>343000</v>
      </c>
    </row>
    <row r="5" spans="1:16" ht="26.25" customHeight="1" x14ac:dyDescent="0.2">
      <c r="A5" s="100"/>
      <c r="B5" s="100"/>
      <c r="C5" s="65" t="s">
        <v>2105</v>
      </c>
      <c r="D5" s="70" t="s">
        <v>57</v>
      </c>
      <c r="E5" s="12">
        <v>44544</v>
      </c>
      <c r="F5" s="68" t="s">
        <v>59</v>
      </c>
      <c r="G5" s="12">
        <v>44552</v>
      </c>
      <c r="H5" s="69" t="s">
        <v>2130</v>
      </c>
      <c r="I5" s="15">
        <v>20</v>
      </c>
      <c r="J5" s="15">
        <v>15</v>
      </c>
      <c r="K5" s="15">
        <v>5</v>
      </c>
      <c r="L5" s="15">
        <v>1</v>
      </c>
      <c r="M5" s="73">
        <v>0.375</v>
      </c>
      <c r="N5" s="104">
        <v>2</v>
      </c>
      <c r="O5" s="57">
        <v>7000</v>
      </c>
      <c r="P5" s="58">
        <f t="shared" si="0"/>
        <v>14000</v>
      </c>
    </row>
    <row r="6" spans="1:16" ht="26.25" customHeight="1" x14ac:dyDescent="0.2">
      <c r="A6" s="100"/>
      <c r="B6" s="100"/>
      <c r="C6" s="65" t="s">
        <v>2106</v>
      </c>
      <c r="D6" s="70" t="s">
        <v>57</v>
      </c>
      <c r="E6" s="12">
        <v>44544</v>
      </c>
      <c r="F6" s="68" t="s">
        <v>59</v>
      </c>
      <c r="G6" s="12">
        <v>44552</v>
      </c>
      <c r="H6" s="69" t="s">
        <v>2130</v>
      </c>
      <c r="I6" s="15">
        <v>60</v>
      </c>
      <c r="J6" s="15">
        <v>40</v>
      </c>
      <c r="K6" s="15">
        <v>20</v>
      </c>
      <c r="L6" s="15">
        <v>4</v>
      </c>
      <c r="M6" s="73">
        <v>12</v>
      </c>
      <c r="N6" s="104">
        <v>12</v>
      </c>
      <c r="O6" s="57">
        <v>7000</v>
      </c>
      <c r="P6" s="58">
        <f t="shared" si="0"/>
        <v>84000</v>
      </c>
    </row>
    <row r="7" spans="1:16" ht="26.25" customHeight="1" x14ac:dyDescent="0.2">
      <c r="A7" s="100"/>
      <c r="B7" s="100"/>
      <c r="C7" s="65" t="s">
        <v>2107</v>
      </c>
      <c r="D7" s="70" t="s">
        <v>57</v>
      </c>
      <c r="E7" s="12">
        <v>44544</v>
      </c>
      <c r="F7" s="68" t="s">
        <v>59</v>
      </c>
      <c r="G7" s="12">
        <v>44552</v>
      </c>
      <c r="H7" s="69" t="s">
        <v>2130</v>
      </c>
      <c r="I7" s="15">
        <v>50</v>
      </c>
      <c r="J7" s="15">
        <v>60</v>
      </c>
      <c r="K7" s="15">
        <v>20</v>
      </c>
      <c r="L7" s="15">
        <v>3</v>
      </c>
      <c r="M7" s="73">
        <v>15</v>
      </c>
      <c r="N7" s="104">
        <v>15</v>
      </c>
      <c r="O7" s="57">
        <v>7000</v>
      </c>
      <c r="P7" s="58">
        <f t="shared" si="0"/>
        <v>105000</v>
      </c>
    </row>
    <row r="8" spans="1:16" ht="26.25" customHeight="1" x14ac:dyDescent="0.2">
      <c r="A8" s="100"/>
      <c r="B8" s="100"/>
      <c r="C8" s="65" t="s">
        <v>2108</v>
      </c>
      <c r="D8" s="70" t="s">
        <v>57</v>
      </c>
      <c r="E8" s="12">
        <v>44544</v>
      </c>
      <c r="F8" s="68" t="s">
        <v>59</v>
      </c>
      <c r="G8" s="12">
        <v>44552</v>
      </c>
      <c r="H8" s="69" t="s">
        <v>2130</v>
      </c>
      <c r="I8" s="15">
        <v>78</v>
      </c>
      <c r="J8" s="15">
        <v>77</v>
      </c>
      <c r="K8" s="15">
        <v>22</v>
      </c>
      <c r="L8" s="15">
        <v>7</v>
      </c>
      <c r="M8" s="73">
        <v>33.033000000000001</v>
      </c>
      <c r="N8" s="104">
        <v>33.033000000000001</v>
      </c>
      <c r="O8" s="57">
        <v>7000</v>
      </c>
      <c r="P8" s="58">
        <f t="shared" si="0"/>
        <v>231231</v>
      </c>
    </row>
    <row r="9" spans="1:16" ht="26.25" customHeight="1" x14ac:dyDescent="0.2">
      <c r="A9" s="100"/>
      <c r="B9" s="100"/>
      <c r="C9" s="65" t="s">
        <v>2109</v>
      </c>
      <c r="D9" s="70" t="s">
        <v>57</v>
      </c>
      <c r="E9" s="12">
        <v>44544</v>
      </c>
      <c r="F9" s="68" t="s">
        <v>59</v>
      </c>
      <c r="G9" s="12">
        <v>44552</v>
      </c>
      <c r="H9" s="69" t="s">
        <v>2130</v>
      </c>
      <c r="I9" s="15">
        <v>65</v>
      </c>
      <c r="J9" s="15">
        <v>40</v>
      </c>
      <c r="K9" s="15">
        <v>17</v>
      </c>
      <c r="L9" s="15">
        <v>4</v>
      </c>
      <c r="M9" s="73">
        <v>11.05</v>
      </c>
      <c r="N9" s="104">
        <v>11.05</v>
      </c>
      <c r="O9" s="57">
        <v>7000</v>
      </c>
      <c r="P9" s="58">
        <f t="shared" si="0"/>
        <v>77350</v>
      </c>
    </row>
    <row r="10" spans="1:16" ht="26.25" customHeight="1" x14ac:dyDescent="0.2">
      <c r="A10" s="100"/>
      <c r="B10" s="100"/>
      <c r="C10" s="65" t="s">
        <v>2110</v>
      </c>
      <c r="D10" s="70" t="s">
        <v>57</v>
      </c>
      <c r="E10" s="12">
        <v>44544</v>
      </c>
      <c r="F10" s="68" t="s">
        <v>59</v>
      </c>
      <c r="G10" s="12">
        <v>44552</v>
      </c>
      <c r="H10" s="69" t="s">
        <v>2130</v>
      </c>
      <c r="I10" s="15">
        <v>100</v>
      </c>
      <c r="J10" s="15">
        <v>60</v>
      </c>
      <c r="K10" s="15">
        <v>28</v>
      </c>
      <c r="L10" s="15">
        <v>15</v>
      </c>
      <c r="M10" s="73">
        <v>42</v>
      </c>
      <c r="N10" s="104">
        <v>42</v>
      </c>
      <c r="O10" s="57">
        <v>7000</v>
      </c>
      <c r="P10" s="58">
        <f t="shared" si="0"/>
        <v>294000</v>
      </c>
    </row>
    <row r="11" spans="1:16" ht="26.25" customHeight="1" x14ac:dyDescent="0.2">
      <c r="A11" s="100"/>
      <c r="B11" s="100"/>
      <c r="C11" s="65" t="s">
        <v>2111</v>
      </c>
      <c r="D11" s="70" t="s">
        <v>57</v>
      </c>
      <c r="E11" s="12">
        <v>44544</v>
      </c>
      <c r="F11" s="68" t="s">
        <v>59</v>
      </c>
      <c r="G11" s="12">
        <v>44552</v>
      </c>
      <c r="H11" s="69" t="s">
        <v>2130</v>
      </c>
      <c r="I11" s="15">
        <v>40</v>
      </c>
      <c r="J11" s="15">
        <v>32</v>
      </c>
      <c r="K11" s="15">
        <v>10</v>
      </c>
      <c r="L11" s="15">
        <v>1</v>
      </c>
      <c r="M11" s="73">
        <v>3.2</v>
      </c>
      <c r="N11" s="104">
        <v>3.2</v>
      </c>
      <c r="O11" s="57">
        <v>7000</v>
      </c>
      <c r="P11" s="58">
        <f t="shared" si="0"/>
        <v>22400</v>
      </c>
    </row>
    <row r="12" spans="1:16" ht="26.25" customHeight="1" x14ac:dyDescent="0.2">
      <c r="A12" s="100"/>
      <c r="B12" s="100"/>
      <c r="C12" s="65" t="s">
        <v>2112</v>
      </c>
      <c r="D12" s="70" t="s">
        <v>57</v>
      </c>
      <c r="E12" s="12">
        <v>44544</v>
      </c>
      <c r="F12" s="68" t="s">
        <v>59</v>
      </c>
      <c r="G12" s="12">
        <v>44552</v>
      </c>
      <c r="H12" s="69" t="s">
        <v>2130</v>
      </c>
      <c r="I12" s="15">
        <v>60</v>
      </c>
      <c r="J12" s="15">
        <v>40</v>
      </c>
      <c r="K12" s="15">
        <v>15</v>
      </c>
      <c r="L12" s="15">
        <v>6</v>
      </c>
      <c r="M12" s="73">
        <v>9</v>
      </c>
      <c r="N12" s="104">
        <v>9</v>
      </c>
      <c r="O12" s="57">
        <v>7000</v>
      </c>
      <c r="P12" s="58">
        <f t="shared" si="0"/>
        <v>63000</v>
      </c>
    </row>
    <row r="13" spans="1:16" ht="26.25" customHeight="1" x14ac:dyDescent="0.2">
      <c r="A13" s="100"/>
      <c r="B13" s="100"/>
      <c r="C13" s="65" t="s">
        <v>2113</v>
      </c>
      <c r="D13" s="70" t="s">
        <v>57</v>
      </c>
      <c r="E13" s="12">
        <v>44544</v>
      </c>
      <c r="F13" s="68" t="s">
        <v>59</v>
      </c>
      <c r="G13" s="12">
        <v>44552</v>
      </c>
      <c r="H13" s="69" t="s">
        <v>2130</v>
      </c>
      <c r="I13" s="15">
        <v>70</v>
      </c>
      <c r="J13" s="15">
        <v>60</v>
      </c>
      <c r="K13" s="15">
        <v>20</v>
      </c>
      <c r="L13" s="15">
        <v>8</v>
      </c>
      <c r="M13" s="73">
        <v>21</v>
      </c>
      <c r="N13" s="104">
        <v>21</v>
      </c>
      <c r="O13" s="57">
        <v>7000</v>
      </c>
      <c r="P13" s="58">
        <f t="shared" si="0"/>
        <v>147000</v>
      </c>
    </row>
    <row r="14" spans="1:16" ht="26.25" customHeight="1" x14ac:dyDescent="0.2">
      <c r="A14" s="100"/>
      <c r="B14" s="100"/>
      <c r="C14" s="65" t="s">
        <v>2114</v>
      </c>
      <c r="D14" s="70" t="s">
        <v>57</v>
      </c>
      <c r="E14" s="12">
        <v>44544</v>
      </c>
      <c r="F14" s="68" t="s">
        <v>59</v>
      </c>
      <c r="G14" s="12">
        <v>44552</v>
      </c>
      <c r="H14" s="69" t="s">
        <v>2130</v>
      </c>
      <c r="I14" s="15">
        <v>55</v>
      </c>
      <c r="J14" s="15">
        <v>60</v>
      </c>
      <c r="K14" s="15">
        <v>23</v>
      </c>
      <c r="L14" s="15">
        <v>6</v>
      </c>
      <c r="M14" s="73">
        <v>18.975000000000001</v>
      </c>
      <c r="N14" s="104">
        <v>18.975000000000001</v>
      </c>
      <c r="O14" s="57">
        <v>7000</v>
      </c>
      <c r="P14" s="58">
        <f t="shared" si="0"/>
        <v>132825</v>
      </c>
    </row>
    <row r="15" spans="1:16" ht="26.25" customHeight="1" x14ac:dyDescent="0.2">
      <c r="A15" s="100"/>
      <c r="B15" s="100"/>
      <c r="C15" s="65" t="s">
        <v>2115</v>
      </c>
      <c r="D15" s="70" t="s">
        <v>57</v>
      </c>
      <c r="E15" s="12">
        <v>44544</v>
      </c>
      <c r="F15" s="68" t="s">
        <v>59</v>
      </c>
      <c r="G15" s="12">
        <v>44552</v>
      </c>
      <c r="H15" s="69" t="s">
        <v>2130</v>
      </c>
      <c r="I15" s="15">
        <v>90</v>
      </c>
      <c r="J15" s="15">
        <v>50</v>
      </c>
      <c r="K15" s="15">
        <v>23</v>
      </c>
      <c r="L15" s="15">
        <v>5</v>
      </c>
      <c r="M15" s="73">
        <v>25.875</v>
      </c>
      <c r="N15" s="104">
        <v>25.875</v>
      </c>
      <c r="O15" s="57">
        <v>7000</v>
      </c>
      <c r="P15" s="58">
        <f t="shared" si="0"/>
        <v>181125</v>
      </c>
    </row>
    <row r="16" spans="1:16" ht="26.25" customHeight="1" x14ac:dyDescent="0.2">
      <c r="A16" s="100"/>
      <c r="B16" s="100"/>
      <c r="C16" s="65" t="s">
        <v>2116</v>
      </c>
      <c r="D16" s="70" t="s">
        <v>57</v>
      </c>
      <c r="E16" s="12">
        <v>44544</v>
      </c>
      <c r="F16" s="68" t="s">
        <v>59</v>
      </c>
      <c r="G16" s="12">
        <v>44552</v>
      </c>
      <c r="H16" s="69" t="s">
        <v>2130</v>
      </c>
      <c r="I16" s="15">
        <v>80</v>
      </c>
      <c r="J16" s="15">
        <v>67</v>
      </c>
      <c r="K16" s="15">
        <v>20</v>
      </c>
      <c r="L16" s="15">
        <v>11</v>
      </c>
      <c r="M16" s="73">
        <v>26.8</v>
      </c>
      <c r="N16" s="104">
        <v>26.8</v>
      </c>
      <c r="O16" s="57">
        <v>7000</v>
      </c>
      <c r="P16" s="58">
        <f t="shared" si="0"/>
        <v>187600</v>
      </c>
    </row>
    <row r="17" spans="1:16" ht="26.25" customHeight="1" x14ac:dyDescent="0.2">
      <c r="A17" s="100"/>
      <c r="B17" s="100"/>
      <c r="C17" s="65" t="s">
        <v>2117</v>
      </c>
      <c r="D17" s="70" t="s">
        <v>57</v>
      </c>
      <c r="E17" s="12">
        <v>44544</v>
      </c>
      <c r="F17" s="68" t="s">
        <v>59</v>
      </c>
      <c r="G17" s="12">
        <v>44552</v>
      </c>
      <c r="H17" s="69" t="s">
        <v>2130</v>
      </c>
      <c r="I17" s="15">
        <v>55</v>
      </c>
      <c r="J17" s="15">
        <v>50</v>
      </c>
      <c r="K17" s="15">
        <v>20</v>
      </c>
      <c r="L17" s="15">
        <v>5</v>
      </c>
      <c r="M17" s="73">
        <v>13.75</v>
      </c>
      <c r="N17" s="104">
        <v>13.75</v>
      </c>
      <c r="O17" s="57">
        <v>7000</v>
      </c>
      <c r="P17" s="58">
        <f t="shared" si="0"/>
        <v>96250</v>
      </c>
    </row>
    <row r="18" spans="1:16" ht="26.25" customHeight="1" x14ac:dyDescent="0.2">
      <c r="A18" s="100"/>
      <c r="B18" s="100"/>
      <c r="C18" s="65" t="s">
        <v>2118</v>
      </c>
      <c r="D18" s="70" t="s">
        <v>57</v>
      </c>
      <c r="E18" s="12">
        <v>44544</v>
      </c>
      <c r="F18" s="68" t="s">
        <v>59</v>
      </c>
      <c r="G18" s="12">
        <v>44552</v>
      </c>
      <c r="H18" s="69" t="s">
        <v>2130</v>
      </c>
      <c r="I18" s="15">
        <v>35</v>
      </c>
      <c r="J18" s="15">
        <v>35</v>
      </c>
      <c r="K18" s="15">
        <v>11</v>
      </c>
      <c r="L18" s="15">
        <v>2</v>
      </c>
      <c r="M18" s="73">
        <v>3.3687499999999999</v>
      </c>
      <c r="N18" s="104">
        <v>4</v>
      </c>
      <c r="O18" s="57">
        <v>7000</v>
      </c>
      <c r="P18" s="58">
        <f t="shared" si="0"/>
        <v>28000</v>
      </c>
    </row>
    <row r="19" spans="1:16" ht="26.25" customHeight="1" x14ac:dyDescent="0.2">
      <c r="A19" s="100"/>
      <c r="B19" s="100"/>
      <c r="C19" s="65" t="s">
        <v>2119</v>
      </c>
      <c r="D19" s="70" t="s">
        <v>57</v>
      </c>
      <c r="E19" s="12">
        <v>44544</v>
      </c>
      <c r="F19" s="68" t="s">
        <v>59</v>
      </c>
      <c r="G19" s="12">
        <v>44552</v>
      </c>
      <c r="H19" s="69" t="s">
        <v>2130</v>
      </c>
      <c r="I19" s="15">
        <v>62</v>
      </c>
      <c r="J19" s="15">
        <v>55</v>
      </c>
      <c r="K19" s="15">
        <v>20</v>
      </c>
      <c r="L19" s="15">
        <v>3</v>
      </c>
      <c r="M19" s="73">
        <v>17.05</v>
      </c>
      <c r="N19" s="104">
        <v>17.05</v>
      </c>
      <c r="O19" s="57">
        <v>7000</v>
      </c>
      <c r="P19" s="58">
        <f t="shared" si="0"/>
        <v>119350</v>
      </c>
    </row>
    <row r="20" spans="1:16" ht="26.25" customHeight="1" x14ac:dyDescent="0.2">
      <c r="A20" s="100"/>
      <c r="B20" s="100"/>
      <c r="C20" s="65" t="s">
        <v>2120</v>
      </c>
      <c r="D20" s="70" t="s">
        <v>57</v>
      </c>
      <c r="E20" s="12">
        <v>44544</v>
      </c>
      <c r="F20" s="68" t="s">
        <v>59</v>
      </c>
      <c r="G20" s="12">
        <v>44552</v>
      </c>
      <c r="H20" s="69" t="s">
        <v>2130</v>
      </c>
      <c r="I20" s="15">
        <v>70</v>
      </c>
      <c r="J20" s="15">
        <v>60</v>
      </c>
      <c r="K20" s="15">
        <v>22</v>
      </c>
      <c r="L20" s="15">
        <v>4</v>
      </c>
      <c r="M20" s="73">
        <v>23.1</v>
      </c>
      <c r="N20" s="104">
        <v>23.1</v>
      </c>
      <c r="O20" s="57">
        <v>7000</v>
      </c>
      <c r="P20" s="58">
        <f t="shared" si="0"/>
        <v>161700</v>
      </c>
    </row>
    <row r="21" spans="1:16" ht="26.25" customHeight="1" x14ac:dyDescent="0.2">
      <c r="A21" s="100"/>
      <c r="B21" s="100"/>
      <c r="C21" s="65" t="s">
        <v>2121</v>
      </c>
      <c r="D21" s="70" t="s">
        <v>57</v>
      </c>
      <c r="E21" s="12">
        <v>44544</v>
      </c>
      <c r="F21" s="68" t="s">
        <v>59</v>
      </c>
      <c r="G21" s="12">
        <v>44552</v>
      </c>
      <c r="H21" s="69" t="s">
        <v>2130</v>
      </c>
      <c r="I21" s="15">
        <v>35</v>
      </c>
      <c r="J21" s="15">
        <v>38</v>
      </c>
      <c r="K21" s="15">
        <v>16</v>
      </c>
      <c r="L21" s="15">
        <v>3</v>
      </c>
      <c r="M21" s="73">
        <v>5.32</v>
      </c>
      <c r="N21" s="104">
        <v>6</v>
      </c>
      <c r="O21" s="57">
        <v>7000</v>
      </c>
      <c r="P21" s="58">
        <f t="shared" si="0"/>
        <v>42000</v>
      </c>
    </row>
    <row r="22" spans="1:16" ht="26.25" customHeight="1" x14ac:dyDescent="0.2">
      <c r="A22" s="100"/>
      <c r="B22" s="100"/>
      <c r="C22" s="65" t="s">
        <v>2122</v>
      </c>
      <c r="D22" s="70" t="s">
        <v>57</v>
      </c>
      <c r="E22" s="12">
        <v>44544</v>
      </c>
      <c r="F22" s="68" t="s">
        <v>59</v>
      </c>
      <c r="G22" s="12">
        <v>44552</v>
      </c>
      <c r="H22" s="69" t="s">
        <v>2130</v>
      </c>
      <c r="I22" s="15">
        <v>60</v>
      </c>
      <c r="J22" s="15">
        <v>36</v>
      </c>
      <c r="K22" s="15">
        <v>14</v>
      </c>
      <c r="L22" s="15">
        <v>4</v>
      </c>
      <c r="M22" s="73">
        <v>7.56</v>
      </c>
      <c r="N22" s="104">
        <v>7.56</v>
      </c>
      <c r="O22" s="57">
        <v>7000</v>
      </c>
      <c r="P22" s="58">
        <f t="shared" si="0"/>
        <v>52920</v>
      </c>
    </row>
    <row r="23" spans="1:16" ht="26.25" customHeight="1" x14ac:dyDescent="0.2">
      <c r="A23" s="100"/>
      <c r="B23" s="100"/>
      <c r="C23" s="65" t="s">
        <v>2123</v>
      </c>
      <c r="D23" s="70" t="s">
        <v>57</v>
      </c>
      <c r="E23" s="12">
        <v>44544</v>
      </c>
      <c r="F23" s="68" t="s">
        <v>59</v>
      </c>
      <c r="G23" s="12">
        <v>44552</v>
      </c>
      <c r="H23" s="69" t="s">
        <v>2130</v>
      </c>
      <c r="I23" s="15">
        <v>80</v>
      </c>
      <c r="J23" s="15">
        <v>55</v>
      </c>
      <c r="K23" s="15">
        <v>21</v>
      </c>
      <c r="L23" s="15">
        <v>4</v>
      </c>
      <c r="M23" s="73">
        <v>23.1</v>
      </c>
      <c r="N23" s="104">
        <v>23.1</v>
      </c>
      <c r="O23" s="57">
        <v>7000</v>
      </c>
      <c r="P23" s="58">
        <f t="shared" si="0"/>
        <v>161700</v>
      </c>
    </row>
    <row r="24" spans="1:16" ht="26.25" customHeight="1" x14ac:dyDescent="0.2">
      <c r="A24" s="100"/>
      <c r="B24" s="100"/>
      <c r="C24" s="65" t="s">
        <v>2124</v>
      </c>
      <c r="D24" s="70" t="s">
        <v>57</v>
      </c>
      <c r="E24" s="12">
        <v>44544</v>
      </c>
      <c r="F24" s="68" t="s">
        <v>59</v>
      </c>
      <c r="G24" s="12">
        <v>44552</v>
      </c>
      <c r="H24" s="69" t="s">
        <v>2130</v>
      </c>
      <c r="I24" s="15">
        <v>35</v>
      </c>
      <c r="J24" s="15">
        <v>30</v>
      </c>
      <c r="K24" s="15">
        <v>24</v>
      </c>
      <c r="L24" s="15">
        <v>3</v>
      </c>
      <c r="M24" s="73">
        <v>6.3</v>
      </c>
      <c r="N24" s="104">
        <v>7</v>
      </c>
      <c r="O24" s="57">
        <v>7000</v>
      </c>
      <c r="P24" s="58">
        <f t="shared" si="0"/>
        <v>49000</v>
      </c>
    </row>
    <row r="25" spans="1:16" ht="26.25" customHeight="1" x14ac:dyDescent="0.2">
      <c r="A25" s="100"/>
      <c r="B25" s="100"/>
      <c r="C25" s="65" t="s">
        <v>2125</v>
      </c>
      <c r="D25" s="70" t="s">
        <v>57</v>
      </c>
      <c r="E25" s="12">
        <v>44544</v>
      </c>
      <c r="F25" s="68" t="s">
        <v>59</v>
      </c>
      <c r="G25" s="12">
        <v>44552</v>
      </c>
      <c r="H25" s="69" t="s">
        <v>2130</v>
      </c>
      <c r="I25" s="15">
        <v>50</v>
      </c>
      <c r="J25" s="15">
        <v>60</v>
      </c>
      <c r="K25" s="15">
        <v>24</v>
      </c>
      <c r="L25" s="15">
        <v>4</v>
      </c>
      <c r="M25" s="73">
        <v>18</v>
      </c>
      <c r="N25" s="104">
        <v>18</v>
      </c>
      <c r="O25" s="57">
        <v>7000</v>
      </c>
      <c r="P25" s="58">
        <f t="shared" si="0"/>
        <v>126000</v>
      </c>
    </row>
    <row r="26" spans="1:16" ht="26.25" customHeight="1" x14ac:dyDescent="0.2">
      <c r="A26" s="100"/>
      <c r="B26" s="100"/>
      <c r="C26" s="65" t="s">
        <v>2126</v>
      </c>
      <c r="D26" s="70" t="s">
        <v>57</v>
      </c>
      <c r="E26" s="12">
        <v>44544</v>
      </c>
      <c r="F26" s="68" t="s">
        <v>59</v>
      </c>
      <c r="G26" s="12">
        <v>44552</v>
      </c>
      <c r="H26" s="69" t="s">
        <v>2130</v>
      </c>
      <c r="I26" s="15">
        <v>70</v>
      </c>
      <c r="J26" s="15">
        <v>40</v>
      </c>
      <c r="K26" s="15">
        <v>30</v>
      </c>
      <c r="L26" s="15">
        <v>8</v>
      </c>
      <c r="M26" s="73">
        <v>21</v>
      </c>
      <c r="N26" s="104">
        <v>21</v>
      </c>
      <c r="O26" s="57">
        <v>7000</v>
      </c>
      <c r="P26" s="58">
        <f t="shared" si="0"/>
        <v>147000</v>
      </c>
    </row>
    <row r="27" spans="1:16" ht="26.25" customHeight="1" x14ac:dyDescent="0.2">
      <c r="A27" s="100"/>
      <c r="B27" s="100"/>
      <c r="C27" s="65" t="s">
        <v>2127</v>
      </c>
      <c r="D27" s="70" t="s">
        <v>57</v>
      </c>
      <c r="E27" s="12">
        <v>44544</v>
      </c>
      <c r="F27" s="68" t="s">
        <v>59</v>
      </c>
      <c r="G27" s="12">
        <v>44552</v>
      </c>
      <c r="H27" s="69" t="s">
        <v>2130</v>
      </c>
      <c r="I27" s="15">
        <v>45</v>
      </c>
      <c r="J27" s="15">
        <v>55</v>
      </c>
      <c r="K27" s="15">
        <v>24</v>
      </c>
      <c r="L27" s="15">
        <v>8</v>
      </c>
      <c r="M27" s="73">
        <v>14.85</v>
      </c>
      <c r="N27" s="104">
        <v>14.85</v>
      </c>
      <c r="O27" s="57">
        <v>7000</v>
      </c>
      <c r="P27" s="58">
        <f t="shared" si="0"/>
        <v>103950</v>
      </c>
    </row>
    <row r="28" spans="1:16" ht="26.25" customHeight="1" x14ac:dyDescent="0.2">
      <c r="A28" s="100"/>
      <c r="B28" s="100"/>
      <c r="C28" s="65" t="s">
        <v>2128</v>
      </c>
      <c r="D28" s="70" t="s">
        <v>57</v>
      </c>
      <c r="E28" s="12">
        <v>44544</v>
      </c>
      <c r="F28" s="68" t="s">
        <v>59</v>
      </c>
      <c r="G28" s="12">
        <v>44552</v>
      </c>
      <c r="H28" s="69" t="s">
        <v>2130</v>
      </c>
      <c r="I28" s="15">
        <v>41</v>
      </c>
      <c r="J28" s="15">
        <v>50</v>
      </c>
      <c r="K28" s="15">
        <v>30</v>
      </c>
      <c r="L28" s="15">
        <v>3</v>
      </c>
      <c r="M28" s="73">
        <v>15.375</v>
      </c>
      <c r="N28" s="104">
        <v>16</v>
      </c>
      <c r="O28" s="57">
        <v>7000</v>
      </c>
      <c r="P28" s="58">
        <f t="shared" si="0"/>
        <v>112000</v>
      </c>
    </row>
    <row r="29" spans="1:16" ht="26.25" customHeight="1" x14ac:dyDescent="0.2">
      <c r="A29" s="100"/>
      <c r="B29" s="100"/>
      <c r="C29" s="65" t="s">
        <v>2129</v>
      </c>
      <c r="D29" s="70" t="s">
        <v>57</v>
      </c>
      <c r="E29" s="12">
        <v>44544</v>
      </c>
      <c r="F29" s="68" t="s">
        <v>59</v>
      </c>
      <c r="G29" s="12">
        <v>44552</v>
      </c>
      <c r="H29" s="69" t="s">
        <v>2130</v>
      </c>
      <c r="I29" s="15">
        <v>50</v>
      </c>
      <c r="J29" s="15">
        <v>38</v>
      </c>
      <c r="K29" s="15">
        <v>38</v>
      </c>
      <c r="L29" s="15">
        <v>3</v>
      </c>
      <c r="M29" s="73">
        <v>18.05</v>
      </c>
      <c r="N29" s="104">
        <v>18.05</v>
      </c>
      <c r="O29" s="57">
        <v>7000</v>
      </c>
      <c r="P29" s="58">
        <f t="shared" si="0"/>
        <v>126350</v>
      </c>
    </row>
    <row r="30" spans="1:16" ht="22.5" customHeight="1" x14ac:dyDescent="0.2">
      <c r="A30" s="159" t="s">
        <v>30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1"/>
      <c r="M30" s="71">
        <f>SUBTOTAL(109,Table224578910112345678910111213141516171819202122232425262728293031323334353738[KG VOLUME])</f>
        <v>460.96075000000008</v>
      </c>
      <c r="N30" s="61">
        <f>SUM(N3:N29)</f>
        <v>466.39300000000009</v>
      </c>
      <c r="O30" s="162">
        <f>SUM(P3:P29)</f>
        <v>3264751</v>
      </c>
      <c r="P30" s="163"/>
    </row>
    <row r="31" spans="1:16" ht="18" customHeight="1" x14ac:dyDescent="0.2">
      <c r="A31" s="78"/>
      <c r="B31" s="49" t="s">
        <v>42</v>
      </c>
      <c r="C31" s="48"/>
      <c r="D31" s="50" t="s">
        <v>43</v>
      </c>
      <c r="E31" s="78"/>
      <c r="F31" s="78"/>
      <c r="G31" s="78"/>
      <c r="H31" s="78"/>
      <c r="I31" s="78"/>
      <c r="J31" s="78"/>
      <c r="K31" s="78"/>
      <c r="L31" s="78"/>
      <c r="M31" s="79"/>
      <c r="N31" s="80" t="s">
        <v>52</v>
      </c>
      <c r="O31" s="81"/>
      <c r="P31" s="81">
        <v>0</v>
      </c>
    </row>
    <row r="32" spans="1:16" ht="18" customHeight="1" thickBot="1" x14ac:dyDescent="0.25">
      <c r="A32" s="78"/>
      <c r="B32" s="49"/>
      <c r="C32" s="48"/>
      <c r="D32" s="50"/>
      <c r="E32" s="78"/>
      <c r="F32" s="78"/>
      <c r="G32" s="78"/>
      <c r="H32" s="78"/>
      <c r="I32" s="78"/>
      <c r="J32" s="78"/>
      <c r="K32" s="78"/>
      <c r="L32" s="78"/>
      <c r="M32" s="79"/>
      <c r="N32" s="82" t="s">
        <v>53</v>
      </c>
      <c r="O32" s="83"/>
      <c r="P32" s="83">
        <f>O30-P31</f>
        <v>3264751</v>
      </c>
    </row>
    <row r="33" spans="1:16" ht="18" customHeight="1" x14ac:dyDescent="0.2">
      <c r="A33" s="10"/>
      <c r="H33" s="56"/>
      <c r="N33" s="55" t="s">
        <v>31</v>
      </c>
      <c r="P33" s="62">
        <f>P32*1%</f>
        <v>32647.510000000002</v>
      </c>
    </row>
    <row r="34" spans="1:16" ht="18" customHeight="1" thickBot="1" x14ac:dyDescent="0.25">
      <c r="A34" s="10"/>
      <c r="H34" s="56"/>
      <c r="N34" s="55" t="s">
        <v>54</v>
      </c>
      <c r="P34" s="64">
        <f>P32*2%</f>
        <v>65295.020000000004</v>
      </c>
    </row>
    <row r="35" spans="1:16" ht="18" customHeight="1" x14ac:dyDescent="0.2">
      <c r="A35" s="10"/>
      <c r="H35" s="56"/>
      <c r="N35" s="59" t="s">
        <v>32</v>
      </c>
      <c r="O35" s="60"/>
      <c r="P35" s="63">
        <f>P32+P33-P34</f>
        <v>3232103.4899999998</v>
      </c>
    </row>
    <row r="37" spans="1:16" x14ac:dyDescent="0.2">
      <c r="A37" s="10"/>
      <c r="H37" s="56"/>
      <c r="P37" s="64"/>
    </row>
    <row r="38" spans="1:16" x14ac:dyDescent="0.2">
      <c r="A38" s="10"/>
      <c r="H38" s="56"/>
      <c r="O38" s="51"/>
      <c r="P38" s="6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</sheetData>
  <mergeCells count="2">
    <mergeCell ref="A30:L30"/>
    <mergeCell ref="O30:P30"/>
  </mergeCells>
  <conditionalFormatting sqref="C3:C29">
    <cfRule type="duplicateValues" dxfId="1007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topLeftCell="A26" workbookViewId="0">
      <selection activeCell="N3" sqref="N3:N3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1.8554687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403974</v>
      </c>
      <c r="B3" s="99" t="s">
        <v>2131</v>
      </c>
      <c r="C3" s="90" t="s">
        <v>2132</v>
      </c>
      <c r="D3" s="102" t="s">
        <v>57</v>
      </c>
      <c r="E3" s="91">
        <v>44544</v>
      </c>
      <c r="F3" s="102" t="s">
        <v>59</v>
      </c>
      <c r="G3" s="91">
        <v>44552</v>
      </c>
      <c r="H3" s="90" t="s">
        <v>2130</v>
      </c>
      <c r="I3" s="90">
        <v>35</v>
      </c>
      <c r="J3" s="90">
        <v>32</v>
      </c>
      <c r="K3" s="90">
        <v>17</v>
      </c>
      <c r="L3" s="90">
        <v>3</v>
      </c>
      <c r="M3" s="90">
        <v>4.76</v>
      </c>
      <c r="N3" s="104">
        <v>4.76</v>
      </c>
      <c r="O3" s="57">
        <v>7000</v>
      </c>
      <c r="P3" s="58">
        <f t="shared" ref="P3:P31" si="0">N3*O3</f>
        <v>33320</v>
      </c>
    </row>
    <row r="4" spans="1:16" ht="26.25" customHeight="1" x14ac:dyDescent="0.2">
      <c r="A4" s="100"/>
      <c r="B4" s="100"/>
      <c r="C4" s="65" t="s">
        <v>2133</v>
      </c>
      <c r="D4" s="70" t="s">
        <v>57</v>
      </c>
      <c r="E4" s="12">
        <v>44544</v>
      </c>
      <c r="F4" s="68" t="s">
        <v>59</v>
      </c>
      <c r="G4" s="12">
        <v>44552</v>
      </c>
      <c r="H4" s="69" t="s">
        <v>2130</v>
      </c>
      <c r="I4" s="15">
        <v>50</v>
      </c>
      <c r="J4" s="15">
        <v>50</v>
      </c>
      <c r="K4" s="15">
        <v>28</v>
      </c>
      <c r="L4" s="15">
        <v>8</v>
      </c>
      <c r="M4" s="73">
        <v>17.5</v>
      </c>
      <c r="N4" s="104">
        <v>19</v>
      </c>
      <c r="O4" s="57">
        <v>7000</v>
      </c>
      <c r="P4" s="58">
        <f t="shared" si="0"/>
        <v>133000</v>
      </c>
    </row>
    <row r="5" spans="1:16" ht="26.25" customHeight="1" x14ac:dyDescent="0.2">
      <c r="A5" s="100"/>
      <c r="B5" s="100"/>
      <c r="C5" s="65" t="s">
        <v>2134</v>
      </c>
      <c r="D5" s="70" t="s">
        <v>57</v>
      </c>
      <c r="E5" s="12">
        <v>44544</v>
      </c>
      <c r="F5" s="68" t="s">
        <v>59</v>
      </c>
      <c r="G5" s="12">
        <v>44552</v>
      </c>
      <c r="H5" s="69" t="s">
        <v>2130</v>
      </c>
      <c r="I5" s="15">
        <v>45</v>
      </c>
      <c r="J5" s="15">
        <v>40</v>
      </c>
      <c r="K5" s="15">
        <v>15</v>
      </c>
      <c r="L5" s="15">
        <v>2</v>
      </c>
      <c r="M5" s="73">
        <v>6.75</v>
      </c>
      <c r="N5" s="104">
        <v>6.75</v>
      </c>
      <c r="O5" s="57">
        <v>7000</v>
      </c>
      <c r="P5" s="58">
        <f t="shared" si="0"/>
        <v>47250</v>
      </c>
    </row>
    <row r="6" spans="1:16" ht="26.25" customHeight="1" x14ac:dyDescent="0.2">
      <c r="A6" s="100"/>
      <c r="B6" s="100"/>
      <c r="C6" s="65" t="s">
        <v>2135</v>
      </c>
      <c r="D6" s="70" t="s">
        <v>57</v>
      </c>
      <c r="E6" s="12">
        <v>44544</v>
      </c>
      <c r="F6" s="68" t="s">
        <v>59</v>
      </c>
      <c r="G6" s="12">
        <v>44552</v>
      </c>
      <c r="H6" s="69" t="s">
        <v>2130</v>
      </c>
      <c r="I6" s="15">
        <v>23</v>
      </c>
      <c r="J6" s="15">
        <v>10</v>
      </c>
      <c r="K6" s="15">
        <v>8</v>
      </c>
      <c r="L6" s="15">
        <v>1</v>
      </c>
      <c r="M6" s="73">
        <v>0.46</v>
      </c>
      <c r="N6" s="104">
        <v>2</v>
      </c>
      <c r="O6" s="57">
        <v>7000</v>
      </c>
      <c r="P6" s="58">
        <f t="shared" si="0"/>
        <v>14000</v>
      </c>
    </row>
    <row r="7" spans="1:16" ht="26.25" customHeight="1" x14ac:dyDescent="0.2">
      <c r="A7" s="100"/>
      <c r="B7" s="100"/>
      <c r="C7" s="65" t="s">
        <v>2136</v>
      </c>
      <c r="D7" s="70" t="s">
        <v>57</v>
      </c>
      <c r="E7" s="12">
        <v>44544</v>
      </c>
      <c r="F7" s="68" t="s">
        <v>59</v>
      </c>
      <c r="G7" s="12">
        <v>44552</v>
      </c>
      <c r="H7" s="69" t="s">
        <v>2130</v>
      </c>
      <c r="I7" s="15">
        <v>54</v>
      </c>
      <c r="J7" s="15">
        <v>25</v>
      </c>
      <c r="K7" s="15">
        <v>20</v>
      </c>
      <c r="L7" s="15">
        <v>3</v>
      </c>
      <c r="M7" s="73">
        <v>6.75</v>
      </c>
      <c r="N7" s="104">
        <v>6.75</v>
      </c>
      <c r="O7" s="57">
        <v>7000</v>
      </c>
      <c r="P7" s="58">
        <f t="shared" si="0"/>
        <v>47250</v>
      </c>
    </row>
    <row r="8" spans="1:16" ht="26.25" customHeight="1" x14ac:dyDescent="0.2">
      <c r="A8" s="100"/>
      <c r="B8" s="100"/>
      <c r="C8" s="65" t="s">
        <v>2137</v>
      </c>
      <c r="D8" s="70" t="s">
        <v>57</v>
      </c>
      <c r="E8" s="12">
        <v>44544</v>
      </c>
      <c r="F8" s="68" t="s">
        <v>59</v>
      </c>
      <c r="G8" s="12">
        <v>44552</v>
      </c>
      <c r="H8" s="69" t="s">
        <v>2130</v>
      </c>
      <c r="I8" s="15">
        <v>80</v>
      </c>
      <c r="J8" s="15">
        <v>50</v>
      </c>
      <c r="K8" s="15">
        <v>33</v>
      </c>
      <c r="L8" s="15">
        <v>9</v>
      </c>
      <c r="M8" s="73">
        <v>33</v>
      </c>
      <c r="N8" s="104">
        <v>33</v>
      </c>
      <c r="O8" s="57">
        <v>7000</v>
      </c>
      <c r="P8" s="58">
        <f t="shared" si="0"/>
        <v>231000</v>
      </c>
    </row>
    <row r="9" spans="1:16" ht="26.25" customHeight="1" x14ac:dyDescent="0.2">
      <c r="A9" s="100"/>
      <c r="B9" s="100"/>
      <c r="C9" s="65" t="s">
        <v>2138</v>
      </c>
      <c r="D9" s="70" t="s">
        <v>57</v>
      </c>
      <c r="E9" s="12">
        <v>44544</v>
      </c>
      <c r="F9" s="68" t="s">
        <v>59</v>
      </c>
      <c r="G9" s="12">
        <v>44552</v>
      </c>
      <c r="H9" s="69" t="s">
        <v>2130</v>
      </c>
      <c r="I9" s="15">
        <v>64</v>
      </c>
      <c r="J9" s="15">
        <v>60</v>
      </c>
      <c r="K9" s="15">
        <v>23</v>
      </c>
      <c r="L9" s="15">
        <v>8</v>
      </c>
      <c r="M9" s="73">
        <v>22.08</v>
      </c>
      <c r="N9" s="104">
        <v>22.08</v>
      </c>
      <c r="O9" s="57">
        <v>7000</v>
      </c>
      <c r="P9" s="58">
        <f t="shared" si="0"/>
        <v>154560</v>
      </c>
    </row>
    <row r="10" spans="1:16" ht="26.25" customHeight="1" x14ac:dyDescent="0.2">
      <c r="A10" s="100"/>
      <c r="B10" s="100"/>
      <c r="C10" s="65" t="s">
        <v>2139</v>
      </c>
      <c r="D10" s="70" t="s">
        <v>57</v>
      </c>
      <c r="E10" s="12">
        <v>44544</v>
      </c>
      <c r="F10" s="68" t="s">
        <v>59</v>
      </c>
      <c r="G10" s="12">
        <v>44552</v>
      </c>
      <c r="H10" s="69" t="s">
        <v>2130</v>
      </c>
      <c r="I10" s="15">
        <v>82</v>
      </c>
      <c r="J10" s="15">
        <v>60</v>
      </c>
      <c r="K10" s="15">
        <v>18</v>
      </c>
      <c r="L10" s="15">
        <v>5</v>
      </c>
      <c r="M10" s="73">
        <v>22.14</v>
      </c>
      <c r="N10" s="104">
        <v>22.14</v>
      </c>
      <c r="O10" s="57">
        <v>7000</v>
      </c>
      <c r="P10" s="58">
        <f t="shared" si="0"/>
        <v>154980</v>
      </c>
    </row>
    <row r="11" spans="1:16" ht="26.25" customHeight="1" x14ac:dyDescent="0.2">
      <c r="A11" s="100"/>
      <c r="B11" s="100"/>
      <c r="C11" s="65" t="s">
        <v>2140</v>
      </c>
      <c r="D11" s="70" t="s">
        <v>57</v>
      </c>
      <c r="E11" s="12">
        <v>44544</v>
      </c>
      <c r="F11" s="68" t="s">
        <v>59</v>
      </c>
      <c r="G11" s="12">
        <v>44552</v>
      </c>
      <c r="H11" s="69" t="s">
        <v>2130</v>
      </c>
      <c r="I11" s="15">
        <v>85</v>
      </c>
      <c r="J11" s="15">
        <v>56</v>
      </c>
      <c r="K11" s="15">
        <v>26</v>
      </c>
      <c r="L11" s="15">
        <v>8</v>
      </c>
      <c r="M11" s="73">
        <v>30.94</v>
      </c>
      <c r="N11" s="104">
        <v>30.94</v>
      </c>
      <c r="O11" s="57">
        <v>7000</v>
      </c>
      <c r="P11" s="58">
        <f t="shared" si="0"/>
        <v>216580</v>
      </c>
    </row>
    <row r="12" spans="1:16" ht="26.25" customHeight="1" x14ac:dyDescent="0.2">
      <c r="A12" s="100"/>
      <c r="B12" s="100"/>
      <c r="C12" s="65" t="s">
        <v>2141</v>
      </c>
      <c r="D12" s="70" t="s">
        <v>57</v>
      </c>
      <c r="E12" s="12">
        <v>44544</v>
      </c>
      <c r="F12" s="68" t="s">
        <v>59</v>
      </c>
      <c r="G12" s="12">
        <v>44552</v>
      </c>
      <c r="H12" s="69" t="s">
        <v>2130</v>
      </c>
      <c r="I12" s="15">
        <v>92</v>
      </c>
      <c r="J12" s="15">
        <v>54</v>
      </c>
      <c r="K12" s="15">
        <v>14</v>
      </c>
      <c r="L12" s="15">
        <v>7</v>
      </c>
      <c r="M12" s="73">
        <v>17.388000000000002</v>
      </c>
      <c r="N12" s="104">
        <v>18</v>
      </c>
      <c r="O12" s="57">
        <v>7000</v>
      </c>
      <c r="P12" s="58">
        <f t="shared" si="0"/>
        <v>126000</v>
      </c>
    </row>
    <row r="13" spans="1:16" ht="26.25" customHeight="1" x14ac:dyDescent="0.2">
      <c r="A13" s="100"/>
      <c r="B13" s="100"/>
      <c r="C13" s="65" t="s">
        <v>2142</v>
      </c>
      <c r="D13" s="70" t="s">
        <v>57</v>
      </c>
      <c r="E13" s="12">
        <v>44544</v>
      </c>
      <c r="F13" s="68" t="s">
        <v>59</v>
      </c>
      <c r="G13" s="12">
        <v>44552</v>
      </c>
      <c r="H13" s="69" t="s">
        <v>2130</v>
      </c>
      <c r="I13" s="15">
        <v>77</v>
      </c>
      <c r="J13" s="15">
        <v>64</v>
      </c>
      <c r="K13" s="15">
        <v>18</v>
      </c>
      <c r="L13" s="15">
        <v>12</v>
      </c>
      <c r="M13" s="73">
        <v>22.175999999999998</v>
      </c>
      <c r="N13" s="104">
        <v>22.175999999999998</v>
      </c>
      <c r="O13" s="57">
        <v>7000</v>
      </c>
      <c r="P13" s="58">
        <f t="shared" si="0"/>
        <v>155232</v>
      </c>
    </row>
    <row r="14" spans="1:16" ht="26.25" customHeight="1" x14ac:dyDescent="0.2">
      <c r="A14" s="100"/>
      <c r="B14" s="100"/>
      <c r="C14" s="65" t="s">
        <v>2143</v>
      </c>
      <c r="D14" s="70" t="s">
        <v>57</v>
      </c>
      <c r="E14" s="12">
        <v>44544</v>
      </c>
      <c r="F14" s="68" t="s">
        <v>59</v>
      </c>
      <c r="G14" s="12">
        <v>44552</v>
      </c>
      <c r="H14" s="69" t="s">
        <v>2130</v>
      </c>
      <c r="I14" s="15">
        <v>47</v>
      </c>
      <c r="J14" s="15">
        <v>44</v>
      </c>
      <c r="K14" s="15">
        <v>32</v>
      </c>
      <c r="L14" s="15">
        <v>5</v>
      </c>
      <c r="M14" s="73">
        <v>16.544</v>
      </c>
      <c r="N14" s="104">
        <v>16.544</v>
      </c>
      <c r="O14" s="57">
        <v>7000</v>
      </c>
      <c r="P14" s="58">
        <f t="shared" si="0"/>
        <v>115808</v>
      </c>
    </row>
    <row r="15" spans="1:16" ht="26.25" customHeight="1" x14ac:dyDescent="0.2">
      <c r="A15" s="100"/>
      <c r="B15" s="100"/>
      <c r="C15" s="65" t="s">
        <v>2144</v>
      </c>
      <c r="D15" s="70" t="s">
        <v>57</v>
      </c>
      <c r="E15" s="12">
        <v>44544</v>
      </c>
      <c r="F15" s="68" t="s">
        <v>59</v>
      </c>
      <c r="G15" s="12">
        <v>44552</v>
      </c>
      <c r="H15" s="69" t="s">
        <v>2130</v>
      </c>
      <c r="I15" s="15">
        <v>55</v>
      </c>
      <c r="J15" s="15">
        <v>36</v>
      </c>
      <c r="K15" s="15">
        <v>17</v>
      </c>
      <c r="L15" s="15">
        <v>4</v>
      </c>
      <c r="M15" s="73">
        <v>8.4149999999999991</v>
      </c>
      <c r="N15" s="104">
        <v>9</v>
      </c>
      <c r="O15" s="57">
        <v>7000</v>
      </c>
      <c r="P15" s="58">
        <f t="shared" si="0"/>
        <v>63000</v>
      </c>
    </row>
    <row r="16" spans="1:16" ht="26.25" customHeight="1" x14ac:dyDescent="0.2">
      <c r="A16" s="100"/>
      <c r="B16" s="100"/>
      <c r="C16" s="65" t="s">
        <v>2145</v>
      </c>
      <c r="D16" s="70" t="s">
        <v>57</v>
      </c>
      <c r="E16" s="12">
        <v>44544</v>
      </c>
      <c r="F16" s="68" t="s">
        <v>59</v>
      </c>
      <c r="G16" s="12">
        <v>44552</v>
      </c>
      <c r="H16" s="69" t="s">
        <v>2130</v>
      </c>
      <c r="I16" s="15">
        <v>50</v>
      </c>
      <c r="J16" s="15">
        <v>50</v>
      </c>
      <c r="K16" s="15">
        <v>18</v>
      </c>
      <c r="L16" s="15">
        <v>5</v>
      </c>
      <c r="M16" s="73">
        <v>11.25</v>
      </c>
      <c r="N16" s="104">
        <v>11.25</v>
      </c>
      <c r="O16" s="57">
        <v>7000</v>
      </c>
      <c r="P16" s="58">
        <f t="shared" si="0"/>
        <v>78750</v>
      </c>
    </row>
    <row r="17" spans="1:16" ht="26.25" customHeight="1" x14ac:dyDescent="0.2">
      <c r="A17" s="100"/>
      <c r="B17" s="100"/>
      <c r="C17" s="65" t="s">
        <v>2146</v>
      </c>
      <c r="D17" s="70" t="s">
        <v>57</v>
      </c>
      <c r="E17" s="12">
        <v>44544</v>
      </c>
      <c r="F17" s="68" t="s">
        <v>59</v>
      </c>
      <c r="G17" s="12">
        <v>44552</v>
      </c>
      <c r="H17" s="69" t="s">
        <v>2130</v>
      </c>
      <c r="I17" s="15">
        <v>48</v>
      </c>
      <c r="J17" s="15">
        <v>38</v>
      </c>
      <c r="K17" s="15">
        <v>15</v>
      </c>
      <c r="L17" s="15">
        <v>2</v>
      </c>
      <c r="M17" s="73">
        <v>6.84</v>
      </c>
      <c r="N17" s="104">
        <v>6.84</v>
      </c>
      <c r="O17" s="57">
        <v>7000</v>
      </c>
      <c r="P17" s="58">
        <f t="shared" si="0"/>
        <v>47880</v>
      </c>
    </row>
    <row r="18" spans="1:16" ht="26.25" customHeight="1" x14ac:dyDescent="0.2">
      <c r="A18" s="100"/>
      <c r="B18" s="100"/>
      <c r="C18" s="65" t="s">
        <v>2147</v>
      </c>
      <c r="D18" s="70" t="s">
        <v>57</v>
      </c>
      <c r="E18" s="12">
        <v>44544</v>
      </c>
      <c r="F18" s="68" t="s">
        <v>59</v>
      </c>
      <c r="G18" s="12">
        <v>44552</v>
      </c>
      <c r="H18" s="69" t="s">
        <v>2130</v>
      </c>
      <c r="I18" s="15">
        <v>46</v>
      </c>
      <c r="J18" s="15">
        <v>30</v>
      </c>
      <c r="K18" s="15">
        <v>32</v>
      </c>
      <c r="L18" s="15">
        <v>8</v>
      </c>
      <c r="M18" s="73">
        <v>11.04</v>
      </c>
      <c r="N18" s="104">
        <v>11.04</v>
      </c>
      <c r="O18" s="57">
        <v>7000</v>
      </c>
      <c r="P18" s="58">
        <f t="shared" si="0"/>
        <v>77280</v>
      </c>
    </row>
    <row r="19" spans="1:16" ht="26.25" customHeight="1" x14ac:dyDescent="0.2">
      <c r="A19" s="100"/>
      <c r="B19" s="100"/>
      <c r="C19" s="65" t="s">
        <v>2148</v>
      </c>
      <c r="D19" s="70" t="s">
        <v>57</v>
      </c>
      <c r="E19" s="12">
        <v>44544</v>
      </c>
      <c r="F19" s="68" t="s">
        <v>59</v>
      </c>
      <c r="G19" s="12">
        <v>44552</v>
      </c>
      <c r="H19" s="69" t="s">
        <v>2130</v>
      </c>
      <c r="I19" s="15">
        <v>66</v>
      </c>
      <c r="J19" s="15">
        <v>53</v>
      </c>
      <c r="K19" s="15">
        <v>23</v>
      </c>
      <c r="L19" s="15">
        <v>2</v>
      </c>
      <c r="M19" s="73">
        <v>20.113499999999998</v>
      </c>
      <c r="N19" s="104">
        <v>20.113499999999998</v>
      </c>
      <c r="O19" s="57">
        <v>7000</v>
      </c>
      <c r="P19" s="58">
        <f t="shared" si="0"/>
        <v>140794.5</v>
      </c>
    </row>
    <row r="20" spans="1:16" ht="26.25" customHeight="1" x14ac:dyDescent="0.2">
      <c r="A20" s="100"/>
      <c r="B20" s="100"/>
      <c r="C20" s="65" t="s">
        <v>2149</v>
      </c>
      <c r="D20" s="70" t="s">
        <v>57</v>
      </c>
      <c r="E20" s="12">
        <v>44544</v>
      </c>
      <c r="F20" s="68" t="s">
        <v>59</v>
      </c>
      <c r="G20" s="12">
        <v>44552</v>
      </c>
      <c r="H20" s="69" t="s">
        <v>2130</v>
      </c>
      <c r="I20" s="15">
        <v>52</v>
      </c>
      <c r="J20" s="15">
        <v>38</v>
      </c>
      <c r="K20" s="15">
        <v>15</v>
      </c>
      <c r="L20" s="15">
        <v>4</v>
      </c>
      <c r="M20" s="73">
        <v>7.41</v>
      </c>
      <c r="N20" s="104">
        <v>8</v>
      </c>
      <c r="O20" s="57">
        <v>7000</v>
      </c>
      <c r="P20" s="58">
        <f t="shared" si="0"/>
        <v>56000</v>
      </c>
    </row>
    <row r="21" spans="1:16" ht="26.25" customHeight="1" x14ac:dyDescent="0.2">
      <c r="A21" s="100"/>
      <c r="B21" s="100"/>
      <c r="C21" s="65" t="s">
        <v>2150</v>
      </c>
      <c r="D21" s="70" t="s">
        <v>57</v>
      </c>
      <c r="E21" s="12">
        <v>44544</v>
      </c>
      <c r="F21" s="68" t="s">
        <v>59</v>
      </c>
      <c r="G21" s="12">
        <v>44552</v>
      </c>
      <c r="H21" s="69" t="s">
        <v>2130</v>
      </c>
      <c r="I21" s="15">
        <v>70</v>
      </c>
      <c r="J21" s="15">
        <v>65</v>
      </c>
      <c r="K21" s="15">
        <v>23</v>
      </c>
      <c r="L21" s="15">
        <v>5</v>
      </c>
      <c r="M21" s="73">
        <v>26.162500000000001</v>
      </c>
      <c r="N21" s="104">
        <v>26.162500000000001</v>
      </c>
      <c r="O21" s="57">
        <v>7000</v>
      </c>
      <c r="P21" s="58">
        <f t="shared" si="0"/>
        <v>183137.5</v>
      </c>
    </row>
    <row r="22" spans="1:16" ht="26.25" customHeight="1" x14ac:dyDescent="0.2">
      <c r="A22" s="100"/>
      <c r="B22" s="100"/>
      <c r="C22" s="65" t="s">
        <v>2151</v>
      </c>
      <c r="D22" s="70" t="s">
        <v>57</v>
      </c>
      <c r="E22" s="12">
        <v>44544</v>
      </c>
      <c r="F22" s="68" t="s">
        <v>59</v>
      </c>
      <c r="G22" s="12">
        <v>44552</v>
      </c>
      <c r="H22" s="69" t="s">
        <v>2130</v>
      </c>
      <c r="I22" s="15">
        <v>56</v>
      </c>
      <c r="J22" s="15">
        <v>38</v>
      </c>
      <c r="K22" s="15">
        <v>27</v>
      </c>
      <c r="L22" s="15">
        <v>4</v>
      </c>
      <c r="M22" s="73">
        <v>14.364000000000001</v>
      </c>
      <c r="N22" s="104">
        <v>15</v>
      </c>
      <c r="O22" s="57">
        <v>7000</v>
      </c>
      <c r="P22" s="58">
        <f t="shared" si="0"/>
        <v>105000</v>
      </c>
    </row>
    <row r="23" spans="1:16" ht="26.25" customHeight="1" x14ac:dyDescent="0.2">
      <c r="A23" s="100"/>
      <c r="B23" s="100"/>
      <c r="C23" s="65" t="s">
        <v>2152</v>
      </c>
      <c r="D23" s="70" t="s">
        <v>57</v>
      </c>
      <c r="E23" s="12">
        <v>44544</v>
      </c>
      <c r="F23" s="68" t="s">
        <v>59</v>
      </c>
      <c r="G23" s="12">
        <v>44552</v>
      </c>
      <c r="H23" s="69" t="s">
        <v>2130</v>
      </c>
      <c r="I23" s="15">
        <v>77</v>
      </c>
      <c r="J23" s="15">
        <v>43</v>
      </c>
      <c r="K23" s="15">
        <v>18</v>
      </c>
      <c r="L23" s="15">
        <v>18</v>
      </c>
      <c r="M23" s="73">
        <v>14.8995</v>
      </c>
      <c r="N23" s="104">
        <v>18</v>
      </c>
      <c r="O23" s="57">
        <v>7000</v>
      </c>
      <c r="P23" s="58">
        <f t="shared" si="0"/>
        <v>126000</v>
      </c>
    </row>
    <row r="24" spans="1:16" ht="26.25" customHeight="1" x14ac:dyDescent="0.2">
      <c r="A24" s="100"/>
      <c r="B24" s="100"/>
      <c r="C24" s="65" t="s">
        <v>2153</v>
      </c>
      <c r="D24" s="70" t="s">
        <v>57</v>
      </c>
      <c r="E24" s="12">
        <v>44544</v>
      </c>
      <c r="F24" s="68" t="s">
        <v>59</v>
      </c>
      <c r="G24" s="12">
        <v>44552</v>
      </c>
      <c r="H24" s="69" t="s">
        <v>2130</v>
      </c>
      <c r="I24" s="15">
        <v>92</v>
      </c>
      <c r="J24" s="15">
        <v>54</v>
      </c>
      <c r="K24" s="15">
        <v>22</v>
      </c>
      <c r="L24" s="15">
        <v>15</v>
      </c>
      <c r="M24" s="73">
        <v>27.324000000000002</v>
      </c>
      <c r="N24" s="104">
        <v>28</v>
      </c>
      <c r="O24" s="57">
        <v>7000</v>
      </c>
      <c r="P24" s="58">
        <f t="shared" si="0"/>
        <v>196000</v>
      </c>
    </row>
    <row r="25" spans="1:16" ht="26.25" customHeight="1" x14ac:dyDescent="0.2">
      <c r="A25" s="100"/>
      <c r="B25" s="100"/>
      <c r="C25" s="65" t="s">
        <v>2154</v>
      </c>
      <c r="D25" s="70" t="s">
        <v>57</v>
      </c>
      <c r="E25" s="12">
        <v>44544</v>
      </c>
      <c r="F25" s="68" t="s">
        <v>59</v>
      </c>
      <c r="G25" s="12">
        <v>44552</v>
      </c>
      <c r="H25" s="69" t="s">
        <v>2130</v>
      </c>
      <c r="I25" s="15">
        <v>82</v>
      </c>
      <c r="J25" s="15">
        <v>42</v>
      </c>
      <c r="K25" s="15">
        <v>37</v>
      </c>
      <c r="L25" s="15">
        <v>19</v>
      </c>
      <c r="M25" s="73">
        <v>31.856999999999999</v>
      </c>
      <c r="N25" s="104">
        <v>31.856999999999999</v>
      </c>
      <c r="O25" s="57">
        <v>7000</v>
      </c>
      <c r="P25" s="58">
        <f t="shared" si="0"/>
        <v>222999</v>
      </c>
    </row>
    <row r="26" spans="1:16" ht="26.25" customHeight="1" x14ac:dyDescent="0.2">
      <c r="A26" s="100"/>
      <c r="B26" s="100"/>
      <c r="C26" s="65" t="s">
        <v>2155</v>
      </c>
      <c r="D26" s="70" t="s">
        <v>57</v>
      </c>
      <c r="E26" s="12">
        <v>44544</v>
      </c>
      <c r="F26" s="68" t="s">
        <v>59</v>
      </c>
      <c r="G26" s="12">
        <v>44552</v>
      </c>
      <c r="H26" s="69" t="s">
        <v>2130</v>
      </c>
      <c r="I26" s="15">
        <v>72</v>
      </c>
      <c r="J26" s="15">
        <v>48</v>
      </c>
      <c r="K26" s="15">
        <v>27</v>
      </c>
      <c r="L26" s="15">
        <v>5</v>
      </c>
      <c r="M26" s="73">
        <v>23.327999999999999</v>
      </c>
      <c r="N26" s="104">
        <v>24</v>
      </c>
      <c r="O26" s="57">
        <v>7000</v>
      </c>
      <c r="P26" s="58">
        <f t="shared" si="0"/>
        <v>168000</v>
      </c>
    </row>
    <row r="27" spans="1:16" ht="26.25" customHeight="1" x14ac:dyDescent="0.2">
      <c r="A27" s="100"/>
      <c r="B27" s="101"/>
      <c r="C27" s="65" t="s">
        <v>2156</v>
      </c>
      <c r="D27" s="70" t="s">
        <v>57</v>
      </c>
      <c r="E27" s="12">
        <v>44544</v>
      </c>
      <c r="F27" s="68" t="s">
        <v>59</v>
      </c>
      <c r="G27" s="12">
        <v>44552</v>
      </c>
      <c r="H27" s="69" t="s">
        <v>2130</v>
      </c>
      <c r="I27" s="15">
        <v>104</v>
      </c>
      <c r="J27" s="15">
        <v>62</v>
      </c>
      <c r="K27" s="15">
        <v>27</v>
      </c>
      <c r="L27" s="15">
        <v>24</v>
      </c>
      <c r="M27" s="73">
        <v>43.524000000000001</v>
      </c>
      <c r="N27" s="104">
        <v>43.524000000000001</v>
      </c>
      <c r="O27" s="57">
        <v>7000</v>
      </c>
      <c r="P27" s="58">
        <f t="shared" si="0"/>
        <v>304668</v>
      </c>
    </row>
    <row r="28" spans="1:16" ht="26.25" customHeight="1" x14ac:dyDescent="0.2">
      <c r="A28" s="100"/>
      <c r="B28" s="100" t="s">
        <v>2157</v>
      </c>
      <c r="C28" s="65" t="s">
        <v>2158</v>
      </c>
      <c r="D28" s="70" t="s">
        <v>57</v>
      </c>
      <c r="E28" s="12">
        <v>44544</v>
      </c>
      <c r="F28" s="68" t="s">
        <v>59</v>
      </c>
      <c r="G28" s="12">
        <v>44552</v>
      </c>
      <c r="H28" s="69" t="s">
        <v>2130</v>
      </c>
      <c r="I28" s="15">
        <v>42</v>
      </c>
      <c r="J28" s="15">
        <v>38</v>
      </c>
      <c r="K28" s="15">
        <v>17</v>
      </c>
      <c r="L28" s="15">
        <v>5</v>
      </c>
      <c r="M28" s="73">
        <v>6.7830000000000004</v>
      </c>
      <c r="N28" s="104">
        <v>6.7830000000000004</v>
      </c>
      <c r="O28" s="57">
        <v>7000</v>
      </c>
      <c r="P28" s="58">
        <f t="shared" si="0"/>
        <v>47481</v>
      </c>
    </row>
    <row r="29" spans="1:16" ht="26.25" customHeight="1" x14ac:dyDescent="0.2">
      <c r="A29" s="100"/>
      <c r="B29" s="100"/>
      <c r="C29" s="65" t="s">
        <v>2159</v>
      </c>
      <c r="D29" s="70" t="s">
        <v>57</v>
      </c>
      <c r="E29" s="12">
        <v>44544</v>
      </c>
      <c r="F29" s="68" t="s">
        <v>59</v>
      </c>
      <c r="G29" s="12">
        <v>44552</v>
      </c>
      <c r="H29" s="69" t="s">
        <v>2130</v>
      </c>
      <c r="I29" s="15">
        <v>65</v>
      </c>
      <c r="J29" s="15">
        <v>58</v>
      </c>
      <c r="K29" s="15">
        <v>34</v>
      </c>
      <c r="L29" s="15">
        <v>13</v>
      </c>
      <c r="M29" s="73">
        <v>32.045000000000002</v>
      </c>
      <c r="N29" s="104">
        <v>32.045000000000002</v>
      </c>
      <c r="O29" s="57">
        <v>7000</v>
      </c>
      <c r="P29" s="58">
        <f t="shared" si="0"/>
        <v>224315</v>
      </c>
    </row>
    <row r="30" spans="1:16" ht="26.25" customHeight="1" x14ac:dyDescent="0.2">
      <c r="A30" s="100"/>
      <c r="B30" s="100"/>
      <c r="C30" s="90" t="s">
        <v>2160</v>
      </c>
      <c r="D30" s="102" t="s">
        <v>57</v>
      </c>
      <c r="E30" s="91">
        <v>44544</v>
      </c>
      <c r="F30" s="102" t="s">
        <v>59</v>
      </c>
      <c r="G30" s="91">
        <v>44552</v>
      </c>
      <c r="H30" s="90" t="s">
        <v>2130</v>
      </c>
      <c r="I30" s="90">
        <v>85</v>
      </c>
      <c r="J30" s="90">
        <v>65</v>
      </c>
      <c r="K30" s="90">
        <v>32</v>
      </c>
      <c r="L30" s="90">
        <v>16</v>
      </c>
      <c r="M30" s="90">
        <v>44.2</v>
      </c>
      <c r="N30" s="104">
        <v>44.2</v>
      </c>
      <c r="O30" s="57">
        <v>7000</v>
      </c>
      <c r="P30" s="58">
        <f t="shared" si="0"/>
        <v>309400</v>
      </c>
    </row>
    <row r="31" spans="1:16" ht="26.25" customHeight="1" x14ac:dyDescent="0.2">
      <c r="A31" s="100"/>
      <c r="B31" s="100"/>
      <c r="C31" s="90" t="s">
        <v>2161</v>
      </c>
      <c r="D31" s="102" t="s">
        <v>57</v>
      </c>
      <c r="E31" s="91">
        <v>44544</v>
      </c>
      <c r="F31" s="102" t="s">
        <v>59</v>
      </c>
      <c r="G31" s="91">
        <v>44552</v>
      </c>
      <c r="H31" s="90" t="s">
        <v>2130</v>
      </c>
      <c r="I31" s="90">
        <v>73</v>
      </c>
      <c r="J31" s="90">
        <v>47</v>
      </c>
      <c r="K31" s="90">
        <v>33</v>
      </c>
      <c r="L31" s="90">
        <v>16</v>
      </c>
      <c r="M31" s="90">
        <v>28.30575</v>
      </c>
      <c r="N31" s="104">
        <v>30</v>
      </c>
      <c r="O31" s="57">
        <v>7000</v>
      </c>
      <c r="P31" s="58">
        <f t="shared" si="0"/>
        <v>210000</v>
      </c>
    </row>
    <row r="32" spans="1:16" ht="22.5" customHeight="1" x14ac:dyDescent="0.2">
      <c r="A32" s="159" t="s">
        <v>30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1"/>
      <c r="M32" s="71">
        <f>SUBTOTAL(109,Table22457891011234567891011121314151617181920212223242526272829303132333435373839[KG VOLUME])</f>
        <v>558.34924999999998</v>
      </c>
      <c r="N32" s="61">
        <f>SUM(N3:N31)</f>
        <v>569.95500000000004</v>
      </c>
      <c r="O32" s="162">
        <f>SUM(P3:P31)</f>
        <v>3989685</v>
      </c>
      <c r="P32" s="163"/>
    </row>
    <row r="33" spans="1:16" ht="18" customHeight="1" x14ac:dyDescent="0.2">
      <c r="A33" s="78"/>
      <c r="B33" s="49" t="s">
        <v>42</v>
      </c>
      <c r="C33" s="48"/>
      <c r="D33" s="50" t="s">
        <v>43</v>
      </c>
      <c r="E33" s="78"/>
      <c r="F33" s="78"/>
      <c r="G33" s="78"/>
      <c r="H33" s="78"/>
      <c r="I33" s="78"/>
      <c r="J33" s="78"/>
      <c r="K33" s="78"/>
      <c r="L33" s="78"/>
      <c r="M33" s="79"/>
      <c r="N33" s="80" t="s">
        <v>52</v>
      </c>
      <c r="O33" s="81"/>
      <c r="P33" s="81">
        <v>0</v>
      </c>
    </row>
    <row r="34" spans="1:16" ht="18" customHeight="1" thickBot="1" x14ac:dyDescent="0.25">
      <c r="A34" s="78"/>
      <c r="B34" s="49"/>
      <c r="C34" s="48"/>
      <c r="D34" s="50"/>
      <c r="E34" s="78"/>
      <c r="F34" s="78"/>
      <c r="G34" s="78"/>
      <c r="H34" s="78"/>
      <c r="I34" s="78"/>
      <c r="J34" s="78"/>
      <c r="K34" s="78"/>
      <c r="L34" s="78"/>
      <c r="M34" s="79"/>
      <c r="N34" s="82" t="s">
        <v>53</v>
      </c>
      <c r="O34" s="83"/>
      <c r="P34" s="83">
        <f>O32-P33</f>
        <v>3989685</v>
      </c>
    </row>
    <row r="35" spans="1:16" ht="18" customHeight="1" x14ac:dyDescent="0.2">
      <c r="A35" s="10"/>
      <c r="H35" s="56"/>
      <c r="N35" s="55" t="s">
        <v>31</v>
      </c>
      <c r="P35" s="62">
        <f>P34*1%</f>
        <v>39896.85</v>
      </c>
    </row>
    <row r="36" spans="1:16" ht="18" customHeight="1" thickBot="1" x14ac:dyDescent="0.25">
      <c r="A36" s="10"/>
      <c r="H36" s="56"/>
      <c r="N36" s="55" t="s">
        <v>54</v>
      </c>
      <c r="P36" s="64">
        <f>P34*2%</f>
        <v>79793.7</v>
      </c>
    </row>
    <row r="37" spans="1:16" ht="18" customHeight="1" x14ac:dyDescent="0.2">
      <c r="A37" s="10"/>
      <c r="H37" s="56"/>
      <c r="N37" s="59" t="s">
        <v>32</v>
      </c>
      <c r="O37" s="60"/>
      <c r="P37" s="63">
        <f>P34+P35-P36</f>
        <v>3949788.15</v>
      </c>
    </row>
    <row r="39" spans="1:16" x14ac:dyDescent="0.2">
      <c r="A39" s="10"/>
      <c r="H39" s="56"/>
      <c r="P39" s="64"/>
    </row>
    <row r="40" spans="1:16" x14ac:dyDescent="0.2">
      <c r="A40" s="10"/>
      <c r="H40" s="56"/>
      <c r="O40" s="51"/>
      <c r="P40" s="6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</sheetData>
  <mergeCells count="2">
    <mergeCell ref="A32:L32"/>
    <mergeCell ref="O32:P32"/>
  </mergeCells>
  <conditionalFormatting sqref="C3:C31">
    <cfRule type="duplicateValues" dxfId="991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3"/>
  <sheetViews>
    <sheetView zoomScale="110" zoomScaleNormal="110" workbookViewId="0">
      <pane xSplit="3" ySplit="2" topLeftCell="D27" activePane="bottomRight" state="frozen"/>
      <selection activeCell="H12" sqref="H12"/>
      <selection pane="topRight" activeCell="H12" sqref="H12"/>
      <selection pane="bottomLeft" activeCell="H12" sqref="H12"/>
      <selection pane="bottomRight" activeCell="H35" sqref="H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3.25" customHeight="1" x14ac:dyDescent="0.2">
      <c r="A3" s="108">
        <v>403958</v>
      </c>
      <c r="B3" s="66" t="s">
        <v>125</v>
      </c>
      <c r="C3" s="8" t="s">
        <v>126</v>
      </c>
      <c r="D3" s="68" t="s">
        <v>57</v>
      </c>
      <c r="E3" s="12">
        <v>44532</v>
      </c>
      <c r="F3" s="68" t="s">
        <v>58</v>
      </c>
      <c r="G3" s="12">
        <v>44536</v>
      </c>
      <c r="H3" s="9" t="s">
        <v>157</v>
      </c>
      <c r="I3" s="1">
        <v>162</v>
      </c>
      <c r="J3" s="1">
        <v>36</v>
      </c>
      <c r="K3" s="1">
        <v>17</v>
      </c>
      <c r="L3" s="1">
        <v>15</v>
      </c>
      <c r="M3" s="72">
        <v>24.786000000000001</v>
      </c>
      <c r="N3" s="88">
        <v>24.786000000000001</v>
      </c>
      <c r="O3" s="57">
        <v>7000</v>
      </c>
      <c r="P3" s="58">
        <f>N3*O3</f>
        <v>173502</v>
      </c>
    </row>
    <row r="4" spans="1:16" ht="23.25" customHeight="1" x14ac:dyDescent="0.2">
      <c r="A4" s="13"/>
      <c r="B4" s="67"/>
      <c r="C4" s="8" t="s">
        <v>127</v>
      </c>
      <c r="D4" s="68" t="s">
        <v>57</v>
      </c>
      <c r="E4" s="12">
        <v>44532</v>
      </c>
      <c r="F4" s="68" t="s">
        <v>58</v>
      </c>
      <c r="G4" s="12">
        <v>44536</v>
      </c>
      <c r="H4" s="9" t="s">
        <v>157</v>
      </c>
      <c r="I4" s="1">
        <v>83</v>
      </c>
      <c r="J4" s="1">
        <v>67</v>
      </c>
      <c r="K4" s="1">
        <v>10</v>
      </c>
      <c r="L4" s="1">
        <v>9</v>
      </c>
      <c r="M4" s="72">
        <v>13.9025</v>
      </c>
      <c r="N4" s="88">
        <v>13.9025</v>
      </c>
      <c r="O4" s="57">
        <v>7000</v>
      </c>
      <c r="P4" s="58">
        <f t="shared" ref="P4:P32" si="0">N4*O4</f>
        <v>97317.5</v>
      </c>
    </row>
    <row r="5" spans="1:16" ht="23.25" customHeight="1" x14ac:dyDescent="0.2">
      <c r="A5" s="13"/>
      <c r="B5" s="13"/>
      <c r="C5" s="8" t="s">
        <v>128</v>
      </c>
      <c r="D5" s="68" t="s">
        <v>57</v>
      </c>
      <c r="E5" s="12">
        <v>44532</v>
      </c>
      <c r="F5" s="68" t="s">
        <v>58</v>
      </c>
      <c r="G5" s="12">
        <v>44536</v>
      </c>
      <c r="H5" s="9" t="s">
        <v>157</v>
      </c>
      <c r="I5" s="1">
        <v>80</v>
      </c>
      <c r="J5" s="1">
        <v>60</v>
      </c>
      <c r="K5" s="1">
        <v>27</v>
      </c>
      <c r="L5" s="1">
        <v>5</v>
      </c>
      <c r="M5" s="72">
        <v>32.4</v>
      </c>
      <c r="N5" s="88">
        <v>33</v>
      </c>
      <c r="O5" s="57">
        <v>7000</v>
      </c>
      <c r="P5" s="58">
        <f t="shared" si="0"/>
        <v>231000</v>
      </c>
    </row>
    <row r="6" spans="1:16" ht="23.25" customHeight="1" x14ac:dyDescent="0.2">
      <c r="A6" s="13"/>
      <c r="B6" s="13"/>
      <c r="C6" s="65" t="s">
        <v>129</v>
      </c>
      <c r="D6" s="70" t="s">
        <v>57</v>
      </c>
      <c r="E6" s="12">
        <v>44532</v>
      </c>
      <c r="F6" s="68" t="s">
        <v>58</v>
      </c>
      <c r="G6" s="12">
        <v>44536</v>
      </c>
      <c r="H6" s="69" t="s">
        <v>157</v>
      </c>
      <c r="I6" s="15">
        <v>42</v>
      </c>
      <c r="J6" s="15">
        <v>46</v>
      </c>
      <c r="K6" s="15">
        <v>14</v>
      </c>
      <c r="L6" s="15">
        <v>2</v>
      </c>
      <c r="M6" s="73">
        <v>6.7619999999999996</v>
      </c>
      <c r="N6" s="88">
        <v>6.7619999999999996</v>
      </c>
      <c r="O6" s="57">
        <v>7000</v>
      </c>
      <c r="P6" s="58">
        <f t="shared" si="0"/>
        <v>47334</v>
      </c>
    </row>
    <row r="7" spans="1:16" ht="23.25" customHeight="1" x14ac:dyDescent="0.2">
      <c r="A7" s="13"/>
      <c r="B7" s="13"/>
      <c r="C7" s="65" t="s">
        <v>130</v>
      </c>
      <c r="D7" s="70" t="s">
        <v>57</v>
      </c>
      <c r="E7" s="12">
        <v>44532</v>
      </c>
      <c r="F7" s="68" t="s">
        <v>58</v>
      </c>
      <c r="G7" s="12">
        <v>44536</v>
      </c>
      <c r="H7" s="69" t="s">
        <v>157</v>
      </c>
      <c r="I7" s="15">
        <v>74</v>
      </c>
      <c r="J7" s="15">
        <v>40</v>
      </c>
      <c r="K7" s="15">
        <v>21</v>
      </c>
      <c r="L7" s="15">
        <v>5</v>
      </c>
      <c r="M7" s="73">
        <v>15.54</v>
      </c>
      <c r="N7" s="88">
        <v>15.54</v>
      </c>
      <c r="O7" s="57">
        <v>7000</v>
      </c>
      <c r="P7" s="58">
        <f t="shared" si="0"/>
        <v>108780</v>
      </c>
    </row>
    <row r="8" spans="1:16" ht="23.25" customHeight="1" x14ac:dyDescent="0.2">
      <c r="A8" s="13"/>
      <c r="B8" s="13"/>
      <c r="C8" s="65" t="s">
        <v>131</v>
      </c>
      <c r="D8" s="70" t="s">
        <v>57</v>
      </c>
      <c r="E8" s="12">
        <v>44532</v>
      </c>
      <c r="F8" s="68" t="s">
        <v>58</v>
      </c>
      <c r="G8" s="12">
        <v>44536</v>
      </c>
      <c r="H8" s="69" t="s">
        <v>157</v>
      </c>
      <c r="I8" s="15">
        <v>125</v>
      </c>
      <c r="J8" s="15">
        <v>12</v>
      </c>
      <c r="K8" s="15">
        <v>8</v>
      </c>
      <c r="L8" s="15">
        <v>1</v>
      </c>
      <c r="M8" s="73">
        <v>3</v>
      </c>
      <c r="N8" s="88">
        <v>3</v>
      </c>
      <c r="O8" s="57">
        <v>7000</v>
      </c>
      <c r="P8" s="58">
        <f t="shared" si="0"/>
        <v>21000</v>
      </c>
    </row>
    <row r="9" spans="1:16" ht="23.25" customHeight="1" x14ac:dyDescent="0.2">
      <c r="A9" s="13"/>
      <c r="B9" s="13"/>
      <c r="C9" s="65" t="s">
        <v>132</v>
      </c>
      <c r="D9" s="70" t="s">
        <v>57</v>
      </c>
      <c r="E9" s="12">
        <v>44532</v>
      </c>
      <c r="F9" s="68" t="s">
        <v>58</v>
      </c>
      <c r="G9" s="12">
        <v>44536</v>
      </c>
      <c r="H9" s="69" t="s">
        <v>157</v>
      </c>
      <c r="I9" s="15">
        <v>67</v>
      </c>
      <c r="J9" s="15">
        <v>42</v>
      </c>
      <c r="K9" s="15">
        <v>30</v>
      </c>
      <c r="L9" s="15">
        <v>4</v>
      </c>
      <c r="M9" s="73">
        <v>21.105</v>
      </c>
      <c r="N9" s="88">
        <v>21.105</v>
      </c>
      <c r="O9" s="57">
        <v>7000</v>
      </c>
      <c r="P9" s="58">
        <f t="shared" si="0"/>
        <v>147735</v>
      </c>
    </row>
    <row r="10" spans="1:16" ht="23.25" customHeight="1" x14ac:dyDescent="0.2">
      <c r="A10" s="13"/>
      <c r="B10" s="13"/>
      <c r="C10" s="65" t="s">
        <v>133</v>
      </c>
      <c r="D10" s="70" t="s">
        <v>57</v>
      </c>
      <c r="E10" s="12">
        <v>44532</v>
      </c>
      <c r="F10" s="68" t="s">
        <v>58</v>
      </c>
      <c r="G10" s="12">
        <v>44536</v>
      </c>
      <c r="H10" s="69" t="s">
        <v>157</v>
      </c>
      <c r="I10" s="15">
        <v>54</v>
      </c>
      <c r="J10" s="15">
        <v>40</v>
      </c>
      <c r="K10" s="15">
        <v>27</v>
      </c>
      <c r="L10" s="15">
        <v>7</v>
      </c>
      <c r="M10" s="73">
        <v>14.58</v>
      </c>
      <c r="N10" s="88">
        <v>14.58</v>
      </c>
      <c r="O10" s="57">
        <v>7000</v>
      </c>
      <c r="P10" s="58">
        <f t="shared" si="0"/>
        <v>102060</v>
      </c>
    </row>
    <row r="11" spans="1:16" ht="23.25" customHeight="1" x14ac:dyDescent="0.2">
      <c r="A11" s="13"/>
      <c r="B11" s="13"/>
      <c r="C11" s="65" t="s">
        <v>134</v>
      </c>
      <c r="D11" s="70" t="s">
        <v>57</v>
      </c>
      <c r="E11" s="12">
        <v>44532</v>
      </c>
      <c r="F11" s="68" t="s">
        <v>58</v>
      </c>
      <c r="G11" s="12">
        <v>44536</v>
      </c>
      <c r="H11" s="69" t="s">
        <v>157</v>
      </c>
      <c r="I11" s="15">
        <v>40</v>
      </c>
      <c r="J11" s="15">
        <v>33</v>
      </c>
      <c r="K11" s="15">
        <v>19</v>
      </c>
      <c r="L11" s="15">
        <v>1</v>
      </c>
      <c r="M11" s="73">
        <v>6.27</v>
      </c>
      <c r="N11" s="88">
        <v>6.27</v>
      </c>
      <c r="O11" s="57">
        <v>7000</v>
      </c>
      <c r="P11" s="58">
        <f t="shared" si="0"/>
        <v>43890</v>
      </c>
    </row>
    <row r="12" spans="1:16" ht="23.25" customHeight="1" x14ac:dyDescent="0.2">
      <c r="A12" s="13"/>
      <c r="B12" s="13"/>
      <c r="C12" s="65" t="s">
        <v>135</v>
      </c>
      <c r="D12" s="70" t="s">
        <v>57</v>
      </c>
      <c r="E12" s="12">
        <v>44532</v>
      </c>
      <c r="F12" s="68" t="s">
        <v>58</v>
      </c>
      <c r="G12" s="12">
        <v>44536</v>
      </c>
      <c r="H12" s="69" t="s">
        <v>157</v>
      </c>
      <c r="I12" s="15">
        <v>52</v>
      </c>
      <c r="J12" s="15">
        <v>30</v>
      </c>
      <c r="K12" s="15">
        <v>10</v>
      </c>
      <c r="L12" s="15">
        <v>2</v>
      </c>
      <c r="M12" s="73">
        <v>3.9</v>
      </c>
      <c r="N12" s="88">
        <v>3.9</v>
      </c>
      <c r="O12" s="57">
        <v>7000</v>
      </c>
      <c r="P12" s="58">
        <f t="shared" si="0"/>
        <v>27300</v>
      </c>
    </row>
    <row r="13" spans="1:16" ht="23.25" customHeight="1" x14ac:dyDescent="0.2">
      <c r="A13" s="13"/>
      <c r="B13" s="13"/>
      <c r="C13" s="65" t="s">
        <v>136</v>
      </c>
      <c r="D13" s="70" t="s">
        <v>57</v>
      </c>
      <c r="E13" s="12">
        <v>44532</v>
      </c>
      <c r="F13" s="68" t="s">
        <v>58</v>
      </c>
      <c r="G13" s="12">
        <v>44536</v>
      </c>
      <c r="H13" s="69" t="s">
        <v>157</v>
      </c>
      <c r="I13" s="15">
        <v>86</v>
      </c>
      <c r="J13" s="15">
        <v>40</v>
      </c>
      <c r="K13" s="15">
        <v>30</v>
      </c>
      <c r="L13" s="15">
        <v>8</v>
      </c>
      <c r="M13" s="73">
        <v>25.8</v>
      </c>
      <c r="N13" s="88">
        <v>25.8</v>
      </c>
      <c r="O13" s="57">
        <v>7000</v>
      </c>
      <c r="P13" s="58">
        <f t="shared" si="0"/>
        <v>180600</v>
      </c>
    </row>
    <row r="14" spans="1:16" ht="23.25" customHeight="1" x14ac:dyDescent="0.2">
      <c r="A14" s="13"/>
      <c r="B14" s="13"/>
      <c r="C14" s="65" t="s">
        <v>137</v>
      </c>
      <c r="D14" s="70" t="s">
        <v>57</v>
      </c>
      <c r="E14" s="12">
        <v>44532</v>
      </c>
      <c r="F14" s="68" t="s">
        <v>58</v>
      </c>
      <c r="G14" s="12">
        <v>44536</v>
      </c>
      <c r="H14" s="69" t="s">
        <v>157</v>
      </c>
      <c r="I14" s="15">
        <v>53</v>
      </c>
      <c r="J14" s="15">
        <v>38</v>
      </c>
      <c r="K14" s="15">
        <v>14</v>
      </c>
      <c r="L14" s="15">
        <v>1</v>
      </c>
      <c r="M14" s="73">
        <v>7.0490000000000004</v>
      </c>
      <c r="N14" s="88">
        <v>7.0490000000000004</v>
      </c>
      <c r="O14" s="57">
        <v>7000</v>
      </c>
      <c r="P14" s="58">
        <f t="shared" si="0"/>
        <v>49343</v>
      </c>
    </row>
    <row r="15" spans="1:16" ht="23.25" customHeight="1" x14ac:dyDescent="0.2">
      <c r="A15" s="13"/>
      <c r="B15" s="13"/>
      <c r="C15" s="65" t="s">
        <v>138</v>
      </c>
      <c r="D15" s="70" t="s">
        <v>57</v>
      </c>
      <c r="E15" s="12">
        <v>44532</v>
      </c>
      <c r="F15" s="68" t="s">
        <v>58</v>
      </c>
      <c r="G15" s="12">
        <v>44536</v>
      </c>
      <c r="H15" s="69" t="s">
        <v>157</v>
      </c>
      <c r="I15" s="15">
        <v>56</v>
      </c>
      <c r="J15" s="15">
        <v>42</v>
      </c>
      <c r="K15" s="15">
        <v>21</v>
      </c>
      <c r="L15" s="15">
        <v>4</v>
      </c>
      <c r="M15" s="73">
        <v>12.348000000000001</v>
      </c>
      <c r="N15" s="88">
        <v>13</v>
      </c>
      <c r="O15" s="57">
        <v>7000</v>
      </c>
      <c r="P15" s="58">
        <f t="shared" si="0"/>
        <v>91000</v>
      </c>
    </row>
    <row r="16" spans="1:16" ht="23.25" customHeight="1" x14ac:dyDescent="0.2">
      <c r="A16" s="13"/>
      <c r="B16" s="13"/>
      <c r="C16" s="65" t="s">
        <v>139</v>
      </c>
      <c r="D16" s="70" t="s">
        <v>57</v>
      </c>
      <c r="E16" s="12">
        <v>44532</v>
      </c>
      <c r="F16" s="68" t="s">
        <v>58</v>
      </c>
      <c r="G16" s="12">
        <v>44536</v>
      </c>
      <c r="H16" s="69" t="s">
        <v>157</v>
      </c>
      <c r="I16" s="15">
        <v>38</v>
      </c>
      <c r="J16" s="15">
        <v>30</v>
      </c>
      <c r="K16" s="15">
        <v>10</v>
      </c>
      <c r="L16" s="15">
        <v>1</v>
      </c>
      <c r="M16" s="73">
        <v>2.85</v>
      </c>
      <c r="N16" s="88">
        <v>2.85</v>
      </c>
      <c r="O16" s="57">
        <v>7000</v>
      </c>
      <c r="P16" s="58">
        <f t="shared" si="0"/>
        <v>19950</v>
      </c>
    </row>
    <row r="17" spans="1:16" ht="23.25" customHeight="1" x14ac:dyDescent="0.2">
      <c r="A17" s="13"/>
      <c r="B17" s="13"/>
      <c r="C17" s="65" t="s">
        <v>140</v>
      </c>
      <c r="D17" s="70" t="s">
        <v>57</v>
      </c>
      <c r="E17" s="12">
        <v>44532</v>
      </c>
      <c r="F17" s="68" t="s">
        <v>58</v>
      </c>
      <c r="G17" s="12">
        <v>44536</v>
      </c>
      <c r="H17" s="69" t="s">
        <v>157</v>
      </c>
      <c r="I17" s="15">
        <v>40</v>
      </c>
      <c r="J17" s="15">
        <v>40</v>
      </c>
      <c r="K17" s="15">
        <v>16</v>
      </c>
      <c r="L17" s="15">
        <v>2</v>
      </c>
      <c r="M17" s="73">
        <v>6.4</v>
      </c>
      <c r="N17" s="88">
        <v>7</v>
      </c>
      <c r="O17" s="57">
        <v>7000</v>
      </c>
      <c r="P17" s="58">
        <f t="shared" si="0"/>
        <v>49000</v>
      </c>
    </row>
    <row r="18" spans="1:16" ht="23.25" customHeight="1" x14ac:dyDescent="0.2">
      <c r="A18" s="13"/>
      <c r="B18" s="13"/>
      <c r="C18" s="65" t="s">
        <v>141</v>
      </c>
      <c r="D18" s="70" t="s">
        <v>57</v>
      </c>
      <c r="E18" s="12">
        <v>44532</v>
      </c>
      <c r="F18" s="68" t="s">
        <v>58</v>
      </c>
      <c r="G18" s="12">
        <v>44536</v>
      </c>
      <c r="H18" s="69" t="s">
        <v>157</v>
      </c>
      <c r="I18" s="15">
        <v>78</v>
      </c>
      <c r="J18" s="15">
        <v>56</v>
      </c>
      <c r="K18" s="15">
        <v>45</v>
      </c>
      <c r="L18" s="15">
        <v>12</v>
      </c>
      <c r="M18" s="73">
        <v>49.14</v>
      </c>
      <c r="N18" s="88">
        <v>49.14</v>
      </c>
      <c r="O18" s="57">
        <v>7000</v>
      </c>
      <c r="P18" s="58">
        <f t="shared" si="0"/>
        <v>343980</v>
      </c>
    </row>
    <row r="19" spans="1:16" ht="23.25" customHeight="1" x14ac:dyDescent="0.2">
      <c r="A19" s="13"/>
      <c r="B19" s="13"/>
      <c r="C19" s="65" t="s">
        <v>142</v>
      </c>
      <c r="D19" s="70" t="s">
        <v>57</v>
      </c>
      <c r="E19" s="12">
        <v>44532</v>
      </c>
      <c r="F19" s="68" t="s">
        <v>58</v>
      </c>
      <c r="G19" s="12">
        <v>44536</v>
      </c>
      <c r="H19" s="69" t="s">
        <v>157</v>
      </c>
      <c r="I19" s="15">
        <v>87</v>
      </c>
      <c r="J19" s="15">
        <v>44</v>
      </c>
      <c r="K19" s="15">
        <v>28</v>
      </c>
      <c r="L19" s="15">
        <v>8</v>
      </c>
      <c r="M19" s="73">
        <v>26.795999999999999</v>
      </c>
      <c r="N19" s="88">
        <v>26.795999999999999</v>
      </c>
      <c r="O19" s="57">
        <v>7000</v>
      </c>
      <c r="P19" s="58">
        <f t="shared" si="0"/>
        <v>187572</v>
      </c>
    </row>
    <row r="20" spans="1:16" ht="23.25" customHeight="1" x14ac:dyDescent="0.2">
      <c r="A20" s="13"/>
      <c r="B20" s="13"/>
      <c r="C20" s="65" t="s">
        <v>143</v>
      </c>
      <c r="D20" s="70" t="s">
        <v>57</v>
      </c>
      <c r="E20" s="12">
        <v>44532</v>
      </c>
      <c r="F20" s="68" t="s">
        <v>58</v>
      </c>
      <c r="G20" s="12">
        <v>44536</v>
      </c>
      <c r="H20" s="69" t="s">
        <v>157</v>
      </c>
      <c r="I20" s="15">
        <v>57</v>
      </c>
      <c r="J20" s="15">
        <v>38</v>
      </c>
      <c r="K20" s="15">
        <v>27</v>
      </c>
      <c r="L20" s="15">
        <v>5</v>
      </c>
      <c r="M20" s="73">
        <v>14.6205</v>
      </c>
      <c r="N20" s="88">
        <v>14.6205</v>
      </c>
      <c r="O20" s="57">
        <v>7000</v>
      </c>
      <c r="P20" s="58">
        <f t="shared" si="0"/>
        <v>102343.5</v>
      </c>
    </row>
    <row r="21" spans="1:16" ht="23.25" customHeight="1" x14ac:dyDescent="0.2">
      <c r="A21" s="13"/>
      <c r="B21" s="13"/>
      <c r="C21" s="65" t="s">
        <v>144</v>
      </c>
      <c r="D21" s="70" t="s">
        <v>57</v>
      </c>
      <c r="E21" s="12">
        <v>44532</v>
      </c>
      <c r="F21" s="68" t="s">
        <v>58</v>
      </c>
      <c r="G21" s="12">
        <v>44536</v>
      </c>
      <c r="H21" s="69" t="s">
        <v>157</v>
      </c>
      <c r="I21" s="15">
        <v>100</v>
      </c>
      <c r="J21" s="15">
        <v>57</v>
      </c>
      <c r="K21" s="15">
        <v>40</v>
      </c>
      <c r="L21" s="15">
        <v>33</v>
      </c>
      <c r="M21" s="73">
        <v>57</v>
      </c>
      <c r="N21" s="88">
        <v>57</v>
      </c>
      <c r="O21" s="57">
        <v>7000</v>
      </c>
      <c r="P21" s="58">
        <f t="shared" si="0"/>
        <v>399000</v>
      </c>
    </row>
    <row r="22" spans="1:16" ht="23.25" customHeight="1" x14ac:dyDescent="0.2">
      <c r="A22" s="13"/>
      <c r="B22" s="13"/>
      <c r="C22" s="65" t="s">
        <v>145</v>
      </c>
      <c r="D22" s="70" t="s">
        <v>57</v>
      </c>
      <c r="E22" s="12">
        <v>44532</v>
      </c>
      <c r="F22" s="68" t="s">
        <v>58</v>
      </c>
      <c r="G22" s="12">
        <v>44536</v>
      </c>
      <c r="H22" s="69" t="s">
        <v>157</v>
      </c>
      <c r="I22" s="15">
        <v>45</v>
      </c>
      <c r="J22" s="15">
        <v>26</v>
      </c>
      <c r="K22" s="15">
        <v>20</v>
      </c>
      <c r="L22" s="15">
        <v>12</v>
      </c>
      <c r="M22" s="73">
        <v>5.85</v>
      </c>
      <c r="N22" s="88">
        <v>12</v>
      </c>
      <c r="O22" s="57">
        <v>7000</v>
      </c>
      <c r="P22" s="58">
        <f t="shared" si="0"/>
        <v>84000</v>
      </c>
    </row>
    <row r="23" spans="1:16" ht="23.25" customHeight="1" x14ac:dyDescent="0.2">
      <c r="A23" s="13"/>
      <c r="B23" s="13"/>
      <c r="C23" s="65" t="s">
        <v>146</v>
      </c>
      <c r="D23" s="70" t="s">
        <v>57</v>
      </c>
      <c r="E23" s="12">
        <v>44532</v>
      </c>
      <c r="F23" s="68" t="s">
        <v>58</v>
      </c>
      <c r="G23" s="12">
        <v>44536</v>
      </c>
      <c r="H23" s="69" t="s">
        <v>157</v>
      </c>
      <c r="I23" s="15">
        <v>40</v>
      </c>
      <c r="J23" s="15">
        <v>38</v>
      </c>
      <c r="K23" s="15">
        <v>21</v>
      </c>
      <c r="L23" s="15">
        <v>1</v>
      </c>
      <c r="M23" s="73">
        <v>7.98</v>
      </c>
      <c r="N23" s="88">
        <v>7.98</v>
      </c>
      <c r="O23" s="57">
        <v>7000</v>
      </c>
      <c r="P23" s="58">
        <f t="shared" si="0"/>
        <v>55860</v>
      </c>
    </row>
    <row r="24" spans="1:16" ht="23.25" customHeight="1" x14ac:dyDescent="0.2">
      <c r="A24" s="13"/>
      <c r="B24" s="13"/>
      <c r="C24" s="65" t="s">
        <v>147</v>
      </c>
      <c r="D24" s="70" t="s">
        <v>57</v>
      </c>
      <c r="E24" s="12">
        <v>44532</v>
      </c>
      <c r="F24" s="68" t="s">
        <v>58</v>
      </c>
      <c r="G24" s="12">
        <v>44536</v>
      </c>
      <c r="H24" s="69" t="s">
        <v>157</v>
      </c>
      <c r="I24" s="15">
        <v>30</v>
      </c>
      <c r="J24" s="15">
        <v>20</v>
      </c>
      <c r="K24" s="15">
        <v>10</v>
      </c>
      <c r="L24" s="15">
        <v>1</v>
      </c>
      <c r="M24" s="73">
        <v>1.5</v>
      </c>
      <c r="N24" s="88">
        <v>3</v>
      </c>
      <c r="O24" s="57">
        <v>7000</v>
      </c>
      <c r="P24" s="58">
        <f t="shared" si="0"/>
        <v>21000</v>
      </c>
    </row>
    <row r="25" spans="1:16" ht="23.25" customHeight="1" x14ac:dyDescent="0.2">
      <c r="A25" s="13"/>
      <c r="B25" s="13"/>
      <c r="C25" s="65" t="s">
        <v>148</v>
      </c>
      <c r="D25" s="70" t="s">
        <v>57</v>
      </c>
      <c r="E25" s="12">
        <v>44532</v>
      </c>
      <c r="F25" s="68" t="s">
        <v>58</v>
      </c>
      <c r="G25" s="12">
        <v>44536</v>
      </c>
      <c r="H25" s="69" t="s">
        <v>157</v>
      </c>
      <c r="I25" s="15">
        <v>44</v>
      </c>
      <c r="J25" s="15">
        <v>35</v>
      </c>
      <c r="K25" s="15">
        <v>15</v>
      </c>
      <c r="L25" s="15">
        <v>3</v>
      </c>
      <c r="M25" s="73">
        <v>5.7750000000000004</v>
      </c>
      <c r="N25" s="88">
        <v>5.7750000000000004</v>
      </c>
      <c r="O25" s="57">
        <v>7000</v>
      </c>
      <c r="P25" s="58">
        <f t="shared" si="0"/>
        <v>40425</v>
      </c>
    </row>
    <row r="26" spans="1:16" ht="23.25" customHeight="1" x14ac:dyDescent="0.2">
      <c r="A26" s="13"/>
      <c r="B26" s="13"/>
      <c r="C26" s="65" t="s">
        <v>149</v>
      </c>
      <c r="D26" s="70" t="s">
        <v>57</v>
      </c>
      <c r="E26" s="12">
        <v>44532</v>
      </c>
      <c r="F26" s="68" t="s">
        <v>58</v>
      </c>
      <c r="G26" s="12">
        <v>44536</v>
      </c>
      <c r="H26" s="69" t="s">
        <v>157</v>
      </c>
      <c r="I26" s="15">
        <v>40</v>
      </c>
      <c r="J26" s="15">
        <v>34</v>
      </c>
      <c r="K26" s="15">
        <v>34</v>
      </c>
      <c r="L26" s="15">
        <v>6</v>
      </c>
      <c r="M26" s="73">
        <v>11.56</v>
      </c>
      <c r="N26" s="88">
        <v>11.56</v>
      </c>
      <c r="O26" s="57">
        <v>7000</v>
      </c>
      <c r="P26" s="58">
        <f t="shared" si="0"/>
        <v>80920</v>
      </c>
    </row>
    <row r="27" spans="1:16" ht="23.25" customHeight="1" x14ac:dyDescent="0.2">
      <c r="A27" s="13"/>
      <c r="B27" s="13"/>
      <c r="C27" s="65" t="s">
        <v>150</v>
      </c>
      <c r="D27" s="70" t="s">
        <v>57</v>
      </c>
      <c r="E27" s="12">
        <v>44532</v>
      </c>
      <c r="F27" s="68" t="s">
        <v>58</v>
      </c>
      <c r="G27" s="12">
        <v>44536</v>
      </c>
      <c r="H27" s="69" t="s">
        <v>157</v>
      </c>
      <c r="I27" s="15">
        <v>77</v>
      </c>
      <c r="J27" s="15">
        <v>65</v>
      </c>
      <c r="K27" s="15">
        <v>32</v>
      </c>
      <c r="L27" s="15">
        <v>10</v>
      </c>
      <c r="M27" s="73">
        <v>40.04</v>
      </c>
      <c r="N27" s="88">
        <v>40.04</v>
      </c>
      <c r="O27" s="57">
        <v>7000</v>
      </c>
      <c r="P27" s="58">
        <f t="shared" si="0"/>
        <v>280280</v>
      </c>
    </row>
    <row r="28" spans="1:16" ht="23.25" customHeight="1" x14ac:dyDescent="0.2">
      <c r="A28" s="13"/>
      <c r="B28" s="13"/>
      <c r="C28" s="65" t="s">
        <v>151</v>
      </c>
      <c r="D28" s="70" t="s">
        <v>57</v>
      </c>
      <c r="E28" s="12">
        <v>44532</v>
      </c>
      <c r="F28" s="68" t="s">
        <v>58</v>
      </c>
      <c r="G28" s="12">
        <v>44536</v>
      </c>
      <c r="H28" s="69" t="s">
        <v>157</v>
      </c>
      <c r="I28" s="15">
        <v>60</v>
      </c>
      <c r="J28" s="15">
        <v>42</v>
      </c>
      <c r="K28" s="15">
        <v>20</v>
      </c>
      <c r="L28" s="15">
        <v>3</v>
      </c>
      <c r="M28" s="73">
        <v>12.6</v>
      </c>
      <c r="N28" s="88">
        <v>12.6</v>
      </c>
      <c r="O28" s="57">
        <v>7000</v>
      </c>
      <c r="P28" s="58">
        <f t="shared" si="0"/>
        <v>88200</v>
      </c>
    </row>
    <row r="29" spans="1:16" ht="23.25" customHeight="1" x14ac:dyDescent="0.2">
      <c r="A29" s="13"/>
      <c r="B29" s="13"/>
      <c r="C29" s="65" t="s">
        <v>152</v>
      </c>
      <c r="D29" s="70" t="s">
        <v>57</v>
      </c>
      <c r="E29" s="12">
        <v>44532</v>
      </c>
      <c r="F29" s="68" t="s">
        <v>58</v>
      </c>
      <c r="G29" s="12">
        <v>44536</v>
      </c>
      <c r="H29" s="69" t="s">
        <v>157</v>
      </c>
      <c r="I29" s="15">
        <v>65</v>
      </c>
      <c r="J29" s="15">
        <v>53</v>
      </c>
      <c r="K29" s="15">
        <v>21</v>
      </c>
      <c r="L29" s="15">
        <v>17</v>
      </c>
      <c r="M29" s="73">
        <v>18.08625</v>
      </c>
      <c r="N29" s="88">
        <v>18.08625</v>
      </c>
      <c r="O29" s="57">
        <v>7000</v>
      </c>
      <c r="P29" s="58">
        <f t="shared" si="0"/>
        <v>126603.75</v>
      </c>
    </row>
    <row r="30" spans="1:16" ht="23.25" customHeight="1" x14ac:dyDescent="0.2">
      <c r="A30" s="13"/>
      <c r="B30" s="13"/>
      <c r="C30" s="65" t="s">
        <v>153</v>
      </c>
      <c r="D30" s="70" t="s">
        <v>57</v>
      </c>
      <c r="E30" s="12">
        <v>44532</v>
      </c>
      <c r="F30" s="68" t="s">
        <v>58</v>
      </c>
      <c r="G30" s="12">
        <v>44536</v>
      </c>
      <c r="H30" s="69" t="s">
        <v>157</v>
      </c>
      <c r="I30" s="15">
        <v>57</v>
      </c>
      <c r="J30" s="15">
        <v>43</v>
      </c>
      <c r="K30" s="15">
        <v>33</v>
      </c>
      <c r="L30" s="15">
        <v>16</v>
      </c>
      <c r="M30" s="73">
        <v>20.220749999999999</v>
      </c>
      <c r="N30" s="88">
        <v>20.220749999999999</v>
      </c>
      <c r="O30" s="57">
        <v>7000</v>
      </c>
      <c r="P30" s="58">
        <f t="shared" si="0"/>
        <v>141545.25</v>
      </c>
    </row>
    <row r="31" spans="1:16" ht="23.25" customHeight="1" x14ac:dyDescent="0.2">
      <c r="A31" s="13"/>
      <c r="B31" s="103"/>
      <c r="C31" s="65" t="s">
        <v>154</v>
      </c>
      <c r="D31" s="70" t="s">
        <v>57</v>
      </c>
      <c r="E31" s="12">
        <v>44532</v>
      </c>
      <c r="F31" s="68" t="s">
        <v>58</v>
      </c>
      <c r="G31" s="12">
        <v>44536</v>
      </c>
      <c r="H31" s="69" t="s">
        <v>157</v>
      </c>
      <c r="I31" s="15">
        <v>54</v>
      </c>
      <c r="J31" s="15">
        <v>37</v>
      </c>
      <c r="K31" s="15">
        <v>37</v>
      </c>
      <c r="L31" s="15">
        <v>24</v>
      </c>
      <c r="M31" s="73">
        <v>18.4815</v>
      </c>
      <c r="N31" s="88">
        <v>25</v>
      </c>
      <c r="O31" s="57">
        <v>7000</v>
      </c>
      <c r="P31" s="58">
        <f t="shared" si="0"/>
        <v>175000</v>
      </c>
    </row>
    <row r="32" spans="1:16" ht="23.25" customHeight="1" x14ac:dyDescent="0.2">
      <c r="A32" s="13"/>
      <c r="B32" s="13" t="s">
        <v>155</v>
      </c>
      <c r="C32" s="65" t="s">
        <v>156</v>
      </c>
      <c r="D32" s="70" t="s">
        <v>57</v>
      </c>
      <c r="E32" s="12">
        <v>44532</v>
      </c>
      <c r="F32" s="68" t="s">
        <v>58</v>
      </c>
      <c r="G32" s="12">
        <v>44536</v>
      </c>
      <c r="H32" s="69" t="s">
        <v>157</v>
      </c>
      <c r="I32" s="15">
        <v>40</v>
      </c>
      <c r="J32" s="15">
        <v>30</v>
      </c>
      <c r="K32" s="15">
        <v>14</v>
      </c>
      <c r="L32" s="15">
        <v>3</v>
      </c>
      <c r="M32" s="73">
        <v>4.2</v>
      </c>
      <c r="N32" s="88">
        <v>4.2</v>
      </c>
      <c r="O32" s="57">
        <v>7000</v>
      </c>
      <c r="P32" s="58">
        <f t="shared" si="0"/>
        <v>29400</v>
      </c>
    </row>
    <row r="33" spans="1:16" ht="22.5" customHeight="1" x14ac:dyDescent="0.2">
      <c r="A33" s="159" t="s">
        <v>30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1"/>
      <c r="M33" s="71">
        <f>SUBTOTAL(109,Table22457891011234[KG VOLUME])</f>
        <v>490.54250000000008</v>
      </c>
      <c r="N33" s="61">
        <f>SUM(N3:N32)</f>
        <v>506.56300000000005</v>
      </c>
      <c r="O33" s="162">
        <f>SUM(P3:P32)</f>
        <v>3545941</v>
      </c>
      <c r="P33" s="163"/>
    </row>
    <row r="34" spans="1:16" ht="18" customHeight="1" x14ac:dyDescent="0.2">
      <c r="A34" s="78"/>
      <c r="B34" s="49" t="s">
        <v>42</v>
      </c>
      <c r="C34" s="48"/>
      <c r="D34" s="50" t="s">
        <v>43</v>
      </c>
      <c r="E34" s="78"/>
      <c r="F34" s="78"/>
      <c r="G34" s="78"/>
      <c r="H34" s="78"/>
      <c r="I34" s="78"/>
      <c r="J34" s="78"/>
      <c r="K34" s="78"/>
      <c r="L34" s="78"/>
      <c r="M34" s="79"/>
      <c r="N34" s="80" t="s">
        <v>52</v>
      </c>
      <c r="O34" s="81"/>
      <c r="P34" s="81">
        <v>0</v>
      </c>
    </row>
    <row r="35" spans="1:16" ht="18" customHeight="1" thickBot="1" x14ac:dyDescent="0.25">
      <c r="A35" s="78"/>
      <c r="B35" s="49"/>
      <c r="C35" s="48"/>
      <c r="D35" s="50"/>
      <c r="E35" s="78"/>
      <c r="F35" s="78"/>
      <c r="G35" s="78"/>
      <c r="H35" s="78"/>
      <c r="I35" s="78"/>
      <c r="J35" s="78"/>
      <c r="K35" s="78"/>
      <c r="L35" s="78"/>
      <c r="M35" s="79"/>
      <c r="N35" s="82" t="s">
        <v>53</v>
      </c>
      <c r="O35" s="83"/>
      <c r="P35" s="83">
        <f>O33-P34</f>
        <v>3545941</v>
      </c>
    </row>
    <row r="36" spans="1:16" ht="18" customHeight="1" x14ac:dyDescent="0.2">
      <c r="A36" s="10"/>
      <c r="H36" s="56"/>
      <c r="N36" s="55" t="s">
        <v>31</v>
      </c>
      <c r="P36" s="62">
        <f>P35*1%</f>
        <v>35459.410000000003</v>
      </c>
    </row>
    <row r="37" spans="1:16" ht="18" customHeight="1" thickBot="1" x14ac:dyDescent="0.25">
      <c r="A37" s="10"/>
      <c r="H37" s="56"/>
      <c r="N37" s="55" t="s">
        <v>54</v>
      </c>
      <c r="P37" s="64">
        <f>P35*2%</f>
        <v>70918.820000000007</v>
      </c>
    </row>
    <row r="38" spans="1:16" ht="18" customHeight="1" x14ac:dyDescent="0.2">
      <c r="A38" s="10"/>
      <c r="H38" s="56"/>
      <c r="N38" s="59" t="s">
        <v>32</v>
      </c>
      <c r="O38" s="60"/>
      <c r="P38" s="63">
        <f>P35+P36-P37</f>
        <v>3510481.5900000003</v>
      </c>
    </row>
    <row r="40" spans="1:16" x14ac:dyDescent="0.2">
      <c r="A40" s="10"/>
      <c r="H40" s="56"/>
      <c r="P40" s="64"/>
    </row>
    <row r="41" spans="1:16" x14ac:dyDescent="0.2">
      <c r="A41" s="10"/>
      <c r="H41" s="56"/>
      <c r="O41" s="51"/>
      <c r="P41" s="6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</sheetData>
  <mergeCells count="2">
    <mergeCell ref="A33:L33"/>
    <mergeCell ref="O33:P33"/>
  </mergeCells>
  <conditionalFormatting sqref="B3">
    <cfRule type="duplicateValues" dxfId="1565" priority="2"/>
  </conditionalFormatting>
  <conditionalFormatting sqref="B4">
    <cfRule type="duplicateValues" dxfId="1564" priority="1"/>
  </conditionalFormatting>
  <conditionalFormatting sqref="B5:B32">
    <cfRule type="duplicateValues" dxfId="1563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1"/>
  <sheetViews>
    <sheetView workbookViewId="0">
      <selection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406093</v>
      </c>
      <c r="B3" s="99" t="s">
        <v>2162</v>
      </c>
      <c r="C3" s="90" t="s">
        <v>2163</v>
      </c>
      <c r="D3" s="102" t="s">
        <v>57</v>
      </c>
      <c r="E3" s="91">
        <v>44544</v>
      </c>
      <c r="F3" s="102" t="s">
        <v>59</v>
      </c>
      <c r="G3" s="91">
        <v>44552</v>
      </c>
      <c r="H3" s="90" t="s">
        <v>2130</v>
      </c>
      <c r="I3" s="90">
        <v>78</v>
      </c>
      <c r="J3" s="90">
        <v>61</v>
      </c>
      <c r="K3" s="90">
        <v>27</v>
      </c>
      <c r="L3" s="90">
        <v>6</v>
      </c>
      <c r="M3" s="90">
        <v>32.116500000000002</v>
      </c>
      <c r="N3" s="104">
        <v>32.116500000000002</v>
      </c>
      <c r="O3" s="57">
        <v>7000</v>
      </c>
      <c r="P3" s="58">
        <f t="shared" ref="P3:P60" si="0">N3*O3</f>
        <v>224815.5</v>
      </c>
    </row>
    <row r="4" spans="1:16" ht="26.25" customHeight="1" x14ac:dyDescent="0.2">
      <c r="A4" s="100"/>
      <c r="B4" s="100"/>
      <c r="C4" s="65" t="s">
        <v>2164</v>
      </c>
      <c r="D4" s="70" t="s">
        <v>57</v>
      </c>
      <c r="E4" s="12">
        <v>44544</v>
      </c>
      <c r="F4" s="68" t="s">
        <v>59</v>
      </c>
      <c r="G4" s="12">
        <v>44552</v>
      </c>
      <c r="H4" s="69" t="s">
        <v>2130</v>
      </c>
      <c r="I4" s="15">
        <v>40</v>
      </c>
      <c r="J4" s="15">
        <v>30</v>
      </c>
      <c r="K4" s="15">
        <v>41</v>
      </c>
      <c r="L4" s="15">
        <v>5</v>
      </c>
      <c r="M4" s="73">
        <v>12.3</v>
      </c>
      <c r="N4" s="104">
        <v>13</v>
      </c>
      <c r="O4" s="57">
        <v>7000</v>
      </c>
      <c r="P4" s="58">
        <f t="shared" si="0"/>
        <v>91000</v>
      </c>
    </row>
    <row r="5" spans="1:16" ht="26.25" customHeight="1" x14ac:dyDescent="0.2">
      <c r="A5" s="100"/>
      <c r="B5" s="100"/>
      <c r="C5" s="65" t="s">
        <v>2165</v>
      </c>
      <c r="D5" s="70" t="s">
        <v>57</v>
      </c>
      <c r="E5" s="12">
        <v>44544</v>
      </c>
      <c r="F5" s="68" t="s">
        <v>59</v>
      </c>
      <c r="G5" s="12">
        <v>44552</v>
      </c>
      <c r="H5" s="69" t="s">
        <v>2130</v>
      </c>
      <c r="I5" s="15">
        <v>55</v>
      </c>
      <c r="J5" s="15">
        <v>55</v>
      </c>
      <c r="K5" s="15">
        <v>20</v>
      </c>
      <c r="L5" s="15">
        <v>7</v>
      </c>
      <c r="M5" s="73">
        <v>15.125</v>
      </c>
      <c r="N5" s="104">
        <v>15.125</v>
      </c>
      <c r="O5" s="57">
        <v>7000</v>
      </c>
      <c r="P5" s="58">
        <f t="shared" si="0"/>
        <v>105875</v>
      </c>
    </row>
    <row r="6" spans="1:16" ht="26.25" customHeight="1" x14ac:dyDescent="0.2">
      <c r="A6" s="100"/>
      <c r="B6" s="100"/>
      <c r="C6" s="65" t="s">
        <v>2166</v>
      </c>
      <c r="D6" s="70" t="s">
        <v>57</v>
      </c>
      <c r="E6" s="12">
        <v>44544</v>
      </c>
      <c r="F6" s="68" t="s">
        <v>59</v>
      </c>
      <c r="G6" s="12">
        <v>44552</v>
      </c>
      <c r="H6" s="69" t="s">
        <v>2130</v>
      </c>
      <c r="I6" s="15">
        <v>50</v>
      </c>
      <c r="J6" s="15">
        <v>50</v>
      </c>
      <c r="K6" s="15">
        <v>37</v>
      </c>
      <c r="L6" s="15">
        <v>7</v>
      </c>
      <c r="M6" s="73">
        <v>23.125</v>
      </c>
      <c r="N6" s="104">
        <v>23.125</v>
      </c>
      <c r="O6" s="57">
        <v>7000</v>
      </c>
      <c r="P6" s="58">
        <f t="shared" si="0"/>
        <v>161875</v>
      </c>
    </row>
    <row r="7" spans="1:16" ht="26.25" customHeight="1" x14ac:dyDescent="0.2">
      <c r="A7" s="100"/>
      <c r="B7" s="100"/>
      <c r="C7" s="65" t="s">
        <v>2167</v>
      </c>
      <c r="D7" s="70" t="s">
        <v>57</v>
      </c>
      <c r="E7" s="12">
        <v>44544</v>
      </c>
      <c r="F7" s="68" t="s">
        <v>59</v>
      </c>
      <c r="G7" s="12">
        <v>44552</v>
      </c>
      <c r="H7" s="69" t="s">
        <v>2130</v>
      </c>
      <c r="I7" s="15">
        <v>60</v>
      </c>
      <c r="J7" s="15">
        <v>35</v>
      </c>
      <c r="K7" s="15">
        <v>29</v>
      </c>
      <c r="L7" s="15">
        <v>12</v>
      </c>
      <c r="M7" s="73">
        <v>15.225</v>
      </c>
      <c r="N7" s="104">
        <v>15.225</v>
      </c>
      <c r="O7" s="57">
        <v>7000</v>
      </c>
      <c r="P7" s="58">
        <f t="shared" si="0"/>
        <v>106575</v>
      </c>
    </row>
    <row r="8" spans="1:16" ht="26.25" customHeight="1" x14ac:dyDescent="0.2">
      <c r="A8" s="100"/>
      <c r="B8" s="101"/>
      <c r="C8" s="65" t="s">
        <v>2168</v>
      </c>
      <c r="D8" s="70" t="s">
        <v>57</v>
      </c>
      <c r="E8" s="12">
        <v>44544</v>
      </c>
      <c r="F8" s="68" t="s">
        <v>59</v>
      </c>
      <c r="G8" s="12">
        <v>44552</v>
      </c>
      <c r="H8" s="69" t="s">
        <v>2130</v>
      </c>
      <c r="I8" s="15">
        <v>60</v>
      </c>
      <c r="J8" s="15">
        <v>50</v>
      </c>
      <c r="K8" s="15">
        <v>20</v>
      </c>
      <c r="L8" s="15">
        <v>4</v>
      </c>
      <c r="M8" s="73">
        <v>15</v>
      </c>
      <c r="N8" s="104">
        <v>15</v>
      </c>
      <c r="O8" s="57">
        <v>7000</v>
      </c>
      <c r="P8" s="58">
        <f t="shared" si="0"/>
        <v>105000</v>
      </c>
    </row>
    <row r="9" spans="1:16" ht="26.25" customHeight="1" x14ac:dyDescent="0.2">
      <c r="A9" s="100"/>
      <c r="B9" s="100" t="s">
        <v>2169</v>
      </c>
      <c r="C9" s="65" t="s">
        <v>2170</v>
      </c>
      <c r="D9" s="70" t="s">
        <v>57</v>
      </c>
      <c r="E9" s="12">
        <v>44544</v>
      </c>
      <c r="F9" s="68" t="s">
        <v>59</v>
      </c>
      <c r="G9" s="12">
        <v>44552</v>
      </c>
      <c r="H9" s="69" t="s">
        <v>2130</v>
      </c>
      <c r="I9" s="15">
        <v>61</v>
      </c>
      <c r="J9" s="15">
        <v>43</v>
      </c>
      <c r="K9" s="15">
        <v>44</v>
      </c>
      <c r="L9" s="15">
        <v>12</v>
      </c>
      <c r="M9" s="73">
        <v>28.853000000000002</v>
      </c>
      <c r="N9" s="104">
        <v>28.853000000000002</v>
      </c>
      <c r="O9" s="57">
        <v>7000</v>
      </c>
      <c r="P9" s="58">
        <f t="shared" si="0"/>
        <v>201971</v>
      </c>
    </row>
    <row r="10" spans="1:16" ht="26.25" customHeight="1" x14ac:dyDescent="0.2">
      <c r="A10" s="100"/>
      <c r="B10" s="100"/>
      <c r="C10" s="65" t="s">
        <v>2171</v>
      </c>
      <c r="D10" s="70" t="s">
        <v>57</v>
      </c>
      <c r="E10" s="12">
        <v>44544</v>
      </c>
      <c r="F10" s="68" t="s">
        <v>59</v>
      </c>
      <c r="G10" s="12">
        <v>44552</v>
      </c>
      <c r="H10" s="69" t="s">
        <v>2130</v>
      </c>
      <c r="I10" s="15">
        <v>36</v>
      </c>
      <c r="J10" s="15">
        <v>36</v>
      </c>
      <c r="K10" s="15">
        <v>36</v>
      </c>
      <c r="L10" s="15">
        <v>4</v>
      </c>
      <c r="M10" s="73">
        <v>11.664</v>
      </c>
      <c r="N10" s="104">
        <v>11.664</v>
      </c>
      <c r="O10" s="57">
        <v>7000</v>
      </c>
      <c r="P10" s="58">
        <f t="shared" si="0"/>
        <v>81648</v>
      </c>
    </row>
    <row r="11" spans="1:16" ht="26.25" customHeight="1" x14ac:dyDescent="0.2">
      <c r="A11" s="100"/>
      <c r="B11" s="100"/>
      <c r="C11" s="65" t="s">
        <v>2172</v>
      </c>
      <c r="D11" s="70" t="s">
        <v>57</v>
      </c>
      <c r="E11" s="12">
        <v>44544</v>
      </c>
      <c r="F11" s="68" t="s">
        <v>59</v>
      </c>
      <c r="G11" s="12">
        <v>44552</v>
      </c>
      <c r="H11" s="69" t="s">
        <v>2130</v>
      </c>
      <c r="I11" s="15">
        <v>44</v>
      </c>
      <c r="J11" s="15">
        <v>24</v>
      </c>
      <c r="K11" s="15">
        <v>15</v>
      </c>
      <c r="L11" s="15">
        <v>11</v>
      </c>
      <c r="M11" s="73">
        <v>3.96</v>
      </c>
      <c r="N11" s="104">
        <v>11</v>
      </c>
      <c r="O11" s="57">
        <v>7000</v>
      </c>
      <c r="P11" s="58">
        <f t="shared" si="0"/>
        <v>77000</v>
      </c>
    </row>
    <row r="12" spans="1:16" ht="26.25" customHeight="1" x14ac:dyDescent="0.2">
      <c r="A12" s="100"/>
      <c r="B12" s="100"/>
      <c r="C12" s="65" t="s">
        <v>2173</v>
      </c>
      <c r="D12" s="70" t="s">
        <v>57</v>
      </c>
      <c r="E12" s="12">
        <v>44544</v>
      </c>
      <c r="F12" s="68" t="s">
        <v>59</v>
      </c>
      <c r="G12" s="12">
        <v>44552</v>
      </c>
      <c r="H12" s="69" t="s">
        <v>2130</v>
      </c>
      <c r="I12" s="15">
        <v>101</v>
      </c>
      <c r="J12" s="15">
        <v>35</v>
      </c>
      <c r="K12" s="15">
        <v>33</v>
      </c>
      <c r="L12" s="15">
        <v>6</v>
      </c>
      <c r="M12" s="73">
        <v>29.16375</v>
      </c>
      <c r="N12" s="104">
        <v>29.16375</v>
      </c>
      <c r="O12" s="57">
        <v>7000</v>
      </c>
      <c r="P12" s="58">
        <f t="shared" si="0"/>
        <v>204146.25</v>
      </c>
    </row>
    <row r="13" spans="1:16" ht="26.25" customHeight="1" x14ac:dyDescent="0.2">
      <c r="A13" s="100"/>
      <c r="B13" s="100"/>
      <c r="C13" s="65" t="s">
        <v>2174</v>
      </c>
      <c r="D13" s="70" t="s">
        <v>57</v>
      </c>
      <c r="E13" s="12">
        <v>44544</v>
      </c>
      <c r="F13" s="68" t="s">
        <v>59</v>
      </c>
      <c r="G13" s="12">
        <v>44552</v>
      </c>
      <c r="H13" s="69" t="s">
        <v>2130</v>
      </c>
      <c r="I13" s="15">
        <v>35</v>
      </c>
      <c r="J13" s="15">
        <v>35</v>
      </c>
      <c r="K13" s="15">
        <v>32</v>
      </c>
      <c r="L13" s="15">
        <v>5</v>
      </c>
      <c r="M13" s="73">
        <v>9.8000000000000007</v>
      </c>
      <c r="N13" s="104">
        <v>9.8000000000000007</v>
      </c>
      <c r="O13" s="57">
        <v>7000</v>
      </c>
      <c r="P13" s="58">
        <f t="shared" si="0"/>
        <v>68600</v>
      </c>
    </row>
    <row r="14" spans="1:16" ht="26.25" customHeight="1" x14ac:dyDescent="0.2">
      <c r="A14" s="100"/>
      <c r="B14" s="100"/>
      <c r="C14" s="65" t="s">
        <v>2175</v>
      </c>
      <c r="D14" s="70" t="s">
        <v>57</v>
      </c>
      <c r="E14" s="12">
        <v>44544</v>
      </c>
      <c r="F14" s="68" t="s">
        <v>59</v>
      </c>
      <c r="G14" s="12">
        <v>44552</v>
      </c>
      <c r="H14" s="69" t="s">
        <v>2130</v>
      </c>
      <c r="I14" s="15">
        <v>38</v>
      </c>
      <c r="J14" s="15">
        <v>27</v>
      </c>
      <c r="K14" s="15">
        <v>27</v>
      </c>
      <c r="L14" s="15">
        <v>5</v>
      </c>
      <c r="M14" s="73">
        <v>6.9255000000000004</v>
      </c>
      <c r="N14" s="104">
        <v>6.9255000000000004</v>
      </c>
      <c r="O14" s="57">
        <v>7000</v>
      </c>
      <c r="P14" s="58">
        <f t="shared" si="0"/>
        <v>48478.5</v>
      </c>
    </row>
    <row r="15" spans="1:16" ht="26.25" customHeight="1" x14ac:dyDescent="0.2">
      <c r="A15" s="100"/>
      <c r="B15" s="100"/>
      <c r="C15" s="65" t="s">
        <v>2176</v>
      </c>
      <c r="D15" s="70" t="s">
        <v>57</v>
      </c>
      <c r="E15" s="12">
        <v>44544</v>
      </c>
      <c r="F15" s="68" t="s">
        <v>59</v>
      </c>
      <c r="G15" s="12">
        <v>44552</v>
      </c>
      <c r="H15" s="69" t="s">
        <v>2130</v>
      </c>
      <c r="I15" s="15">
        <v>54</v>
      </c>
      <c r="J15" s="15">
        <v>21</v>
      </c>
      <c r="K15" s="15">
        <v>12</v>
      </c>
      <c r="L15" s="15">
        <v>3</v>
      </c>
      <c r="M15" s="73">
        <v>3.4020000000000001</v>
      </c>
      <c r="N15" s="104">
        <v>4</v>
      </c>
      <c r="O15" s="57">
        <v>7000</v>
      </c>
      <c r="P15" s="58">
        <f t="shared" si="0"/>
        <v>28000</v>
      </c>
    </row>
    <row r="16" spans="1:16" ht="26.25" customHeight="1" x14ac:dyDescent="0.2">
      <c r="A16" s="100"/>
      <c r="B16" s="100"/>
      <c r="C16" s="65" t="s">
        <v>2177</v>
      </c>
      <c r="D16" s="70" t="s">
        <v>57</v>
      </c>
      <c r="E16" s="12">
        <v>44544</v>
      </c>
      <c r="F16" s="68" t="s">
        <v>59</v>
      </c>
      <c r="G16" s="12">
        <v>44552</v>
      </c>
      <c r="H16" s="69" t="s">
        <v>2130</v>
      </c>
      <c r="I16" s="15">
        <v>57</v>
      </c>
      <c r="J16" s="15">
        <v>34</v>
      </c>
      <c r="K16" s="15">
        <v>25</v>
      </c>
      <c r="L16" s="15">
        <v>4</v>
      </c>
      <c r="M16" s="73">
        <v>12.112500000000001</v>
      </c>
      <c r="N16" s="104">
        <v>12.112500000000001</v>
      </c>
      <c r="O16" s="57">
        <v>7000</v>
      </c>
      <c r="P16" s="58">
        <f t="shared" si="0"/>
        <v>84787.5</v>
      </c>
    </row>
    <row r="17" spans="1:16" ht="26.25" customHeight="1" x14ac:dyDescent="0.2">
      <c r="A17" s="100"/>
      <c r="B17" s="100"/>
      <c r="C17" s="65" t="s">
        <v>2178</v>
      </c>
      <c r="D17" s="70" t="s">
        <v>57</v>
      </c>
      <c r="E17" s="12">
        <v>44544</v>
      </c>
      <c r="F17" s="68" t="s">
        <v>59</v>
      </c>
      <c r="G17" s="12">
        <v>44552</v>
      </c>
      <c r="H17" s="69" t="s">
        <v>2130</v>
      </c>
      <c r="I17" s="15">
        <v>70</v>
      </c>
      <c r="J17" s="15">
        <v>47</v>
      </c>
      <c r="K17" s="15">
        <v>35</v>
      </c>
      <c r="L17" s="15">
        <v>15</v>
      </c>
      <c r="M17" s="73">
        <v>28.787500000000001</v>
      </c>
      <c r="N17" s="104">
        <v>28.787500000000001</v>
      </c>
      <c r="O17" s="57">
        <v>7000</v>
      </c>
      <c r="P17" s="58">
        <f t="shared" si="0"/>
        <v>201512.5</v>
      </c>
    </row>
    <row r="18" spans="1:16" ht="26.25" customHeight="1" x14ac:dyDescent="0.2">
      <c r="A18" s="100"/>
      <c r="B18" s="100"/>
      <c r="C18" s="65" t="s">
        <v>2179</v>
      </c>
      <c r="D18" s="70" t="s">
        <v>57</v>
      </c>
      <c r="E18" s="12">
        <v>44544</v>
      </c>
      <c r="F18" s="68" t="s">
        <v>59</v>
      </c>
      <c r="G18" s="12">
        <v>44552</v>
      </c>
      <c r="H18" s="69" t="s">
        <v>2130</v>
      </c>
      <c r="I18" s="15">
        <v>70</v>
      </c>
      <c r="J18" s="15">
        <v>44</v>
      </c>
      <c r="K18" s="15">
        <v>20</v>
      </c>
      <c r="L18" s="15">
        <v>3</v>
      </c>
      <c r="M18" s="73">
        <v>15.4</v>
      </c>
      <c r="N18" s="104">
        <v>16</v>
      </c>
      <c r="O18" s="57">
        <v>7000</v>
      </c>
      <c r="P18" s="58">
        <f t="shared" si="0"/>
        <v>112000</v>
      </c>
    </row>
    <row r="19" spans="1:16" ht="26.25" customHeight="1" x14ac:dyDescent="0.2">
      <c r="A19" s="100"/>
      <c r="B19" s="100"/>
      <c r="C19" s="65" t="s">
        <v>2180</v>
      </c>
      <c r="D19" s="70" t="s">
        <v>57</v>
      </c>
      <c r="E19" s="12">
        <v>44544</v>
      </c>
      <c r="F19" s="68" t="s">
        <v>59</v>
      </c>
      <c r="G19" s="12">
        <v>44552</v>
      </c>
      <c r="H19" s="69" t="s">
        <v>2130</v>
      </c>
      <c r="I19" s="15">
        <v>67</v>
      </c>
      <c r="J19" s="15">
        <v>20</v>
      </c>
      <c r="K19" s="15">
        <v>27</v>
      </c>
      <c r="L19" s="15">
        <v>5</v>
      </c>
      <c r="M19" s="73">
        <v>9.0449999999999999</v>
      </c>
      <c r="N19" s="104">
        <v>9.0449999999999999</v>
      </c>
      <c r="O19" s="57">
        <v>7000</v>
      </c>
      <c r="P19" s="58">
        <f t="shared" si="0"/>
        <v>63315</v>
      </c>
    </row>
    <row r="20" spans="1:16" ht="26.25" customHeight="1" x14ac:dyDescent="0.2">
      <c r="A20" s="100"/>
      <c r="B20" s="100"/>
      <c r="C20" s="65" t="s">
        <v>2181</v>
      </c>
      <c r="D20" s="70" t="s">
        <v>57</v>
      </c>
      <c r="E20" s="12">
        <v>44544</v>
      </c>
      <c r="F20" s="68" t="s">
        <v>59</v>
      </c>
      <c r="G20" s="12">
        <v>44552</v>
      </c>
      <c r="H20" s="69" t="s">
        <v>2130</v>
      </c>
      <c r="I20" s="15">
        <v>35</v>
      </c>
      <c r="J20" s="15">
        <v>28</v>
      </c>
      <c r="K20" s="15">
        <v>22</v>
      </c>
      <c r="L20" s="15">
        <v>5</v>
      </c>
      <c r="M20" s="73">
        <v>5.39</v>
      </c>
      <c r="N20" s="104">
        <v>6</v>
      </c>
      <c r="O20" s="57">
        <v>7000</v>
      </c>
      <c r="P20" s="58">
        <f t="shared" si="0"/>
        <v>42000</v>
      </c>
    </row>
    <row r="21" spans="1:16" ht="26.25" customHeight="1" x14ac:dyDescent="0.2">
      <c r="A21" s="100"/>
      <c r="B21" s="100"/>
      <c r="C21" s="65" t="s">
        <v>2182</v>
      </c>
      <c r="D21" s="70" t="s">
        <v>57</v>
      </c>
      <c r="E21" s="12">
        <v>44544</v>
      </c>
      <c r="F21" s="68" t="s">
        <v>59</v>
      </c>
      <c r="G21" s="12">
        <v>44552</v>
      </c>
      <c r="H21" s="69" t="s">
        <v>2130</v>
      </c>
      <c r="I21" s="15">
        <v>32</v>
      </c>
      <c r="J21" s="15">
        <v>23</v>
      </c>
      <c r="K21" s="15">
        <v>22</v>
      </c>
      <c r="L21" s="15">
        <v>4</v>
      </c>
      <c r="M21" s="73">
        <v>4.048</v>
      </c>
      <c r="N21" s="104">
        <v>4.048</v>
      </c>
      <c r="O21" s="57">
        <v>7000</v>
      </c>
      <c r="P21" s="58">
        <f t="shared" si="0"/>
        <v>28336</v>
      </c>
    </row>
    <row r="22" spans="1:16" ht="26.25" customHeight="1" x14ac:dyDescent="0.2">
      <c r="A22" s="100"/>
      <c r="B22" s="100"/>
      <c r="C22" s="65" t="s">
        <v>2183</v>
      </c>
      <c r="D22" s="70" t="s">
        <v>57</v>
      </c>
      <c r="E22" s="12">
        <v>44544</v>
      </c>
      <c r="F22" s="68" t="s">
        <v>59</v>
      </c>
      <c r="G22" s="12">
        <v>44552</v>
      </c>
      <c r="H22" s="69" t="s">
        <v>2130</v>
      </c>
      <c r="I22" s="15">
        <v>57</v>
      </c>
      <c r="J22" s="15">
        <v>32</v>
      </c>
      <c r="K22" s="15">
        <v>18</v>
      </c>
      <c r="L22" s="15">
        <v>5</v>
      </c>
      <c r="M22" s="73">
        <v>8.2080000000000002</v>
      </c>
      <c r="N22" s="104">
        <v>8.2080000000000002</v>
      </c>
      <c r="O22" s="57">
        <v>7000</v>
      </c>
      <c r="P22" s="58">
        <f t="shared" si="0"/>
        <v>57456</v>
      </c>
    </row>
    <row r="23" spans="1:16" ht="26.25" customHeight="1" x14ac:dyDescent="0.2">
      <c r="A23" s="100"/>
      <c r="B23" s="100"/>
      <c r="C23" s="65" t="s">
        <v>2184</v>
      </c>
      <c r="D23" s="70" t="s">
        <v>57</v>
      </c>
      <c r="E23" s="12">
        <v>44544</v>
      </c>
      <c r="F23" s="68" t="s">
        <v>59</v>
      </c>
      <c r="G23" s="12">
        <v>44552</v>
      </c>
      <c r="H23" s="69" t="s">
        <v>2130</v>
      </c>
      <c r="I23" s="15">
        <v>32</v>
      </c>
      <c r="J23" s="15">
        <v>32</v>
      </c>
      <c r="K23" s="15">
        <v>33</v>
      </c>
      <c r="L23" s="15">
        <v>5</v>
      </c>
      <c r="M23" s="73">
        <v>8.4480000000000004</v>
      </c>
      <c r="N23" s="104">
        <v>9</v>
      </c>
      <c r="O23" s="57">
        <v>7000</v>
      </c>
      <c r="P23" s="58">
        <f t="shared" si="0"/>
        <v>63000</v>
      </c>
    </row>
    <row r="24" spans="1:16" ht="26.25" customHeight="1" x14ac:dyDescent="0.2">
      <c r="A24" s="100"/>
      <c r="B24" s="100"/>
      <c r="C24" s="65" t="s">
        <v>2185</v>
      </c>
      <c r="D24" s="70" t="s">
        <v>57</v>
      </c>
      <c r="E24" s="12">
        <v>44544</v>
      </c>
      <c r="F24" s="68" t="s">
        <v>59</v>
      </c>
      <c r="G24" s="12">
        <v>44552</v>
      </c>
      <c r="H24" s="69" t="s">
        <v>2130</v>
      </c>
      <c r="I24" s="15">
        <v>54</v>
      </c>
      <c r="J24" s="15">
        <v>32</v>
      </c>
      <c r="K24" s="15">
        <v>21</v>
      </c>
      <c r="L24" s="15">
        <v>5</v>
      </c>
      <c r="M24" s="73">
        <v>9.0719999999999992</v>
      </c>
      <c r="N24" s="104">
        <v>9.0719999999999992</v>
      </c>
      <c r="O24" s="57">
        <v>7000</v>
      </c>
      <c r="P24" s="58">
        <f t="shared" si="0"/>
        <v>63503.999999999993</v>
      </c>
    </row>
    <row r="25" spans="1:16" ht="26.25" customHeight="1" x14ac:dyDescent="0.2">
      <c r="A25" s="100"/>
      <c r="B25" s="100"/>
      <c r="C25" s="65" t="s">
        <v>2186</v>
      </c>
      <c r="D25" s="70" t="s">
        <v>57</v>
      </c>
      <c r="E25" s="12">
        <v>44544</v>
      </c>
      <c r="F25" s="68" t="s">
        <v>59</v>
      </c>
      <c r="G25" s="12">
        <v>44552</v>
      </c>
      <c r="H25" s="69" t="s">
        <v>2130</v>
      </c>
      <c r="I25" s="15">
        <v>72</v>
      </c>
      <c r="J25" s="15">
        <v>16</v>
      </c>
      <c r="K25" s="15">
        <v>18</v>
      </c>
      <c r="L25" s="15">
        <v>8</v>
      </c>
      <c r="M25" s="73">
        <v>5.1840000000000002</v>
      </c>
      <c r="N25" s="104">
        <v>8</v>
      </c>
      <c r="O25" s="57">
        <v>7000</v>
      </c>
      <c r="P25" s="58">
        <f t="shared" si="0"/>
        <v>56000</v>
      </c>
    </row>
    <row r="26" spans="1:16" ht="26.25" customHeight="1" x14ac:dyDescent="0.2">
      <c r="A26" s="100"/>
      <c r="B26" s="100"/>
      <c r="C26" s="65" t="s">
        <v>2187</v>
      </c>
      <c r="D26" s="70" t="s">
        <v>57</v>
      </c>
      <c r="E26" s="12">
        <v>44544</v>
      </c>
      <c r="F26" s="68" t="s">
        <v>59</v>
      </c>
      <c r="G26" s="12">
        <v>44552</v>
      </c>
      <c r="H26" s="69" t="s">
        <v>2130</v>
      </c>
      <c r="I26" s="15">
        <v>36</v>
      </c>
      <c r="J26" s="15">
        <v>36</v>
      </c>
      <c r="K26" s="15">
        <v>12</v>
      </c>
      <c r="L26" s="15">
        <v>9</v>
      </c>
      <c r="M26" s="73">
        <v>3.8879999999999999</v>
      </c>
      <c r="N26" s="104">
        <v>9</v>
      </c>
      <c r="O26" s="57">
        <v>7000</v>
      </c>
      <c r="P26" s="58">
        <f t="shared" si="0"/>
        <v>63000</v>
      </c>
    </row>
    <row r="27" spans="1:16" ht="26.25" customHeight="1" x14ac:dyDescent="0.2">
      <c r="A27" s="100"/>
      <c r="B27" s="100"/>
      <c r="C27" s="65" t="s">
        <v>2188</v>
      </c>
      <c r="D27" s="70" t="s">
        <v>57</v>
      </c>
      <c r="E27" s="12">
        <v>44544</v>
      </c>
      <c r="F27" s="68" t="s">
        <v>59</v>
      </c>
      <c r="G27" s="12">
        <v>44552</v>
      </c>
      <c r="H27" s="69" t="s">
        <v>2130</v>
      </c>
      <c r="I27" s="15">
        <v>85</v>
      </c>
      <c r="J27" s="15">
        <v>38</v>
      </c>
      <c r="K27" s="15">
        <v>33</v>
      </c>
      <c r="L27" s="15">
        <v>14</v>
      </c>
      <c r="M27" s="73">
        <v>26.647500000000001</v>
      </c>
      <c r="N27" s="104">
        <v>26.647500000000001</v>
      </c>
      <c r="O27" s="57">
        <v>7000</v>
      </c>
      <c r="P27" s="58">
        <f t="shared" si="0"/>
        <v>186532.5</v>
      </c>
    </row>
    <row r="28" spans="1:16" ht="26.25" customHeight="1" x14ac:dyDescent="0.2">
      <c r="A28" s="100"/>
      <c r="B28" s="100"/>
      <c r="C28" s="65" t="s">
        <v>2189</v>
      </c>
      <c r="D28" s="70" t="s">
        <v>57</v>
      </c>
      <c r="E28" s="12">
        <v>44544</v>
      </c>
      <c r="F28" s="68" t="s">
        <v>59</v>
      </c>
      <c r="G28" s="12">
        <v>44552</v>
      </c>
      <c r="H28" s="69" t="s">
        <v>2130</v>
      </c>
      <c r="I28" s="15">
        <v>55</v>
      </c>
      <c r="J28" s="15">
        <v>43</v>
      </c>
      <c r="K28" s="15">
        <v>14</v>
      </c>
      <c r="L28" s="15">
        <v>7</v>
      </c>
      <c r="M28" s="73">
        <v>8.2774999999999999</v>
      </c>
      <c r="N28" s="104">
        <v>8.2774999999999999</v>
      </c>
      <c r="O28" s="57">
        <v>7000</v>
      </c>
      <c r="P28" s="58">
        <f t="shared" si="0"/>
        <v>57942.5</v>
      </c>
    </row>
    <row r="29" spans="1:16" ht="26.25" customHeight="1" x14ac:dyDescent="0.2">
      <c r="A29" s="100"/>
      <c r="B29" s="101"/>
      <c r="C29" s="65" t="s">
        <v>2190</v>
      </c>
      <c r="D29" s="70" t="s">
        <v>57</v>
      </c>
      <c r="E29" s="12">
        <v>44544</v>
      </c>
      <c r="F29" s="68" t="s">
        <v>59</v>
      </c>
      <c r="G29" s="12">
        <v>44552</v>
      </c>
      <c r="H29" s="69" t="s">
        <v>2130</v>
      </c>
      <c r="I29" s="15">
        <v>38</v>
      </c>
      <c r="J29" s="15">
        <v>32</v>
      </c>
      <c r="K29" s="15">
        <v>12</v>
      </c>
      <c r="L29" s="15">
        <v>1</v>
      </c>
      <c r="M29" s="73">
        <v>3.6480000000000001</v>
      </c>
      <c r="N29" s="104">
        <v>3.6480000000000001</v>
      </c>
      <c r="O29" s="57">
        <v>7000</v>
      </c>
      <c r="P29" s="58">
        <f t="shared" si="0"/>
        <v>25536</v>
      </c>
    </row>
    <row r="30" spans="1:16" ht="26.25" customHeight="1" x14ac:dyDescent="0.2">
      <c r="A30" s="100"/>
      <c r="B30" s="100" t="s">
        <v>2191</v>
      </c>
      <c r="C30" s="65" t="s">
        <v>2192</v>
      </c>
      <c r="D30" s="70" t="s">
        <v>57</v>
      </c>
      <c r="E30" s="12">
        <v>44544</v>
      </c>
      <c r="F30" s="68" t="s">
        <v>59</v>
      </c>
      <c r="G30" s="12">
        <v>44552</v>
      </c>
      <c r="H30" s="69" t="s">
        <v>2130</v>
      </c>
      <c r="I30" s="15">
        <v>66</v>
      </c>
      <c r="J30" s="15">
        <v>22</v>
      </c>
      <c r="K30" s="15">
        <v>22</v>
      </c>
      <c r="L30" s="15">
        <v>2</v>
      </c>
      <c r="M30" s="73">
        <v>7.9859999999999998</v>
      </c>
      <c r="N30" s="104">
        <v>7.9859999999999998</v>
      </c>
      <c r="O30" s="57">
        <v>7000</v>
      </c>
      <c r="P30" s="58">
        <f t="shared" si="0"/>
        <v>55902</v>
      </c>
    </row>
    <row r="31" spans="1:16" ht="26.25" customHeight="1" x14ac:dyDescent="0.2">
      <c r="A31" s="100"/>
      <c r="B31" s="100"/>
      <c r="C31" s="65" t="s">
        <v>2193</v>
      </c>
      <c r="D31" s="70" t="s">
        <v>57</v>
      </c>
      <c r="E31" s="12">
        <v>44544</v>
      </c>
      <c r="F31" s="68" t="s">
        <v>59</v>
      </c>
      <c r="G31" s="12">
        <v>44552</v>
      </c>
      <c r="H31" s="69" t="s">
        <v>2130</v>
      </c>
      <c r="I31" s="15">
        <v>27</v>
      </c>
      <c r="J31" s="15">
        <v>27</v>
      </c>
      <c r="K31" s="15">
        <v>21</v>
      </c>
      <c r="L31" s="15">
        <v>3</v>
      </c>
      <c r="M31" s="73">
        <v>3.8272499999999998</v>
      </c>
      <c r="N31" s="104">
        <v>3.8272499999999998</v>
      </c>
      <c r="O31" s="57">
        <v>7000</v>
      </c>
      <c r="P31" s="58">
        <f t="shared" si="0"/>
        <v>26790.75</v>
      </c>
    </row>
    <row r="32" spans="1:16" ht="26.25" customHeight="1" x14ac:dyDescent="0.2">
      <c r="A32" s="100"/>
      <c r="B32" s="100"/>
      <c r="C32" s="65" t="s">
        <v>2194</v>
      </c>
      <c r="D32" s="70" t="s">
        <v>57</v>
      </c>
      <c r="E32" s="12">
        <v>44544</v>
      </c>
      <c r="F32" s="68" t="s">
        <v>59</v>
      </c>
      <c r="G32" s="12">
        <v>44552</v>
      </c>
      <c r="H32" s="69" t="s">
        <v>2130</v>
      </c>
      <c r="I32" s="15">
        <v>150</v>
      </c>
      <c r="J32" s="15">
        <v>140</v>
      </c>
      <c r="K32" s="15">
        <v>8</v>
      </c>
      <c r="L32" s="15">
        <v>19</v>
      </c>
      <c r="M32" s="73">
        <v>42</v>
      </c>
      <c r="N32" s="104">
        <v>42</v>
      </c>
      <c r="O32" s="57">
        <v>7000</v>
      </c>
      <c r="P32" s="58">
        <f t="shared" si="0"/>
        <v>294000</v>
      </c>
    </row>
    <row r="33" spans="1:16" ht="26.25" customHeight="1" x14ac:dyDescent="0.2">
      <c r="A33" s="100"/>
      <c r="B33" s="100"/>
      <c r="C33" s="65" t="s">
        <v>2195</v>
      </c>
      <c r="D33" s="70" t="s">
        <v>57</v>
      </c>
      <c r="E33" s="12">
        <v>44544</v>
      </c>
      <c r="F33" s="68" t="s">
        <v>59</v>
      </c>
      <c r="G33" s="12">
        <v>44552</v>
      </c>
      <c r="H33" s="69" t="s">
        <v>2130</v>
      </c>
      <c r="I33" s="15">
        <v>33</v>
      </c>
      <c r="J33" s="15">
        <v>27</v>
      </c>
      <c r="K33" s="15">
        <v>42</v>
      </c>
      <c r="L33" s="15">
        <v>11</v>
      </c>
      <c r="M33" s="73">
        <v>9.3554999999999993</v>
      </c>
      <c r="N33" s="104">
        <v>12</v>
      </c>
      <c r="O33" s="57">
        <v>7000</v>
      </c>
      <c r="P33" s="58">
        <f t="shared" si="0"/>
        <v>84000</v>
      </c>
    </row>
    <row r="34" spans="1:16" ht="26.25" customHeight="1" x14ac:dyDescent="0.2">
      <c r="A34" s="100"/>
      <c r="B34" s="100"/>
      <c r="C34" s="65" t="s">
        <v>2196</v>
      </c>
      <c r="D34" s="70" t="s">
        <v>57</v>
      </c>
      <c r="E34" s="12">
        <v>44544</v>
      </c>
      <c r="F34" s="68" t="s">
        <v>59</v>
      </c>
      <c r="G34" s="12">
        <v>44552</v>
      </c>
      <c r="H34" s="69" t="s">
        <v>2130</v>
      </c>
      <c r="I34" s="15">
        <v>92</v>
      </c>
      <c r="J34" s="15">
        <v>40</v>
      </c>
      <c r="K34" s="15">
        <v>18</v>
      </c>
      <c r="L34" s="15">
        <v>5</v>
      </c>
      <c r="M34" s="73">
        <v>16.559999999999999</v>
      </c>
      <c r="N34" s="104">
        <v>16.559999999999999</v>
      </c>
      <c r="O34" s="57">
        <v>7000</v>
      </c>
      <c r="P34" s="58">
        <f t="shared" si="0"/>
        <v>115919.99999999999</v>
      </c>
    </row>
    <row r="35" spans="1:16" ht="26.25" customHeight="1" x14ac:dyDescent="0.2">
      <c r="A35" s="100"/>
      <c r="B35" s="100"/>
      <c r="C35" s="65" t="s">
        <v>2197</v>
      </c>
      <c r="D35" s="70" t="s">
        <v>57</v>
      </c>
      <c r="E35" s="12">
        <v>44544</v>
      </c>
      <c r="F35" s="68" t="s">
        <v>59</v>
      </c>
      <c r="G35" s="12">
        <v>44552</v>
      </c>
      <c r="H35" s="69" t="s">
        <v>2130</v>
      </c>
      <c r="I35" s="15">
        <v>80</v>
      </c>
      <c r="J35" s="15">
        <v>60</v>
      </c>
      <c r="K35" s="15">
        <v>21</v>
      </c>
      <c r="L35" s="15">
        <v>6</v>
      </c>
      <c r="M35" s="73">
        <v>25.2</v>
      </c>
      <c r="N35" s="104">
        <v>25.2</v>
      </c>
      <c r="O35" s="57">
        <v>7000</v>
      </c>
      <c r="P35" s="58">
        <f t="shared" si="0"/>
        <v>176400</v>
      </c>
    </row>
    <row r="36" spans="1:16" ht="26.25" customHeight="1" x14ac:dyDescent="0.2">
      <c r="A36" s="100"/>
      <c r="B36" s="100"/>
      <c r="C36" s="65" t="s">
        <v>2198</v>
      </c>
      <c r="D36" s="70" t="s">
        <v>57</v>
      </c>
      <c r="E36" s="12">
        <v>44544</v>
      </c>
      <c r="F36" s="68" t="s">
        <v>59</v>
      </c>
      <c r="G36" s="12">
        <v>44552</v>
      </c>
      <c r="H36" s="69" t="s">
        <v>2130</v>
      </c>
      <c r="I36" s="15">
        <v>72</v>
      </c>
      <c r="J36" s="15">
        <v>50</v>
      </c>
      <c r="K36" s="15">
        <v>23</v>
      </c>
      <c r="L36" s="15">
        <v>17</v>
      </c>
      <c r="M36" s="73">
        <v>20.7</v>
      </c>
      <c r="N36" s="104">
        <v>20.7</v>
      </c>
      <c r="O36" s="57">
        <v>7000</v>
      </c>
      <c r="P36" s="58">
        <f t="shared" si="0"/>
        <v>144900</v>
      </c>
    </row>
    <row r="37" spans="1:16" ht="26.25" customHeight="1" x14ac:dyDescent="0.2">
      <c r="A37" s="100"/>
      <c r="B37" s="100"/>
      <c r="C37" s="65" t="s">
        <v>2199</v>
      </c>
      <c r="D37" s="70" t="s">
        <v>57</v>
      </c>
      <c r="E37" s="12">
        <v>44544</v>
      </c>
      <c r="F37" s="68" t="s">
        <v>59</v>
      </c>
      <c r="G37" s="12">
        <v>44552</v>
      </c>
      <c r="H37" s="69" t="s">
        <v>2130</v>
      </c>
      <c r="I37" s="15">
        <v>55</v>
      </c>
      <c r="J37" s="15">
        <v>41</v>
      </c>
      <c r="K37" s="15">
        <v>16</v>
      </c>
      <c r="L37" s="15">
        <v>3</v>
      </c>
      <c r="M37" s="73">
        <v>9.02</v>
      </c>
      <c r="N37" s="104">
        <v>9.02</v>
      </c>
      <c r="O37" s="57">
        <v>7000</v>
      </c>
      <c r="P37" s="58">
        <f t="shared" si="0"/>
        <v>63140</v>
      </c>
    </row>
    <row r="38" spans="1:16" ht="26.25" customHeight="1" x14ac:dyDescent="0.2">
      <c r="A38" s="100"/>
      <c r="B38" s="100"/>
      <c r="C38" s="65" t="s">
        <v>2200</v>
      </c>
      <c r="D38" s="70" t="s">
        <v>57</v>
      </c>
      <c r="E38" s="12">
        <v>44544</v>
      </c>
      <c r="F38" s="68" t="s">
        <v>59</v>
      </c>
      <c r="G38" s="12">
        <v>44552</v>
      </c>
      <c r="H38" s="69" t="s">
        <v>2130</v>
      </c>
      <c r="I38" s="15">
        <v>74</v>
      </c>
      <c r="J38" s="15">
        <v>50</v>
      </c>
      <c r="K38" s="15">
        <v>19</v>
      </c>
      <c r="L38" s="15">
        <v>5</v>
      </c>
      <c r="M38" s="73">
        <v>17.574999999999999</v>
      </c>
      <c r="N38" s="104">
        <v>17.574999999999999</v>
      </c>
      <c r="O38" s="57">
        <v>7000</v>
      </c>
      <c r="P38" s="58">
        <f t="shared" si="0"/>
        <v>123025</v>
      </c>
    </row>
    <row r="39" spans="1:16" ht="26.25" customHeight="1" x14ac:dyDescent="0.2">
      <c r="A39" s="100"/>
      <c r="B39" s="100"/>
      <c r="C39" s="65" t="s">
        <v>2201</v>
      </c>
      <c r="D39" s="70" t="s">
        <v>57</v>
      </c>
      <c r="E39" s="12">
        <v>44544</v>
      </c>
      <c r="F39" s="68" t="s">
        <v>59</v>
      </c>
      <c r="G39" s="12">
        <v>44552</v>
      </c>
      <c r="H39" s="69" t="s">
        <v>2130</v>
      </c>
      <c r="I39" s="15">
        <v>88</v>
      </c>
      <c r="J39" s="15">
        <v>64</v>
      </c>
      <c r="K39" s="15">
        <v>31</v>
      </c>
      <c r="L39" s="15">
        <v>8</v>
      </c>
      <c r="M39" s="73">
        <v>43.648000000000003</v>
      </c>
      <c r="N39" s="104">
        <v>43.648000000000003</v>
      </c>
      <c r="O39" s="57">
        <v>7000</v>
      </c>
      <c r="P39" s="58">
        <f t="shared" si="0"/>
        <v>305536</v>
      </c>
    </row>
    <row r="40" spans="1:16" ht="26.25" customHeight="1" x14ac:dyDescent="0.2">
      <c r="A40" s="100"/>
      <c r="B40" s="100"/>
      <c r="C40" s="65" t="s">
        <v>2202</v>
      </c>
      <c r="D40" s="70" t="s">
        <v>57</v>
      </c>
      <c r="E40" s="12">
        <v>44544</v>
      </c>
      <c r="F40" s="68" t="s">
        <v>59</v>
      </c>
      <c r="G40" s="12">
        <v>44552</v>
      </c>
      <c r="H40" s="69" t="s">
        <v>2130</v>
      </c>
      <c r="I40" s="15">
        <v>97</v>
      </c>
      <c r="J40" s="15">
        <v>58</v>
      </c>
      <c r="K40" s="15">
        <v>27</v>
      </c>
      <c r="L40" s="15">
        <v>16</v>
      </c>
      <c r="M40" s="73">
        <v>37.975499999999997</v>
      </c>
      <c r="N40" s="104">
        <v>37.975499999999997</v>
      </c>
      <c r="O40" s="57">
        <v>7000</v>
      </c>
      <c r="P40" s="58">
        <f t="shared" si="0"/>
        <v>265828.5</v>
      </c>
    </row>
    <row r="41" spans="1:16" ht="26.25" customHeight="1" x14ac:dyDescent="0.2">
      <c r="A41" s="100"/>
      <c r="B41" s="100"/>
      <c r="C41" s="65" t="s">
        <v>2203</v>
      </c>
      <c r="D41" s="70" t="s">
        <v>57</v>
      </c>
      <c r="E41" s="12">
        <v>44544</v>
      </c>
      <c r="F41" s="68" t="s">
        <v>59</v>
      </c>
      <c r="G41" s="12">
        <v>44552</v>
      </c>
      <c r="H41" s="69" t="s">
        <v>2130</v>
      </c>
      <c r="I41" s="15">
        <v>154</v>
      </c>
      <c r="J41" s="15">
        <v>10</v>
      </c>
      <c r="K41" s="15">
        <v>9</v>
      </c>
      <c r="L41" s="15">
        <v>8</v>
      </c>
      <c r="M41" s="73">
        <v>3.4649999999999999</v>
      </c>
      <c r="N41" s="104">
        <v>9</v>
      </c>
      <c r="O41" s="57">
        <v>7000</v>
      </c>
      <c r="P41" s="58">
        <f t="shared" si="0"/>
        <v>63000</v>
      </c>
    </row>
    <row r="42" spans="1:16" ht="26.25" customHeight="1" x14ac:dyDescent="0.2">
      <c r="A42" s="100"/>
      <c r="B42" s="100"/>
      <c r="C42" s="65" t="s">
        <v>2204</v>
      </c>
      <c r="D42" s="70" t="s">
        <v>57</v>
      </c>
      <c r="E42" s="12">
        <v>44544</v>
      </c>
      <c r="F42" s="68" t="s">
        <v>59</v>
      </c>
      <c r="G42" s="12">
        <v>44552</v>
      </c>
      <c r="H42" s="69" t="s">
        <v>2130</v>
      </c>
      <c r="I42" s="15">
        <v>146</v>
      </c>
      <c r="J42" s="15">
        <v>5</v>
      </c>
      <c r="K42" s="15">
        <v>5</v>
      </c>
      <c r="L42" s="15">
        <v>1</v>
      </c>
      <c r="M42" s="73">
        <v>0.91249999999999998</v>
      </c>
      <c r="N42" s="104">
        <v>1</v>
      </c>
      <c r="O42" s="57">
        <v>7000</v>
      </c>
      <c r="P42" s="58">
        <f t="shared" si="0"/>
        <v>7000</v>
      </c>
    </row>
    <row r="43" spans="1:16" ht="26.25" customHeight="1" x14ac:dyDescent="0.2">
      <c r="A43" s="100"/>
      <c r="B43" s="100"/>
      <c r="C43" s="65" t="s">
        <v>2205</v>
      </c>
      <c r="D43" s="70" t="s">
        <v>57</v>
      </c>
      <c r="E43" s="12">
        <v>44544</v>
      </c>
      <c r="F43" s="68" t="s">
        <v>59</v>
      </c>
      <c r="G43" s="12">
        <v>44552</v>
      </c>
      <c r="H43" s="69" t="s">
        <v>2130</v>
      </c>
      <c r="I43" s="15">
        <v>35</v>
      </c>
      <c r="J43" s="15">
        <v>35</v>
      </c>
      <c r="K43" s="15">
        <v>21</v>
      </c>
      <c r="L43" s="15">
        <v>8</v>
      </c>
      <c r="M43" s="73">
        <v>6.4312500000000004</v>
      </c>
      <c r="N43" s="104">
        <v>9</v>
      </c>
      <c r="O43" s="57">
        <v>7000</v>
      </c>
      <c r="P43" s="58">
        <f t="shared" si="0"/>
        <v>63000</v>
      </c>
    </row>
    <row r="44" spans="1:16" ht="26.25" customHeight="1" x14ac:dyDescent="0.2">
      <c r="A44" s="100"/>
      <c r="B44" s="100"/>
      <c r="C44" s="65" t="s">
        <v>2206</v>
      </c>
      <c r="D44" s="70" t="s">
        <v>57</v>
      </c>
      <c r="E44" s="12">
        <v>44544</v>
      </c>
      <c r="F44" s="68" t="s">
        <v>59</v>
      </c>
      <c r="G44" s="12">
        <v>44552</v>
      </c>
      <c r="H44" s="69" t="s">
        <v>2130</v>
      </c>
      <c r="I44" s="15">
        <v>80</v>
      </c>
      <c r="J44" s="15">
        <v>57</v>
      </c>
      <c r="K44" s="15">
        <v>26</v>
      </c>
      <c r="L44" s="15">
        <v>15</v>
      </c>
      <c r="M44" s="73">
        <v>29.64</v>
      </c>
      <c r="N44" s="104">
        <v>29.64</v>
      </c>
      <c r="O44" s="57">
        <v>7000</v>
      </c>
      <c r="P44" s="58">
        <f t="shared" si="0"/>
        <v>207480</v>
      </c>
    </row>
    <row r="45" spans="1:16" ht="26.25" customHeight="1" x14ac:dyDescent="0.2">
      <c r="A45" s="100"/>
      <c r="B45" s="100"/>
      <c r="C45" s="65" t="s">
        <v>2207</v>
      </c>
      <c r="D45" s="70" t="s">
        <v>57</v>
      </c>
      <c r="E45" s="12">
        <v>44544</v>
      </c>
      <c r="F45" s="68" t="s">
        <v>59</v>
      </c>
      <c r="G45" s="12">
        <v>44552</v>
      </c>
      <c r="H45" s="69" t="s">
        <v>2130</v>
      </c>
      <c r="I45" s="15">
        <v>82</v>
      </c>
      <c r="J45" s="15">
        <v>52</v>
      </c>
      <c r="K45" s="15">
        <v>31</v>
      </c>
      <c r="L45" s="15">
        <v>12</v>
      </c>
      <c r="M45" s="73">
        <v>33.045999999999999</v>
      </c>
      <c r="N45" s="104">
        <v>33.045999999999999</v>
      </c>
      <c r="O45" s="57">
        <v>7000</v>
      </c>
      <c r="P45" s="58">
        <f t="shared" si="0"/>
        <v>231322</v>
      </c>
    </row>
    <row r="46" spans="1:16" ht="26.25" customHeight="1" x14ac:dyDescent="0.2">
      <c r="A46" s="100"/>
      <c r="B46" s="100"/>
      <c r="C46" s="65" t="s">
        <v>2208</v>
      </c>
      <c r="D46" s="70" t="s">
        <v>57</v>
      </c>
      <c r="E46" s="12">
        <v>44544</v>
      </c>
      <c r="F46" s="68" t="s">
        <v>59</v>
      </c>
      <c r="G46" s="12">
        <v>44552</v>
      </c>
      <c r="H46" s="69" t="s">
        <v>2130</v>
      </c>
      <c r="I46" s="15">
        <v>33</v>
      </c>
      <c r="J46" s="15">
        <v>53</v>
      </c>
      <c r="K46" s="15">
        <v>17</v>
      </c>
      <c r="L46" s="15">
        <v>2</v>
      </c>
      <c r="M46" s="73">
        <v>7.4332500000000001</v>
      </c>
      <c r="N46" s="104">
        <v>8</v>
      </c>
      <c r="O46" s="57">
        <v>7000</v>
      </c>
      <c r="P46" s="58">
        <f t="shared" si="0"/>
        <v>56000</v>
      </c>
    </row>
    <row r="47" spans="1:16" ht="26.25" customHeight="1" x14ac:dyDescent="0.2">
      <c r="A47" s="100"/>
      <c r="B47" s="100"/>
      <c r="C47" s="65" t="s">
        <v>2209</v>
      </c>
      <c r="D47" s="70" t="s">
        <v>57</v>
      </c>
      <c r="E47" s="12">
        <v>44544</v>
      </c>
      <c r="F47" s="68" t="s">
        <v>59</v>
      </c>
      <c r="G47" s="12">
        <v>44552</v>
      </c>
      <c r="H47" s="69" t="s">
        <v>2130</v>
      </c>
      <c r="I47" s="15">
        <v>100</v>
      </c>
      <c r="J47" s="15">
        <v>72</v>
      </c>
      <c r="K47" s="15">
        <v>47</v>
      </c>
      <c r="L47" s="15">
        <v>31</v>
      </c>
      <c r="M47" s="73">
        <v>84.6</v>
      </c>
      <c r="N47" s="104">
        <v>84.6</v>
      </c>
      <c r="O47" s="57">
        <v>7000</v>
      </c>
      <c r="P47" s="58">
        <f t="shared" si="0"/>
        <v>592200</v>
      </c>
    </row>
    <row r="48" spans="1:16" ht="26.25" customHeight="1" x14ac:dyDescent="0.2">
      <c r="A48" s="100"/>
      <c r="B48" s="100"/>
      <c r="C48" s="65" t="s">
        <v>2210</v>
      </c>
      <c r="D48" s="70" t="s">
        <v>57</v>
      </c>
      <c r="E48" s="12">
        <v>44544</v>
      </c>
      <c r="F48" s="68" t="s">
        <v>59</v>
      </c>
      <c r="G48" s="12">
        <v>44552</v>
      </c>
      <c r="H48" s="69" t="s">
        <v>2130</v>
      </c>
      <c r="I48" s="15">
        <v>55</v>
      </c>
      <c r="J48" s="15">
        <v>64</v>
      </c>
      <c r="K48" s="15">
        <v>5</v>
      </c>
      <c r="L48" s="15">
        <v>5</v>
      </c>
      <c r="M48" s="73">
        <v>4.4000000000000004</v>
      </c>
      <c r="N48" s="104">
        <v>6</v>
      </c>
      <c r="O48" s="57">
        <v>7000</v>
      </c>
      <c r="P48" s="58">
        <f t="shared" si="0"/>
        <v>42000</v>
      </c>
    </row>
    <row r="49" spans="1:16" ht="26.25" customHeight="1" x14ac:dyDescent="0.2">
      <c r="A49" s="100"/>
      <c r="B49" s="100"/>
      <c r="C49" s="65" t="s">
        <v>2211</v>
      </c>
      <c r="D49" s="70" t="s">
        <v>57</v>
      </c>
      <c r="E49" s="12">
        <v>44544</v>
      </c>
      <c r="F49" s="68" t="s">
        <v>59</v>
      </c>
      <c r="G49" s="12">
        <v>44552</v>
      </c>
      <c r="H49" s="69" t="s">
        <v>2130</v>
      </c>
      <c r="I49" s="15">
        <v>51</v>
      </c>
      <c r="J49" s="15">
        <v>40</v>
      </c>
      <c r="K49" s="15">
        <v>17</v>
      </c>
      <c r="L49" s="15">
        <v>3</v>
      </c>
      <c r="M49" s="73">
        <v>8.67</v>
      </c>
      <c r="N49" s="104">
        <v>8.67</v>
      </c>
      <c r="O49" s="57">
        <v>7000</v>
      </c>
      <c r="P49" s="58">
        <f t="shared" si="0"/>
        <v>60690</v>
      </c>
    </row>
    <row r="50" spans="1:16" ht="26.25" customHeight="1" x14ac:dyDescent="0.2">
      <c r="A50" s="100"/>
      <c r="B50" s="100"/>
      <c r="C50" s="65" t="s">
        <v>2212</v>
      </c>
      <c r="D50" s="70" t="s">
        <v>57</v>
      </c>
      <c r="E50" s="12">
        <v>44544</v>
      </c>
      <c r="F50" s="68" t="s">
        <v>59</v>
      </c>
      <c r="G50" s="12">
        <v>44552</v>
      </c>
      <c r="H50" s="69" t="s">
        <v>2130</v>
      </c>
      <c r="I50" s="15">
        <v>100</v>
      </c>
      <c r="J50" s="15">
        <v>77</v>
      </c>
      <c r="K50" s="15">
        <v>40</v>
      </c>
      <c r="L50" s="15">
        <v>23</v>
      </c>
      <c r="M50" s="73">
        <v>77</v>
      </c>
      <c r="N50" s="104">
        <v>77</v>
      </c>
      <c r="O50" s="57">
        <v>7000</v>
      </c>
      <c r="P50" s="58">
        <f t="shared" si="0"/>
        <v>539000</v>
      </c>
    </row>
    <row r="51" spans="1:16" ht="26.25" customHeight="1" x14ac:dyDescent="0.2">
      <c r="A51" s="100"/>
      <c r="B51" s="100"/>
      <c r="C51" s="65" t="s">
        <v>2213</v>
      </c>
      <c r="D51" s="70" t="s">
        <v>57</v>
      </c>
      <c r="E51" s="12">
        <v>44544</v>
      </c>
      <c r="F51" s="68" t="s">
        <v>59</v>
      </c>
      <c r="G51" s="12">
        <v>44552</v>
      </c>
      <c r="H51" s="69" t="s">
        <v>2130</v>
      </c>
      <c r="I51" s="15">
        <v>60</v>
      </c>
      <c r="J51" s="15">
        <v>47</v>
      </c>
      <c r="K51" s="15">
        <v>33</v>
      </c>
      <c r="L51" s="15">
        <v>5</v>
      </c>
      <c r="M51" s="73">
        <v>23.265000000000001</v>
      </c>
      <c r="N51" s="104">
        <v>23.265000000000001</v>
      </c>
      <c r="O51" s="57">
        <v>7000</v>
      </c>
      <c r="P51" s="58">
        <f t="shared" si="0"/>
        <v>162855</v>
      </c>
    </row>
    <row r="52" spans="1:16" ht="26.25" customHeight="1" x14ac:dyDescent="0.2">
      <c r="A52" s="100"/>
      <c r="B52" s="100"/>
      <c r="C52" s="65" t="s">
        <v>2214</v>
      </c>
      <c r="D52" s="70" t="s">
        <v>57</v>
      </c>
      <c r="E52" s="12">
        <v>44544</v>
      </c>
      <c r="F52" s="68" t="s">
        <v>59</v>
      </c>
      <c r="G52" s="12">
        <v>44552</v>
      </c>
      <c r="H52" s="69" t="s">
        <v>2130</v>
      </c>
      <c r="I52" s="15">
        <v>34</v>
      </c>
      <c r="J52" s="15">
        <v>27</v>
      </c>
      <c r="K52" s="15">
        <v>44</v>
      </c>
      <c r="L52" s="15">
        <v>11</v>
      </c>
      <c r="M52" s="73">
        <v>10.098000000000001</v>
      </c>
      <c r="N52" s="104">
        <v>11</v>
      </c>
      <c r="O52" s="57">
        <v>7000</v>
      </c>
      <c r="P52" s="58">
        <f t="shared" si="0"/>
        <v>77000</v>
      </c>
    </row>
    <row r="53" spans="1:16" ht="26.25" customHeight="1" x14ac:dyDescent="0.2">
      <c r="A53" s="100"/>
      <c r="B53" s="100"/>
      <c r="C53" s="65" t="s">
        <v>2215</v>
      </c>
      <c r="D53" s="70" t="s">
        <v>57</v>
      </c>
      <c r="E53" s="12">
        <v>44544</v>
      </c>
      <c r="F53" s="68" t="s">
        <v>59</v>
      </c>
      <c r="G53" s="12">
        <v>44552</v>
      </c>
      <c r="H53" s="69" t="s">
        <v>2130</v>
      </c>
      <c r="I53" s="15">
        <v>76</v>
      </c>
      <c r="J53" s="15">
        <v>58</v>
      </c>
      <c r="K53" s="15">
        <v>22</v>
      </c>
      <c r="L53" s="15">
        <v>7</v>
      </c>
      <c r="M53" s="73">
        <v>24.244</v>
      </c>
      <c r="N53" s="104">
        <v>24.244</v>
      </c>
      <c r="O53" s="57">
        <v>7000</v>
      </c>
      <c r="P53" s="58">
        <f t="shared" si="0"/>
        <v>169708</v>
      </c>
    </row>
    <row r="54" spans="1:16" ht="26.25" customHeight="1" x14ac:dyDescent="0.2">
      <c r="A54" s="100"/>
      <c r="B54" s="100"/>
      <c r="C54" s="65" t="s">
        <v>2216</v>
      </c>
      <c r="D54" s="70" t="s">
        <v>57</v>
      </c>
      <c r="E54" s="12">
        <v>44544</v>
      </c>
      <c r="F54" s="68" t="s">
        <v>59</v>
      </c>
      <c r="G54" s="12">
        <v>44552</v>
      </c>
      <c r="H54" s="69" t="s">
        <v>2130</v>
      </c>
      <c r="I54" s="15">
        <v>72</v>
      </c>
      <c r="J54" s="15">
        <v>67</v>
      </c>
      <c r="K54" s="15">
        <v>20</v>
      </c>
      <c r="L54" s="15">
        <v>7</v>
      </c>
      <c r="M54" s="73">
        <v>24.12</v>
      </c>
      <c r="N54" s="104">
        <v>24.12</v>
      </c>
      <c r="O54" s="57">
        <v>7000</v>
      </c>
      <c r="P54" s="58">
        <f t="shared" si="0"/>
        <v>168840</v>
      </c>
    </row>
    <row r="55" spans="1:16" ht="26.25" customHeight="1" x14ac:dyDescent="0.2">
      <c r="A55" s="100"/>
      <c r="B55" s="100"/>
      <c r="C55" s="65" t="s">
        <v>2217</v>
      </c>
      <c r="D55" s="70" t="s">
        <v>57</v>
      </c>
      <c r="E55" s="12">
        <v>44544</v>
      </c>
      <c r="F55" s="68" t="s">
        <v>59</v>
      </c>
      <c r="G55" s="12">
        <v>44552</v>
      </c>
      <c r="H55" s="69" t="s">
        <v>2130</v>
      </c>
      <c r="I55" s="15">
        <v>70</v>
      </c>
      <c r="J55" s="15">
        <v>44</v>
      </c>
      <c r="K55" s="15">
        <v>41</v>
      </c>
      <c r="L55" s="15">
        <v>13</v>
      </c>
      <c r="M55" s="73">
        <v>31.57</v>
      </c>
      <c r="N55" s="104">
        <v>31.57</v>
      </c>
      <c r="O55" s="57">
        <v>7000</v>
      </c>
      <c r="P55" s="58">
        <f t="shared" si="0"/>
        <v>220990</v>
      </c>
    </row>
    <row r="56" spans="1:16" ht="26.25" customHeight="1" x14ac:dyDescent="0.2">
      <c r="A56" s="100"/>
      <c r="B56" s="100"/>
      <c r="C56" s="65" t="s">
        <v>2218</v>
      </c>
      <c r="D56" s="70" t="s">
        <v>57</v>
      </c>
      <c r="E56" s="12">
        <v>44544</v>
      </c>
      <c r="F56" s="68" t="s">
        <v>59</v>
      </c>
      <c r="G56" s="12">
        <v>44552</v>
      </c>
      <c r="H56" s="69" t="s">
        <v>2130</v>
      </c>
      <c r="I56" s="15">
        <v>41</v>
      </c>
      <c r="J56" s="15">
        <v>30</v>
      </c>
      <c r="K56" s="15">
        <v>10</v>
      </c>
      <c r="L56" s="15">
        <v>1</v>
      </c>
      <c r="M56" s="73">
        <v>3.0750000000000002</v>
      </c>
      <c r="N56" s="104">
        <v>3.0750000000000002</v>
      </c>
      <c r="O56" s="57">
        <v>7000</v>
      </c>
      <c r="P56" s="58">
        <f t="shared" si="0"/>
        <v>21525</v>
      </c>
    </row>
    <row r="57" spans="1:16" ht="26.25" customHeight="1" x14ac:dyDescent="0.2">
      <c r="A57" s="100"/>
      <c r="B57" s="100"/>
      <c r="C57" s="65" t="s">
        <v>2219</v>
      </c>
      <c r="D57" s="70" t="s">
        <v>57</v>
      </c>
      <c r="E57" s="12">
        <v>44544</v>
      </c>
      <c r="F57" s="68" t="s">
        <v>59</v>
      </c>
      <c r="G57" s="12">
        <v>44552</v>
      </c>
      <c r="H57" s="69" t="s">
        <v>2130</v>
      </c>
      <c r="I57" s="15">
        <v>84</v>
      </c>
      <c r="J57" s="15">
        <v>40</v>
      </c>
      <c r="K57" s="15">
        <v>30</v>
      </c>
      <c r="L57" s="15">
        <v>10</v>
      </c>
      <c r="M57" s="73">
        <v>25.2</v>
      </c>
      <c r="N57" s="104">
        <v>25.2</v>
      </c>
      <c r="O57" s="57">
        <v>7000</v>
      </c>
      <c r="P57" s="58">
        <f t="shared" si="0"/>
        <v>176400</v>
      </c>
    </row>
    <row r="58" spans="1:16" ht="26.25" customHeight="1" x14ac:dyDescent="0.2">
      <c r="A58" s="100"/>
      <c r="B58" s="100"/>
      <c r="C58" s="65" t="s">
        <v>2220</v>
      </c>
      <c r="D58" s="70" t="s">
        <v>57</v>
      </c>
      <c r="E58" s="12">
        <v>44544</v>
      </c>
      <c r="F58" s="68" t="s">
        <v>59</v>
      </c>
      <c r="G58" s="12">
        <v>44552</v>
      </c>
      <c r="H58" s="69" t="s">
        <v>2130</v>
      </c>
      <c r="I58" s="15">
        <v>90</v>
      </c>
      <c r="J58" s="15">
        <v>67</v>
      </c>
      <c r="K58" s="15">
        <v>30</v>
      </c>
      <c r="L58" s="15">
        <v>44</v>
      </c>
      <c r="M58" s="73">
        <v>45.225000000000001</v>
      </c>
      <c r="N58" s="104">
        <v>45.225000000000001</v>
      </c>
      <c r="O58" s="57">
        <v>7000</v>
      </c>
      <c r="P58" s="58">
        <f t="shared" si="0"/>
        <v>316575</v>
      </c>
    </row>
    <row r="59" spans="1:16" ht="26.25" customHeight="1" x14ac:dyDescent="0.2">
      <c r="A59" s="100"/>
      <c r="B59" s="101"/>
      <c r="C59" s="65" t="s">
        <v>2221</v>
      </c>
      <c r="D59" s="70" t="s">
        <v>57</v>
      </c>
      <c r="E59" s="12">
        <v>44544</v>
      </c>
      <c r="F59" s="68" t="s">
        <v>59</v>
      </c>
      <c r="G59" s="12">
        <v>44552</v>
      </c>
      <c r="H59" s="69" t="s">
        <v>2130</v>
      </c>
      <c r="I59" s="15">
        <v>64</v>
      </c>
      <c r="J59" s="15">
        <v>18</v>
      </c>
      <c r="K59" s="15">
        <v>18</v>
      </c>
      <c r="L59" s="15">
        <v>1</v>
      </c>
      <c r="M59" s="73">
        <v>5.1840000000000002</v>
      </c>
      <c r="N59" s="104">
        <v>5.1840000000000002</v>
      </c>
      <c r="O59" s="57">
        <v>7000</v>
      </c>
      <c r="P59" s="58">
        <f t="shared" si="0"/>
        <v>36288</v>
      </c>
    </row>
    <row r="60" spans="1:16" ht="26.25" customHeight="1" x14ac:dyDescent="0.2">
      <c r="A60" s="100"/>
      <c r="B60" s="100" t="s">
        <v>2222</v>
      </c>
      <c r="C60" s="65" t="s">
        <v>2223</v>
      </c>
      <c r="D60" s="70" t="s">
        <v>57</v>
      </c>
      <c r="E60" s="12">
        <v>44544</v>
      </c>
      <c r="F60" s="68" t="s">
        <v>59</v>
      </c>
      <c r="G60" s="12">
        <v>44552</v>
      </c>
      <c r="H60" s="69" t="s">
        <v>2130</v>
      </c>
      <c r="I60" s="15">
        <v>68</v>
      </c>
      <c r="J60" s="15">
        <v>32</v>
      </c>
      <c r="K60" s="15">
        <v>17</v>
      </c>
      <c r="L60" s="15">
        <v>1</v>
      </c>
      <c r="M60" s="73">
        <v>9.2479999999999993</v>
      </c>
      <c r="N60" s="104">
        <v>9.2479999999999993</v>
      </c>
      <c r="O60" s="57">
        <v>7000</v>
      </c>
      <c r="P60" s="58">
        <f t="shared" si="0"/>
        <v>64735.999999999993</v>
      </c>
    </row>
    <row r="61" spans="1:16" ht="22.5" customHeight="1" x14ac:dyDescent="0.2">
      <c r="A61" s="159" t="s">
        <v>30</v>
      </c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1"/>
      <c r="M61" s="71">
        <f>SUBTOTAL(109,Table2245789101123456789101112131415161718192021222324252627282930313233343537383940[KG VOLUME])</f>
        <v>1045.49</v>
      </c>
      <c r="N61" s="61">
        <f>SUM(N3:N60)</f>
        <v>1077.4225000000001</v>
      </c>
      <c r="O61" s="162">
        <f>SUM(P3:P60)</f>
        <v>7541957.5</v>
      </c>
      <c r="P61" s="163"/>
    </row>
    <row r="62" spans="1:16" ht="18" customHeight="1" x14ac:dyDescent="0.2">
      <c r="A62" s="78"/>
      <c r="B62" s="49" t="s">
        <v>42</v>
      </c>
      <c r="C62" s="48"/>
      <c r="D62" s="50" t="s">
        <v>43</v>
      </c>
      <c r="E62" s="78"/>
      <c r="F62" s="78"/>
      <c r="G62" s="78"/>
      <c r="H62" s="78"/>
      <c r="I62" s="78"/>
      <c r="J62" s="78"/>
      <c r="K62" s="78"/>
      <c r="L62" s="78"/>
      <c r="M62" s="79"/>
      <c r="N62" s="80" t="s">
        <v>52</v>
      </c>
      <c r="O62" s="81"/>
      <c r="P62" s="81">
        <v>0</v>
      </c>
    </row>
    <row r="63" spans="1:16" ht="18" customHeight="1" thickBot="1" x14ac:dyDescent="0.25">
      <c r="A63" s="78"/>
      <c r="B63" s="49"/>
      <c r="C63" s="48"/>
      <c r="D63" s="50"/>
      <c r="E63" s="78"/>
      <c r="F63" s="78"/>
      <c r="G63" s="78"/>
      <c r="H63" s="78"/>
      <c r="I63" s="78"/>
      <c r="J63" s="78"/>
      <c r="K63" s="78"/>
      <c r="L63" s="78"/>
      <c r="M63" s="79"/>
      <c r="N63" s="82" t="s">
        <v>53</v>
      </c>
      <c r="O63" s="83"/>
      <c r="P63" s="83">
        <f>O61-P62</f>
        <v>7541957.5</v>
      </c>
    </row>
    <row r="64" spans="1:16" ht="18" customHeight="1" x14ac:dyDescent="0.2">
      <c r="A64" s="10"/>
      <c r="H64" s="56"/>
      <c r="N64" s="55" t="s">
        <v>31</v>
      </c>
      <c r="P64" s="62">
        <f>P63*1%</f>
        <v>75419.574999999997</v>
      </c>
    </row>
    <row r="65" spans="1:16" ht="18" customHeight="1" thickBot="1" x14ac:dyDescent="0.25">
      <c r="A65" s="10"/>
      <c r="H65" s="56"/>
      <c r="N65" s="55" t="s">
        <v>54</v>
      </c>
      <c r="P65" s="64">
        <f>P63*2%</f>
        <v>150839.15</v>
      </c>
    </row>
    <row r="66" spans="1:16" ht="18" customHeight="1" x14ac:dyDescent="0.2">
      <c r="A66" s="10"/>
      <c r="H66" s="56"/>
      <c r="N66" s="59" t="s">
        <v>32</v>
      </c>
      <c r="O66" s="60"/>
      <c r="P66" s="63">
        <f>P63+P64-P65</f>
        <v>7466537.9249999998</v>
      </c>
    </row>
    <row r="68" spans="1:16" x14ac:dyDescent="0.2">
      <c r="A68" s="10"/>
      <c r="H68" s="56"/>
      <c r="P68" s="64"/>
    </row>
    <row r="69" spans="1:16" x14ac:dyDescent="0.2">
      <c r="A69" s="10"/>
      <c r="H69" s="56"/>
      <c r="O69" s="51"/>
      <c r="P69" s="64"/>
    </row>
    <row r="70" spans="1:16" s="3" customFormat="1" x14ac:dyDescent="0.25">
      <c r="A70" s="10"/>
      <c r="B70" s="2"/>
      <c r="C70" s="2"/>
      <c r="E70" s="11"/>
      <c r="H70" s="56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6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6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6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6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6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6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6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6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6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6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6"/>
      <c r="N81" s="14"/>
      <c r="O81" s="14"/>
      <c r="P81" s="14"/>
    </row>
  </sheetData>
  <mergeCells count="2">
    <mergeCell ref="A61:L61"/>
    <mergeCell ref="O61:P61"/>
  </mergeCells>
  <conditionalFormatting sqref="C3:C60">
    <cfRule type="duplicateValues" dxfId="975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19"/>
  <sheetViews>
    <sheetView topLeftCell="A193" workbookViewId="0">
      <selection activeCell="N200" sqref="N20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402658</v>
      </c>
      <c r="B3" s="99" t="s">
        <v>2224</v>
      </c>
      <c r="C3" s="90" t="s">
        <v>2225</v>
      </c>
      <c r="D3" s="102" t="s">
        <v>57</v>
      </c>
      <c r="E3" s="91">
        <v>44544</v>
      </c>
      <c r="F3" s="102" t="s">
        <v>59</v>
      </c>
      <c r="G3" s="91">
        <v>44552</v>
      </c>
      <c r="H3" s="90" t="s">
        <v>2130</v>
      </c>
      <c r="I3" s="90">
        <v>65</v>
      </c>
      <c r="J3" s="90">
        <v>43</v>
      </c>
      <c r="K3" s="90">
        <v>18</v>
      </c>
      <c r="L3" s="90">
        <v>8</v>
      </c>
      <c r="M3" s="90">
        <v>12.577500000000001</v>
      </c>
      <c r="N3" s="104">
        <v>12.577500000000001</v>
      </c>
      <c r="O3" s="57">
        <v>7000</v>
      </c>
      <c r="P3" s="58">
        <f t="shared" ref="P3:P66" si="0">N3*O3</f>
        <v>88042.5</v>
      </c>
    </row>
    <row r="4" spans="1:16" ht="26.25" customHeight="1" x14ac:dyDescent="0.2">
      <c r="A4" s="100"/>
      <c r="B4" s="100"/>
      <c r="C4" s="65" t="s">
        <v>2226</v>
      </c>
      <c r="D4" s="70" t="s">
        <v>57</v>
      </c>
      <c r="E4" s="12">
        <v>44544</v>
      </c>
      <c r="F4" s="68" t="s">
        <v>59</v>
      </c>
      <c r="G4" s="12">
        <v>44552</v>
      </c>
      <c r="H4" s="69" t="s">
        <v>2130</v>
      </c>
      <c r="I4" s="15">
        <v>32</v>
      </c>
      <c r="J4" s="15">
        <v>22</v>
      </c>
      <c r="K4" s="15">
        <v>8</v>
      </c>
      <c r="L4" s="15">
        <v>1</v>
      </c>
      <c r="M4" s="73">
        <v>1.4079999999999999</v>
      </c>
      <c r="N4" s="104">
        <v>2</v>
      </c>
      <c r="O4" s="57">
        <v>7000</v>
      </c>
      <c r="P4" s="58">
        <f t="shared" si="0"/>
        <v>14000</v>
      </c>
    </row>
    <row r="5" spans="1:16" ht="26.25" customHeight="1" x14ac:dyDescent="0.2">
      <c r="A5" s="100"/>
      <c r="B5" s="100"/>
      <c r="C5" s="65" t="s">
        <v>2227</v>
      </c>
      <c r="D5" s="70" t="s">
        <v>57</v>
      </c>
      <c r="E5" s="12">
        <v>44544</v>
      </c>
      <c r="F5" s="68" t="s">
        <v>59</v>
      </c>
      <c r="G5" s="12">
        <v>44552</v>
      </c>
      <c r="H5" s="69" t="s">
        <v>2130</v>
      </c>
      <c r="I5" s="15">
        <v>48</v>
      </c>
      <c r="J5" s="15">
        <v>41</v>
      </c>
      <c r="K5" s="15">
        <v>20</v>
      </c>
      <c r="L5" s="15">
        <v>7</v>
      </c>
      <c r="M5" s="73">
        <v>9.84</v>
      </c>
      <c r="N5" s="104">
        <v>9.84</v>
      </c>
      <c r="O5" s="57">
        <v>7000</v>
      </c>
      <c r="P5" s="58">
        <f t="shared" si="0"/>
        <v>68880</v>
      </c>
    </row>
    <row r="6" spans="1:16" ht="26.25" customHeight="1" x14ac:dyDescent="0.2">
      <c r="A6" s="100"/>
      <c r="B6" s="100"/>
      <c r="C6" s="65" t="s">
        <v>2228</v>
      </c>
      <c r="D6" s="70" t="s">
        <v>57</v>
      </c>
      <c r="E6" s="12">
        <v>44544</v>
      </c>
      <c r="F6" s="68" t="s">
        <v>59</v>
      </c>
      <c r="G6" s="12">
        <v>44552</v>
      </c>
      <c r="H6" s="69" t="s">
        <v>2130</v>
      </c>
      <c r="I6" s="15">
        <v>54</v>
      </c>
      <c r="J6" s="15">
        <v>31</v>
      </c>
      <c r="K6" s="15">
        <v>20</v>
      </c>
      <c r="L6" s="15">
        <v>47</v>
      </c>
      <c r="M6" s="73">
        <v>8.3699999999999992</v>
      </c>
      <c r="N6" s="104">
        <v>4</v>
      </c>
      <c r="O6" s="57">
        <v>7000</v>
      </c>
      <c r="P6" s="58">
        <f t="shared" si="0"/>
        <v>28000</v>
      </c>
    </row>
    <row r="7" spans="1:16" ht="26.25" customHeight="1" x14ac:dyDescent="0.2">
      <c r="A7" s="100"/>
      <c r="B7" s="100"/>
      <c r="C7" s="65" t="s">
        <v>2229</v>
      </c>
      <c r="D7" s="70" t="s">
        <v>57</v>
      </c>
      <c r="E7" s="12">
        <v>44544</v>
      </c>
      <c r="F7" s="68" t="s">
        <v>59</v>
      </c>
      <c r="G7" s="12">
        <v>44552</v>
      </c>
      <c r="H7" s="69" t="s">
        <v>2130</v>
      </c>
      <c r="I7" s="15">
        <v>110</v>
      </c>
      <c r="J7" s="15">
        <v>21</v>
      </c>
      <c r="K7" s="15">
        <v>15</v>
      </c>
      <c r="L7" s="15">
        <v>5</v>
      </c>
      <c r="M7" s="73">
        <v>8.6624999999999996</v>
      </c>
      <c r="N7" s="104">
        <v>8.6624999999999996</v>
      </c>
      <c r="O7" s="57">
        <v>7000</v>
      </c>
      <c r="P7" s="58">
        <f t="shared" si="0"/>
        <v>60637.5</v>
      </c>
    </row>
    <row r="8" spans="1:16" ht="26.25" customHeight="1" x14ac:dyDescent="0.2">
      <c r="A8" s="100"/>
      <c r="B8" s="100"/>
      <c r="C8" s="65" t="s">
        <v>2230</v>
      </c>
      <c r="D8" s="70" t="s">
        <v>57</v>
      </c>
      <c r="E8" s="12">
        <v>44544</v>
      </c>
      <c r="F8" s="68" t="s">
        <v>59</v>
      </c>
      <c r="G8" s="12">
        <v>44552</v>
      </c>
      <c r="H8" s="69" t="s">
        <v>2130</v>
      </c>
      <c r="I8" s="15">
        <v>50</v>
      </c>
      <c r="J8" s="15">
        <v>33</v>
      </c>
      <c r="K8" s="15">
        <v>32</v>
      </c>
      <c r="L8" s="15">
        <v>10</v>
      </c>
      <c r="M8" s="73">
        <v>13.2</v>
      </c>
      <c r="N8" s="104">
        <v>13.2</v>
      </c>
      <c r="O8" s="57">
        <v>7000</v>
      </c>
      <c r="P8" s="58">
        <f t="shared" si="0"/>
        <v>92400</v>
      </c>
    </row>
    <row r="9" spans="1:16" ht="26.25" customHeight="1" x14ac:dyDescent="0.2">
      <c r="A9" s="100"/>
      <c r="B9" s="100"/>
      <c r="C9" s="65" t="s">
        <v>2231</v>
      </c>
      <c r="D9" s="70" t="s">
        <v>57</v>
      </c>
      <c r="E9" s="12">
        <v>44544</v>
      </c>
      <c r="F9" s="68" t="s">
        <v>59</v>
      </c>
      <c r="G9" s="12">
        <v>44552</v>
      </c>
      <c r="H9" s="69" t="s">
        <v>2130</v>
      </c>
      <c r="I9" s="15">
        <v>41</v>
      </c>
      <c r="J9" s="15">
        <v>51</v>
      </c>
      <c r="K9" s="15">
        <v>21</v>
      </c>
      <c r="L9" s="15">
        <v>2</v>
      </c>
      <c r="M9" s="73">
        <v>10.97775</v>
      </c>
      <c r="N9" s="104">
        <v>10.97775</v>
      </c>
      <c r="O9" s="57">
        <v>7000</v>
      </c>
      <c r="P9" s="58">
        <f t="shared" si="0"/>
        <v>76844.25</v>
      </c>
    </row>
    <row r="10" spans="1:16" ht="26.25" customHeight="1" x14ac:dyDescent="0.2">
      <c r="A10" s="100"/>
      <c r="B10" s="100"/>
      <c r="C10" s="65" t="s">
        <v>2232</v>
      </c>
      <c r="D10" s="70" t="s">
        <v>57</v>
      </c>
      <c r="E10" s="12">
        <v>44544</v>
      </c>
      <c r="F10" s="68" t="s">
        <v>59</v>
      </c>
      <c r="G10" s="12">
        <v>44552</v>
      </c>
      <c r="H10" s="69" t="s">
        <v>2130</v>
      </c>
      <c r="I10" s="15">
        <v>33</v>
      </c>
      <c r="J10" s="15">
        <v>33</v>
      </c>
      <c r="K10" s="15">
        <v>20</v>
      </c>
      <c r="L10" s="15">
        <v>4</v>
      </c>
      <c r="M10" s="73">
        <v>5.4450000000000003</v>
      </c>
      <c r="N10" s="104">
        <v>6</v>
      </c>
      <c r="O10" s="57">
        <v>7000</v>
      </c>
      <c r="P10" s="58">
        <f t="shared" si="0"/>
        <v>42000</v>
      </c>
    </row>
    <row r="11" spans="1:16" ht="26.25" customHeight="1" x14ac:dyDescent="0.2">
      <c r="A11" s="100"/>
      <c r="B11" s="100"/>
      <c r="C11" s="65" t="s">
        <v>2233</v>
      </c>
      <c r="D11" s="70" t="s">
        <v>57</v>
      </c>
      <c r="E11" s="12">
        <v>44544</v>
      </c>
      <c r="F11" s="68" t="s">
        <v>59</v>
      </c>
      <c r="G11" s="12">
        <v>44552</v>
      </c>
      <c r="H11" s="69" t="s">
        <v>2130</v>
      </c>
      <c r="I11" s="15">
        <v>91</v>
      </c>
      <c r="J11" s="15">
        <v>42</v>
      </c>
      <c r="K11" s="15">
        <v>16</v>
      </c>
      <c r="L11" s="15">
        <v>1</v>
      </c>
      <c r="M11" s="73">
        <v>15.288</v>
      </c>
      <c r="N11" s="104">
        <v>15.288</v>
      </c>
      <c r="O11" s="57">
        <v>7000</v>
      </c>
      <c r="P11" s="58">
        <f t="shared" si="0"/>
        <v>107016</v>
      </c>
    </row>
    <row r="12" spans="1:16" ht="26.25" customHeight="1" x14ac:dyDescent="0.2">
      <c r="A12" s="100"/>
      <c r="B12" s="100"/>
      <c r="C12" s="65" t="s">
        <v>2234</v>
      </c>
      <c r="D12" s="70" t="s">
        <v>57</v>
      </c>
      <c r="E12" s="12">
        <v>44544</v>
      </c>
      <c r="F12" s="68" t="s">
        <v>59</v>
      </c>
      <c r="G12" s="12">
        <v>44552</v>
      </c>
      <c r="H12" s="69" t="s">
        <v>2130</v>
      </c>
      <c r="I12" s="15">
        <v>48</v>
      </c>
      <c r="J12" s="15">
        <v>48</v>
      </c>
      <c r="K12" s="15">
        <v>12</v>
      </c>
      <c r="L12" s="15">
        <v>4</v>
      </c>
      <c r="M12" s="73">
        <v>6.9119999999999999</v>
      </c>
      <c r="N12" s="104">
        <v>6.9119999999999999</v>
      </c>
      <c r="O12" s="57">
        <v>7000</v>
      </c>
      <c r="P12" s="58">
        <f t="shared" si="0"/>
        <v>48384</v>
      </c>
    </row>
    <row r="13" spans="1:16" ht="26.25" customHeight="1" x14ac:dyDescent="0.2">
      <c r="A13" s="100"/>
      <c r="B13" s="100"/>
      <c r="C13" s="65" t="s">
        <v>2235</v>
      </c>
      <c r="D13" s="70" t="s">
        <v>57</v>
      </c>
      <c r="E13" s="12">
        <v>44544</v>
      </c>
      <c r="F13" s="68" t="s">
        <v>59</v>
      </c>
      <c r="G13" s="12">
        <v>44552</v>
      </c>
      <c r="H13" s="69" t="s">
        <v>2130</v>
      </c>
      <c r="I13" s="15">
        <v>64</v>
      </c>
      <c r="J13" s="15">
        <v>20</v>
      </c>
      <c r="K13" s="15">
        <v>18</v>
      </c>
      <c r="L13" s="15">
        <v>2</v>
      </c>
      <c r="M13" s="73">
        <v>5.76</v>
      </c>
      <c r="N13" s="104">
        <v>5.76</v>
      </c>
      <c r="O13" s="57">
        <v>7000</v>
      </c>
      <c r="P13" s="58">
        <f t="shared" si="0"/>
        <v>40320</v>
      </c>
    </row>
    <row r="14" spans="1:16" ht="26.25" customHeight="1" x14ac:dyDescent="0.2">
      <c r="A14" s="100"/>
      <c r="B14" s="100"/>
      <c r="C14" s="65" t="s">
        <v>2236</v>
      </c>
      <c r="D14" s="70" t="s">
        <v>57</v>
      </c>
      <c r="E14" s="12">
        <v>44544</v>
      </c>
      <c r="F14" s="68" t="s">
        <v>59</v>
      </c>
      <c r="G14" s="12">
        <v>44552</v>
      </c>
      <c r="H14" s="69" t="s">
        <v>2130</v>
      </c>
      <c r="I14" s="15">
        <v>115</v>
      </c>
      <c r="J14" s="15">
        <v>10</v>
      </c>
      <c r="K14" s="15">
        <v>8</v>
      </c>
      <c r="L14" s="15">
        <v>2</v>
      </c>
      <c r="M14" s="73">
        <v>2.2999999999999998</v>
      </c>
      <c r="N14" s="104">
        <v>3</v>
      </c>
      <c r="O14" s="57">
        <v>7000</v>
      </c>
      <c r="P14" s="58">
        <f t="shared" si="0"/>
        <v>21000</v>
      </c>
    </row>
    <row r="15" spans="1:16" ht="26.25" customHeight="1" x14ac:dyDescent="0.2">
      <c r="A15" s="100"/>
      <c r="B15" s="100"/>
      <c r="C15" s="65" t="s">
        <v>2237</v>
      </c>
      <c r="D15" s="70" t="s">
        <v>57</v>
      </c>
      <c r="E15" s="12">
        <v>44544</v>
      </c>
      <c r="F15" s="68" t="s">
        <v>59</v>
      </c>
      <c r="G15" s="12">
        <v>44552</v>
      </c>
      <c r="H15" s="69" t="s">
        <v>2130</v>
      </c>
      <c r="I15" s="15">
        <v>44</v>
      </c>
      <c r="J15" s="15">
        <v>33</v>
      </c>
      <c r="K15" s="15">
        <v>27</v>
      </c>
      <c r="L15" s="15">
        <v>4</v>
      </c>
      <c r="M15" s="73">
        <v>9.8010000000000002</v>
      </c>
      <c r="N15" s="104">
        <v>9.8010000000000002</v>
      </c>
      <c r="O15" s="57">
        <v>7000</v>
      </c>
      <c r="P15" s="58">
        <f t="shared" si="0"/>
        <v>68607</v>
      </c>
    </row>
    <row r="16" spans="1:16" ht="26.25" customHeight="1" x14ac:dyDescent="0.2">
      <c r="A16" s="100"/>
      <c r="B16" s="100"/>
      <c r="C16" s="65" t="s">
        <v>2238</v>
      </c>
      <c r="D16" s="70" t="s">
        <v>57</v>
      </c>
      <c r="E16" s="12">
        <v>44544</v>
      </c>
      <c r="F16" s="68" t="s">
        <v>59</v>
      </c>
      <c r="G16" s="12">
        <v>44552</v>
      </c>
      <c r="H16" s="69" t="s">
        <v>2130</v>
      </c>
      <c r="I16" s="15">
        <v>51</v>
      </c>
      <c r="J16" s="15">
        <v>46</v>
      </c>
      <c r="K16" s="15">
        <v>22</v>
      </c>
      <c r="L16" s="15">
        <v>9</v>
      </c>
      <c r="M16" s="73">
        <v>12.903</v>
      </c>
      <c r="N16" s="104">
        <v>12.903</v>
      </c>
      <c r="O16" s="57">
        <v>7000</v>
      </c>
      <c r="P16" s="58">
        <f t="shared" si="0"/>
        <v>90321</v>
      </c>
    </row>
    <row r="17" spans="1:16" ht="26.25" customHeight="1" x14ac:dyDescent="0.2">
      <c r="A17" s="100"/>
      <c r="B17" s="100"/>
      <c r="C17" s="65" t="s">
        <v>2239</v>
      </c>
      <c r="D17" s="70" t="s">
        <v>57</v>
      </c>
      <c r="E17" s="12">
        <v>44544</v>
      </c>
      <c r="F17" s="68" t="s">
        <v>59</v>
      </c>
      <c r="G17" s="12">
        <v>44552</v>
      </c>
      <c r="H17" s="69" t="s">
        <v>2130</v>
      </c>
      <c r="I17" s="15">
        <v>36</v>
      </c>
      <c r="J17" s="15">
        <v>31</v>
      </c>
      <c r="K17" s="15">
        <v>22</v>
      </c>
      <c r="L17" s="15">
        <v>4</v>
      </c>
      <c r="M17" s="73">
        <v>6.1379999999999999</v>
      </c>
      <c r="N17" s="104">
        <v>6.1379999999999999</v>
      </c>
      <c r="O17" s="57">
        <v>7000</v>
      </c>
      <c r="P17" s="58">
        <f t="shared" si="0"/>
        <v>42966</v>
      </c>
    </row>
    <row r="18" spans="1:16" ht="26.25" customHeight="1" x14ac:dyDescent="0.2">
      <c r="A18" s="100"/>
      <c r="B18" s="100"/>
      <c r="C18" s="65" t="s">
        <v>2240</v>
      </c>
      <c r="D18" s="70" t="s">
        <v>57</v>
      </c>
      <c r="E18" s="12">
        <v>44544</v>
      </c>
      <c r="F18" s="68" t="s">
        <v>59</v>
      </c>
      <c r="G18" s="12">
        <v>44552</v>
      </c>
      <c r="H18" s="69" t="s">
        <v>2130</v>
      </c>
      <c r="I18" s="15">
        <v>80</v>
      </c>
      <c r="J18" s="15">
        <v>41</v>
      </c>
      <c r="K18" s="15">
        <v>21</v>
      </c>
      <c r="L18" s="15">
        <v>8</v>
      </c>
      <c r="M18" s="73">
        <v>17.22</v>
      </c>
      <c r="N18" s="104">
        <v>17.22</v>
      </c>
      <c r="O18" s="57">
        <v>7000</v>
      </c>
      <c r="P18" s="58">
        <f t="shared" si="0"/>
        <v>120539.99999999999</v>
      </c>
    </row>
    <row r="19" spans="1:16" ht="26.25" customHeight="1" x14ac:dyDescent="0.2">
      <c r="A19" s="100"/>
      <c r="B19" s="100"/>
      <c r="C19" s="65" t="s">
        <v>2241</v>
      </c>
      <c r="D19" s="70" t="s">
        <v>57</v>
      </c>
      <c r="E19" s="12">
        <v>44544</v>
      </c>
      <c r="F19" s="68" t="s">
        <v>59</v>
      </c>
      <c r="G19" s="12">
        <v>44552</v>
      </c>
      <c r="H19" s="69" t="s">
        <v>2130</v>
      </c>
      <c r="I19" s="15">
        <v>100</v>
      </c>
      <c r="J19" s="15">
        <v>20</v>
      </c>
      <c r="K19" s="15">
        <v>16</v>
      </c>
      <c r="L19" s="15">
        <v>13</v>
      </c>
      <c r="M19" s="73">
        <v>8</v>
      </c>
      <c r="N19" s="104">
        <v>13</v>
      </c>
      <c r="O19" s="57">
        <v>7000</v>
      </c>
      <c r="P19" s="58">
        <f t="shared" si="0"/>
        <v>91000</v>
      </c>
    </row>
    <row r="20" spans="1:16" ht="26.25" customHeight="1" x14ac:dyDescent="0.2">
      <c r="A20" s="100"/>
      <c r="B20" s="100"/>
      <c r="C20" s="65" t="s">
        <v>2242</v>
      </c>
      <c r="D20" s="70" t="s">
        <v>57</v>
      </c>
      <c r="E20" s="12">
        <v>44544</v>
      </c>
      <c r="F20" s="68" t="s">
        <v>59</v>
      </c>
      <c r="G20" s="12">
        <v>44552</v>
      </c>
      <c r="H20" s="69" t="s">
        <v>2130</v>
      </c>
      <c r="I20" s="15">
        <v>87</v>
      </c>
      <c r="J20" s="15">
        <v>58</v>
      </c>
      <c r="K20" s="15">
        <v>33</v>
      </c>
      <c r="L20" s="15">
        <v>1</v>
      </c>
      <c r="M20" s="73">
        <v>41.6295</v>
      </c>
      <c r="N20" s="104">
        <v>41.6295</v>
      </c>
      <c r="O20" s="57">
        <v>7000</v>
      </c>
      <c r="P20" s="58">
        <f t="shared" si="0"/>
        <v>291406.5</v>
      </c>
    </row>
    <row r="21" spans="1:16" ht="26.25" customHeight="1" x14ac:dyDescent="0.2">
      <c r="A21" s="100"/>
      <c r="B21" s="100"/>
      <c r="C21" s="65" t="s">
        <v>2243</v>
      </c>
      <c r="D21" s="70" t="s">
        <v>57</v>
      </c>
      <c r="E21" s="12">
        <v>44544</v>
      </c>
      <c r="F21" s="68" t="s">
        <v>59</v>
      </c>
      <c r="G21" s="12">
        <v>44552</v>
      </c>
      <c r="H21" s="69" t="s">
        <v>2130</v>
      </c>
      <c r="I21" s="15">
        <v>80</v>
      </c>
      <c r="J21" s="15">
        <v>48</v>
      </c>
      <c r="K21" s="15">
        <v>36</v>
      </c>
      <c r="L21" s="15">
        <v>12</v>
      </c>
      <c r="M21" s="73">
        <v>34.56</v>
      </c>
      <c r="N21" s="104">
        <v>34.56</v>
      </c>
      <c r="O21" s="57">
        <v>7000</v>
      </c>
      <c r="P21" s="58">
        <f t="shared" si="0"/>
        <v>241920.00000000003</v>
      </c>
    </row>
    <row r="22" spans="1:16" ht="26.25" customHeight="1" x14ac:dyDescent="0.2">
      <c r="A22" s="100"/>
      <c r="B22" s="100"/>
      <c r="C22" s="65" t="s">
        <v>2244</v>
      </c>
      <c r="D22" s="70" t="s">
        <v>57</v>
      </c>
      <c r="E22" s="12">
        <v>44544</v>
      </c>
      <c r="F22" s="68" t="s">
        <v>59</v>
      </c>
      <c r="G22" s="12">
        <v>44552</v>
      </c>
      <c r="H22" s="69" t="s">
        <v>2130</v>
      </c>
      <c r="I22" s="15">
        <v>61</v>
      </c>
      <c r="J22" s="15">
        <v>58</v>
      </c>
      <c r="K22" s="15">
        <v>20</v>
      </c>
      <c r="L22" s="15">
        <v>6</v>
      </c>
      <c r="M22" s="73">
        <v>17.690000000000001</v>
      </c>
      <c r="N22" s="104">
        <v>17.690000000000001</v>
      </c>
      <c r="O22" s="57">
        <v>7000</v>
      </c>
      <c r="P22" s="58">
        <f t="shared" si="0"/>
        <v>123830.00000000001</v>
      </c>
    </row>
    <row r="23" spans="1:16" ht="26.25" customHeight="1" x14ac:dyDescent="0.2">
      <c r="A23" s="100"/>
      <c r="B23" s="100"/>
      <c r="C23" s="65" t="s">
        <v>2245</v>
      </c>
      <c r="D23" s="70" t="s">
        <v>57</v>
      </c>
      <c r="E23" s="12">
        <v>44544</v>
      </c>
      <c r="F23" s="68" t="s">
        <v>59</v>
      </c>
      <c r="G23" s="12">
        <v>44552</v>
      </c>
      <c r="H23" s="69" t="s">
        <v>2130</v>
      </c>
      <c r="I23" s="15">
        <v>64</v>
      </c>
      <c r="J23" s="15">
        <v>58</v>
      </c>
      <c r="K23" s="15">
        <v>17</v>
      </c>
      <c r="L23" s="15">
        <v>14</v>
      </c>
      <c r="M23" s="73">
        <v>15.776</v>
      </c>
      <c r="N23" s="104">
        <v>15.776</v>
      </c>
      <c r="O23" s="57">
        <v>7000</v>
      </c>
      <c r="P23" s="58">
        <f t="shared" si="0"/>
        <v>110432</v>
      </c>
    </row>
    <row r="24" spans="1:16" ht="26.25" customHeight="1" x14ac:dyDescent="0.2">
      <c r="A24" s="100"/>
      <c r="B24" s="100"/>
      <c r="C24" s="65" t="s">
        <v>2246</v>
      </c>
      <c r="D24" s="70" t="s">
        <v>57</v>
      </c>
      <c r="E24" s="12">
        <v>44544</v>
      </c>
      <c r="F24" s="68" t="s">
        <v>59</v>
      </c>
      <c r="G24" s="12">
        <v>44552</v>
      </c>
      <c r="H24" s="69" t="s">
        <v>2130</v>
      </c>
      <c r="I24" s="15">
        <v>96</v>
      </c>
      <c r="J24" s="15">
        <v>58</v>
      </c>
      <c r="K24" s="15">
        <v>22</v>
      </c>
      <c r="L24" s="15">
        <v>23</v>
      </c>
      <c r="M24" s="73">
        <v>30.623999999999999</v>
      </c>
      <c r="N24" s="104">
        <v>30.623999999999999</v>
      </c>
      <c r="O24" s="57">
        <v>7000</v>
      </c>
      <c r="P24" s="58">
        <f t="shared" si="0"/>
        <v>214368</v>
      </c>
    </row>
    <row r="25" spans="1:16" ht="26.25" customHeight="1" x14ac:dyDescent="0.2">
      <c r="A25" s="100"/>
      <c r="B25" s="100"/>
      <c r="C25" s="65" t="s">
        <v>2247</v>
      </c>
      <c r="D25" s="70" t="s">
        <v>57</v>
      </c>
      <c r="E25" s="12">
        <v>44544</v>
      </c>
      <c r="F25" s="68" t="s">
        <v>59</v>
      </c>
      <c r="G25" s="12">
        <v>44552</v>
      </c>
      <c r="H25" s="69" t="s">
        <v>2130</v>
      </c>
      <c r="I25" s="15">
        <v>88</v>
      </c>
      <c r="J25" s="15">
        <v>54</v>
      </c>
      <c r="K25" s="15">
        <v>17</v>
      </c>
      <c r="L25" s="15">
        <v>22</v>
      </c>
      <c r="M25" s="73">
        <v>20.196000000000002</v>
      </c>
      <c r="N25" s="104">
        <v>22</v>
      </c>
      <c r="O25" s="57">
        <v>7000</v>
      </c>
      <c r="P25" s="58">
        <f t="shared" si="0"/>
        <v>154000</v>
      </c>
    </row>
    <row r="26" spans="1:16" ht="26.25" customHeight="1" x14ac:dyDescent="0.2">
      <c r="A26" s="100"/>
      <c r="B26" s="100"/>
      <c r="C26" s="65" t="s">
        <v>2248</v>
      </c>
      <c r="D26" s="70" t="s">
        <v>57</v>
      </c>
      <c r="E26" s="12">
        <v>44544</v>
      </c>
      <c r="F26" s="68" t="s">
        <v>59</v>
      </c>
      <c r="G26" s="12">
        <v>44552</v>
      </c>
      <c r="H26" s="69" t="s">
        <v>2130</v>
      </c>
      <c r="I26" s="15">
        <v>94</v>
      </c>
      <c r="J26" s="15">
        <v>54</v>
      </c>
      <c r="K26" s="15">
        <v>31</v>
      </c>
      <c r="L26" s="15">
        <v>38</v>
      </c>
      <c r="M26" s="73">
        <v>39.338999999999999</v>
      </c>
      <c r="N26" s="104">
        <v>40</v>
      </c>
      <c r="O26" s="57">
        <v>7000</v>
      </c>
      <c r="P26" s="58">
        <f t="shared" si="0"/>
        <v>280000</v>
      </c>
    </row>
    <row r="27" spans="1:16" ht="26.25" customHeight="1" x14ac:dyDescent="0.2">
      <c r="A27" s="100"/>
      <c r="B27" s="101"/>
      <c r="C27" s="65" t="s">
        <v>2249</v>
      </c>
      <c r="D27" s="70" t="s">
        <v>57</v>
      </c>
      <c r="E27" s="12">
        <v>44544</v>
      </c>
      <c r="F27" s="68" t="s">
        <v>59</v>
      </c>
      <c r="G27" s="12">
        <v>44552</v>
      </c>
      <c r="H27" s="69" t="s">
        <v>2130</v>
      </c>
      <c r="I27" s="15">
        <v>44</v>
      </c>
      <c r="J27" s="15">
        <v>20</v>
      </c>
      <c r="K27" s="15">
        <v>30</v>
      </c>
      <c r="L27" s="15">
        <v>7</v>
      </c>
      <c r="M27" s="73">
        <v>6.6</v>
      </c>
      <c r="N27" s="104">
        <v>7</v>
      </c>
      <c r="O27" s="57">
        <v>7000</v>
      </c>
      <c r="P27" s="58">
        <f t="shared" si="0"/>
        <v>49000</v>
      </c>
    </row>
    <row r="28" spans="1:16" ht="26.25" customHeight="1" x14ac:dyDescent="0.2">
      <c r="A28" s="100"/>
      <c r="B28" s="100" t="s">
        <v>2250</v>
      </c>
      <c r="C28" s="65" t="s">
        <v>2251</v>
      </c>
      <c r="D28" s="70" t="s">
        <v>57</v>
      </c>
      <c r="E28" s="12">
        <v>44544</v>
      </c>
      <c r="F28" s="68" t="s">
        <v>59</v>
      </c>
      <c r="G28" s="12">
        <v>44552</v>
      </c>
      <c r="H28" s="69" t="s">
        <v>2130</v>
      </c>
      <c r="I28" s="15">
        <v>154</v>
      </c>
      <c r="J28" s="15">
        <v>16</v>
      </c>
      <c r="K28" s="15">
        <v>8</v>
      </c>
      <c r="L28" s="15">
        <v>5</v>
      </c>
      <c r="M28" s="73">
        <v>4.9279999999999999</v>
      </c>
      <c r="N28" s="104">
        <v>5</v>
      </c>
      <c r="O28" s="57">
        <v>7000</v>
      </c>
      <c r="P28" s="58">
        <f t="shared" si="0"/>
        <v>35000</v>
      </c>
    </row>
    <row r="29" spans="1:16" ht="26.25" customHeight="1" x14ac:dyDescent="0.2">
      <c r="A29" s="100"/>
      <c r="B29" s="100"/>
      <c r="C29" s="65" t="s">
        <v>2252</v>
      </c>
      <c r="D29" s="70" t="s">
        <v>57</v>
      </c>
      <c r="E29" s="12">
        <v>44544</v>
      </c>
      <c r="F29" s="68" t="s">
        <v>59</v>
      </c>
      <c r="G29" s="12">
        <v>44552</v>
      </c>
      <c r="H29" s="69" t="s">
        <v>2130</v>
      </c>
      <c r="I29" s="15">
        <v>74</v>
      </c>
      <c r="J29" s="15">
        <v>41</v>
      </c>
      <c r="K29" s="15">
        <v>61</v>
      </c>
      <c r="L29" s="15">
        <v>22</v>
      </c>
      <c r="M29" s="73">
        <v>46.268500000000003</v>
      </c>
      <c r="N29" s="104">
        <v>46.268500000000003</v>
      </c>
      <c r="O29" s="57">
        <v>7000</v>
      </c>
      <c r="P29" s="58">
        <f t="shared" si="0"/>
        <v>323879.5</v>
      </c>
    </row>
    <row r="30" spans="1:16" ht="26.25" customHeight="1" x14ac:dyDescent="0.2">
      <c r="A30" s="100"/>
      <c r="B30" s="100"/>
      <c r="C30" s="65" t="s">
        <v>2253</v>
      </c>
      <c r="D30" s="70" t="s">
        <v>57</v>
      </c>
      <c r="E30" s="12">
        <v>44544</v>
      </c>
      <c r="F30" s="68" t="s">
        <v>59</v>
      </c>
      <c r="G30" s="12">
        <v>44552</v>
      </c>
      <c r="H30" s="69" t="s">
        <v>2130</v>
      </c>
      <c r="I30" s="15">
        <v>124</v>
      </c>
      <c r="J30" s="15">
        <v>55</v>
      </c>
      <c r="K30" s="15">
        <v>18</v>
      </c>
      <c r="L30" s="15">
        <v>10</v>
      </c>
      <c r="M30" s="73">
        <v>30.69</v>
      </c>
      <c r="N30" s="104">
        <v>30.69</v>
      </c>
      <c r="O30" s="57">
        <v>7000</v>
      </c>
      <c r="P30" s="58">
        <f t="shared" si="0"/>
        <v>214830</v>
      </c>
    </row>
    <row r="31" spans="1:16" ht="26.25" customHeight="1" x14ac:dyDescent="0.2">
      <c r="A31" s="100"/>
      <c r="B31" s="100"/>
      <c r="C31" s="65" t="s">
        <v>2254</v>
      </c>
      <c r="D31" s="70" t="s">
        <v>57</v>
      </c>
      <c r="E31" s="12">
        <v>44544</v>
      </c>
      <c r="F31" s="68" t="s">
        <v>59</v>
      </c>
      <c r="G31" s="12">
        <v>44552</v>
      </c>
      <c r="H31" s="69" t="s">
        <v>2130</v>
      </c>
      <c r="I31" s="15">
        <v>81</v>
      </c>
      <c r="J31" s="15">
        <v>45</v>
      </c>
      <c r="K31" s="15">
        <v>18</v>
      </c>
      <c r="L31" s="15">
        <v>7</v>
      </c>
      <c r="M31" s="73">
        <v>16.4025</v>
      </c>
      <c r="N31" s="104">
        <v>17</v>
      </c>
      <c r="O31" s="57">
        <v>7000</v>
      </c>
      <c r="P31" s="58">
        <f t="shared" si="0"/>
        <v>119000</v>
      </c>
    </row>
    <row r="32" spans="1:16" ht="26.25" customHeight="1" x14ac:dyDescent="0.2">
      <c r="A32" s="100"/>
      <c r="B32" s="100"/>
      <c r="C32" s="65" t="s">
        <v>2255</v>
      </c>
      <c r="D32" s="70" t="s">
        <v>57</v>
      </c>
      <c r="E32" s="12">
        <v>44544</v>
      </c>
      <c r="F32" s="68" t="s">
        <v>59</v>
      </c>
      <c r="G32" s="12">
        <v>44552</v>
      </c>
      <c r="H32" s="69" t="s">
        <v>2130</v>
      </c>
      <c r="I32" s="15">
        <v>38</v>
      </c>
      <c r="J32" s="15">
        <v>28</v>
      </c>
      <c r="K32" s="15">
        <v>24</v>
      </c>
      <c r="L32" s="15">
        <v>5</v>
      </c>
      <c r="M32" s="73">
        <v>6.3840000000000003</v>
      </c>
      <c r="N32" s="104">
        <v>7</v>
      </c>
      <c r="O32" s="57">
        <v>7000</v>
      </c>
      <c r="P32" s="58">
        <f t="shared" si="0"/>
        <v>49000</v>
      </c>
    </row>
    <row r="33" spans="1:16" ht="26.25" customHeight="1" x14ac:dyDescent="0.2">
      <c r="A33" s="100"/>
      <c r="B33" s="100"/>
      <c r="C33" s="65" t="s">
        <v>2256</v>
      </c>
      <c r="D33" s="70" t="s">
        <v>57</v>
      </c>
      <c r="E33" s="12">
        <v>44544</v>
      </c>
      <c r="F33" s="68" t="s">
        <v>59</v>
      </c>
      <c r="G33" s="12">
        <v>44552</v>
      </c>
      <c r="H33" s="69" t="s">
        <v>2130</v>
      </c>
      <c r="I33" s="15">
        <v>95</v>
      </c>
      <c r="J33" s="15">
        <v>12</v>
      </c>
      <c r="K33" s="15">
        <v>8</v>
      </c>
      <c r="L33" s="15">
        <v>1</v>
      </c>
      <c r="M33" s="73">
        <v>2.2799999999999998</v>
      </c>
      <c r="N33" s="104">
        <v>2.2799999999999998</v>
      </c>
      <c r="O33" s="57">
        <v>7000</v>
      </c>
      <c r="P33" s="58">
        <f t="shared" si="0"/>
        <v>15959.999999999998</v>
      </c>
    </row>
    <row r="34" spans="1:16" ht="26.25" customHeight="1" x14ac:dyDescent="0.2">
      <c r="A34" s="100"/>
      <c r="B34" s="100"/>
      <c r="C34" s="65" t="s">
        <v>2257</v>
      </c>
      <c r="D34" s="70" t="s">
        <v>57</v>
      </c>
      <c r="E34" s="12">
        <v>44544</v>
      </c>
      <c r="F34" s="68" t="s">
        <v>59</v>
      </c>
      <c r="G34" s="12">
        <v>44552</v>
      </c>
      <c r="H34" s="69" t="s">
        <v>2130</v>
      </c>
      <c r="I34" s="15">
        <v>138</v>
      </c>
      <c r="J34" s="15">
        <v>12</v>
      </c>
      <c r="K34" s="15">
        <v>10</v>
      </c>
      <c r="L34" s="15">
        <v>5</v>
      </c>
      <c r="M34" s="73">
        <v>4.1399999999999997</v>
      </c>
      <c r="N34" s="104">
        <v>5</v>
      </c>
      <c r="O34" s="57">
        <v>7000</v>
      </c>
      <c r="P34" s="58">
        <f t="shared" si="0"/>
        <v>35000</v>
      </c>
    </row>
    <row r="35" spans="1:16" ht="26.25" customHeight="1" x14ac:dyDescent="0.2">
      <c r="A35" s="100"/>
      <c r="B35" s="100"/>
      <c r="C35" s="65" t="s">
        <v>2258</v>
      </c>
      <c r="D35" s="70" t="s">
        <v>57</v>
      </c>
      <c r="E35" s="12">
        <v>44544</v>
      </c>
      <c r="F35" s="68" t="s">
        <v>59</v>
      </c>
      <c r="G35" s="12">
        <v>44552</v>
      </c>
      <c r="H35" s="69" t="s">
        <v>2130</v>
      </c>
      <c r="I35" s="15">
        <v>78</v>
      </c>
      <c r="J35" s="15">
        <v>14</v>
      </c>
      <c r="K35" s="15">
        <v>14</v>
      </c>
      <c r="L35" s="15">
        <v>1</v>
      </c>
      <c r="M35" s="73">
        <v>3.8220000000000001</v>
      </c>
      <c r="N35" s="104">
        <v>3.8220000000000001</v>
      </c>
      <c r="O35" s="57">
        <v>7000</v>
      </c>
      <c r="P35" s="58">
        <f t="shared" si="0"/>
        <v>26754</v>
      </c>
    </row>
    <row r="36" spans="1:16" ht="26.25" customHeight="1" x14ac:dyDescent="0.2">
      <c r="A36" s="100"/>
      <c r="B36" s="100"/>
      <c r="C36" s="65" t="s">
        <v>2259</v>
      </c>
      <c r="D36" s="70" t="s">
        <v>57</v>
      </c>
      <c r="E36" s="12">
        <v>44544</v>
      </c>
      <c r="F36" s="68" t="s">
        <v>59</v>
      </c>
      <c r="G36" s="12">
        <v>44552</v>
      </c>
      <c r="H36" s="69" t="s">
        <v>2130</v>
      </c>
      <c r="I36" s="15">
        <v>118</v>
      </c>
      <c r="J36" s="15">
        <v>18</v>
      </c>
      <c r="K36" s="15">
        <v>10</v>
      </c>
      <c r="L36" s="15">
        <v>3</v>
      </c>
      <c r="M36" s="73">
        <v>5.31</v>
      </c>
      <c r="N36" s="104">
        <v>6</v>
      </c>
      <c r="O36" s="57">
        <v>7000</v>
      </c>
      <c r="P36" s="58">
        <f t="shared" si="0"/>
        <v>42000</v>
      </c>
    </row>
    <row r="37" spans="1:16" ht="26.25" customHeight="1" x14ac:dyDescent="0.2">
      <c r="A37" s="100"/>
      <c r="B37" s="100"/>
      <c r="C37" s="65" t="s">
        <v>2260</v>
      </c>
      <c r="D37" s="70" t="s">
        <v>57</v>
      </c>
      <c r="E37" s="12">
        <v>44544</v>
      </c>
      <c r="F37" s="68" t="s">
        <v>59</v>
      </c>
      <c r="G37" s="12">
        <v>44552</v>
      </c>
      <c r="H37" s="69" t="s">
        <v>2130</v>
      </c>
      <c r="I37" s="15">
        <v>110</v>
      </c>
      <c r="J37" s="15">
        <v>34</v>
      </c>
      <c r="K37" s="15">
        <v>17</v>
      </c>
      <c r="L37" s="15">
        <v>5</v>
      </c>
      <c r="M37" s="73">
        <v>15.895</v>
      </c>
      <c r="N37" s="104">
        <v>15.895</v>
      </c>
      <c r="O37" s="57">
        <v>7000</v>
      </c>
      <c r="P37" s="58">
        <f t="shared" si="0"/>
        <v>111265</v>
      </c>
    </row>
    <row r="38" spans="1:16" ht="26.25" customHeight="1" x14ac:dyDescent="0.2">
      <c r="A38" s="100"/>
      <c r="B38" s="100"/>
      <c r="C38" s="65" t="s">
        <v>2261</v>
      </c>
      <c r="D38" s="70" t="s">
        <v>57</v>
      </c>
      <c r="E38" s="12">
        <v>44544</v>
      </c>
      <c r="F38" s="68" t="s">
        <v>59</v>
      </c>
      <c r="G38" s="12">
        <v>44552</v>
      </c>
      <c r="H38" s="69" t="s">
        <v>2130</v>
      </c>
      <c r="I38" s="15">
        <v>38</v>
      </c>
      <c r="J38" s="15">
        <v>16</v>
      </c>
      <c r="K38" s="15">
        <v>12</v>
      </c>
      <c r="L38" s="15">
        <v>3</v>
      </c>
      <c r="M38" s="73">
        <v>1.8240000000000001</v>
      </c>
      <c r="N38" s="104">
        <v>3</v>
      </c>
      <c r="O38" s="57">
        <v>7000</v>
      </c>
      <c r="P38" s="58">
        <f t="shared" si="0"/>
        <v>21000</v>
      </c>
    </row>
    <row r="39" spans="1:16" ht="26.25" customHeight="1" x14ac:dyDescent="0.2">
      <c r="A39" s="100"/>
      <c r="B39" s="100"/>
      <c r="C39" s="65" t="s">
        <v>2262</v>
      </c>
      <c r="D39" s="70" t="s">
        <v>57</v>
      </c>
      <c r="E39" s="12">
        <v>44544</v>
      </c>
      <c r="F39" s="68" t="s">
        <v>59</v>
      </c>
      <c r="G39" s="12">
        <v>44552</v>
      </c>
      <c r="H39" s="69" t="s">
        <v>2130</v>
      </c>
      <c r="I39" s="15">
        <v>78</v>
      </c>
      <c r="J39" s="15">
        <v>35</v>
      </c>
      <c r="K39" s="15">
        <v>18</v>
      </c>
      <c r="L39" s="15">
        <v>8</v>
      </c>
      <c r="M39" s="73">
        <v>12.285</v>
      </c>
      <c r="N39" s="104">
        <v>12.285</v>
      </c>
      <c r="O39" s="57">
        <v>7000</v>
      </c>
      <c r="P39" s="58">
        <f t="shared" si="0"/>
        <v>85995</v>
      </c>
    </row>
    <row r="40" spans="1:16" ht="26.25" customHeight="1" x14ac:dyDescent="0.2">
      <c r="A40" s="100"/>
      <c r="B40" s="100"/>
      <c r="C40" s="65" t="s">
        <v>2263</v>
      </c>
      <c r="D40" s="70" t="s">
        <v>57</v>
      </c>
      <c r="E40" s="12">
        <v>44544</v>
      </c>
      <c r="F40" s="68" t="s">
        <v>59</v>
      </c>
      <c r="G40" s="12">
        <v>44552</v>
      </c>
      <c r="H40" s="69" t="s">
        <v>2130</v>
      </c>
      <c r="I40" s="15">
        <v>41</v>
      </c>
      <c r="J40" s="15">
        <v>38</v>
      </c>
      <c r="K40" s="15">
        <v>22</v>
      </c>
      <c r="L40" s="15">
        <v>6</v>
      </c>
      <c r="M40" s="73">
        <v>8.5690000000000008</v>
      </c>
      <c r="N40" s="104">
        <v>8.5690000000000008</v>
      </c>
      <c r="O40" s="57">
        <v>7000</v>
      </c>
      <c r="P40" s="58">
        <f t="shared" si="0"/>
        <v>59983.000000000007</v>
      </c>
    </row>
    <row r="41" spans="1:16" ht="26.25" customHeight="1" x14ac:dyDescent="0.2">
      <c r="A41" s="100"/>
      <c r="B41" s="100"/>
      <c r="C41" s="65" t="s">
        <v>2264</v>
      </c>
      <c r="D41" s="70" t="s">
        <v>57</v>
      </c>
      <c r="E41" s="12">
        <v>44544</v>
      </c>
      <c r="F41" s="68" t="s">
        <v>59</v>
      </c>
      <c r="G41" s="12">
        <v>44552</v>
      </c>
      <c r="H41" s="69" t="s">
        <v>2130</v>
      </c>
      <c r="I41" s="15">
        <v>2</v>
      </c>
      <c r="J41" s="15">
        <v>32</v>
      </c>
      <c r="K41" s="15">
        <v>18</v>
      </c>
      <c r="L41" s="15">
        <v>12</v>
      </c>
      <c r="M41" s="73">
        <v>0.28799999999999998</v>
      </c>
      <c r="N41" s="104">
        <v>12</v>
      </c>
      <c r="O41" s="57">
        <v>7000</v>
      </c>
      <c r="P41" s="58">
        <f t="shared" si="0"/>
        <v>84000</v>
      </c>
    </row>
    <row r="42" spans="1:16" ht="26.25" customHeight="1" x14ac:dyDescent="0.2">
      <c r="A42" s="100"/>
      <c r="B42" s="100"/>
      <c r="C42" s="65" t="s">
        <v>2265</v>
      </c>
      <c r="D42" s="70" t="s">
        <v>57</v>
      </c>
      <c r="E42" s="12">
        <v>44544</v>
      </c>
      <c r="F42" s="68" t="s">
        <v>59</v>
      </c>
      <c r="G42" s="12">
        <v>44552</v>
      </c>
      <c r="H42" s="69" t="s">
        <v>2130</v>
      </c>
      <c r="I42" s="15">
        <v>58</v>
      </c>
      <c r="J42" s="15">
        <v>34</v>
      </c>
      <c r="K42" s="15">
        <v>12</v>
      </c>
      <c r="L42" s="15">
        <v>5</v>
      </c>
      <c r="M42" s="73">
        <v>5.9160000000000004</v>
      </c>
      <c r="N42" s="104">
        <v>5.9160000000000004</v>
      </c>
      <c r="O42" s="57">
        <v>7000</v>
      </c>
      <c r="P42" s="58">
        <f t="shared" si="0"/>
        <v>41412</v>
      </c>
    </row>
    <row r="43" spans="1:16" ht="26.25" customHeight="1" x14ac:dyDescent="0.2">
      <c r="A43" s="100"/>
      <c r="B43" s="100"/>
      <c r="C43" s="65" t="s">
        <v>2266</v>
      </c>
      <c r="D43" s="70" t="s">
        <v>57</v>
      </c>
      <c r="E43" s="12">
        <v>44544</v>
      </c>
      <c r="F43" s="68" t="s">
        <v>59</v>
      </c>
      <c r="G43" s="12">
        <v>44552</v>
      </c>
      <c r="H43" s="69" t="s">
        <v>2130</v>
      </c>
      <c r="I43" s="15">
        <v>33</v>
      </c>
      <c r="J43" s="15">
        <v>28</v>
      </c>
      <c r="K43" s="15">
        <v>15</v>
      </c>
      <c r="L43" s="15">
        <v>5</v>
      </c>
      <c r="M43" s="73">
        <v>3.4649999999999999</v>
      </c>
      <c r="N43" s="104">
        <v>6</v>
      </c>
      <c r="O43" s="57">
        <v>7000</v>
      </c>
      <c r="P43" s="58">
        <f t="shared" si="0"/>
        <v>42000</v>
      </c>
    </row>
    <row r="44" spans="1:16" ht="26.25" customHeight="1" x14ac:dyDescent="0.2">
      <c r="A44" s="100"/>
      <c r="B44" s="100"/>
      <c r="C44" s="65" t="s">
        <v>2267</v>
      </c>
      <c r="D44" s="70" t="s">
        <v>57</v>
      </c>
      <c r="E44" s="12">
        <v>44544</v>
      </c>
      <c r="F44" s="68" t="s">
        <v>59</v>
      </c>
      <c r="G44" s="12">
        <v>44552</v>
      </c>
      <c r="H44" s="69" t="s">
        <v>2130</v>
      </c>
      <c r="I44" s="15">
        <v>74</v>
      </c>
      <c r="J44" s="15">
        <v>31</v>
      </c>
      <c r="K44" s="15">
        <v>32</v>
      </c>
      <c r="L44" s="15">
        <v>5</v>
      </c>
      <c r="M44" s="73">
        <v>18.352</v>
      </c>
      <c r="N44" s="104">
        <v>19</v>
      </c>
      <c r="O44" s="57">
        <v>7000</v>
      </c>
      <c r="P44" s="58">
        <f t="shared" si="0"/>
        <v>133000</v>
      </c>
    </row>
    <row r="45" spans="1:16" ht="26.25" customHeight="1" x14ac:dyDescent="0.2">
      <c r="A45" s="100"/>
      <c r="B45" s="100"/>
      <c r="C45" s="65" t="s">
        <v>2268</v>
      </c>
      <c r="D45" s="70" t="s">
        <v>57</v>
      </c>
      <c r="E45" s="12">
        <v>44544</v>
      </c>
      <c r="F45" s="68" t="s">
        <v>59</v>
      </c>
      <c r="G45" s="12">
        <v>44552</v>
      </c>
      <c r="H45" s="69" t="s">
        <v>2130</v>
      </c>
      <c r="I45" s="15">
        <v>91</v>
      </c>
      <c r="J45" s="15">
        <v>47</v>
      </c>
      <c r="K45" s="15">
        <v>25</v>
      </c>
      <c r="L45" s="15">
        <v>11</v>
      </c>
      <c r="M45" s="73">
        <v>26.731249999999999</v>
      </c>
      <c r="N45" s="104">
        <v>26.731249999999999</v>
      </c>
      <c r="O45" s="57">
        <v>7000</v>
      </c>
      <c r="P45" s="58">
        <f t="shared" si="0"/>
        <v>187118.75</v>
      </c>
    </row>
    <row r="46" spans="1:16" ht="26.25" customHeight="1" x14ac:dyDescent="0.2">
      <c r="A46" s="100"/>
      <c r="B46" s="100"/>
      <c r="C46" s="65" t="s">
        <v>2269</v>
      </c>
      <c r="D46" s="70" t="s">
        <v>57</v>
      </c>
      <c r="E46" s="12">
        <v>44544</v>
      </c>
      <c r="F46" s="68" t="s">
        <v>59</v>
      </c>
      <c r="G46" s="12">
        <v>44552</v>
      </c>
      <c r="H46" s="69" t="s">
        <v>2130</v>
      </c>
      <c r="I46" s="15">
        <v>115</v>
      </c>
      <c r="J46" s="15">
        <v>8</v>
      </c>
      <c r="K46" s="15">
        <v>8</v>
      </c>
      <c r="L46" s="15">
        <v>1</v>
      </c>
      <c r="M46" s="73">
        <v>1.84</v>
      </c>
      <c r="N46" s="104">
        <v>1.84</v>
      </c>
      <c r="O46" s="57">
        <v>7000</v>
      </c>
      <c r="P46" s="58">
        <f t="shared" si="0"/>
        <v>12880</v>
      </c>
    </row>
    <row r="47" spans="1:16" ht="26.25" customHeight="1" x14ac:dyDescent="0.2">
      <c r="A47" s="100"/>
      <c r="B47" s="100"/>
      <c r="C47" s="65" t="s">
        <v>2270</v>
      </c>
      <c r="D47" s="70" t="s">
        <v>57</v>
      </c>
      <c r="E47" s="12">
        <v>44544</v>
      </c>
      <c r="F47" s="68" t="s">
        <v>59</v>
      </c>
      <c r="G47" s="12">
        <v>44552</v>
      </c>
      <c r="H47" s="69" t="s">
        <v>2130</v>
      </c>
      <c r="I47" s="15">
        <v>46</v>
      </c>
      <c r="J47" s="15">
        <v>35</v>
      </c>
      <c r="K47" s="15">
        <v>23</v>
      </c>
      <c r="L47" s="15">
        <v>1</v>
      </c>
      <c r="M47" s="73">
        <v>9.2575000000000003</v>
      </c>
      <c r="N47" s="104">
        <v>9.2575000000000003</v>
      </c>
      <c r="O47" s="57">
        <v>7000</v>
      </c>
      <c r="P47" s="58">
        <f t="shared" si="0"/>
        <v>64802.5</v>
      </c>
    </row>
    <row r="48" spans="1:16" ht="26.25" customHeight="1" x14ac:dyDescent="0.2">
      <c r="A48" s="100"/>
      <c r="B48" s="100"/>
      <c r="C48" s="65" t="s">
        <v>2271</v>
      </c>
      <c r="D48" s="70" t="s">
        <v>57</v>
      </c>
      <c r="E48" s="12">
        <v>44544</v>
      </c>
      <c r="F48" s="68" t="s">
        <v>59</v>
      </c>
      <c r="G48" s="12">
        <v>44552</v>
      </c>
      <c r="H48" s="69" t="s">
        <v>2130</v>
      </c>
      <c r="I48" s="15">
        <v>94</v>
      </c>
      <c r="J48" s="15">
        <v>48</v>
      </c>
      <c r="K48" s="15">
        <v>36</v>
      </c>
      <c r="L48" s="15">
        <v>24</v>
      </c>
      <c r="M48" s="73">
        <v>40.607999999999997</v>
      </c>
      <c r="N48" s="104">
        <v>40.607999999999997</v>
      </c>
      <c r="O48" s="57">
        <v>7000</v>
      </c>
      <c r="P48" s="58">
        <f t="shared" si="0"/>
        <v>284256</v>
      </c>
    </row>
    <row r="49" spans="1:16" ht="26.25" customHeight="1" x14ac:dyDescent="0.2">
      <c r="A49" s="100"/>
      <c r="B49" s="100"/>
      <c r="C49" s="65" t="s">
        <v>2272</v>
      </c>
      <c r="D49" s="70" t="s">
        <v>57</v>
      </c>
      <c r="E49" s="12">
        <v>44544</v>
      </c>
      <c r="F49" s="68" t="s">
        <v>59</v>
      </c>
      <c r="G49" s="12">
        <v>44552</v>
      </c>
      <c r="H49" s="69" t="s">
        <v>2130</v>
      </c>
      <c r="I49" s="15">
        <v>82</v>
      </c>
      <c r="J49" s="15">
        <v>65</v>
      </c>
      <c r="K49" s="15">
        <v>4</v>
      </c>
      <c r="L49" s="15">
        <v>2</v>
      </c>
      <c r="M49" s="73">
        <v>5.33</v>
      </c>
      <c r="N49" s="104">
        <v>6</v>
      </c>
      <c r="O49" s="57">
        <v>7000</v>
      </c>
      <c r="P49" s="58">
        <f t="shared" si="0"/>
        <v>42000</v>
      </c>
    </row>
    <row r="50" spans="1:16" ht="26.25" customHeight="1" x14ac:dyDescent="0.2">
      <c r="A50" s="100"/>
      <c r="B50" s="100"/>
      <c r="C50" s="65" t="s">
        <v>2273</v>
      </c>
      <c r="D50" s="70" t="s">
        <v>57</v>
      </c>
      <c r="E50" s="12">
        <v>44544</v>
      </c>
      <c r="F50" s="68" t="s">
        <v>59</v>
      </c>
      <c r="G50" s="12">
        <v>44552</v>
      </c>
      <c r="H50" s="69" t="s">
        <v>2130</v>
      </c>
      <c r="I50" s="15">
        <v>78</v>
      </c>
      <c r="J50" s="15">
        <v>31</v>
      </c>
      <c r="K50" s="15">
        <v>26</v>
      </c>
      <c r="L50" s="15">
        <v>15</v>
      </c>
      <c r="M50" s="73">
        <v>15.717000000000001</v>
      </c>
      <c r="N50" s="104">
        <v>15.717000000000001</v>
      </c>
      <c r="O50" s="57">
        <v>7000</v>
      </c>
      <c r="P50" s="58">
        <f t="shared" si="0"/>
        <v>110019</v>
      </c>
    </row>
    <row r="51" spans="1:16" ht="26.25" customHeight="1" x14ac:dyDescent="0.2">
      <c r="A51" s="100"/>
      <c r="B51" s="100"/>
      <c r="C51" s="65" t="s">
        <v>2274</v>
      </c>
      <c r="D51" s="70" t="s">
        <v>57</v>
      </c>
      <c r="E51" s="12">
        <v>44544</v>
      </c>
      <c r="F51" s="68" t="s">
        <v>59</v>
      </c>
      <c r="G51" s="12">
        <v>44552</v>
      </c>
      <c r="H51" s="69" t="s">
        <v>2130</v>
      </c>
      <c r="I51" s="15">
        <v>66</v>
      </c>
      <c r="J51" s="15">
        <v>46</v>
      </c>
      <c r="K51" s="15">
        <v>21</v>
      </c>
      <c r="L51" s="15">
        <v>11</v>
      </c>
      <c r="M51" s="73">
        <v>15.939</v>
      </c>
      <c r="N51" s="104">
        <v>15.939</v>
      </c>
      <c r="O51" s="57">
        <v>7000</v>
      </c>
      <c r="P51" s="58">
        <f t="shared" si="0"/>
        <v>111573</v>
      </c>
    </row>
    <row r="52" spans="1:16" ht="26.25" customHeight="1" x14ac:dyDescent="0.2">
      <c r="A52" s="100"/>
      <c r="B52" s="100"/>
      <c r="C52" s="65" t="s">
        <v>2275</v>
      </c>
      <c r="D52" s="70" t="s">
        <v>57</v>
      </c>
      <c r="E52" s="12">
        <v>44544</v>
      </c>
      <c r="F52" s="68" t="s">
        <v>59</v>
      </c>
      <c r="G52" s="12">
        <v>44552</v>
      </c>
      <c r="H52" s="69" t="s">
        <v>2130</v>
      </c>
      <c r="I52" s="15">
        <v>82</v>
      </c>
      <c r="J52" s="15">
        <v>45</v>
      </c>
      <c r="K52" s="15">
        <v>36</v>
      </c>
      <c r="L52" s="15">
        <v>17</v>
      </c>
      <c r="M52" s="73">
        <v>33.21</v>
      </c>
      <c r="N52" s="104">
        <v>33.21</v>
      </c>
      <c r="O52" s="57">
        <v>7000</v>
      </c>
      <c r="P52" s="58">
        <f t="shared" si="0"/>
        <v>232470</v>
      </c>
    </row>
    <row r="53" spans="1:16" ht="26.25" customHeight="1" x14ac:dyDescent="0.2">
      <c r="A53" s="100"/>
      <c r="B53" s="100"/>
      <c r="C53" s="65" t="s">
        <v>2276</v>
      </c>
      <c r="D53" s="70" t="s">
        <v>57</v>
      </c>
      <c r="E53" s="12">
        <v>44544</v>
      </c>
      <c r="F53" s="68" t="s">
        <v>59</v>
      </c>
      <c r="G53" s="12">
        <v>44552</v>
      </c>
      <c r="H53" s="69" t="s">
        <v>2130</v>
      </c>
      <c r="I53" s="15">
        <v>91</v>
      </c>
      <c r="J53" s="15">
        <v>48</v>
      </c>
      <c r="K53" s="15">
        <v>28</v>
      </c>
      <c r="L53" s="15">
        <v>18</v>
      </c>
      <c r="M53" s="73">
        <v>30.576000000000001</v>
      </c>
      <c r="N53" s="104">
        <v>30.576000000000001</v>
      </c>
      <c r="O53" s="57">
        <v>7000</v>
      </c>
      <c r="P53" s="58">
        <f t="shared" si="0"/>
        <v>214032</v>
      </c>
    </row>
    <row r="54" spans="1:16" ht="26.25" customHeight="1" x14ac:dyDescent="0.2">
      <c r="A54" s="100"/>
      <c r="B54" s="100"/>
      <c r="C54" s="65" t="s">
        <v>2277</v>
      </c>
      <c r="D54" s="70" t="s">
        <v>57</v>
      </c>
      <c r="E54" s="12">
        <v>44544</v>
      </c>
      <c r="F54" s="68" t="s">
        <v>59</v>
      </c>
      <c r="G54" s="12">
        <v>44552</v>
      </c>
      <c r="H54" s="69" t="s">
        <v>2130</v>
      </c>
      <c r="I54" s="15">
        <v>104</v>
      </c>
      <c r="J54" s="15">
        <v>24</v>
      </c>
      <c r="K54" s="15">
        <v>10</v>
      </c>
      <c r="L54" s="15">
        <v>9</v>
      </c>
      <c r="M54" s="73">
        <v>6.24</v>
      </c>
      <c r="N54" s="104">
        <v>9</v>
      </c>
      <c r="O54" s="57">
        <v>7000</v>
      </c>
      <c r="P54" s="58">
        <f t="shared" si="0"/>
        <v>63000</v>
      </c>
    </row>
    <row r="55" spans="1:16" ht="26.25" customHeight="1" x14ac:dyDescent="0.2">
      <c r="A55" s="100"/>
      <c r="B55" s="100"/>
      <c r="C55" s="65" t="s">
        <v>2278</v>
      </c>
      <c r="D55" s="70" t="s">
        <v>57</v>
      </c>
      <c r="E55" s="12">
        <v>44544</v>
      </c>
      <c r="F55" s="68" t="s">
        <v>59</v>
      </c>
      <c r="G55" s="12">
        <v>44552</v>
      </c>
      <c r="H55" s="69" t="s">
        <v>2130</v>
      </c>
      <c r="I55" s="15">
        <v>41</v>
      </c>
      <c r="J55" s="15">
        <v>35</v>
      </c>
      <c r="K55" s="15">
        <v>13</v>
      </c>
      <c r="L55" s="15">
        <v>5</v>
      </c>
      <c r="M55" s="73">
        <v>4.6637500000000003</v>
      </c>
      <c r="N55" s="104">
        <v>5</v>
      </c>
      <c r="O55" s="57">
        <v>7000</v>
      </c>
      <c r="P55" s="58">
        <f t="shared" si="0"/>
        <v>35000</v>
      </c>
    </row>
    <row r="56" spans="1:16" ht="26.25" customHeight="1" x14ac:dyDescent="0.2">
      <c r="A56" s="100"/>
      <c r="B56" s="100"/>
      <c r="C56" s="65" t="s">
        <v>2279</v>
      </c>
      <c r="D56" s="70" t="s">
        <v>57</v>
      </c>
      <c r="E56" s="12">
        <v>44544</v>
      </c>
      <c r="F56" s="68" t="s">
        <v>59</v>
      </c>
      <c r="G56" s="12">
        <v>44552</v>
      </c>
      <c r="H56" s="69" t="s">
        <v>2130</v>
      </c>
      <c r="I56" s="15">
        <v>96</v>
      </c>
      <c r="J56" s="15">
        <v>56</v>
      </c>
      <c r="K56" s="15">
        <v>24</v>
      </c>
      <c r="L56" s="15">
        <v>21</v>
      </c>
      <c r="M56" s="73">
        <v>32.256</v>
      </c>
      <c r="N56" s="104">
        <v>32.256</v>
      </c>
      <c r="O56" s="57">
        <v>7000</v>
      </c>
      <c r="P56" s="58">
        <f t="shared" si="0"/>
        <v>225792</v>
      </c>
    </row>
    <row r="57" spans="1:16" ht="26.25" customHeight="1" x14ac:dyDescent="0.2">
      <c r="A57" s="100"/>
      <c r="B57" s="100"/>
      <c r="C57" s="65" t="s">
        <v>2280</v>
      </c>
      <c r="D57" s="70" t="s">
        <v>57</v>
      </c>
      <c r="E57" s="12">
        <v>44544</v>
      </c>
      <c r="F57" s="68" t="s">
        <v>59</v>
      </c>
      <c r="G57" s="12">
        <v>44552</v>
      </c>
      <c r="H57" s="69" t="s">
        <v>2130</v>
      </c>
      <c r="I57" s="15">
        <v>54</v>
      </c>
      <c r="J57" s="15">
        <v>33</v>
      </c>
      <c r="K57" s="15">
        <v>15</v>
      </c>
      <c r="L57" s="15">
        <v>5</v>
      </c>
      <c r="M57" s="73">
        <v>6.6825000000000001</v>
      </c>
      <c r="N57" s="104">
        <v>6.6825000000000001</v>
      </c>
      <c r="O57" s="57">
        <v>7000</v>
      </c>
      <c r="P57" s="58">
        <f t="shared" si="0"/>
        <v>46777.5</v>
      </c>
    </row>
    <row r="58" spans="1:16" ht="26.25" customHeight="1" x14ac:dyDescent="0.2">
      <c r="A58" s="100"/>
      <c r="B58" s="100"/>
      <c r="C58" s="65" t="s">
        <v>2281</v>
      </c>
      <c r="D58" s="70" t="s">
        <v>57</v>
      </c>
      <c r="E58" s="12">
        <v>44544</v>
      </c>
      <c r="F58" s="68" t="s">
        <v>59</v>
      </c>
      <c r="G58" s="12">
        <v>44552</v>
      </c>
      <c r="H58" s="69" t="s">
        <v>2130</v>
      </c>
      <c r="I58" s="15">
        <v>41</v>
      </c>
      <c r="J58" s="15">
        <v>41</v>
      </c>
      <c r="K58" s="15">
        <v>42</v>
      </c>
      <c r="L58" s="15">
        <v>11</v>
      </c>
      <c r="M58" s="73">
        <v>17.650500000000001</v>
      </c>
      <c r="N58" s="104">
        <v>17.650500000000001</v>
      </c>
      <c r="O58" s="57">
        <v>7000</v>
      </c>
      <c r="P58" s="58">
        <f t="shared" si="0"/>
        <v>123553.5</v>
      </c>
    </row>
    <row r="59" spans="1:16" ht="26.25" customHeight="1" x14ac:dyDescent="0.2">
      <c r="A59" s="100"/>
      <c r="B59" s="100"/>
      <c r="C59" s="65" t="s">
        <v>2282</v>
      </c>
      <c r="D59" s="70" t="s">
        <v>57</v>
      </c>
      <c r="E59" s="12">
        <v>44544</v>
      </c>
      <c r="F59" s="68" t="s">
        <v>59</v>
      </c>
      <c r="G59" s="12">
        <v>44552</v>
      </c>
      <c r="H59" s="69" t="s">
        <v>2130</v>
      </c>
      <c r="I59" s="15">
        <v>51</v>
      </c>
      <c r="J59" s="15">
        <v>41</v>
      </c>
      <c r="K59" s="15">
        <v>35</v>
      </c>
      <c r="L59" s="15">
        <v>16</v>
      </c>
      <c r="M59" s="73">
        <v>18.296250000000001</v>
      </c>
      <c r="N59" s="104">
        <v>19</v>
      </c>
      <c r="O59" s="57">
        <v>7000</v>
      </c>
      <c r="P59" s="58">
        <f t="shared" si="0"/>
        <v>133000</v>
      </c>
    </row>
    <row r="60" spans="1:16" ht="26.25" customHeight="1" x14ac:dyDescent="0.2">
      <c r="A60" s="100"/>
      <c r="B60" s="100"/>
      <c r="C60" s="65" t="s">
        <v>2283</v>
      </c>
      <c r="D60" s="70" t="s">
        <v>57</v>
      </c>
      <c r="E60" s="12">
        <v>44544</v>
      </c>
      <c r="F60" s="68" t="s">
        <v>59</v>
      </c>
      <c r="G60" s="12">
        <v>44552</v>
      </c>
      <c r="H60" s="69" t="s">
        <v>2130</v>
      </c>
      <c r="I60" s="15">
        <v>46</v>
      </c>
      <c r="J60" s="15">
        <v>38</v>
      </c>
      <c r="K60" s="15">
        <v>24</v>
      </c>
      <c r="L60" s="15">
        <v>9</v>
      </c>
      <c r="M60" s="73">
        <v>10.488</v>
      </c>
      <c r="N60" s="104">
        <v>11</v>
      </c>
      <c r="O60" s="57">
        <v>7000</v>
      </c>
      <c r="P60" s="58">
        <f t="shared" si="0"/>
        <v>77000</v>
      </c>
    </row>
    <row r="61" spans="1:16" ht="26.25" customHeight="1" x14ac:dyDescent="0.2">
      <c r="A61" s="100"/>
      <c r="B61" s="100"/>
      <c r="C61" s="65" t="s">
        <v>2284</v>
      </c>
      <c r="D61" s="70" t="s">
        <v>57</v>
      </c>
      <c r="E61" s="12">
        <v>44544</v>
      </c>
      <c r="F61" s="68" t="s">
        <v>59</v>
      </c>
      <c r="G61" s="12">
        <v>44552</v>
      </c>
      <c r="H61" s="69" t="s">
        <v>2130</v>
      </c>
      <c r="I61" s="15">
        <v>148</v>
      </c>
      <c r="J61" s="15">
        <v>31</v>
      </c>
      <c r="K61" s="15">
        <v>15</v>
      </c>
      <c r="L61" s="15">
        <v>4</v>
      </c>
      <c r="M61" s="73">
        <v>17.204999999999998</v>
      </c>
      <c r="N61" s="104">
        <v>17.204999999999998</v>
      </c>
      <c r="O61" s="57">
        <v>7000</v>
      </c>
      <c r="P61" s="58">
        <f t="shared" si="0"/>
        <v>120434.99999999999</v>
      </c>
    </row>
    <row r="62" spans="1:16" ht="26.25" customHeight="1" x14ac:dyDescent="0.2">
      <c r="A62" s="100"/>
      <c r="B62" s="100"/>
      <c r="C62" s="65" t="s">
        <v>2285</v>
      </c>
      <c r="D62" s="70" t="s">
        <v>57</v>
      </c>
      <c r="E62" s="12">
        <v>44544</v>
      </c>
      <c r="F62" s="68" t="s">
        <v>59</v>
      </c>
      <c r="G62" s="12">
        <v>44552</v>
      </c>
      <c r="H62" s="69" t="s">
        <v>2130</v>
      </c>
      <c r="I62" s="15">
        <v>66</v>
      </c>
      <c r="J62" s="15">
        <v>27</v>
      </c>
      <c r="K62" s="15">
        <v>18</v>
      </c>
      <c r="L62" s="15">
        <v>4</v>
      </c>
      <c r="M62" s="73">
        <v>8.0190000000000001</v>
      </c>
      <c r="N62" s="104">
        <v>8.0190000000000001</v>
      </c>
      <c r="O62" s="57">
        <v>7000</v>
      </c>
      <c r="P62" s="58">
        <f t="shared" si="0"/>
        <v>56133</v>
      </c>
    </row>
    <row r="63" spans="1:16" ht="26.25" customHeight="1" x14ac:dyDescent="0.2">
      <c r="A63" s="100"/>
      <c r="B63" s="100"/>
      <c r="C63" s="65" t="s">
        <v>2286</v>
      </c>
      <c r="D63" s="70" t="s">
        <v>57</v>
      </c>
      <c r="E63" s="12">
        <v>44544</v>
      </c>
      <c r="F63" s="68" t="s">
        <v>59</v>
      </c>
      <c r="G63" s="12">
        <v>44552</v>
      </c>
      <c r="H63" s="69" t="s">
        <v>2130</v>
      </c>
      <c r="I63" s="15">
        <v>71</v>
      </c>
      <c r="J63" s="15">
        <v>59</v>
      </c>
      <c r="K63" s="15">
        <v>20</v>
      </c>
      <c r="L63" s="15">
        <v>5</v>
      </c>
      <c r="M63" s="73">
        <v>20.945</v>
      </c>
      <c r="N63" s="104">
        <v>20.945</v>
      </c>
      <c r="O63" s="57">
        <v>7000</v>
      </c>
      <c r="P63" s="58">
        <f t="shared" si="0"/>
        <v>146615</v>
      </c>
    </row>
    <row r="64" spans="1:16" ht="26.25" customHeight="1" x14ac:dyDescent="0.2">
      <c r="A64" s="100"/>
      <c r="B64" s="100"/>
      <c r="C64" s="65" t="s">
        <v>2287</v>
      </c>
      <c r="D64" s="70" t="s">
        <v>57</v>
      </c>
      <c r="E64" s="12">
        <v>44544</v>
      </c>
      <c r="F64" s="68" t="s">
        <v>59</v>
      </c>
      <c r="G64" s="12">
        <v>44552</v>
      </c>
      <c r="H64" s="69" t="s">
        <v>2130</v>
      </c>
      <c r="I64" s="15">
        <v>58</v>
      </c>
      <c r="J64" s="15">
        <v>32</v>
      </c>
      <c r="K64" s="15">
        <v>48</v>
      </c>
      <c r="L64" s="15">
        <v>15</v>
      </c>
      <c r="M64" s="73">
        <v>22.271999999999998</v>
      </c>
      <c r="N64" s="104">
        <v>22.271999999999998</v>
      </c>
      <c r="O64" s="57">
        <v>7000</v>
      </c>
      <c r="P64" s="58">
        <f t="shared" si="0"/>
        <v>155904</v>
      </c>
    </row>
    <row r="65" spans="1:16" ht="26.25" customHeight="1" x14ac:dyDescent="0.2">
      <c r="A65" s="100"/>
      <c r="B65" s="100"/>
      <c r="C65" s="65" t="s">
        <v>2288</v>
      </c>
      <c r="D65" s="70" t="s">
        <v>57</v>
      </c>
      <c r="E65" s="12">
        <v>44544</v>
      </c>
      <c r="F65" s="68" t="s">
        <v>59</v>
      </c>
      <c r="G65" s="12">
        <v>44552</v>
      </c>
      <c r="H65" s="69" t="s">
        <v>2130</v>
      </c>
      <c r="I65" s="15">
        <v>91</v>
      </c>
      <c r="J65" s="15">
        <v>57</v>
      </c>
      <c r="K65" s="15">
        <v>28</v>
      </c>
      <c r="L65" s="15">
        <v>12</v>
      </c>
      <c r="M65" s="73">
        <v>36.308999999999997</v>
      </c>
      <c r="N65" s="104">
        <v>37</v>
      </c>
      <c r="O65" s="57">
        <v>7000</v>
      </c>
      <c r="P65" s="58">
        <f t="shared" si="0"/>
        <v>259000</v>
      </c>
    </row>
    <row r="66" spans="1:16" ht="26.25" customHeight="1" x14ac:dyDescent="0.2">
      <c r="A66" s="100"/>
      <c r="B66" s="100"/>
      <c r="C66" s="65" t="s">
        <v>2289</v>
      </c>
      <c r="D66" s="70" t="s">
        <v>57</v>
      </c>
      <c r="E66" s="12">
        <v>44544</v>
      </c>
      <c r="F66" s="68" t="s">
        <v>59</v>
      </c>
      <c r="G66" s="12">
        <v>44552</v>
      </c>
      <c r="H66" s="69" t="s">
        <v>2130</v>
      </c>
      <c r="I66" s="15">
        <v>80</v>
      </c>
      <c r="J66" s="15">
        <v>41</v>
      </c>
      <c r="K66" s="15">
        <v>22</v>
      </c>
      <c r="L66" s="15">
        <v>11</v>
      </c>
      <c r="M66" s="73">
        <v>18.04</v>
      </c>
      <c r="N66" s="104">
        <v>18.04</v>
      </c>
      <c r="O66" s="57">
        <v>7000</v>
      </c>
      <c r="P66" s="58">
        <f t="shared" si="0"/>
        <v>126280</v>
      </c>
    </row>
    <row r="67" spans="1:16" ht="26.25" customHeight="1" x14ac:dyDescent="0.2">
      <c r="A67" s="100"/>
      <c r="B67" s="100"/>
      <c r="C67" s="65" t="s">
        <v>2290</v>
      </c>
      <c r="D67" s="70" t="s">
        <v>57</v>
      </c>
      <c r="E67" s="12">
        <v>44544</v>
      </c>
      <c r="F67" s="68" t="s">
        <v>59</v>
      </c>
      <c r="G67" s="12">
        <v>44552</v>
      </c>
      <c r="H67" s="69" t="s">
        <v>2130</v>
      </c>
      <c r="I67" s="15">
        <v>88</v>
      </c>
      <c r="J67" s="15">
        <v>57</v>
      </c>
      <c r="K67" s="15">
        <v>2</v>
      </c>
      <c r="L67" s="15">
        <v>19</v>
      </c>
      <c r="M67" s="73">
        <v>2.508</v>
      </c>
      <c r="N67" s="104">
        <v>19</v>
      </c>
      <c r="O67" s="57">
        <v>7000</v>
      </c>
      <c r="P67" s="58">
        <f t="shared" ref="P67:P130" si="1">N67*O67</f>
        <v>133000</v>
      </c>
    </row>
    <row r="68" spans="1:16" ht="26.25" customHeight="1" x14ac:dyDescent="0.2">
      <c r="A68" s="100"/>
      <c r="B68" s="100"/>
      <c r="C68" s="65" t="s">
        <v>2291</v>
      </c>
      <c r="D68" s="70" t="s">
        <v>57</v>
      </c>
      <c r="E68" s="12">
        <v>44544</v>
      </c>
      <c r="F68" s="68" t="s">
        <v>59</v>
      </c>
      <c r="G68" s="12">
        <v>44552</v>
      </c>
      <c r="H68" s="69" t="s">
        <v>2130</v>
      </c>
      <c r="I68" s="15">
        <v>82</v>
      </c>
      <c r="J68" s="15">
        <v>51</v>
      </c>
      <c r="K68" s="15">
        <v>24</v>
      </c>
      <c r="L68" s="15">
        <v>19</v>
      </c>
      <c r="M68" s="73">
        <v>25.091999999999999</v>
      </c>
      <c r="N68" s="104">
        <v>25.091999999999999</v>
      </c>
      <c r="O68" s="57">
        <v>7000</v>
      </c>
      <c r="P68" s="58">
        <f t="shared" si="1"/>
        <v>175644</v>
      </c>
    </row>
    <row r="69" spans="1:16" ht="26.25" customHeight="1" x14ac:dyDescent="0.2">
      <c r="A69" s="100"/>
      <c r="B69" s="100"/>
      <c r="C69" s="65" t="s">
        <v>2292</v>
      </c>
      <c r="D69" s="70" t="s">
        <v>57</v>
      </c>
      <c r="E69" s="12">
        <v>44544</v>
      </c>
      <c r="F69" s="68" t="s">
        <v>59</v>
      </c>
      <c r="G69" s="12">
        <v>44552</v>
      </c>
      <c r="H69" s="69" t="s">
        <v>2130</v>
      </c>
      <c r="I69" s="15">
        <v>61</v>
      </c>
      <c r="J69" s="15">
        <v>48</v>
      </c>
      <c r="K69" s="15">
        <v>20</v>
      </c>
      <c r="L69" s="15">
        <v>11</v>
      </c>
      <c r="M69" s="73">
        <v>14.64</v>
      </c>
      <c r="N69" s="104">
        <v>14.64</v>
      </c>
      <c r="O69" s="57">
        <v>7000</v>
      </c>
      <c r="P69" s="58">
        <f t="shared" si="1"/>
        <v>102480</v>
      </c>
    </row>
    <row r="70" spans="1:16" ht="26.25" customHeight="1" x14ac:dyDescent="0.2">
      <c r="A70" s="100"/>
      <c r="B70" s="100"/>
      <c r="C70" s="65" t="s">
        <v>2293</v>
      </c>
      <c r="D70" s="70" t="s">
        <v>57</v>
      </c>
      <c r="E70" s="12">
        <v>44544</v>
      </c>
      <c r="F70" s="68" t="s">
        <v>59</v>
      </c>
      <c r="G70" s="12">
        <v>44552</v>
      </c>
      <c r="H70" s="69" t="s">
        <v>2130</v>
      </c>
      <c r="I70" s="15">
        <v>50</v>
      </c>
      <c r="J70" s="15">
        <v>41</v>
      </c>
      <c r="K70" s="15">
        <v>22</v>
      </c>
      <c r="L70" s="15">
        <v>5</v>
      </c>
      <c r="M70" s="73">
        <v>11.275</v>
      </c>
      <c r="N70" s="104">
        <v>11.275</v>
      </c>
      <c r="O70" s="57">
        <v>7000</v>
      </c>
      <c r="P70" s="58">
        <f t="shared" si="1"/>
        <v>78925</v>
      </c>
    </row>
    <row r="71" spans="1:16" ht="26.25" customHeight="1" x14ac:dyDescent="0.2">
      <c r="A71" s="100"/>
      <c r="B71" s="100"/>
      <c r="C71" s="65" t="s">
        <v>2294</v>
      </c>
      <c r="D71" s="70" t="s">
        <v>57</v>
      </c>
      <c r="E71" s="12">
        <v>44544</v>
      </c>
      <c r="F71" s="68" t="s">
        <v>59</v>
      </c>
      <c r="G71" s="12">
        <v>44552</v>
      </c>
      <c r="H71" s="69" t="s">
        <v>2130</v>
      </c>
      <c r="I71" s="15">
        <v>95</v>
      </c>
      <c r="J71" s="15">
        <v>35</v>
      </c>
      <c r="K71" s="15">
        <v>18</v>
      </c>
      <c r="L71" s="15">
        <v>8</v>
      </c>
      <c r="M71" s="73">
        <v>14.9625</v>
      </c>
      <c r="N71" s="104">
        <v>14.9625</v>
      </c>
      <c r="O71" s="57">
        <v>7000</v>
      </c>
      <c r="P71" s="58">
        <f t="shared" si="1"/>
        <v>104737.5</v>
      </c>
    </row>
    <row r="72" spans="1:16" ht="26.25" customHeight="1" x14ac:dyDescent="0.2">
      <c r="A72" s="100"/>
      <c r="B72" s="100"/>
      <c r="C72" s="65" t="s">
        <v>2295</v>
      </c>
      <c r="D72" s="70" t="s">
        <v>57</v>
      </c>
      <c r="E72" s="12">
        <v>44544</v>
      </c>
      <c r="F72" s="68" t="s">
        <v>59</v>
      </c>
      <c r="G72" s="12">
        <v>44552</v>
      </c>
      <c r="H72" s="69" t="s">
        <v>2130</v>
      </c>
      <c r="I72" s="15">
        <v>40</v>
      </c>
      <c r="J72" s="15">
        <v>15</v>
      </c>
      <c r="K72" s="15">
        <v>10</v>
      </c>
      <c r="L72" s="15">
        <v>1</v>
      </c>
      <c r="M72" s="73">
        <v>1.5</v>
      </c>
      <c r="N72" s="104">
        <v>3</v>
      </c>
      <c r="O72" s="57">
        <v>7000</v>
      </c>
      <c r="P72" s="58">
        <f t="shared" si="1"/>
        <v>21000</v>
      </c>
    </row>
    <row r="73" spans="1:16" ht="26.25" customHeight="1" x14ac:dyDescent="0.2">
      <c r="A73" s="100"/>
      <c r="B73" s="100"/>
      <c r="C73" s="65" t="s">
        <v>2296</v>
      </c>
      <c r="D73" s="70" t="s">
        <v>57</v>
      </c>
      <c r="E73" s="12">
        <v>44544</v>
      </c>
      <c r="F73" s="68" t="s">
        <v>59</v>
      </c>
      <c r="G73" s="12">
        <v>44552</v>
      </c>
      <c r="H73" s="69" t="s">
        <v>2130</v>
      </c>
      <c r="I73" s="15">
        <v>55</v>
      </c>
      <c r="J73" s="15">
        <v>41</v>
      </c>
      <c r="K73" s="15">
        <v>12</v>
      </c>
      <c r="L73" s="15">
        <v>4</v>
      </c>
      <c r="M73" s="73">
        <v>6.7649999999999997</v>
      </c>
      <c r="N73" s="104">
        <v>6.7649999999999997</v>
      </c>
      <c r="O73" s="57">
        <v>7000</v>
      </c>
      <c r="P73" s="58">
        <f t="shared" si="1"/>
        <v>47355</v>
      </c>
    </row>
    <row r="74" spans="1:16" ht="26.25" customHeight="1" x14ac:dyDescent="0.2">
      <c r="A74" s="100"/>
      <c r="B74" s="100"/>
      <c r="C74" s="65" t="s">
        <v>2297</v>
      </c>
      <c r="D74" s="70" t="s">
        <v>57</v>
      </c>
      <c r="E74" s="12">
        <v>44544</v>
      </c>
      <c r="F74" s="68" t="s">
        <v>59</v>
      </c>
      <c r="G74" s="12">
        <v>44552</v>
      </c>
      <c r="H74" s="69" t="s">
        <v>2130</v>
      </c>
      <c r="I74" s="15">
        <v>46</v>
      </c>
      <c r="J74" s="15">
        <v>31</v>
      </c>
      <c r="K74" s="15">
        <v>22</v>
      </c>
      <c r="L74" s="15">
        <v>15</v>
      </c>
      <c r="M74" s="73">
        <v>7.843</v>
      </c>
      <c r="N74" s="104">
        <v>15</v>
      </c>
      <c r="O74" s="57">
        <v>7000</v>
      </c>
      <c r="P74" s="58">
        <f t="shared" si="1"/>
        <v>105000</v>
      </c>
    </row>
    <row r="75" spans="1:16" ht="26.25" customHeight="1" x14ac:dyDescent="0.2">
      <c r="A75" s="100"/>
      <c r="B75" s="100"/>
      <c r="C75" s="65" t="s">
        <v>2298</v>
      </c>
      <c r="D75" s="70" t="s">
        <v>57</v>
      </c>
      <c r="E75" s="12">
        <v>44544</v>
      </c>
      <c r="F75" s="68" t="s">
        <v>59</v>
      </c>
      <c r="G75" s="12">
        <v>44552</v>
      </c>
      <c r="H75" s="69" t="s">
        <v>2130</v>
      </c>
      <c r="I75" s="15">
        <v>51</v>
      </c>
      <c r="J75" s="15">
        <v>32</v>
      </c>
      <c r="K75" s="15">
        <v>28</v>
      </c>
      <c r="L75" s="15">
        <v>2</v>
      </c>
      <c r="M75" s="73">
        <v>11.423999999999999</v>
      </c>
      <c r="N75" s="104">
        <v>12</v>
      </c>
      <c r="O75" s="57">
        <v>7000</v>
      </c>
      <c r="P75" s="58">
        <f t="shared" si="1"/>
        <v>84000</v>
      </c>
    </row>
    <row r="76" spans="1:16" ht="26.25" customHeight="1" x14ac:dyDescent="0.2">
      <c r="A76" s="100"/>
      <c r="B76" s="100"/>
      <c r="C76" s="65" t="s">
        <v>2299</v>
      </c>
      <c r="D76" s="70" t="s">
        <v>57</v>
      </c>
      <c r="E76" s="12">
        <v>44544</v>
      </c>
      <c r="F76" s="68" t="s">
        <v>59</v>
      </c>
      <c r="G76" s="12">
        <v>44552</v>
      </c>
      <c r="H76" s="69" t="s">
        <v>2130</v>
      </c>
      <c r="I76" s="15">
        <v>60</v>
      </c>
      <c r="J76" s="15">
        <v>44</v>
      </c>
      <c r="K76" s="15">
        <v>5</v>
      </c>
      <c r="L76" s="15">
        <v>2</v>
      </c>
      <c r="M76" s="73">
        <v>3.3</v>
      </c>
      <c r="N76" s="104">
        <v>4</v>
      </c>
      <c r="O76" s="57">
        <v>7000</v>
      </c>
      <c r="P76" s="58">
        <f t="shared" si="1"/>
        <v>28000</v>
      </c>
    </row>
    <row r="77" spans="1:16" ht="26.25" customHeight="1" x14ac:dyDescent="0.2">
      <c r="A77" s="100"/>
      <c r="B77" s="100"/>
      <c r="C77" s="65" t="s">
        <v>2300</v>
      </c>
      <c r="D77" s="70" t="s">
        <v>57</v>
      </c>
      <c r="E77" s="12">
        <v>44544</v>
      </c>
      <c r="F77" s="68" t="s">
        <v>59</v>
      </c>
      <c r="G77" s="12">
        <v>44552</v>
      </c>
      <c r="H77" s="69" t="s">
        <v>2130</v>
      </c>
      <c r="I77" s="15">
        <v>40</v>
      </c>
      <c r="J77" s="15">
        <v>27</v>
      </c>
      <c r="K77" s="15">
        <v>33</v>
      </c>
      <c r="L77" s="15">
        <v>5</v>
      </c>
      <c r="M77" s="73">
        <v>8.91</v>
      </c>
      <c r="N77" s="104">
        <v>8.91</v>
      </c>
      <c r="O77" s="57">
        <v>7000</v>
      </c>
      <c r="P77" s="58">
        <f t="shared" si="1"/>
        <v>62370</v>
      </c>
    </row>
    <row r="78" spans="1:16" ht="26.25" customHeight="1" x14ac:dyDescent="0.2">
      <c r="A78" s="100"/>
      <c r="B78" s="100"/>
      <c r="C78" s="65" t="s">
        <v>2301</v>
      </c>
      <c r="D78" s="70" t="s">
        <v>57</v>
      </c>
      <c r="E78" s="12">
        <v>44544</v>
      </c>
      <c r="F78" s="68" t="s">
        <v>59</v>
      </c>
      <c r="G78" s="12">
        <v>44552</v>
      </c>
      <c r="H78" s="69" t="s">
        <v>2130</v>
      </c>
      <c r="I78" s="15">
        <v>42</v>
      </c>
      <c r="J78" s="15">
        <v>36</v>
      </c>
      <c r="K78" s="15">
        <v>18</v>
      </c>
      <c r="L78" s="15">
        <v>6</v>
      </c>
      <c r="M78" s="73">
        <v>6.8040000000000003</v>
      </c>
      <c r="N78" s="104">
        <v>6.8040000000000003</v>
      </c>
      <c r="O78" s="57">
        <v>7000</v>
      </c>
      <c r="P78" s="58">
        <f t="shared" si="1"/>
        <v>47628</v>
      </c>
    </row>
    <row r="79" spans="1:16" ht="26.25" customHeight="1" x14ac:dyDescent="0.2">
      <c r="A79" s="100"/>
      <c r="B79" s="100"/>
      <c r="C79" s="65" t="s">
        <v>2302</v>
      </c>
      <c r="D79" s="70" t="s">
        <v>57</v>
      </c>
      <c r="E79" s="12">
        <v>44544</v>
      </c>
      <c r="F79" s="68" t="s">
        <v>59</v>
      </c>
      <c r="G79" s="12">
        <v>44552</v>
      </c>
      <c r="H79" s="69" t="s">
        <v>2130</v>
      </c>
      <c r="I79" s="15">
        <v>48</v>
      </c>
      <c r="J79" s="15">
        <v>41</v>
      </c>
      <c r="K79" s="15">
        <v>36</v>
      </c>
      <c r="L79" s="15">
        <v>12</v>
      </c>
      <c r="M79" s="73">
        <v>17.712</v>
      </c>
      <c r="N79" s="104">
        <v>17.712</v>
      </c>
      <c r="O79" s="57">
        <v>7000</v>
      </c>
      <c r="P79" s="58">
        <f t="shared" si="1"/>
        <v>123984</v>
      </c>
    </row>
    <row r="80" spans="1:16" ht="26.25" customHeight="1" x14ac:dyDescent="0.2">
      <c r="A80" s="100"/>
      <c r="B80" s="100"/>
      <c r="C80" s="65" t="s">
        <v>2303</v>
      </c>
      <c r="D80" s="70" t="s">
        <v>57</v>
      </c>
      <c r="E80" s="12">
        <v>44544</v>
      </c>
      <c r="F80" s="68" t="s">
        <v>59</v>
      </c>
      <c r="G80" s="12">
        <v>44552</v>
      </c>
      <c r="H80" s="69" t="s">
        <v>2130</v>
      </c>
      <c r="I80" s="15">
        <v>54</v>
      </c>
      <c r="J80" s="15">
        <v>36</v>
      </c>
      <c r="K80" s="15">
        <v>32</v>
      </c>
      <c r="L80" s="15">
        <v>13</v>
      </c>
      <c r="M80" s="73">
        <v>15.552</v>
      </c>
      <c r="N80" s="104">
        <v>15.552</v>
      </c>
      <c r="O80" s="57">
        <v>7000</v>
      </c>
      <c r="P80" s="58">
        <f t="shared" si="1"/>
        <v>108864</v>
      </c>
    </row>
    <row r="81" spans="1:16" ht="26.25" customHeight="1" x14ac:dyDescent="0.2">
      <c r="A81" s="100"/>
      <c r="B81" s="100"/>
      <c r="C81" s="65" t="s">
        <v>2304</v>
      </c>
      <c r="D81" s="70" t="s">
        <v>57</v>
      </c>
      <c r="E81" s="12">
        <v>44544</v>
      </c>
      <c r="F81" s="68" t="s">
        <v>59</v>
      </c>
      <c r="G81" s="12">
        <v>44552</v>
      </c>
      <c r="H81" s="69" t="s">
        <v>2130</v>
      </c>
      <c r="I81" s="15">
        <v>34</v>
      </c>
      <c r="J81" s="15">
        <v>34</v>
      </c>
      <c r="K81" s="15">
        <v>12</v>
      </c>
      <c r="L81" s="15">
        <v>6</v>
      </c>
      <c r="M81" s="73">
        <v>3.468</v>
      </c>
      <c r="N81" s="104">
        <v>7</v>
      </c>
      <c r="O81" s="57">
        <v>7000</v>
      </c>
      <c r="P81" s="58">
        <f t="shared" si="1"/>
        <v>49000</v>
      </c>
    </row>
    <row r="82" spans="1:16" ht="26.25" customHeight="1" x14ac:dyDescent="0.2">
      <c r="A82" s="100"/>
      <c r="B82" s="100"/>
      <c r="C82" s="65" t="s">
        <v>2305</v>
      </c>
      <c r="D82" s="70" t="s">
        <v>57</v>
      </c>
      <c r="E82" s="12">
        <v>44544</v>
      </c>
      <c r="F82" s="68" t="s">
        <v>59</v>
      </c>
      <c r="G82" s="12">
        <v>44552</v>
      </c>
      <c r="H82" s="69" t="s">
        <v>2130</v>
      </c>
      <c r="I82" s="15">
        <v>50</v>
      </c>
      <c r="J82" s="15">
        <v>38</v>
      </c>
      <c r="K82" s="15">
        <v>24</v>
      </c>
      <c r="L82" s="15">
        <v>13</v>
      </c>
      <c r="M82" s="73">
        <v>11.4</v>
      </c>
      <c r="N82" s="104">
        <v>14</v>
      </c>
      <c r="O82" s="57">
        <v>7000</v>
      </c>
      <c r="P82" s="58">
        <f t="shared" si="1"/>
        <v>98000</v>
      </c>
    </row>
    <row r="83" spans="1:16" ht="26.25" customHeight="1" x14ac:dyDescent="0.2">
      <c r="A83" s="100"/>
      <c r="B83" s="100"/>
      <c r="C83" s="65" t="s">
        <v>2306</v>
      </c>
      <c r="D83" s="70" t="s">
        <v>57</v>
      </c>
      <c r="E83" s="12">
        <v>44544</v>
      </c>
      <c r="F83" s="68" t="s">
        <v>59</v>
      </c>
      <c r="G83" s="12">
        <v>44552</v>
      </c>
      <c r="H83" s="69" t="s">
        <v>2130</v>
      </c>
      <c r="I83" s="15">
        <v>105</v>
      </c>
      <c r="J83" s="15">
        <v>15</v>
      </c>
      <c r="K83" s="15">
        <v>10</v>
      </c>
      <c r="L83" s="15">
        <v>1</v>
      </c>
      <c r="M83" s="73">
        <v>3.9375</v>
      </c>
      <c r="N83" s="104">
        <v>3.9375</v>
      </c>
      <c r="O83" s="57">
        <v>7000</v>
      </c>
      <c r="P83" s="58">
        <f t="shared" si="1"/>
        <v>27562.5</v>
      </c>
    </row>
    <row r="84" spans="1:16" ht="26.25" customHeight="1" x14ac:dyDescent="0.2">
      <c r="A84" s="100"/>
      <c r="B84" s="100"/>
      <c r="C84" s="65" t="s">
        <v>2307</v>
      </c>
      <c r="D84" s="70" t="s">
        <v>57</v>
      </c>
      <c r="E84" s="12">
        <v>44544</v>
      </c>
      <c r="F84" s="68" t="s">
        <v>59</v>
      </c>
      <c r="G84" s="12">
        <v>44552</v>
      </c>
      <c r="H84" s="69" t="s">
        <v>2130</v>
      </c>
      <c r="I84" s="15">
        <v>40</v>
      </c>
      <c r="J84" s="15">
        <v>38</v>
      </c>
      <c r="K84" s="15">
        <v>18</v>
      </c>
      <c r="L84" s="15">
        <v>4</v>
      </c>
      <c r="M84" s="73">
        <v>6.84</v>
      </c>
      <c r="N84" s="104">
        <v>6.84</v>
      </c>
      <c r="O84" s="57">
        <v>7000</v>
      </c>
      <c r="P84" s="58">
        <f t="shared" si="1"/>
        <v>47880</v>
      </c>
    </row>
    <row r="85" spans="1:16" ht="26.25" customHeight="1" x14ac:dyDescent="0.2">
      <c r="A85" s="100"/>
      <c r="B85" s="100"/>
      <c r="C85" s="65" t="s">
        <v>2308</v>
      </c>
      <c r="D85" s="70" t="s">
        <v>57</v>
      </c>
      <c r="E85" s="12">
        <v>44544</v>
      </c>
      <c r="F85" s="68" t="s">
        <v>59</v>
      </c>
      <c r="G85" s="12">
        <v>44552</v>
      </c>
      <c r="H85" s="69" t="s">
        <v>2130</v>
      </c>
      <c r="I85" s="15">
        <v>102</v>
      </c>
      <c r="J85" s="15">
        <v>12</v>
      </c>
      <c r="K85" s="15">
        <v>10</v>
      </c>
      <c r="L85" s="15">
        <v>1</v>
      </c>
      <c r="M85" s="73">
        <v>3.06</v>
      </c>
      <c r="N85" s="104">
        <v>3.06</v>
      </c>
      <c r="O85" s="57">
        <v>7000</v>
      </c>
      <c r="P85" s="58">
        <f t="shared" si="1"/>
        <v>21420</v>
      </c>
    </row>
    <row r="86" spans="1:16" ht="26.25" customHeight="1" x14ac:dyDescent="0.2">
      <c r="A86" s="100"/>
      <c r="B86" s="100"/>
      <c r="C86" s="65" t="s">
        <v>2309</v>
      </c>
      <c r="D86" s="70" t="s">
        <v>57</v>
      </c>
      <c r="E86" s="12">
        <v>44544</v>
      </c>
      <c r="F86" s="68" t="s">
        <v>59</v>
      </c>
      <c r="G86" s="12">
        <v>44552</v>
      </c>
      <c r="H86" s="69" t="s">
        <v>2130</v>
      </c>
      <c r="I86" s="15">
        <v>37</v>
      </c>
      <c r="J86" s="15">
        <v>22</v>
      </c>
      <c r="K86" s="15">
        <v>15</v>
      </c>
      <c r="L86" s="15">
        <v>2</v>
      </c>
      <c r="M86" s="73">
        <v>3.0525000000000002</v>
      </c>
      <c r="N86" s="104">
        <v>3.0525000000000002</v>
      </c>
      <c r="O86" s="57">
        <v>7000</v>
      </c>
      <c r="P86" s="58">
        <f t="shared" si="1"/>
        <v>21367.5</v>
      </c>
    </row>
    <row r="87" spans="1:16" ht="26.25" customHeight="1" x14ac:dyDescent="0.2">
      <c r="A87" s="100"/>
      <c r="B87" s="100"/>
      <c r="C87" s="65" t="s">
        <v>2310</v>
      </c>
      <c r="D87" s="70" t="s">
        <v>57</v>
      </c>
      <c r="E87" s="12">
        <v>44544</v>
      </c>
      <c r="F87" s="68" t="s">
        <v>59</v>
      </c>
      <c r="G87" s="12">
        <v>44552</v>
      </c>
      <c r="H87" s="69" t="s">
        <v>2130</v>
      </c>
      <c r="I87" s="15">
        <v>38</v>
      </c>
      <c r="J87" s="15">
        <v>38</v>
      </c>
      <c r="K87" s="15">
        <v>24</v>
      </c>
      <c r="L87" s="15">
        <v>7</v>
      </c>
      <c r="M87" s="73">
        <v>8.6639999999999997</v>
      </c>
      <c r="N87" s="104">
        <v>8.6639999999999997</v>
      </c>
      <c r="O87" s="57">
        <v>7000</v>
      </c>
      <c r="P87" s="58">
        <f t="shared" si="1"/>
        <v>60648</v>
      </c>
    </row>
    <row r="88" spans="1:16" ht="26.25" customHeight="1" x14ac:dyDescent="0.2">
      <c r="A88" s="100"/>
      <c r="B88" s="100"/>
      <c r="C88" s="65" t="s">
        <v>2311</v>
      </c>
      <c r="D88" s="70" t="s">
        <v>57</v>
      </c>
      <c r="E88" s="12">
        <v>44544</v>
      </c>
      <c r="F88" s="68" t="s">
        <v>59</v>
      </c>
      <c r="G88" s="12">
        <v>44552</v>
      </c>
      <c r="H88" s="69" t="s">
        <v>2130</v>
      </c>
      <c r="I88" s="15">
        <v>75</v>
      </c>
      <c r="J88" s="15">
        <v>54</v>
      </c>
      <c r="K88" s="15">
        <v>20</v>
      </c>
      <c r="L88" s="15">
        <v>11</v>
      </c>
      <c r="M88" s="73">
        <v>20.25</v>
      </c>
      <c r="N88" s="104">
        <v>20.25</v>
      </c>
      <c r="O88" s="57">
        <v>7000</v>
      </c>
      <c r="P88" s="58">
        <f t="shared" si="1"/>
        <v>141750</v>
      </c>
    </row>
    <row r="89" spans="1:16" ht="26.25" customHeight="1" x14ac:dyDescent="0.2">
      <c r="A89" s="100"/>
      <c r="B89" s="100"/>
      <c r="C89" s="65" t="s">
        <v>2312</v>
      </c>
      <c r="D89" s="70" t="s">
        <v>57</v>
      </c>
      <c r="E89" s="12">
        <v>44544</v>
      </c>
      <c r="F89" s="68" t="s">
        <v>59</v>
      </c>
      <c r="G89" s="12">
        <v>44552</v>
      </c>
      <c r="H89" s="69" t="s">
        <v>2130</v>
      </c>
      <c r="I89" s="15">
        <v>42</v>
      </c>
      <c r="J89" s="15">
        <v>42</v>
      </c>
      <c r="K89" s="15">
        <v>25</v>
      </c>
      <c r="L89" s="15">
        <v>10</v>
      </c>
      <c r="M89" s="73">
        <v>11.025</v>
      </c>
      <c r="N89" s="104">
        <v>11.025</v>
      </c>
      <c r="O89" s="57">
        <v>7000</v>
      </c>
      <c r="P89" s="58">
        <f t="shared" si="1"/>
        <v>77175</v>
      </c>
    </row>
    <row r="90" spans="1:16" ht="26.25" customHeight="1" x14ac:dyDescent="0.2">
      <c r="A90" s="100"/>
      <c r="B90" s="100"/>
      <c r="C90" s="65" t="s">
        <v>2313</v>
      </c>
      <c r="D90" s="70" t="s">
        <v>57</v>
      </c>
      <c r="E90" s="12">
        <v>44544</v>
      </c>
      <c r="F90" s="68" t="s">
        <v>59</v>
      </c>
      <c r="G90" s="12">
        <v>44552</v>
      </c>
      <c r="H90" s="69" t="s">
        <v>2130</v>
      </c>
      <c r="I90" s="15">
        <v>46</v>
      </c>
      <c r="J90" s="15">
        <v>36</v>
      </c>
      <c r="K90" s="15">
        <v>33</v>
      </c>
      <c r="L90" s="15">
        <v>25</v>
      </c>
      <c r="M90" s="73">
        <v>13.662000000000001</v>
      </c>
      <c r="N90" s="104">
        <v>25</v>
      </c>
      <c r="O90" s="57">
        <v>7000</v>
      </c>
      <c r="P90" s="58">
        <f t="shared" si="1"/>
        <v>175000</v>
      </c>
    </row>
    <row r="91" spans="1:16" ht="26.25" customHeight="1" x14ac:dyDescent="0.2">
      <c r="A91" s="100"/>
      <c r="B91" s="100"/>
      <c r="C91" s="65" t="s">
        <v>2314</v>
      </c>
      <c r="D91" s="70" t="s">
        <v>57</v>
      </c>
      <c r="E91" s="12">
        <v>44544</v>
      </c>
      <c r="F91" s="68" t="s">
        <v>59</v>
      </c>
      <c r="G91" s="12">
        <v>44552</v>
      </c>
      <c r="H91" s="69" t="s">
        <v>2130</v>
      </c>
      <c r="I91" s="15">
        <v>50</v>
      </c>
      <c r="J91" s="15">
        <v>41</v>
      </c>
      <c r="K91" s="15">
        <v>22</v>
      </c>
      <c r="L91" s="15">
        <v>10</v>
      </c>
      <c r="M91" s="73">
        <v>11.275</v>
      </c>
      <c r="N91" s="104">
        <v>11.275</v>
      </c>
      <c r="O91" s="57">
        <v>7000</v>
      </c>
      <c r="P91" s="58">
        <f t="shared" si="1"/>
        <v>78925</v>
      </c>
    </row>
    <row r="92" spans="1:16" ht="26.25" customHeight="1" x14ac:dyDescent="0.2">
      <c r="A92" s="100"/>
      <c r="B92" s="100"/>
      <c r="C92" s="65" t="s">
        <v>2315</v>
      </c>
      <c r="D92" s="70" t="s">
        <v>57</v>
      </c>
      <c r="E92" s="12">
        <v>44544</v>
      </c>
      <c r="F92" s="68" t="s">
        <v>59</v>
      </c>
      <c r="G92" s="12">
        <v>44552</v>
      </c>
      <c r="H92" s="69" t="s">
        <v>2130</v>
      </c>
      <c r="I92" s="15">
        <v>31</v>
      </c>
      <c r="J92" s="15">
        <v>26</v>
      </c>
      <c r="K92" s="15">
        <v>35</v>
      </c>
      <c r="L92" s="15">
        <v>7</v>
      </c>
      <c r="M92" s="73">
        <v>7.0525000000000002</v>
      </c>
      <c r="N92" s="104">
        <v>7.0525000000000002</v>
      </c>
      <c r="O92" s="57">
        <v>7000</v>
      </c>
      <c r="P92" s="58">
        <f t="shared" si="1"/>
        <v>49367.5</v>
      </c>
    </row>
    <row r="93" spans="1:16" ht="26.25" customHeight="1" x14ac:dyDescent="0.2">
      <c r="A93" s="100"/>
      <c r="B93" s="100"/>
      <c r="C93" s="65" t="s">
        <v>2316</v>
      </c>
      <c r="D93" s="70" t="s">
        <v>57</v>
      </c>
      <c r="E93" s="12">
        <v>44544</v>
      </c>
      <c r="F93" s="68" t="s">
        <v>59</v>
      </c>
      <c r="G93" s="12">
        <v>44552</v>
      </c>
      <c r="H93" s="69" t="s">
        <v>2130</v>
      </c>
      <c r="I93" s="15">
        <v>38</v>
      </c>
      <c r="J93" s="15">
        <v>40</v>
      </c>
      <c r="K93" s="15">
        <v>12</v>
      </c>
      <c r="L93" s="15">
        <v>5</v>
      </c>
      <c r="M93" s="73">
        <v>4.5599999999999996</v>
      </c>
      <c r="N93" s="104">
        <v>5</v>
      </c>
      <c r="O93" s="57">
        <v>7000</v>
      </c>
      <c r="P93" s="58">
        <f t="shared" si="1"/>
        <v>35000</v>
      </c>
    </row>
    <row r="94" spans="1:16" ht="26.25" customHeight="1" x14ac:dyDescent="0.2">
      <c r="A94" s="100"/>
      <c r="B94" s="100"/>
      <c r="C94" s="65" t="s">
        <v>2317</v>
      </c>
      <c r="D94" s="70" t="s">
        <v>57</v>
      </c>
      <c r="E94" s="12">
        <v>44544</v>
      </c>
      <c r="F94" s="68" t="s">
        <v>59</v>
      </c>
      <c r="G94" s="12">
        <v>44552</v>
      </c>
      <c r="H94" s="69" t="s">
        <v>2130</v>
      </c>
      <c r="I94" s="15">
        <v>64</v>
      </c>
      <c r="J94" s="15">
        <v>30</v>
      </c>
      <c r="K94" s="15">
        <v>22</v>
      </c>
      <c r="L94" s="15">
        <v>13</v>
      </c>
      <c r="M94" s="73">
        <v>10.56</v>
      </c>
      <c r="N94" s="104">
        <v>13</v>
      </c>
      <c r="O94" s="57">
        <v>7000</v>
      </c>
      <c r="P94" s="58">
        <f t="shared" si="1"/>
        <v>91000</v>
      </c>
    </row>
    <row r="95" spans="1:16" ht="26.25" customHeight="1" x14ac:dyDescent="0.2">
      <c r="A95" s="100"/>
      <c r="B95" s="100"/>
      <c r="C95" s="65" t="s">
        <v>2318</v>
      </c>
      <c r="D95" s="70" t="s">
        <v>57</v>
      </c>
      <c r="E95" s="12">
        <v>44544</v>
      </c>
      <c r="F95" s="68" t="s">
        <v>59</v>
      </c>
      <c r="G95" s="12">
        <v>44552</v>
      </c>
      <c r="H95" s="69" t="s">
        <v>2130</v>
      </c>
      <c r="I95" s="15">
        <v>70</v>
      </c>
      <c r="J95" s="15">
        <v>34</v>
      </c>
      <c r="K95" s="15">
        <v>12</v>
      </c>
      <c r="L95" s="15">
        <v>4</v>
      </c>
      <c r="M95" s="73">
        <v>7.14</v>
      </c>
      <c r="N95" s="104">
        <v>7.14</v>
      </c>
      <c r="O95" s="57">
        <v>7000</v>
      </c>
      <c r="P95" s="58">
        <f t="shared" si="1"/>
        <v>49980</v>
      </c>
    </row>
    <row r="96" spans="1:16" ht="26.25" customHeight="1" x14ac:dyDescent="0.2">
      <c r="A96" s="100"/>
      <c r="B96" s="100"/>
      <c r="C96" s="65" t="s">
        <v>2319</v>
      </c>
      <c r="D96" s="70" t="s">
        <v>57</v>
      </c>
      <c r="E96" s="12">
        <v>44544</v>
      </c>
      <c r="F96" s="68" t="s">
        <v>59</v>
      </c>
      <c r="G96" s="12">
        <v>44552</v>
      </c>
      <c r="H96" s="69" t="s">
        <v>2130</v>
      </c>
      <c r="I96" s="15">
        <v>36</v>
      </c>
      <c r="J96" s="15">
        <v>36</v>
      </c>
      <c r="K96" s="15">
        <v>40</v>
      </c>
      <c r="L96" s="15">
        <v>5</v>
      </c>
      <c r="M96" s="73">
        <v>12.96</v>
      </c>
      <c r="N96" s="104">
        <v>12.96</v>
      </c>
      <c r="O96" s="57">
        <v>7000</v>
      </c>
      <c r="P96" s="58">
        <f t="shared" si="1"/>
        <v>90720</v>
      </c>
    </row>
    <row r="97" spans="1:16" ht="26.25" customHeight="1" x14ac:dyDescent="0.2">
      <c r="A97" s="100"/>
      <c r="B97" s="100"/>
      <c r="C97" s="65" t="s">
        <v>2320</v>
      </c>
      <c r="D97" s="70" t="s">
        <v>57</v>
      </c>
      <c r="E97" s="12">
        <v>44544</v>
      </c>
      <c r="F97" s="68" t="s">
        <v>59</v>
      </c>
      <c r="G97" s="12">
        <v>44552</v>
      </c>
      <c r="H97" s="69" t="s">
        <v>2130</v>
      </c>
      <c r="I97" s="15">
        <v>31</v>
      </c>
      <c r="J97" s="15">
        <v>28</v>
      </c>
      <c r="K97" s="15">
        <v>15</v>
      </c>
      <c r="L97" s="15">
        <v>5</v>
      </c>
      <c r="M97" s="73">
        <v>3.2549999999999999</v>
      </c>
      <c r="N97" s="104">
        <v>5</v>
      </c>
      <c r="O97" s="57">
        <v>7000</v>
      </c>
      <c r="P97" s="58">
        <f t="shared" si="1"/>
        <v>35000</v>
      </c>
    </row>
    <row r="98" spans="1:16" ht="26.25" customHeight="1" x14ac:dyDescent="0.2">
      <c r="A98" s="100"/>
      <c r="B98" s="100"/>
      <c r="C98" s="65" t="s">
        <v>2321</v>
      </c>
      <c r="D98" s="70" t="s">
        <v>57</v>
      </c>
      <c r="E98" s="12">
        <v>44544</v>
      </c>
      <c r="F98" s="68" t="s">
        <v>59</v>
      </c>
      <c r="G98" s="12">
        <v>44552</v>
      </c>
      <c r="H98" s="69" t="s">
        <v>2130</v>
      </c>
      <c r="I98" s="15">
        <v>32</v>
      </c>
      <c r="J98" s="15">
        <v>30</v>
      </c>
      <c r="K98" s="15">
        <v>21</v>
      </c>
      <c r="L98" s="15">
        <v>2</v>
      </c>
      <c r="M98" s="73">
        <v>5.04</v>
      </c>
      <c r="N98" s="104">
        <v>5.04</v>
      </c>
      <c r="O98" s="57">
        <v>7000</v>
      </c>
      <c r="P98" s="58">
        <f t="shared" si="1"/>
        <v>35280</v>
      </c>
    </row>
    <row r="99" spans="1:16" ht="26.25" customHeight="1" x14ac:dyDescent="0.2">
      <c r="A99" s="100"/>
      <c r="B99" s="100"/>
      <c r="C99" s="65" t="s">
        <v>2322</v>
      </c>
      <c r="D99" s="70" t="s">
        <v>57</v>
      </c>
      <c r="E99" s="12">
        <v>44544</v>
      </c>
      <c r="F99" s="68" t="s">
        <v>59</v>
      </c>
      <c r="G99" s="12">
        <v>44552</v>
      </c>
      <c r="H99" s="69" t="s">
        <v>2130</v>
      </c>
      <c r="I99" s="15">
        <v>54</v>
      </c>
      <c r="J99" s="15">
        <v>35</v>
      </c>
      <c r="K99" s="15">
        <v>21</v>
      </c>
      <c r="L99" s="15">
        <v>10</v>
      </c>
      <c r="M99" s="73">
        <v>9.9224999999999994</v>
      </c>
      <c r="N99" s="104">
        <v>10</v>
      </c>
      <c r="O99" s="57">
        <v>7000</v>
      </c>
      <c r="P99" s="58">
        <f t="shared" si="1"/>
        <v>70000</v>
      </c>
    </row>
    <row r="100" spans="1:16" ht="26.25" customHeight="1" x14ac:dyDescent="0.2">
      <c r="A100" s="100"/>
      <c r="B100" s="100"/>
      <c r="C100" s="65" t="s">
        <v>2323</v>
      </c>
      <c r="D100" s="70" t="s">
        <v>57</v>
      </c>
      <c r="E100" s="12">
        <v>44544</v>
      </c>
      <c r="F100" s="68" t="s">
        <v>59</v>
      </c>
      <c r="G100" s="12">
        <v>44552</v>
      </c>
      <c r="H100" s="69" t="s">
        <v>2130</v>
      </c>
      <c r="I100" s="15">
        <v>71</v>
      </c>
      <c r="J100" s="15">
        <v>51</v>
      </c>
      <c r="K100" s="15">
        <v>32</v>
      </c>
      <c r="L100" s="15">
        <v>15</v>
      </c>
      <c r="M100" s="73">
        <v>28.968</v>
      </c>
      <c r="N100" s="104">
        <v>28.968</v>
      </c>
      <c r="O100" s="57">
        <v>7000</v>
      </c>
      <c r="P100" s="58">
        <f t="shared" si="1"/>
        <v>202776</v>
      </c>
    </row>
    <row r="101" spans="1:16" ht="26.25" customHeight="1" x14ac:dyDescent="0.2">
      <c r="A101" s="100"/>
      <c r="B101" s="100"/>
      <c r="C101" s="65" t="s">
        <v>2324</v>
      </c>
      <c r="D101" s="70" t="s">
        <v>57</v>
      </c>
      <c r="E101" s="12">
        <v>44544</v>
      </c>
      <c r="F101" s="68" t="s">
        <v>59</v>
      </c>
      <c r="G101" s="12">
        <v>44552</v>
      </c>
      <c r="H101" s="69" t="s">
        <v>2130</v>
      </c>
      <c r="I101" s="15">
        <v>64</v>
      </c>
      <c r="J101" s="15">
        <v>41</v>
      </c>
      <c r="K101" s="15">
        <v>16</v>
      </c>
      <c r="L101" s="15">
        <v>5</v>
      </c>
      <c r="M101" s="73">
        <v>10.496</v>
      </c>
      <c r="N101" s="104">
        <v>11</v>
      </c>
      <c r="O101" s="57">
        <v>7000</v>
      </c>
      <c r="P101" s="58">
        <f t="shared" si="1"/>
        <v>77000</v>
      </c>
    </row>
    <row r="102" spans="1:16" ht="26.25" customHeight="1" x14ac:dyDescent="0.2">
      <c r="A102" s="100"/>
      <c r="B102" s="100"/>
      <c r="C102" s="65" t="s">
        <v>2325</v>
      </c>
      <c r="D102" s="70" t="s">
        <v>57</v>
      </c>
      <c r="E102" s="12">
        <v>44544</v>
      </c>
      <c r="F102" s="68" t="s">
        <v>59</v>
      </c>
      <c r="G102" s="12">
        <v>44552</v>
      </c>
      <c r="H102" s="69" t="s">
        <v>2130</v>
      </c>
      <c r="I102" s="15">
        <v>92</v>
      </c>
      <c r="J102" s="15">
        <v>58</v>
      </c>
      <c r="K102" s="15">
        <v>17</v>
      </c>
      <c r="L102" s="15">
        <v>14</v>
      </c>
      <c r="M102" s="73">
        <v>22.678000000000001</v>
      </c>
      <c r="N102" s="104">
        <v>22.678000000000001</v>
      </c>
      <c r="O102" s="57">
        <v>7000</v>
      </c>
      <c r="P102" s="58">
        <f t="shared" si="1"/>
        <v>158746</v>
      </c>
    </row>
    <row r="103" spans="1:16" ht="26.25" customHeight="1" x14ac:dyDescent="0.2">
      <c r="A103" s="100"/>
      <c r="B103" s="100"/>
      <c r="C103" s="65" t="s">
        <v>2326</v>
      </c>
      <c r="D103" s="70" t="s">
        <v>57</v>
      </c>
      <c r="E103" s="12">
        <v>44544</v>
      </c>
      <c r="F103" s="68" t="s">
        <v>59</v>
      </c>
      <c r="G103" s="12">
        <v>44552</v>
      </c>
      <c r="H103" s="69" t="s">
        <v>2130</v>
      </c>
      <c r="I103" s="15">
        <v>58</v>
      </c>
      <c r="J103" s="15">
        <v>36</v>
      </c>
      <c r="K103" s="15">
        <v>25</v>
      </c>
      <c r="L103" s="15">
        <v>19</v>
      </c>
      <c r="M103" s="73">
        <v>13.05</v>
      </c>
      <c r="N103" s="104">
        <v>19</v>
      </c>
      <c r="O103" s="57">
        <v>7000</v>
      </c>
      <c r="P103" s="58">
        <f t="shared" si="1"/>
        <v>133000</v>
      </c>
    </row>
    <row r="104" spans="1:16" ht="26.25" customHeight="1" x14ac:dyDescent="0.2">
      <c r="A104" s="100"/>
      <c r="B104" s="100"/>
      <c r="C104" s="65" t="s">
        <v>2327</v>
      </c>
      <c r="D104" s="70" t="s">
        <v>57</v>
      </c>
      <c r="E104" s="12">
        <v>44544</v>
      </c>
      <c r="F104" s="68" t="s">
        <v>59</v>
      </c>
      <c r="G104" s="12">
        <v>44552</v>
      </c>
      <c r="H104" s="69" t="s">
        <v>2130</v>
      </c>
      <c r="I104" s="15">
        <v>91</v>
      </c>
      <c r="J104" s="15">
        <v>64</v>
      </c>
      <c r="K104" s="15">
        <v>28</v>
      </c>
      <c r="L104" s="15">
        <v>27</v>
      </c>
      <c r="M104" s="73">
        <v>40.768000000000001</v>
      </c>
      <c r="N104" s="104">
        <v>40.768000000000001</v>
      </c>
      <c r="O104" s="57">
        <v>7000</v>
      </c>
      <c r="P104" s="58">
        <f t="shared" si="1"/>
        <v>285376</v>
      </c>
    </row>
    <row r="105" spans="1:16" ht="26.25" customHeight="1" x14ac:dyDescent="0.2">
      <c r="A105" s="100"/>
      <c r="B105" s="100"/>
      <c r="C105" s="65" t="s">
        <v>2328</v>
      </c>
      <c r="D105" s="70" t="s">
        <v>57</v>
      </c>
      <c r="E105" s="12">
        <v>44544</v>
      </c>
      <c r="F105" s="68" t="s">
        <v>59</v>
      </c>
      <c r="G105" s="12">
        <v>44552</v>
      </c>
      <c r="H105" s="69" t="s">
        <v>2130</v>
      </c>
      <c r="I105" s="15">
        <v>54</v>
      </c>
      <c r="J105" s="15">
        <v>20</v>
      </c>
      <c r="K105" s="15">
        <v>22</v>
      </c>
      <c r="L105" s="15">
        <v>4</v>
      </c>
      <c r="M105" s="73">
        <v>5.94</v>
      </c>
      <c r="N105" s="104">
        <v>5.94</v>
      </c>
      <c r="O105" s="57">
        <v>7000</v>
      </c>
      <c r="P105" s="58">
        <f t="shared" si="1"/>
        <v>41580</v>
      </c>
    </row>
    <row r="106" spans="1:16" ht="26.25" customHeight="1" x14ac:dyDescent="0.2">
      <c r="A106" s="100"/>
      <c r="B106" s="100"/>
      <c r="C106" s="65" t="s">
        <v>2329</v>
      </c>
      <c r="D106" s="70" t="s">
        <v>57</v>
      </c>
      <c r="E106" s="12">
        <v>44544</v>
      </c>
      <c r="F106" s="68" t="s">
        <v>59</v>
      </c>
      <c r="G106" s="12">
        <v>44552</v>
      </c>
      <c r="H106" s="69" t="s">
        <v>2130</v>
      </c>
      <c r="I106" s="15">
        <v>88</v>
      </c>
      <c r="J106" s="15">
        <v>52</v>
      </c>
      <c r="K106" s="15">
        <v>36</v>
      </c>
      <c r="L106" s="15">
        <v>30</v>
      </c>
      <c r="M106" s="73">
        <v>41.183999999999997</v>
      </c>
      <c r="N106" s="104">
        <v>41.183999999999997</v>
      </c>
      <c r="O106" s="57">
        <v>7000</v>
      </c>
      <c r="P106" s="58">
        <f t="shared" si="1"/>
        <v>288288</v>
      </c>
    </row>
    <row r="107" spans="1:16" ht="26.25" customHeight="1" x14ac:dyDescent="0.2">
      <c r="A107" s="100"/>
      <c r="B107" s="100"/>
      <c r="C107" s="65" t="s">
        <v>2330</v>
      </c>
      <c r="D107" s="70" t="s">
        <v>57</v>
      </c>
      <c r="E107" s="12">
        <v>44544</v>
      </c>
      <c r="F107" s="68" t="s">
        <v>59</v>
      </c>
      <c r="G107" s="12">
        <v>44552</v>
      </c>
      <c r="H107" s="69" t="s">
        <v>2130</v>
      </c>
      <c r="I107" s="15">
        <v>71</v>
      </c>
      <c r="J107" s="15">
        <v>50</v>
      </c>
      <c r="K107" s="15">
        <v>14</v>
      </c>
      <c r="L107" s="15">
        <v>9</v>
      </c>
      <c r="M107" s="73">
        <v>12.425000000000001</v>
      </c>
      <c r="N107" s="104">
        <v>13</v>
      </c>
      <c r="O107" s="57">
        <v>7000</v>
      </c>
      <c r="P107" s="58">
        <f t="shared" si="1"/>
        <v>91000</v>
      </c>
    </row>
    <row r="108" spans="1:16" ht="26.25" customHeight="1" x14ac:dyDescent="0.2">
      <c r="A108" s="100"/>
      <c r="B108" s="100"/>
      <c r="C108" s="65" t="s">
        <v>2331</v>
      </c>
      <c r="D108" s="70" t="s">
        <v>57</v>
      </c>
      <c r="E108" s="12">
        <v>44544</v>
      </c>
      <c r="F108" s="68" t="s">
        <v>59</v>
      </c>
      <c r="G108" s="12">
        <v>44552</v>
      </c>
      <c r="H108" s="69" t="s">
        <v>2130</v>
      </c>
      <c r="I108" s="15">
        <v>100</v>
      </c>
      <c r="J108" s="15">
        <v>64</v>
      </c>
      <c r="K108" s="15">
        <v>28</v>
      </c>
      <c r="L108" s="15">
        <v>20</v>
      </c>
      <c r="M108" s="73">
        <v>44.8</v>
      </c>
      <c r="N108" s="104">
        <v>44.8</v>
      </c>
      <c r="O108" s="57">
        <v>7000</v>
      </c>
      <c r="P108" s="58">
        <f t="shared" si="1"/>
        <v>313600</v>
      </c>
    </row>
    <row r="109" spans="1:16" ht="26.25" customHeight="1" x14ac:dyDescent="0.2">
      <c r="A109" s="100"/>
      <c r="B109" s="100"/>
      <c r="C109" s="65" t="s">
        <v>2332</v>
      </c>
      <c r="D109" s="70" t="s">
        <v>57</v>
      </c>
      <c r="E109" s="12">
        <v>44544</v>
      </c>
      <c r="F109" s="68" t="s">
        <v>59</v>
      </c>
      <c r="G109" s="12">
        <v>44552</v>
      </c>
      <c r="H109" s="69" t="s">
        <v>2130</v>
      </c>
      <c r="I109" s="15">
        <v>51</v>
      </c>
      <c r="J109" s="15">
        <v>38</v>
      </c>
      <c r="K109" s="15">
        <v>17</v>
      </c>
      <c r="L109" s="15">
        <v>5</v>
      </c>
      <c r="M109" s="73">
        <v>8.2364999999999995</v>
      </c>
      <c r="N109" s="104">
        <v>8.2364999999999995</v>
      </c>
      <c r="O109" s="57">
        <v>7000</v>
      </c>
      <c r="P109" s="58">
        <f t="shared" si="1"/>
        <v>57655.5</v>
      </c>
    </row>
    <row r="110" spans="1:16" ht="26.25" customHeight="1" x14ac:dyDescent="0.2">
      <c r="A110" s="100"/>
      <c r="B110" s="100"/>
      <c r="C110" s="65" t="s">
        <v>2333</v>
      </c>
      <c r="D110" s="70" t="s">
        <v>57</v>
      </c>
      <c r="E110" s="12">
        <v>44544</v>
      </c>
      <c r="F110" s="68" t="s">
        <v>59</v>
      </c>
      <c r="G110" s="12">
        <v>44552</v>
      </c>
      <c r="H110" s="69" t="s">
        <v>2130</v>
      </c>
      <c r="I110" s="15">
        <v>36</v>
      </c>
      <c r="J110" s="15">
        <v>36</v>
      </c>
      <c r="K110" s="15">
        <v>47</v>
      </c>
      <c r="L110" s="15">
        <v>5</v>
      </c>
      <c r="M110" s="73">
        <v>15.228</v>
      </c>
      <c r="N110" s="104">
        <v>15.228</v>
      </c>
      <c r="O110" s="57">
        <v>7000</v>
      </c>
      <c r="P110" s="58">
        <f t="shared" si="1"/>
        <v>106596</v>
      </c>
    </row>
    <row r="111" spans="1:16" ht="26.25" customHeight="1" x14ac:dyDescent="0.2">
      <c r="A111" s="100"/>
      <c r="B111" s="100"/>
      <c r="C111" s="65" t="s">
        <v>2334</v>
      </c>
      <c r="D111" s="70" t="s">
        <v>57</v>
      </c>
      <c r="E111" s="12">
        <v>44544</v>
      </c>
      <c r="F111" s="68" t="s">
        <v>59</v>
      </c>
      <c r="G111" s="12">
        <v>44552</v>
      </c>
      <c r="H111" s="69" t="s">
        <v>2130</v>
      </c>
      <c r="I111" s="15">
        <v>58</v>
      </c>
      <c r="J111" s="15">
        <v>51</v>
      </c>
      <c r="K111" s="15">
        <v>20</v>
      </c>
      <c r="L111" s="15">
        <v>9</v>
      </c>
      <c r="M111" s="73">
        <v>14.79</v>
      </c>
      <c r="N111" s="104">
        <v>14.79</v>
      </c>
      <c r="O111" s="57">
        <v>7000</v>
      </c>
      <c r="P111" s="58">
        <f t="shared" si="1"/>
        <v>103530</v>
      </c>
    </row>
    <row r="112" spans="1:16" ht="26.25" customHeight="1" x14ac:dyDescent="0.2">
      <c r="A112" s="100"/>
      <c r="B112" s="100"/>
      <c r="C112" s="65" t="s">
        <v>2335</v>
      </c>
      <c r="D112" s="70" t="s">
        <v>57</v>
      </c>
      <c r="E112" s="12">
        <v>44544</v>
      </c>
      <c r="F112" s="68" t="s">
        <v>59</v>
      </c>
      <c r="G112" s="12">
        <v>44552</v>
      </c>
      <c r="H112" s="69" t="s">
        <v>2130</v>
      </c>
      <c r="I112" s="15">
        <v>91</v>
      </c>
      <c r="J112" s="15">
        <v>64</v>
      </c>
      <c r="K112" s="15">
        <v>27</v>
      </c>
      <c r="L112" s="15">
        <v>9</v>
      </c>
      <c r="M112" s="73">
        <v>39.311999999999998</v>
      </c>
      <c r="N112" s="104">
        <v>40</v>
      </c>
      <c r="O112" s="57">
        <v>7000</v>
      </c>
      <c r="P112" s="58">
        <f t="shared" si="1"/>
        <v>280000</v>
      </c>
    </row>
    <row r="113" spans="1:16" ht="26.25" customHeight="1" x14ac:dyDescent="0.2">
      <c r="A113" s="100"/>
      <c r="B113" s="100"/>
      <c r="C113" s="65" t="s">
        <v>2336</v>
      </c>
      <c r="D113" s="70" t="s">
        <v>57</v>
      </c>
      <c r="E113" s="12">
        <v>44544</v>
      </c>
      <c r="F113" s="68" t="s">
        <v>59</v>
      </c>
      <c r="G113" s="12">
        <v>44552</v>
      </c>
      <c r="H113" s="69" t="s">
        <v>2130</v>
      </c>
      <c r="I113" s="15">
        <v>101</v>
      </c>
      <c r="J113" s="15">
        <v>58</v>
      </c>
      <c r="K113" s="15">
        <v>30</v>
      </c>
      <c r="L113" s="15">
        <v>23</v>
      </c>
      <c r="M113" s="73">
        <v>43.935000000000002</v>
      </c>
      <c r="N113" s="104">
        <v>43.935000000000002</v>
      </c>
      <c r="O113" s="57">
        <v>7000</v>
      </c>
      <c r="P113" s="58">
        <f t="shared" si="1"/>
        <v>307545</v>
      </c>
    </row>
    <row r="114" spans="1:16" ht="26.25" customHeight="1" x14ac:dyDescent="0.2">
      <c r="A114" s="100"/>
      <c r="B114" s="100"/>
      <c r="C114" s="65" t="s">
        <v>2337</v>
      </c>
      <c r="D114" s="70" t="s">
        <v>57</v>
      </c>
      <c r="E114" s="12">
        <v>44544</v>
      </c>
      <c r="F114" s="68" t="s">
        <v>59</v>
      </c>
      <c r="G114" s="12">
        <v>44552</v>
      </c>
      <c r="H114" s="69" t="s">
        <v>2130</v>
      </c>
      <c r="I114" s="15">
        <v>56</v>
      </c>
      <c r="J114" s="15">
        <v>48</v>
      </c>
      <c r="K114" s="15">
        <v>217</v>
      </c>
      <c r="L114" s="15">
        <v>5</v>
      </c>
      <c r="M114" s="73">
        <v>145.82400000000001</v>
      </c>
      <c r="N114" s="104">
        <v>145.82400000000001</v>
      </c>
      <c r="O114" s="57">
        <v>7000</v>
      </c>
      <c r="P114" s="58">
        <f t="shared" si="1"/>
        <v>1020768.0000000001</v>
      </c>
    </row>
    <row r="115" spans="1:16" ht="26.25" customHeight="1" x14ac:dyDescent="0.2">
      <c r="A115" s="100"/>
      <c r="B115" s="100"/>
      <c r="C115" s="65" t="s">
        <v>2338</v>
      </c>
      <c r="D115" s="70" t="s">
        <v>57</v>
      </c>
      <c r="E115" s="12">
        <v>44544</v>
      </c>
      <c r="F115" s="68" t="s">
        <v>59</v>
      </c>
      <c r="G115" s="12">
        <v>44552</v>
      </c>
      <c r="H115" s="69" t="s">
        <v>2130</v>
      </c>
      <c r="I115" s="15">
        <v>98</v>
      </c>
      <c r="J115" s="15">
        <v>64</v>
      </c>
      <c r="K115" s="15">
        <v>35</v>
      </c>
      <c r="L115" s="15">
        <v>17</v>
      </c>
      <c r="M115" s="73">
        <v>54.88</v>
      </c>
      <c r="N115" s="104">
        <v>54.88</v>
      </c>
      <c r="O115" s="57">
        <v>7000</v>
      </c>
      <c r="P115" s="58">
        <f t="shared" si="1"/>
        <v>384160</v>
      </c>
    </row>
    <row r="116" spans="1:16" ht="26.25" customHeight="1" x14ac:dyDescent="0.2">
      <c r="A116" s="100"/>
      <c r="B116" s="100"/>
      <c r="C116" s="65" t="s">
        <v>2339</v>
      </c>
      <c r="D116" s="70" t="s">
        <v>57</v>
      </c>
      <c r="E116" s="12">
        <v>44544</v>
      </c>
      <c r="F116" s="68" t="s">
        <v>59</v>
      </c>
      <c r="G116" s="12">
        <v>44552</v>
      </c>
      <c r="H116" s="69" t="s">
        <v>2130</v>
      </c>
      <c r="I116" s="15">
        <v>80</v>
      </c>
      <c r="J116" s="15">
        <v>41</v>
      </c>
      <c r="K116" s="15">
        <v>19</v>
      </c>
      <c r="L116" s="15">
        <v>16</v>
      </c>
      <c r="M116" s="73">
        <v>15.58</v>
      </c>
      <c r="N116" s="104">
        <v>16</v>
      </c>
      <c r="O116" s="57">
        <v>7000</v>
      </c>
      <c r="P116" s="58">
        <f t="shared" si="1"/>
        <v>112000</v>
      </c>
    </row>
    <row r="117" spans="1:16" ht="26.25" customHeight="1" x14ac:dyDescent="0.2">
      <c r="A117" s="100"/>
      <c r="B117" s="100"/>
      <c r="C117" s="65" t="s">
        <v>2340</v>
      </c>
      <c r="D117" s="70" t="s">
        <v>57</v>
      </c>
      <c r="E117" s="12">
        <v>44544</v>
      </c>
      <c r="F117" s="68" t="s">
        <v>59</v>
      </c>
      <c r="G117" s="12">
        <v>44552</v>
      </c>
      <c r="H117" s="69" t="s">
        <v>2130</v>
      </c>
      <c r="I117" s="15">
        <v>75</v>
      </c>
      <c r="J117" s="15">
        <v>25</v>
      </c>
      <c r="K117" s="15">
        <v>12</v>
      </c>
      <c r="L117" s="15">
        <v>14</v>
      </c>
      <c r="M117" s="73">
        <v>5.625</v>
      </c>
      <c r="N117" s="104">
        <v>14</v>
      </c>
      <c r="O117" s="57">
        <v>7000</v>
      </c>
      <c r="P117" s="58">
        <f t="shared" si="1"/>
        <v>98000</v>
      </c>
    </row>
    <row r="118" spans="1:16" ht="26.25" customHeight="1" x14ac:dyDescent="0.2">
      <c r="A118" s="100"/>
      <c r="B118" s="100"/>
      <c r="C118" s="65" t="s">
        <v>2341</v>
      </c>
      <c r="D118" s="70" t="s">
        <v>57</v>
      </c>
      <c r="E118" s="12">
        <v>44544</v>
      </c>
      <c r="F118" s="68" t="s">
        <v>59</v>
      </c>
      <c r="G118" s="12">
        <v>44552</v>
      </c>
      <c r="H118" s="69" t="s">
        <v>2130</v>
      </c>
      <c r="I118" s="15">
        <v>70</v>
      </c>
      <c r="J118" s="15">
        <v>64</v>
      </c>
      <c r="K118" s="15">
        <v>31</v>
      </c>
      <c r="L118" s="15">
        <v>20</v>
      </c>
      <c r="M118" s="73">
        <v>34.72</v>
      </c>
      <c r="N118" s="104">
        <v>34.72</v>
      </c>
      <c r="O118" s="57">
        <v>7000</v>
      </c>
      <c r="P118" s="58">
        <f t="shared" si="1"/>
        <v>243040</v>
      </c>
    </row>
    <row r="119" spans="1:16" ht="26.25" customHeight="1" x14ac:dyDescent="0.2">
      <c r="A119" s="100"/>
      <c r="B119" s="100"/>
      <c r="C119" s="65" t="s">
        <v>2342</v>
      </c>
      <c r="D119" s="70" t="s">
        <v>57</v>
      </c>
      <c r="E119" s="12">
        <v>44544</v>
      </c>
      <c r="F119" s="68" t="s">
        <v>59</v>
      </c>
      <c r="G119" s="12">
        <v>44552</v>
      </c>
      <c r="H119" s="69" t="s">
        <v>2130</v>
      </c>
      <c r="I119" s="15">
        <v>50</v>
      </c>
      <c r="J119" s="15">
        <v>32</v>
      </c>
      <c r="K119" s="15">
        <v>27</v>
      </c>
      <c r="L119" s="15">
        <v>1</v>
      </c>
      <c r="M119" s="73">
        <v>10.8</v>
      </c>
      <c r="N119" s="104">
        <v>10.8</v>
      </c>
      <c r="O119" s="57">
        <v>7000</v>
      </c>
      <c r="P119" s="58">
        <f t="shared" si="1"/>
        <v>75600</v>
      </c>
    </row>
    <row r="120" spans="1:16" ht="26.25" customHeight="1" x14ac:dyDescent="0.2">
      <c r="A120" s="100"/>
      <c r="B120" s="100"/>
      <c r="C120" s="65" t="s">
        <v>2343</v>
      </c>
      <c r="D120" s="70" t="s">
        <v>57</v>
      </c>
      <c r="E120" s="12">
        <v>44544</v>
      </c>
      <c r="F120" s="68" t="s">
        <v>59</v>
      </c>
      <c r="G120" s="12">
        <v>44552</v>
      </c>
      <c r="H120" s="69" t="s">
        <v>2130</v>
      </c>
      <c r="I120" s="15">
        <v>38</v>
      </c>
      <c r="J120" s="15">
        <v>52</v>
      </c>
      <c r="K120" s="15">
        <v>24</v>
      </c>
      <c r="L120" s="15">
        <v>12</v>
      </c>
      <c r="M120" s="73">
        <v>11.856</v>
      </c>
      <c r="N120" s="104">
        <v>12</v>
      </c>
      <c r="O120" s="57">
        <v>7000</v>
      </c>
      <c r="P120" s="58">
        <f t="shared" si="1"/>
        <v>84000</v>
      </c>
    </row>
    <row r="121" spans="1:16" ht="26.25" customHeight="1" x14ac:dyDescent="0.2">
      <c r="A121" s="100"/>
      <c r="B121" s="100"/>
      <c r="C121" s="65" t="s">
        <v>2344</v>
      </c>
      <c r="D121" s="70" t="s">
        <v>57</v>
      </c>
      <c r="E121" s="12">
        <v>44544</v>
      </c>
      <c r="F121" s="68" t="s">
        <v>59</v>
      </c>
      <c r="G121" s="12">
        <v>44552</v>
      </c>
      <c r="H121" s="69" t="s">
        <v>2130</v>
      </c>
      <c r="I121" s="15">
        <v>84</v>
      </c>
      <c r="J121" s="15">
        <v>57</v>
      </c>
      <c r="K121" s="15">
        <v>22</v>
      </c>
      <c r="L121" s="15">
        <v>11</v>
      </c>
      <c r="M121" s="73">
        <v>26.334</v>
      </c>
      <c r="N121" s="104">
        <v>27</v>
      </c>
      <c r="O121" s="57">
        <v>7000</v>
      </c>
      <c r="P121" s="58">
        <f t="shared" si="1"/>
        <v>189000</v>
      </c>
    </row>
    <row r="122" spans="1:16" ht="26.25" customHeight="1" x14ac:dyDescent="0.2">
      <c r="A122" s="100"/>
      <c r="B122" s="100"/>
      <c r="C122" s="65" t="s">
        <v>2345</v>
      </c>
      <c r="D122" s="70" t="s">
        <v>57</v>
      </c>
      <c r="E122" s="12">
        <v>44544</v>
      </c>
      <c r="F122" s="68" t="s">
        <v>59</v>
      </c>
      <c r="G122" s="12">
        <v>44552</v>
      </c>
      <c r="H122" s="69" t="s">
        <v>2130</v>
      </c>
      <c r="I122" s="15">
        <v>96</v>
      </c>
      <c r="J122" s="15">
        <v>48</v>
      </c>
      <c r="K122" s="15">
        <v>17</v>
      </c>
      <c r="L122" s="15">
        <v>7</v>
      </c>
      <c r="M122" s="73">
        <v>19.584</v>
      </c>
      <c r="N122" s="104">
        <v>19.584</v>
      </c>
      <c r="O122" s="57">
        <v>7000</v>
      </c>
      <c r="P122" s="58">
        <f t="shared" si="1"/>
        <v>137088</v>
      </c>
    </row>
    <row r="123" spans="1:16" ht="26.25" customHeight="1" x14ac:dyDescent="0.2">
      <c r="A123" s="100"/>
      <c r="B123" s="100"/>
      <c r="C123" s="65" t="s">
        <v>2346</v>
      </c>
      <c r="D123" s="70" t="s">
        <v>57</v>
      </c>
      <c r="E123" s="12">
        <v>44544</v>
      </c>
      <c r="F123" s="68" t="s">
        <v>59</v>
      </c>
      <c r="G123" s="12">
        <v>44552</v>
      </c>
      <c r="H123" s="69" t="s">
        <v>2130</v>
      </c>
      <c r="I123" s="15">
        <v>88</v>
      </c>
      <c r="J123" s="15">
        <v>48</v>
      </c>
      <c r="K123" s="15">
        <v>34</v>
      </c>
      <c r="L123" s="15">
        <v>17</v>
      </c>
      <c r="M123" s="73">
        <v>35.904000000000003</v>
      </c>
      <c r="N123" s="104">
        <v>35.904000000000003</v>
      </c>
      <c r="O123" s="57">
        <v>7000</v>
      </c>
      <c r="P123" s="58">
        <f t="shared" si="1"/>
        <v>251328.00000000003</v>
      </c>
    </row>
    <row r="124" spans="1:16" ht="26.25" customHeight="1" x14ac:dyDescent="0.2">
      <c r="A124" s="100"/>
      <c r="B124" s="100"/>
      <c r="C124" s="65" t="s">
        <v>2347</v>
      </c>
      <c r="D124" s="70" t="s">
        <v>57</v>
      </c>
      <c r="E124" s="12">
        <v>44544</v>
      </c>
      <c r="F124" s="68" t="s">
        <v>59</v>
      </c>
      <c r="G124" s="12">
        <v>44552</v>
      </c>
      <c r="H124" s="69" t="s">
        <v>2130</v>
      </c>
      <c r="I124" s="15">
        <v>54</v>
      </c>
      <c r="J124" s="15">
        <v>40</v>
      </c>
      <c r="K124" s="15">
        <v>36</v>
      </c>
      <c r="L124" s="15">
        <v>11</v>
      </c>
      <c r="M124" s="73">
        <v>19.440000000000001</v>
      </c>
      <c r="N124" s="104">
        <v>20</v>
      </c>
      <c r="O124" s="57">
        <v>7000</v>
      </c>
      <c r="P124" s="58">
        <f t="shared" si="1"/>
        <v>140000</v>
      </c>
    </row>
    <row r="125" spans="1:16" ht="26.25" customHeight="1" x14ac:dyDescent="0.2">
      <c r="A125" s="100"/>
      <c r="B125" s="100"/>
      <c r="C125" s="65" t="s">
        <v>2348</v>
      </c>
      <c r="D125" s="70" t="s">
        <v>57</v>
      </c>
      <c r="E125" s="12">
        <v>44544</v>
      </c>
      <c r="F125" s="68" t="s">
        <v>59</v>
      </c>
      <c r="G125" s="12">
        <v>44552</v>
      </c>
      <c r="H125" s="69" t="s">
        <v>2130</v>
      </c>
      <c r="I125" s="15">
        <v>54</v>
      </c>
      <c r="J125" s="15">
        <v>33</v>
      </c>
      <c r="K125" s="15">
        <v>50</v>
      </c>
      <c r="L125" s="15">
        <v>14</v>
      </c>
      <c r="M125" s="73">
        <v>22.274999999999999</v>
      </c>
      <c r="N125" s="104">
        <v>22.274999999999999</v>
      </c>
      <c r="O125" s="57">
        <v>7000</v>
      </c>
      <c r="P125" s="58">
        <f t="shared" si="1"/>
        <v>155925</v>
      </c>
    </row>
    <row r="126" spans="1:16" ht="26.25" customHeight="1" x14ac:dyDescent="0.2">
      <c r="A126" s="100"/>
      <c r="B126" s="100"/>
      <c r="C126" s="65" t="s">
        <v>2349</v>
      </c>
      <c r="D126" s="70" t="s">
        <v>57</v>
      </c>
      <c r="E126" s="12">
        <v>44544</v>
      </c>
      <c r="F126" s="68" t="s">
        <v>59</v>
      </c>
      <c r="G126" s="12">
        <v>44552</v>
      </c>
      <c r="H126" s="69" t="s">
        <v>2130</v>
      </c>
      <c r="I126" s="15">
        <v>51</v>
      </c>
      <c r="J126" s="15">
        <v>48</v>
      </c>
      <c r="K126" s="15">
        <v>17</v>
      </c>
      <c r="L126" s="15">
        <v>5</v>
      </c>
      <c r="M126" s="73">
        <v>10.404</v>
      </c>
      <c r="N126" s="104">
        <v>11</v>
      </c>
      <c r="O126" s="57">
        <v>7000</v>
      </c>
      <c r="P126" s="58">
        <f t="shared" si="1"/>
        <v>77000</v>
      </c>
    </row>
    <row r="127" spans="1:16" ht="26.25" customHeight="1" x14ac:dyDescent="0.2">
      <c r="A127" s="100"/>
      <c r="B127" s="100"/>
      <c r="C127" s="65" t="s">
        <v>2350</v>
      </c>
      <c r="D127" s="70" t="s">
        <v>57</v>
      </c>
      <c r="E127" s="12">
        <v>44544</v>
      </c>
      <c r="F127" s="68" t="s">
        <v>59</v>
      </c>
      <c r="G127" s="12">
        <v>44552</v>
      </c>
      <c r="H127" s="69" t="s">
        <v>2130</v>
      </c>
      <c r="I127" s="15">
        <v>49</v>
      </c>
      <c r="J127" s="15">
        <v>31</v>
      </c>
      <c r="K127" s="15">
        <v>12</v>
      </c>
      <c r="L127" s="15">
        <v>2</v>
      </c>
      <c r="M127" s="73">
        <v>4.5570000000000004</v>
      </c>
      <c r="N127" s="104">
        <v>4.5570000000000004</v>
      </c>
      <c r="O127" s="57">
        <v>7000</v>
      </c>
      <c r="P127" s="58">
        <f t="shared" si="1"/>
        <v>31899.000000000004</v>
      </c>
    </row>
    <row r="128" spans="1:16" ht="26.25" customHeight="1" x14ac:dyDescent="0.2">
      <c r="A128" s="100"/>
      <c r="B128" s="100"/>
      <c r="C128" s="65" t="s">
        <v>2351</v>
      </c>
      <c r="D128" s="70" t="s">
        <v>57</v>
      </c>
      <c r="E128" s="12">
        <v>44544</v>
      </c>
      <c r="F128" s="68" t="s">
        <v>59</v>
      </c>
      <c r="G128" s="12">
        <v>44552</v>
      </c>
      <c r="H128" s="69" t="s">
        <v>2130</v>
      </c>
      <c r="I128" s="15">
        <v>71</v>
      </c>
      <c r="J128" s="15">
        <v>54</v>
      </c>
      <c r="K128" s="15">
        <v>15</v>
      </c>
      <c r="L128" s="15">
        <v>7</v>
      </c>
      <c r="M128" s="73">
        <v>14.3775</v>
      </c>
      <c r="N128" s="104">
        <v>15</v>
      </c>
      <c r="O128" s="57">
        <v>7000</v>
      </c>
      <c r="P128" s="58">
        <f t="shared" si="1"/>
        <v>105000</v>
      </c>
    </row>
    <row r="129" spans="1:16" ht="26.25" customHeight="1" x14ac:dyDescent="0.2">
      <c r="A129" s="100"/>
      <c r="B129" s="100"/>
      <c r="C129" s="65" t="s">
        <v>2352</v>
      </c>
      <c r="D129" s="70" t="s">
        <v>57</v>
      </c>
      <c r="E129" s="12">
        <v>44544</v>
      </c>
      <c r="F129" s="68" t="s">
        <v>59</v>
      </c>
      <c r="G129" s="12">
        <v>44552</v>
      </c>
      <c r="H129" s="69" t="s">
        <v>2130</v>
      </c>
      <c r="I129" s="15">
        <v>84</v>
      </c>
      <c r="J129" s="15">
        <v>57</v>
      </c>
      <c r="K129" s="15">
        <v>26</v>
      </c>
      <c r="L129" s="15">
        <v>15</v>
      </c>
      <c r="M129" s="73">
        <v>31.122</v>
      </c>
      <c r="N129" s="104">
        <v>31.122</v>
      </c>
      <c r="O129" s="57">
        <v>7000</v>
      </c>
      <c r="P129" s="58">
        <f t="shared" si="1"/>
        <v>217854</v>
      </c>
    </row>
    <row r="130" spans="1:16" ht="26.25" customHeight="1" x14ac:dyDescent="0.2">
      <c r="A130" s="100"/>
      <c r="B130" s="100"/>
      <c r="C130" s="65" t="s">
        <v>2353</v>
      </c>
      <c r="D130" s="70" t="s">
        <v>57</v>
      </c>
      <c r="E130" s="12">
        <v>44544</v>
      </c>
      <c r="F130" s="68" t="s">
        <v>59</v>
      </c>
      <c r="G130" s="12">
        <v>44552</v>
      </c>
      <c r="H130" s="69" t="s">
        <v>2130</v>
      </c>
      <c r="I130" s="15">
        <v>61</v>
      </c>
      <c r="J130" s="15">
        <v>48</v>
      </c>
      <c r="K130" s="15">
        <v>18</v>
      </c>
      <c r="L130" s="15">
        <v>6</v>
      </c>
      <c r="M130" s="73">
        <v>13.176</v>
      </c>
      <c r="N130" s="104">
        <v>13.176</v>
      </c>
      <c r="O130" s="57">
        <v>7000</v>
      </c>
      <c r="P130" s="58">
        <f t="shared" si="1"/>
        <v>92232</v>
      </c>
    </row>
    <row r="131" spans="1:16" ht="26.25" customHeight="1" x14ac:dyDescent="0.2">
      <c r="A131" s="100"/>
      <c r="B131" s="100"/>
      <c r="C131" s="65" t="s">
        <v>2354</v>
      </c>
      <c r="D131" s="70" t="s">
        <v>57</v>
      </c>
      <c r="E131" s="12">
        <v>44544</v>
      </c>
      <c r="F131" s="68" t="s">
        <v>59</v>
      </c>
      <c r="G131" s="12">
        <v>44552</v>
      </c>
      <c r="H131" s="69" t="s">
        <v>2130</v>
      </c>
      <c r="I131" s="15">
        <v>74</v>
      </c>
      <c r="J131" s="15">
        <v>44</v>
      </c>
      <c r="K131" s="15">
        <v>30</v>
      </c>
      <c r="L131" s="15">
        <v>13</v>
      </c>
      <c r="M131" s="73">
        <v>24.42</v>
      </c>
      <c r="N131" s="104">
        <v>25</v>
      </c>
      <c r="O131" s="57">
        <v>7000</v>
      </c>
      <c r="P131" s="58">
        <f t="shared" ref="P131:P194" si="2">N131*O131</f>
        <v>175000</v>
      </c>
    </row>
    <row r="132" spans="1:16" ht="26.25" customHeight="1" x14ac:dyDescent="0.2">
      <c r="A132" s="100"/>
      <c r="B132" s="100"/>
      <c r="C132" s="65" t="s">
        <v>2355</v>
      </c>
      <c r="D132" s="70" t="s">
        <v>57</v>
      </c>
      <c r="E132" s="12">
        <v>44544</v>
      </c>
      <c r="F132" s="68" t="s">
        <v>59</v>
      </c>
      <c r="G132" s="12">
        <v>44552</v>
      </c>
      <c r="H132" s="69" t="s">
        <v>2130</v>
      </c>
      <c r="I132" s="15">
        <v>36</v>
      </c>
      <c r="J132" s="15">
        <v>28</v>
      </c>
      <c r="K132" s="15">
        <v>25</v>
      </c>
      <c r="L132" s="15">
        <v>3</v>
      </c>
      <c r="M132" s="73">
        <v>6.3</v>
      </c>
      <c r="N132" s="104">
        <v>7</v>
      </c>
      <c r="O132" s="57">
        <v>7000</v>
      </c>
      <c r="P132" s="58">
        <f t="shared" si="2"/>
        <v>49000</v>
      </c>
    </row>
    <row r="133" spans="1:16" ht="26.25" customHeight="1" x14ac:dyDescent="0.2">
      <c r="A133" s="100"/>
      <c r="B133" s="100"/>
      <c r="C133" s="65" t="s">
        <v>2356</v>
      </c>
      <c r="D133" s="70" t="s">
        <v>57</v>
      </c>
      <c r="E133" s="12">
        <v>44544</v>
      </c>
      <c r="F133" s="68" t="s">
        <v>59</v>
      </c>
      <c r="G133" s="12">
        <v>44552</v>
      </c>
      <c r="H133" s="69" t="s">
        <v>2130</v>
      </c>
      <c r="I133" s="15">
        <v>97</v>
      </c>
      <c r="J133" s="15">
        <v>64</v>
      </c>
      <c r="K133" s="15">
        <v>28</v>
      </c>
      <c r="L133" s="15">
        <v>23</v>
      </c>
      <c r="M133" s="73">
        <v>43.456000000000003</v>
      </c>
      <c r="N133" s="104">
        <v>44</v>
      </c>
      <c r="O133" s="57">
        <v>7000</v>
      </c>
      <c r="P133" s="58">
        <f t="shared" si="2"/>
        <v>308000</v>
      </c>
    </row>
    <row r="134" spans="1:16" ht="26.25" customHeight="1" x14ac:dyDescent="0.2">
      <c r="A134" s="100"/>
      <c r="B134" s="100"/>
      <c r="C134" s="65" t="s">
        <v>2357</v>
      </c>
      <c r="D134" s="70" t="s">
        <v>57</v>
      </c>
      <c r="E134" s="12">
        <v>44544</v>
      </c>
      <c r="F134" s="68" t="s">
        <v>59</v>
      </c>
      <c r="G134" s="12">
        <v>44552</v>
      </c>
      <c r="H134" s="69" t="s">
        <v>2130</v>
      </c>
      <c r="I134" s="15">
        <v>64</v>
      </c>
      <c r="J134" s="15">
        <v>50</v>
      </c>
      <c r="K134" s="15">
        <v>17</v>
      </c>
      <c r="L134" s="15">
        <v>8</v>
      </c>
      <c r="M134" s="73">
        <v>13.6</v>
      </c>
      <c r="N134" s="104">
        <v>13.6</v>
      </c>
      <c r="O134" s="57">
        <v>7000</v>
      </c>
      <c r="P134" s="58">
        <f t="shared" si="2"/>
        <v>95200</v>
      </c>
    </row>
    <row r="135" spans="1:16" ht="26.25" customHeight="1" x14ac:dyDescent="0.2">
      <c r="A135" s="100"/>
      <c r="B135" s="100"/>
      <c r="C135" s="65" t="s">
        <v>2358</v>
      </c>
      <c r="D135" s="70" t="s">
        <v>57</v>
      </c>
      <c r="E135" s="12">
        <v>44544</v>
      </c>
      <c r="F135" s="68" t="s">
        <v>59</v>
      </c>
      <c r="G135" s="12">
        <v>44552</v>
      </c>
      <c r="H135" s="69" t="s">
        <v>2130</v>
      </c>
      <c r="I135" s="15">
        <v>91</v>
      </c>
      <c r="J135" s="15">
        <v>57</v>
      </c>
      <c r="K135" s="15">
        <v>27</v>
      </c>
      <c r="L135" s="15">
        <v>20</v>
      </c>
      <c r="M135" s="73">
        <v>35.012250000000002</v>
      </c>
      <c r="N135" s="104">
        <v>35.012250000000002</v>
      </c>
      <c r="O135" s="57">
        <v>7000</v>
      </c>
      <c r="P135" s="58">
        <f t="shared" si="2"/>
        <v>245085.75</v>
      </c>
    </row>
    <row r="136" spans="1:16" ht="26.25" customHeight="1" x14ac:dyDescent="0.2">
      <c r="A136" s="100"/>
      <c r="B136" s="100"/>
      <c r="C136" s="65" t="s">
        <v>2359</v>
      </c>
      <c r="D136" s="70" t="s">
        <v>57</v>
      </c>
      <c r="E136" s="12">
        <v>44544</v>
      </c>
      <c r="F136" s="68" t="s">
        <v>59</v>
      </c>
      <c r="G136" s="12">
        <v>44552</v>
      </c>
      <c r="H136" s="69" t="s">
        <v>2130</v>
      </c>
      <c r="I136" s="15">
        <v>88</v>
      </c>
      <c r="J136" s="15">
        <v>67</v>
      </c>
      <c r="K136" s="15">
        <v>30</v>
      </c>
      <c r="L136" s="15">
        <v>14</v>
      </c>
      <c r="M136" s="73">
        <v>44.22</v>
      </c>
      <c r="N136" s="104">
        <v>44.22</v>
      </c>
      <c r="O136" s="57">
        <v>7000</v>
      </c>
      <c r="P136" s="58">
        <f t="shared" si="2"/>
        <v>309540</v>
      </c>
    </row>
    <row r="137" spans="1:16" ht="26.25" customHeight="1" x14ac:dyDescent="0.2">
      <c r="A137" s="100"/>
      <c r="B137" s="100"/>
      <c r="C137" s="65" t="s">
        <v>2360</v>
      </c>
      <c r="D137" s="70" t="s">
        <v>57</v>
      </c>
      <c r="E137" s="12">
        <v>44544</v>
      </c>
      <c r="F137" s="68" t="s">
        <v>59</v>
      </c>
      <c r="G137" s="12">
        <v>44552</v>
      </c>
      <c r="H137" s="69" t="s">
        <v>2130</v>
      </c>
      <c r="I137" s="15">
        <v>92</v>
      </c>
      <c r="J137" s="15">
        <v>54</v>
      </c>
      <c r="K137" s="15">
        <v>28</v>
      </c>
      <c r="L137" s="15">
        <v>28</v>
      </c>
      <c r="M137" s="73">
        <v>34.776000000000003</v>
      </c>
      <c r="N137" s="104">
        <v>34.776000000000003</v>
      </c>
      <c r="O137" s="57">
        <v>7000</v>
      </c>
      <c r="P137" s="58">
        <f t="shared" si="2"/>
        <v>243432.00000000003</v>
      </c>
    </row>
    <row r="138" spans="1:16" ht="26.25" customHeight="1" x14ac:dyDescent="0.2">
      <c r="A138" s="100"/>
      <c r="B138" s="100"/>
      <c r="C138" s="65" t="s">
        <v>2361</v>
      </c>
      <c r="D138" s="70" t="s">
        <v>57</v>
      </c>
      <c r="E138" s="12">
        <v>44544</v>
      </c>
      <c r="F138" s="68" t="s">
        <v>59</v>
      </c>
      <c r="G138" s="12">
        <v>44552</v>
      </c>
      <c r="H138" s="69" t="s">
        <v>2130</v>
      </c>
      <c r="I138" s="15">
        <v>104</v>
      </c>
      <c r="J138" s="15">
        <v>57</v>
      </c>
      <c r="K138" s="15">
        <v>32</v>
      </c>
      <c r="L138" s="15">
        <v>20</v>
      </c>
      <c r="M138" s="73">
        <v>47.423999999999999</v>
      </c>
      <c r="N138" s="104">
        <v>48</v>
      </c>
      <c r="O138" s="57">
        <v>7000</v>
      </c>
      <c r="P138" s="58">
        <f t="shared" si="2"/>
        <v>336000</v>
      </c>
    </row>
    <row r="139" spans="1:16" ht="26.25" customHeight="1" x14ac:dyDescent="0.2">
      <c r="A139" s="100"/>
      <c r="B139" s="100"/>
      <c r="C139" s="65" t="s">
        <v>2362</v>
      </c>
      <c r="D139" s="70" t="s">
        <v>57</v>
      </c>
      <c r="E139" s="12">
        <v>44544</v>
      </c>
      <c r="F139" s="68" t="s">
        <v>59</v>
      </c>
      <c r="G139" s="12">
        <v>44552</v>
      </c>
      <c r="H139" s="69" t="s">
        <v>2130</v>
      </c>
      <c r="I139" s="15">
        <v>53</v>
      </c>
      <c r="J139" s="15">
        <v>37</v>
      </c>
      <c r="K139" s="15">
        <v>24</v>
      </c>
      <c r="L139" s="15">
        <v>10</v>
      </c>
      <c r="M139" s="73">
        <v>11.766</v>
      </c>
      <c r="N139" s="104">
        <v>11.766</v>
      </c>
      <c r="O139" s="57">
        <v>7000</v>
      </c>
      <c r="P139" s="58">
        <f t="shared" si="2"/>
        <v>82362</v>
      </c>
    </row>
    <row r="140" spans="1:16" ht="26.25" customHeight="1" x14ac:dyDescent="0.2">
      <c r="A140" s="100"/>
      <c r="B140" s="100"/>
      <c r="C140" s="65" t="s">
        <v>2363</v>
      </c>
      <c r="D140" s="70" t="s">
        <v>57</v>
      </c>
      <c r="E140" s="12">
        <v>44544</v>
      </c>
      <c r="F140" s="68" t="s">
        <v>59</v>
      </c>
      <c r="G140" s="12">
        <v>44552</v>
      </c>
      <c r="H140" s="69" t="s">
        <v>2130</v>
      </c>
      <c r="I140" s="15">
        <v>68</v>
      </c>
      <c r="J140" s="15">
        <v>48</v>
      </c>
      <c r="K140" s="15">
        <v>30</v>
      </c>
      <c r="L140" s="15">
        <v>7</v>
      </c>
      <c r="M140" s="73">
        <v>24.48</v>
      </c>
      <c r="N140" s="104">
        <v>25</v>
      </c>
      <c r="O140" s="57">
        <v>7000</v>
      </c>
      <c r="P140" s="58">
        <f t="shared" si="2"/>
        <v>175000</v>
      </c>
    </row>
    <row r="141" spans="1:16" ht="26.25" customHeight="1" x14ac:dyDescent="0.2">
      <c r="A141" s="100"/>
      <c r="B141" s="100"/>
      <c r="C141" s="65" t="s">
        <v>2364</v>
      </c>
      <c r="D141" s="70" t="s">
        <v>57</v>
      </c>
      <c r="E141" s="12">
        <v>44544</v>
      </c>
      <c r="F141" s="68" t="s">
        <v>59</v>
      </c>
      <c r="G141" s="12">
        <v>44552</v>
      </c>
      <c r="H141" s="69" t="s">
        <v>2130</v>
      </c>
      <c r="I141" s="15">
        <v>77</v>
      </c>
      <c r="J141" s="15">
        <v>58</v>
      </c>
      <c r="K141" s="15">
        <v>24</v>
      </c>
      <c r="L141" s="15">
        <v>15</v>
      </c>
      <c r="M141" s="73">
        <v>26.795999999999999</v>
      </c>
      <c r="N141" s="104">
        <v>26.795999999999999</v>
      </c>
      <c r="O141" s="57">
        <v>7000</v>
      </c>
      <c r="P141" s="58">
        <f t="shared" si="2"/>
        <v>187572</v>
      </c>
    </row>
    <row r="142" spans="1:16" ht="26.25" customHeight="1" x14ac:dyDescent="0.2">
      <c r="A142" s="100"/>
      <c r="B142" s="100"/>
      <c r="C142" s="65" t="s">
        <v>2365</v>
      </c>
      <c r="D142" s="70" t="s">
        <v>57</v>
      </c>
      <c r="E142" s="12">
        <v>44544</v>
      </c>
      <c r="F142" s="68" t="s">
        <v>59</v>
      </c>
      <c r="G142" s="12">
        <v>44552</v>
      </c>
      <c r="H142" s="69" t="s">
        <v>2130</v>
      </c>
      <c r="I142" s="15">
        <v>58</v>
      </c>
      <c r="J142" s="15">
        <v>42</v>
      </c>
      <c r="K142" s="15">
        <v>11</v>
      </c>
      <c r="L142" s="15">
        <v>1</v>
      </c>
      <c r="M142" s="73">
        <v>6.6989999999999998</v>
      </c>
      <c r="N142" s="104">
        <v>6.6989999999999998</v>
      </c>
      <c r="O142" s="57">
        <v>7000</v>
      </c>
      <c r="P142" s="58">
        <f t="shared" si="2"/>
        <v>46893</v>
      </c>
    </row>
    <row r="143" spans="1:16" ht="26.25" customHeight="1" x14ac:dyDescent="0.2">
      <c r="A143" s="100"/>
      <c r="B143" s="100"/>
      <c r="C143" s="65" t="s">
        <v>2366</v>
      </c>
      <c r="D143" s="70" t="s">
        <v>57</v>
      </c>
      <c r="E143" s="12">
        <v>44544</v>
      </c>
      <c r="F143" s="68" t="s">
        <v>59</v>
      </c>
      <c r="G143" s="12">
        <v>44552</v>
      </c>
      <c r="H143" s="69" t="s">
        <v>2130</v>
      </c>
      <c r="I143" s="15">
        <v>30</v>
      </c>
      <c r="J143" s="15">
        <v>28</v>
      </c>
      <c r="K143" s="15">
        <v>12</v>
      </c>
      <c r="L143" s="15">
        <v>3</v>
      </c>
      <c r="M143" s="73">
        <v>2.52</v>
      </c>
      <c r="N143" s="104">
        <v>3</v>
      </c>
      <c r="O143" s="57">
        <v>7000</v>
      </c>
      <c r="P143" s="58">
        <f t="shared" si="2"/>
        <v>21000</v>
      </c>
    </row>
    <row r="144" spans="1:16" ht="26.25" customHeight="1" x14ac:dyDescent="0.2">
      <c r="A144" s="100"/>
      <c r="B144" s="100"/>
      <c r="C144" s="65" t="s">
        <v>2367</v>
      </c>
      <c r="D144" s="70" t="s">
        <v>57</v>
      </c>
      <c r="E144" s="12">
        <v>44544</v>
      </c>
      <c r="F144" s="68" t="s">
        <v>59</v>
      </c>
      <c r="G144" s="12">
        <v>44552</v>
      </c>
      <c r="H144" s="69" t="s">
        <v>2130</v>
      </c>
      <c r="I144" s="15">
        <v>61</v>
      </c>
      <c r="J144" s="15">
        <v>42</v>
      </c>
      <c r="K144" s="15">
        <v>20</v>
      </c>
      <c r="L144" s="15">
        <v>4</v>
      </c>
      <c r="M144" s="73">
        <v>12.81</v>
      </c>
      <c r="N144" s="104">
        <v>12.81</v>
      </c>
      <c r="O144" s="57">
        <v>7000</v>
      </c>
      <c r="P144" s="58">
        <f t="shared" si="2"/>
        <v>89670</v>
      </c>
    </row>
    <row r="145" spans="1:16" ht="26.25" customHeight="1" x14ac:dyDescent="0.2">
      <c r="A145" s="100"/>
      <c r="B145" s="100"/>
      <c r="C145" s="65" t="s">
        <v>2368</v>
      </c>
      <c r="D145" s="70" t="s">
        <v>57</v>
      </c>
      <c r="E145" s="12">
        <v>44544</v>
      </c>
      <c r="F145" s="68" t="s">
        <v>59</v>
      </c>
      <c r="G145" s="12">
        <v>44552</v>
      </c>
      <c r="H145" s="69" t="s">
        <v>2130</v>
      </c>
      <c r="I145" s="15">
        <v>74</v>
      </c>
      <c r="J145" s="15">
        <v>47</v>
      </c>
      <c r="K145" s="15">
        <v>34</v>
      </c>
      <c r="L145" s="15">
        <v>11</v>
      </c>
      <c r="M145" s="73">
        <v>29.562999999999999</v>
      </c>
      <c r="N145" s="104">
        <v>29.562999999999999</v>
      </c>
      <c r="O145" s="57">
        <v>7000</v>
      </c>
      <c r="P145" s="58">
        <f t="shared" si="2"/>
        <v>206941</v>
      </c>
    </row>
    <row r="146" spans="1:16" ht="26.25" customHeight="1" x14ac:dyDescent="0.2">
      <c r="A146" s="100"/>
      <c r="B146" s="100"/>
      <c r="C146" s="65" t="s">
        <v>2369</v>
      </c>
      <c r="D146" s="70" t="s">
        <v>57</v>
      </c>
      <c r="E146" s="12">
        <v>44544</v>
      </c>
      <c r="F146" s="68" t="s">
        <v>59</v>
      </c>
      <c r="G146" s="12">
        <v>44552</v>
      </c>
      <c r="H146" s="69" t="s">
        <v>2130</v>
      </c>
      <c r="I146" s="15">
        <v>40</v>
      </c>
      <c r="J146" s="15">
        <v>40</v>
      </c>
      <c r="K146" s="15">
        <v>30</v>
      </c>
      <c r="L146" s="15">
        <v>6</v>
      </c>
      <c r="M146" s="73">
        <v>12</v>
      </c>
      <c r="N146" s="104">
        <v>12</v>
      </c>
      <c r="O146" s="57">
        <v>7000</v>
      </c>
      <c r="P146" s="58">
        <f t="shared" si="2"/>
        <v>84000</v>
      </c>
    </row>
    <row r="147" spans="1:16" ht="26.25" customHeight="1" x14ac:dyDescent="0.2">
      <c r="A147" s="100"/>
      <c r="B147" s="100"/>
      <c r="C147" s="65" t="s">
        <v>2370</v>
      </c>
      <c r="D147" s="70" t="s">
        <v>57</v>
      </c>
      <c r="E147" s="12">
        <v>44544</v>
      </c>
      <c r="F147" s="68" t="s">
        <v>59</v>
      </c>
      <c r="G147" s="12">
        <v>44552</v>
      </c>
      <c r="H147" s="69" t="s">
        <v>2130</v>
      </c>
      <c r="I147" s="15">
        <v>91</v>
      </c>
      <c r="J147" s="15">
        <v>57</v>
      </c>
      <c r="K147" s="15">
        <v>26</v>
      </c>
      <c r="L147" s="15">
        <v>11</v>
      </c>
      <c r="M147" s="73">
        <v>33.715499999999999</v>
      </c>
      <c r="N147" s="104">
        <v>33.715499999999999</v>
      </c>
      <c r="O147" s="57">
        <v>7000</v>
      </c>
      <c r="P147" s="58">
        <f t="shared" si="2"/>
        <v>236008.5</v>
      </c>
    </row>
    <row r="148" spans="1:16" ht="26.25" customHeight="1" x14ac:dyDescent="0.2">
      <c r="A148" s="100"/>
      <c r="B148" s="100"/>
      <c r="C148" s="65" t="s">
        <v>2371</v>
      </c>
      <c r="D148" s="70" t="s">
        <v>57</v>
      </c>
      <c r="E148" s="12">
        <v>44544</v>
      </c>
      <c r="F148" s="68" t="s">
        <v>59</v>
      </c>
      <c r="G148" s="12">
        <v>44552</v>
      </c>
      <c r="H148" s="69" t="s">
        <v>2130</v>
      </c>
      <c r="I148" s="15">
        <v>53</v>
      </c>
      <c r="J148" s="15">
        <v>42</v>
      </c>
      <c r="K148" s="15">
        <v>14</v>
      </c>
      <c r="L148" s="15">
        <v>7</v>
      </c>
      <c r="M148" s="73">
        <v>7.7910000000000004</v>
      </c>
      <c r="N148" s="104">
        <v>7.7910000000000004</v>
      </c>
      <c r="O148" s="57">
        <v>7000</v>
      </c>
      <c r="P148" s="58">
        <f t="shared" si="2"/>
        <v>54537</v>
      </c>
    </row>
    <row r="149" spans="1:16" ht="26.25" customHeight="1" x14ac:dyDescent="0.2">
      <c r="A149" s="100"/>
      <c r="B149" s="100"/>
      <c r="C149" s="65" t="s">
        <v>2372</v>
      </c>
      <c r="D149" s="70" t="s">
        <v>57</v>
      </c>
      <c r="E149" s="12">
        <v>44544</v>
      </c>
      <c r="F149" s="68" t="s">
        <v>59</v>
      </c>
      <c r="G149" s="12">
        <v>44552</v>
      </c>
      <c r="H149" s="69" t="s">
        <v>2130</v>
      </c>
      <c r="I149" s="15">
        <v>33</v>
      </c>
      <c r="J149" s="15">
        <v>33</v>
      </c>
      <c r="K149" s="15">
        <v>38</v>
      </c>
      <c r="L149" s="15">
        <v>17</v>
      </c>
      <c r="M149" s="73">
        <v>10.345499999999999</v>
      </c>
      <c r="N149" s="104">
        <v>18</v>
      </c>
      <c r="O149" s="57">
        <v>7000</v>
      </c>
      <c r="P149" s="58">
        <f t="shared" si="2"/>
        <v>126000</v>
      </c>
    </row>
    <row r="150" spans="1:16" ht="26.25" customHeight="1" x14ac:dyDescent="0.2">
      <c r="A150" s="100"/>
      <c r="B150" s="100"/>
      <c r="C150" s="65" t="s">
        <v>2373</v>
      </c>
      <c r="D150" s="70" t="s">
        <v>57</v>
      </c>
      <c r="E150" s="12">
        <v>44544</v>
      </c>
      <c r="F150" s="68" t="s">
        <v>59</v>
      </c>
      <c r="G150" s="12">
        <v>44552</v>
      </c>
      <c r="H150" s="69" t="s">
        <v>2130</v>
      </c>
      <c r="I150" s="15">
        <v>58</v>
      </c>
      <c r="J150" s="15">
        <v>46</v>
      </c>
      <c r="K150" s="15">
        <v>22</v>
      </c>
      <c r="L150" s="15">
        <v>6</v>
      </c>
      <c r="M150" s="73">
        <v>14.673999999999999</v>
      </c>
      <c r="N150" s="104">
        <v>14.673999999999999</v>
      </c>
      <c r="O150" s="57">
        <v>7000</v>
      </c>
      <c r="P150" s="58">
        <f t="shared" si="2"/>
        <v>102718</v>
      </c>
    </row>
    <row r="151" spans="1:16" ht="26.25" customHeight="1" x14ac:dyDescent="0.2">
      <c r="A151" s="100"/>
      <c r="B151" s="100"/>
      <c r="C151" s="65" t="s">
        <v>2374</v>
      </c>
      <c r="D151" s="70" t="s">
        <v>57</v>
      </c>
      <c r="E151" s="12">
        <v>44544</v>
      </c>
      <c r="F151" s="68" t="s">
        <v>59</v>
      </c>
      <c r="G151" s="12">
        <v>44552</v>
      </c>
      <c r="H151" s="69" t="s">
        <v>2130</v>
      </c>
      <c r="I151" s="15">
        <v>48</v>
      </c>
      <c r="J151" s="15">
        <v>47</v>
      </c>
      <c r="K151" s="15">
        <v>16</v>
      </c>
      <c r="L151" s="15">
        <v>8</v>
      </c>
      <c r="M151" s="73">
        <v>9.0239999999999991</v>
      </c>
      <c r="N151" s="104">
        <v>9.0239999999999991</v>
      </c>
      <c r="O151" s="57">
        <v>7000</v>
      </c>
      <c r="P151" s="58">
        <f t="shared" si="2"/>
        <v>63167.999999999993</v>
      </c>
    </row>
    <row r="152" spans="1:16" ht="26.25" customHeight="1" x14ac:dyDescent="0.2">
      <c r="A152" s="100"/>
      <c r="B152" s="100"/>
      <c r="C152" s="65" t="s">
        <v>2375</v>
      </c>
      <c r="D152" s="70" t="s">
        <v>57</v>
      </c>
      <c r="E152" s="12">
        <v>44544</v>
      </c>
      <c r="F152" s="68" t="s">
        <v>59</v>
      </c>
      <c r="G152" s="12">
        <v>44552</v>
      </c>
      <c r="H152" s="69" t="s">
        <v>2130</v>
      </c>
      <c r="I152" s="15">
        <v>58</v>
      </c>
      <c r="J152" s="15">
        <v>42</v>
      </c>
      <c r="K152" s="15">
        <v>13</v>
      </c>
      <c r="L152" s="15">
        <v>7</v>
      </c>
      <c r="M152" s="73">
        <v>7.9169999999999998</v>
      </c>
      <c r="N152" s="104">
        <v>7.9169999999999998</v>
      </c>
      <c r="O152" s="57">
        <v>7000</v>
      </c>
      <c r="P152" s="58">
        <f t="shared" si="2"/>
        <v>55419</v>
      </c>
    </row>
    <row r="153" spans="1:16" ht="26.25" customHeight="1" x14ac:dyDescent="0.2">
      <c r="A153" s="100"/>
      <c r="B153" s="100"/>
      <c r="C153" s="65" t="s">
        <v>2376</v>
      </c>
      <c r="D153" s="70" t="s">
        <v>57</v>
      </c>
      <c r="E153" s="12">
        <v>44544</v>
      </c>
      <c r="F153" s="68" t="s">
        <v>59</v>
      </c>
      <c r="G153" s="12">
        <v>44552</v>
      </c>
      <c r="H153" s="69" t="s">
        <v>2130</v>
      </c>
      <c r="I153" s="15">
        <v>57</v>
      </c>
      <c r="J153" s="15">
        <v>47</v>
      </c>
      <c r="K153" s="15">
        <v>14</v>
      </c>
      <c r="L153" s="15">
        <v>8</v>
      </c>
      <c r="M153" s="73">
        <v>9.3765000000000001</v>
      </c>
      <c r="N153" s="104">
        <v>10</v>
      </c>
      <c r="O153" s="57">
        <v>7000</v>
      </c>
      <c r="P153" s="58">
        <f t="shared" si="2"/>
        <v>70000</v>
      </c>
    </row>
    <row r="154" spans="1:16" ht="26.25" customHeight="1" x14ac:dyDescent="0.2">
      <c r="A154" s="100"/>
      <c r="B154" s="100"/>
      <c r="C154" s="65" t="s">
        <v>2377</v>
      </c>
      <c r="D154" s="70" t="s">
        <v>57</v>
      </c>
      <c r="E154" s="12">
        <v>44544</v>
      </c>
      <c r="F154" s="68" t="s">
        <v>59</v>
      </c>
      <c r="G154" s="12">
        <v>44552</v>
      </c>
      <c r="H154" s="69" t="s">
        <v>2130</v>
      </c>
      <c r="I154" s="15">
        <v>45</v>
      </c>
      <c r="J154" s="15">
        <v>36</v>
      </c>
      <c r="K154" s="15">
        <v>14</v>
      </c>
      <c r="L154" s="15">
        <v>5</v>
      </c>
      <c r="M154" s="73">
        <v>5.67</v>
      </c>
      <c r="N154" s="104">
        <v>5.67</v>
      </c>
      <c r="O154" s="57">
        <v>7000</v>
      </c>
      <c r="P154" s="58">
        <f t="shared" si="2"/>
        <v>39690</v>
      </c>
    </row>
    <row r="155" spans="1:16" ht="26.25" customHeight="1" x14ac:dyDescent="0.2">
      <c r="A155" s="100"/>
      <c r="B155" s="100"/>
      <c r="C155" s="65" t="s">
        <v>2378</v>
      </c>
      <c r="D155" s="70" t="s">
        <v>57</v>
      </c>
      <c r="E155" s="12">
        <v>44544</v>
      </c>
      <c r="F155" s="68" t="s">
        <v>59</v>
      </c>
      <c r="G155" s="12">
        <v>44552</v>
      </c>
      <c r="H155" s="69" t="s">
        <v>2130</v>
      </c>
      <c r="I155" s="15">
        <v>48</v>
      </c>
      <c r="J155" s="15">
        <v>34</v>
      </c>
      <c r="K155" s="15">
        <v>23</v>
      </c>
      <c r="L155" s="15">
        <v>11</v>
      </c>
      <c r="M155" s="73">
        <v>9.3840000000000003</v>
      </c>
      <c r="N155" s="104">
        <v>12</v>
      </c>
      <c r="O155" s="57">
        <v>7000</v>
      </c>
      <c r="P155" s="58">
        <f t="shared" si="2"/>
        <v>84000</v>
      </c>
    </row>
    <row r="156" spans="1:16" ht="26.25" customHeight="1" x14ac:dyDescent="0.2">
      <c r="A156" s="100"/>
      <c r="B156" s="100"/>
      <c r="C156" s="65" t="s">
        <v>2379</v>
      </c>
      <c r="D156" s="70" t="s">
        <v>57</v>
      </c>
      <c r="E156" s="12">
        <v>44544</v>
      </c>
      <c r="F156" s="68" t="s">
        <v>59</v>
      </c>
      <c r="G156" s="12">
        <v>44552</v>
      </c>
      <c r="H156" s="69" t="s">
        <v>2130</v>
      </c>
      <c r="I156" s="15">
        <v>55</v>
      </c>
      <c r="J156" s="15">
        <v>34</v>
      </c>
      <c r="K156" s="15">
        <v>14</v>
      </c>
      <c r="L156" s="15">
        <v>4</v>
      </c>
      <c r="M156" s="73">
        <v>6.5449999999999999</v>
      </c>
      <c r="N156" s="104">
        <v>6.5449999999999999</v>
      </c>
      <c r="O156" s="57">
        <v>7000</v>
      </c>
      <c r="P156" s="58">
        <f t="shared" si="2"/>
        <v>45815</v>
      </c>
    </row>
    <row r="157" spans="1:16" ht="26.25" customHeight="1" x14ac:dyDescent="0.2">
      <c r="A157" s="100"/>
      <c r="B157" s="100"/>
      <c r="C157" s="65" t="s">
        <v>2380</v>
      </c>
      <c r="D157" s="70" t="s">
        <v>57</v>
      </c>
      <c r="E157" s="12">
        <v>44544</v>
      </c>
      <c r="F157" s="68" t="s">
        <v>59</v>
      </c>
      <c r="G157" s="12">
        <v>44552</v>
      </c>
      <c r="H157" s="69" t="s">
        <v>2130</v>
      </c>
      <c r="I157" s="15">
        <v>35</v>
      </c>
      <c r="J157" s="15">
        <v>24</v>
      </c>
      <c r="K157" s="15">
        <v>12</v>
      </c>
      <c r="L157" s="15">
        <v>2</v>
      </c>
      <c r="M157" s="73">
        <v>2.52</v>
      </c>
      <c r="N157" s="104">
        <v>2.52</v>
      </c>
      <c r="O157" s="57">
        <v>7000</v>
      </c>
      <c r="P157" s="58">
        <f t="shared" si="2"/>
        <v>17640</v>
      </c>
    </row>
    <row r="158" spans="1:16" ht="26.25" customHeight="1" x14ac:dyDescent="0.2">
      <c r="A158" s="100"/>
      <c r="B158" s="100"/>
      <c r="C158" s="65" t="s">
        <v>2381</v>
      </c>
      <c r="D158" s="70" t="s">
        <v>57</v>
      </c>
      <c r="E158" s="12">
        <v>44544</v>
      </c>
      <c r="F158" s="68" t="s">
        <v>59</v>
      </c>
      <c r="G158" s="12">
        <v>44552</v>
      </c>
      <c r="H158" s="69" t="s">
        <v>2130</v>
      </c>
      <c r="I158" s="15">
        <v>44</v>
      </c>
      <c r="J158" s="15">
        <v>22</v>
      </c>
      <c r="K158" s="15">
        <v>12</v>
      </c>
      <c r="L158" s="15">
        <v>1</v>
      </c>
      <c r="M158" s="73">
        <v>2.9039999999999999</v>
      </c>
      <c r="N158" s="104">
        <v>2.9039999999999999</v>
      </c>
      <c r="O158" s="57">
        <v>7000</v>
      </c>
      <c r="P158" s="58">
        <f t="shared" si="2"/>
        <v>20328</v>
      </c>
    </row>
    <row r="159" spans="1:16" ht="26.25" customHeight="1" x14ac:dyDescent="0.2">
      <c r="A159" s="100"/>
      <c r="B159" s="100"/>
      <c r="C159" s="65" t="s">
        <v>2382</v>
      </c>
      <c r="D159" s="70" t="s">
        <v>57</v>
      </c>
      <c r="E159" s="12">
        <v>44544</v>
      </c>
      <c r="F159" s="68" t="s">
        <v>59</v>
      </c>
      <c r="G159" s="12">
        <v>44552</v>
      </c>
      <c r="H159" s="69" t="s">
        <v>2130</v>
      </c>
      <c r="I159" s="15">
        <v>40</v>
      </c>
      <c r="J159" s="15">
        <v>25</v>
      </c>
      <c r="K159" s="15">
        <v>134</v>
      </c>
      <c r="L159" s="15">
        <v>2</v>
      </c>
      <c r="M159" s="73">
        <v>33.5</v>
      </c>
      <c r="N159" s="104">
        <v>35</v>
      </c>
      <c r="O159" s="57">
        <v>7000</v>
      </c>
      <c r="P159" s="58">
        <f t="shared" si="2"/>
        <v>245000</v>
      </c>
    </row>
    <row r="160" spans="1:16" ht="26.25" customHeight="1" x14ac:dyDescent="0.2">
      <c r="A160" s="100"/>
      <c r="B160" s="100"/>
      <c r="C160" s="65" t="s">
        <v>2383</v>
      </c>
      <c r="D160" s="70" t="s">
        <v>57</v>
      </c>
      <c r="E160" s="12">
        <v>44544</v>
      </c>
      <c r="F160" s="68" t="s">
        <v>59</v>
      </c>
      <c r="G160" s="12">
        <v>44552</v>
      </c>
      <c r="H160" s="69" t="s">
        <v>2130</v>
      </c>
      <c r="I160" s="15">
        <v>31</v>
      </c>
      <c r="J160" s="15">
        <v>23</v>
      </c>
      <c r="K160" s="15">
        <v>22</v>
      </c>
      <c r="L160" s="15">
        <v>2</v>
      </c>
      <c r="M160" s="73">
        <v>3.9215</v>
      </c>
      <c r="N160" s="104">
        <v>3.9215</v>
      </c>
      <c r="O160" s="57">
        <v>7000</v>
      </c>
      <c r="P160" s="58">
        <f t="shared" si="2"/>
        <v>27450.5</v>
      </c>
    </row>
    <row r="161" spans="1:16" ht="26.25" customHeight="1" x14ac:dyDescent="0.2">
      <c r="A161" s="100"/>
      <c r="B161" s="100"/>
      <c r="C161" s="65" t="s">
        <v>2384</v>
      </c>
      <c r="D161" s="70" t="s">
        <v>57</v>
      </c>
      <c r="E161" s="12">
        <v>44544</v>
      </c>
      <c r="F161" s="68" t="s">
        <v>59</v>
      </c>
      <c r="G161" s="12">
        <v>44552</v>
      </c>
      <c r="H161" s="69" t="s">
        <v>2130</v>
      </c>
      <c r="I161" s="15">
        <v>54</v>
      </c>
      <c r="J161" s="15">
        <v>42</v>
      </c>
      <c r="K161" s="15">
        <v>36</v>
      </c>
      <c r="L161" s="15">
        <v>7</v>
      </c>
      <c r="M161" s="73">
        <v>20.411999999999999</v>
      </c>
      <c r="N161" s="104">
        <v>21</v>
      </c>
      <c r="O161" s="57">
        <v>7000</v>
      </c>
      <c r="P161" s="58">
        <f t="shared" si="2"/>
        <v>147000</v>
      </c>
    </row>
    <row r="162" spans="1:16" ht="26.25" customHeight="1" x14ac:dyDescent="0.2">
      <c r="A162" s="100"/>
      <c r="B162" s="100"/>
      <c r="C162" s="65" t="s">
        <v>2385</v>
      </c>
      <c r="D162" s="70" t="s">
        <v>57</v>
      </c>
      <c r="E162" s="12">
        <v>44544</v>
      </c>
      <c r="F162" s="68" t="s">
        <v>59</v>
      </c>
      <c r="G162" s="12">
        <v>44552</v>
      </c>
      <c r="H162" s="69" t="s">
        <v>2130</v>
      </c>
      <c r="I162" s="15">
        <v>25</v>
      </c>
      <c r="J162" s="15">
        <v>20</v>
      </c>
      <c r="K162" s="15">
        <v>14</v>
      </c>
      <c r="L162" s="15">
        <v>1</v>
      </c>
      <c r="M162" s="73">
        <v>1.75</v>
      </c>
      <c r="N162" s="104">
        <v>1.75</v>
      </c>
      <c r="O162" s="57">
        <v>7000</v>
      </c>
      <c r="P162" s="58">
        <f t="shared" si="2"/>
        <v>12250</v>
      </c>
    </row>
    <row r="163" spans="1:16" ht="26.25" customHeight="1" x14ac:dyDescent="0.2">
      <c r="A163" s="100"/>
      <c r="B163" s="100"/>
      <c r="C163" s="65" t="s">
        <v>2386</v>
      </c>
      <c r="D163" s="70" t="s">
        <v>57</v>
      </c>
      <c r="E163" s="12">
        <v>44544</v>
      </c>
      <c r="F163" s="68" t="s">
        <v>59</v>
      </c>
      <c r="G163" s="12">
        <v>44552</v>
      </c>
      <c r="H163" s="69" t="s">
        <v>2130</v>
      </c>
      <c r="I163" s="15">
        <v>88</v>
      </c>
      <c r="J163" s="15">
        <v>58</v>
      </c>
      <c r="K163" s="15">
        <v>31</v>
      </c>
      <c r="L163" s="15">
        <v>16</v>
      </c>
      <c r="M163" s="73">
        <v>39.555999999999997</v>
      </c>
      <c r="N163" s="104">
        <v>39.555999999999997</v>
      </c>
      <c r="O163" s="57">
        <v>7000</v>
      </c>
      <c r="P163" s="58">
        <f t="shared" si="2"/>
        <v>276892</v>
      </c>
    </row>
    <row r="164" spans="1:16" ht="26.25" customHeight="1" x14ac:dyDescent="0.2">
      <c r="A164" s="100"/>
      <c r="B164" s="100"/>
      <c r="C164" s="65" t="s">
        <v>2387</v>
      </c>
      <c r="D164" s="70" t="s">
        <v>57</v>
      </c>
      <c r="E164" s="12">
        <v>44544</v>
      </c>
      <c r="F164" s="68" t="s">
        <v>59</v>
      </c>
      <c r="G164" s="12">
        <v>44552</v>
      </c>
      <c r="H164" s="69" t="s">
        <v>2130</v>
      </c>
      <c r="I164" s="15">
        <v>90</v>
      </c>
      <c r="J164" s="15">
        <v>47</v>
      </c>
      <c r="K164" s="15">
        <v>21</v>
      </c>
      <c r="L164" s="15">
        <v>14</v>
      </c>
      <c r="M164" s="73">
        <v>22.2075</v>
      </c>
      <c r="N164" s="104">
        <v>22.2075</v>
      </c>
      <c r="O164" s="57">
        <v>7000</v>
      </c>
      <c r="P164" s="58">
        <f t="shared" si="2"/>
        <v>155452.5</v>
      </c>
    </row>
    <row r="165" spans="1:16" ht="26.25" customHeight="1" x14ac:dyDescent="0.2">
      <c r="A165" s="100"/>
      <c r="B165" s="100"/>
      <c r="C165" s="65" t="s">
        <v>2388</v>
      </c>
      <c r="D165" s="70" t="s">
        <v>57</v>
      </c>
      <c r="E165" s="12">
        <v>44544</v>
      </c>
      <c r="F165" s="68" t="s">
        <v>59</v>
      </c>
      <c r="G165" s="12">
        <v>44552</v>
      </c>
      <c r="H165" s="69" t="s">
        <v>2130</v>
      </c>
      <c r="I165" s="15">
        <v>87</v>
      </c>
      <c r="J165" s="15">
        <v>48</v>
      </c>
      <c r="K165" s="15">
        <v>18</v>
      </c>
      <c r="L165" s="15">
        <v>9</v>
      </c>
      <c r="M165" s="73">
        <v>18.792000000000002</v>
      </c>
      <c r="N165" s="104">
        <v>18.792000000000002</v>
      </c>
      <c r="O165" s="57">
        <v>7000</v>
      </c>
      <c r="P165" s="58">
        <f t="shared" si="2"/>
        <v>131544</v>
      </c>
    </row>
    <row r="166" spans="1:16" ht="26.25" customHeight="1" x14ac:dyDescent="0.2">
      <c r="A166" s="100"/>
      <c r="B166" s="100"/>
      <c r="C166" s="65" t="s">
        <v>2389</v>
      </c>
      <c r="D166" s="70" t="s">
        <v>57</v>
      </c>
      <c r="E166" s="12">
        <v>44544</v>
      </c>
      <c r="F166" s="68" t="s">
        <v>59</v>
      </c>
      <c r="G166" s="12">
        <v>44552</v>
      </c>
      <c r="H166" s="69" t="s">
        <v>2130</v>
      </c>
      <c r="I166" s="15">
        <v>61</v>
      </c>
      <c r="J166" s="15">
        <v>42</v>
      </c>
      <c r="K166" s="15">
        <v>18</v>
      </c>
      <c r="L166" s="15">
        <v>5</v>
      </c>
      <c r="M166" s="73">
        <v>11.529</v>
      </c>
      <c r="N166" s="104">
        <v>11.529</v>
      </c>
      <c r="O166" s="57">
        <v>7000</v>
      </c>
      <c r="P166" s="58">
        <f t="shared" si="2"/>
        <v>80703</v>
      </c>
    </row>
    <row r="167" spans="1:16" ht="26.25" customHeight="1" x14ac:dyDescent="0.2">
      <c r="A167" s="100"/>
      <c r="B167" s="100"/>
      <c r="C167" s="65" t="s">
        <v>2390</v>
      </c>
      <c r="D167" s="70" t="s">
        <v>57</v>
      </c>
      <c r="E167" s="12">
        <v>44544</v>
      </c>
      <c r="F167" s="68" t="s">
        <v>59</v>
      </c>
      <c r="G167" s="12">
        <v>44552</v>
      </c>
      <c r="H167" s="69" t="s">
        <v>2130</v>
      </c>
      <c r="I167" s="15">
        <v>84</v>
      </c>
      <c r="J167" s="15">
        <v>61</v>
      </c>
      <c r="K167" s="15">
        <v>21</v>
      </c>
      <c r="L167" s="15">
        <v>12</v>
      </c>
      <c r="M167" s="73">
        <v>26.901</v>
      </c>
      <c r="N167" s="104">
        <v>26.901</v>
      </c>
      <c r="O167" s="57">
        <v>7000</v>
      </c>
      <c r="P167" s="58">
        <f t="shared" si="2"/>
        <v>188307</v>
      </c>
    </row>
    <row r="168" spans="1:16" ht="26.25" customHeight="1" x14ac:dyDescent="0.2">
      <c r="A168" s="100"/>
      <c r="B168" s="100"/>
      <c r="C168" s="65" t="s">
        <v>2391</v>
      </c>
      <c r="D168" s="70" t="s">
        <v>57</v>
      </c>
      <c r="E168" s="12">
        <v>44544</v>
      </c>
      <c r="F168" s="68" t="s">
        <v>59</v>
      </c>
      <c r="G168" s="12">
        <v>44552</v>
      </c>
      <c r="H168" s="69" t="s">
        <v>2130</v>
      </c>
      <c r="I168" s="15">
        <v>98</v>
      </c>
      <c r="J168" s="15">
        <v>51</v>
      </c>
      <c r="K168" s="15">
        <v>33</v>
      </c>
      <c r="L168" s="15">
        <v>12</v>
      </c>
      <c r="M168" s="73">
        <v>41.233499999999999</v>
      </c>
      <c r="N168" s="104">
        <v>41.233499999999999</v>
      </c>
      <c r="O168" s="57">
        <v>7000</v>
      </c>
      <c r="P168" s="58">
        <f t="shared" si="2"/>
        <v>288634.5</v>
      </c>
    </row>
    <row r="169" spans="1:16" ht="26.25" customHeight="1" x14ac:dyDescent="0.2">
      <c r="A169" s="100"/>
      <c r="B169" s="100"/>
      <c r="C169" s="65" t="s">
        <v>2392</v>
      </c>
      <c r="D169" s="70" t="s">
        <v>57</v>
      </c>
      <c r="E169" s="12">
        <v>44544</v>
      </c>
      <c r="F169" s="68" t="s">
        <v>59</v>
      </c>
      <c r="G169" s="12">
        <v>44552</v>
      </c>
      <c r="H169" s="69" t="s">
        <v>2130</v>
      </c>
      <c r="I169" s="15">
        <v>97</v>
      </c>
      <c r="J169" s="15">
        <v>62</v>
      </c>
      <c r="K169" s="15">
        <v>34</v>
      </c>
      <c r="L169" s="15">
        <v>17</v>
      </c>
      <c r="M169" s="73">
        <v>51.119</v>
      </c>
      <c r="N169" s="104">
        <v>51.119</v>
      </c>
      <c r="O169" s="57">
        <v>7000</v>
      </c>
      <c r="P169" s="58">
        <f t="shared" si="2"/>
        <v>357833</v>
      </c>
    </row>
    <row r="170" spans="1:16" ht="26.25" customHeight="1" x14ac:dyDescent="0.2">
      <c r="A170" s="100"/>
      <c r="B170" s="100"/>
      <c r="C170" s="65" t="s">
        <v>2393</v>
      </c>
      <c r="D170" s="70" t="s">
        <v>57</v>
      </c>
      <c r="E170" s="12">
        <v>44544</v>
      </c>
      <c r="F170" s="68" t="s">
        <v>59</v>
      </c>
      <c r="G170" s="12">
        <v>44552</v>
      </c>
      <c r="H170" s="69" t="s">
        <v>2130</v>
      </c>
      <c r="I170" s="15">
        <v>78</v>
      </c>
      <c r="J170" s="15">
        <v>48</v>
      </c>
      <c r="K170" s="15">
        <v>32</v>
      </c>
      <c r="L170" s="15">
        <v>3</v>
      </c>
      <c r="M170" s="73">
        <v>29.952000000000002</v>
      </c>
      <c r="N170" s="104">
        <v>29.952000000000002</v>
      </c>
      <c r="O170" s="57">
        <v>7000</v>
      </c>
      <c r="P170" s="58">
        <f t="shared" si="2"/>
        <v>209664</v>
      </c>
    </row>
    <row r="171" spans="1:16" ht="26.25" customHeight="1" x14ac:dyDescent="0.2">
      <c r="A171" s="100"/>
      <c r="B171" s="100"/>
      <c r="C171" s="65" t="s">
        <v>2394</v>
      </c>
      <c r="D171" s="70" t="s">
        <v>57</v>
      </c>
      <c r="E171" s="12">
        <v>44544</v>
      </c>
      <c r="F171" s="68" t="s">
        <v>59</v>
      </c>
      <c r="G171" s="12">
        <v>44552</v>
      </c>
      <c r="H171" s="69" t="s">
        <v>2130</v>
      </c>
      <c r="I171" s="15">
        <v>40</v>
      </c>
      <c r="J171" s="15">
        <v>34</v>
      </c>
      <c r="K171" s="15">
        <v>34</v>
      </c>
      <c r="L171" s="15">
        <v>5</v>
      </c>
      <c r="M171" s="73">
        <v>11.56</v>
      </c>
      <c r="N171" s="104">
        <v>11.56</v>
      </c>
      <c r="O171" s="57">
        <v>7000</v>
      </c>
      <c r="P171" s="58">
        <f t="shared" si="2"/>
        <v>80920</v>
      </c>
    </row>
    <row r="172" spans="1:16" ht="26.25" customHeight="1" x14ac:dyDescent="0.2">
      <c r="A172" s="100"/>
      <c r="B172" s="100"/>
      <c r="C172" s="65" t="s">
        <v>2395</v>
      </c>
      <c r="D172" s="70" t="s">
        <v>57</v>
      </c>
      <c r="E172" s="12">
        <v>44544</v>
      </c>
      <c r="F172" s="68" t="s">
        <v>59</v>
      </c>
      <c r="G172" s="12">
        <v>44552</v>
      </c>
      <c r="H172" s="69" t="s">
        <v>2130</v>
      </c>
      <c r="I172" s="15">
        <v>64</v>
      </c>
      <c r="J172" s="15">
        <v>38</v>
      </c>
      <c r="K172" s="15">
        <v>22</v>
      </c>
      <c r="L172" s="15">
        <v>3</v>
      </c>
      <c r="M172" s="73">
        <v>13.375999999999999</v>
      </c>
      <c r="N172" s="104">
        <v>14</v>
      </c>
      <c r="O172" s="57">
        <v>7000</v>
      </c>
      <c r="P172" s="58">
        <f t="shared" si="2"/>
        <v>98000</v>
      </c>
    </row>
    <row r="173" spans="1:16" ht="26.25" customHeight="1" x14ac:dyDescent="0.2">
      <c r="A173" s="100"/>
      <c r="B173" s="100"/>
      <c r="C173" s="65" t="s">
        <v>2396</v>
      </c>
      <c r="D173" s="70" t="s">
        <v>57</v>
      </c>
      <c r="E173" s="12">
        <v>44544</v>
      </c>
      <c r="F173" s="68" t="s">
        <v>59</v>
      </c>
      <c r="G173" s="12">
        <v>44552</v>
      </c>
      <c r="H173" s="69" t="s">
        <v>2130</v>
      </c>
      <c r="I173" s="15">
        <v>68</v>
      </c>
      <c r="J173" s="15">
        <v>58</v>
      </c>
      <c r="K173" s="15">
        <v>21</v>
      </c>
      <c r="L173" s="15">
        <v>11</v>
      </c>
      <c r="M173" s="73">
        <v>20.706</v>
      </c>
      <c r="N173" s="104">
        <v>20.706</v>
      </c>
      <c r="O173" s="57">
        <v>7000</v>
      </c>
      <c r="P173" s="58">
        <f t="shared" si="2"/>
        <v>144942</v>
      </c>
    </row>
    <row r="174" spans="1:16" ht="26.25" customHeight="1" x14ac:dyDescent="0.2">
      <c r="A174" s="100"/>
      <c r="B174" s="100"/>
      <c r="C174" s="65" t="s">
        <v>2397</v>
      </c>
      <c r="D174" s="70" t="s">
        <v>57</v>
      </c>
      <c r="E174" s="12">
        <v>44544</v>
      </c>
      <c r="F174" s="68" t="s">
        <v>59</v>
      </c>
      <c r="G174" s="12">
        <v>44552</v>
      </c>
      <c r="H174" s="69" t="s">
        <v>2130</v>
      </c>
      <c r="I174" s="15">
        <v>102</v>
      </c>
      <c r="J174" s="15">
        <v>67</v>
      </c>
      <c r="K174" s="15">
        <v>36</v>
      </c>
      <c r="L174" s="15">
        <v>15</v>
      </c>
      <c r="M174" s="73">
        <v>61.506</v>
      </c>
      <c r="N174" s="104">
        <v>61.506</v>
      </c>
      <c r="O174" s="57">
        <v>7000</v>
      </c>
      <c r="P174" s="58">
        <f t="shared" si="2"/>
        <v>430542</v>
      </c>
    </row>
    <row r="175" spans="1:16" ht="26.25" customHeight="1" x14ac:dyDescent="0.2">
      <c r="A175" s="100"/>
      <c r="B175" s="100"/>
      <c r="C175" s="65" t="s">
        <v>2398</v>
      </c>
      <c r="D175" s="70" t="s">
        <v>57</v>
      </c>
      <c r="E175" s="12">
        <v>44544</v>
      </c>
      <c r="F175" s="68" t="s">
        <v>59</v>
      </c>
      <c r="G175" s="12">
        <v>44552</v>
      </c>
      <c r="H175" s="69" t="s">
        <v>2130</v>
      </c>
      <c r="I175" s="15">
        <v>81</v>
      </c>
      <c r="J175" s="15">
        <v>52</v>
      </c>
      <c r="K175" s="15">
        <v>22</v>
      </c>
      <c r="L175" s="15">
        <v>9</v>
      </c>
      <c r="M175" s="73">
        <v>23.166</v>
      </c>
      <c r="N175" s="104">
        <v>23.166</v>
      </c>
      <c r="O175" s="57">
        <v>7000</v>
      </c>
      <c r="P175" s="58">
        <f t="shared" si="2"/>
        <v>162162</v>
      </c>
    </row>
    <row r="176" spans="1:16" ht="26.25" customHeight="1" x14ac:dyDescent="0.2">
      <c r="A176" s="100"/>
      <c r="B176" s="100"/>
      <c r="C176" s="65" t="s">
        <v>2399</v>
      </c>
      <c r="D176" s="70" t="s">
        <v>57</v>
      </c>
      <c r="E176" s="12">
        <v>44544</v>
      </c>
      <c r="F176" s="68" t="s">
        <v>59</v>
      </c>
      <c r="G176" s="12">
        <v>44552</v>
      </c>
      <c r="H176" s="69" t="s">
        <v>2130</v>
      </c>
      <c r="I176" s="15">
        <v>87</v>
      </c>
      <c r="J176" s="15">
        <v>57</v>
      </c>
      <c r="K176" s="15">
        <v>21</v>
      </c>
      <c r="L176" s="15">
        <v>14</v>
      </c>
      <c r="M176" s="73">
        <v>26.034749999999999</v>
      </c>
      <c r="N176" s="104">
        <v>26.034749999999999</v>
      </c>
      <c r="O176" s="57">
        <v>7000</v>
      </c>
      <c r="P176" s="58">
        <f t="shared" si="2"/>
        <v>182243.25</v>
      </c>
    </row>
    <row r="177" spans="1:16" ht="26.25" customHeight="1" x14ac:dyDescent="0.2">
      <c r="A177" s="100"/>
      <c r="B177" s="100"/>
      <c r="C177" s="65" t="s">
        <v>2400</v>
      </c>
      <c r="D177" s="70" t="s">
        <v>57</v>
      </c>
      <c r="E177" s="12">
        <v>44544</v>
      </c>
      <c r="F177" s="68" t="s">
        <v>59</v>
      </c>
      <c r="G177" s="12">
        <v>44552</v>
      </c>
      <c r="H177" s="69" t="s">
        <v>2130</v>
      </c>
      <c r="I177" s="15">
        <v>74</v>
      </c>
      <c r="J177" s="15">
        <v>54</v>
      </c>
      <c r="K177" s="15">
        <v>24</v>
      </c>
      <c r="L177" s="15">
        <v>19</v>
      </c>
      <c r="M177" s="73">
        <v>23.975999999999999</v>
      </c>
      <c r="N177" s="104">
        <v>23.975999999999999</v>
      </c>
      <c r="O177" s="57">
        <v>7000</v>
      </c>
      <c r="P177" s="58">
        <f t="shared" si="2"/>
        <v>167832</v>
      </c>
    </row>
    <row r="178" spans="1:16" ht="26.25" customHeight="1" x14ac:dyDescent="0.2">
      <c r="A178" s="100"/>
      <c r="B178" s="100"/>
      <c r="C178" s="65" t="s">
        <v>2401</v>
      </c>
      <c r="D178" s="70" t="s">
        <v>57</v>
      </c>
      <c r="E178" s="12">
        <v>44544</v>
      </c>
      <c r="F178" s="68" t="s">
        <v>59</v>
      </c>
      <c r="G178" s="12">
        <v>44552</v>
      </c>
      <c r="H178" s="69" t="s">
        <v>2130</v>
      </c>
      <c r="I178" s="15">
        <v>57</v>
      </c>
      <c r="J178" s="15">
        <v>36</v>
      </c>
      <c r="K178" s="15">
        <v>28</v>
      </c>
      <c r="L178" s="15">
        <v>3</v>
      </c>
      <c r="M178" s="73">
        <v>14.364000000000001</v>
      </c>
      <c r="N178" s="104">
        <v>15</v>
      </c>
      <c r="O178" s="57">
        <v>7000</v>
      </c>
      <c r="P178" s="58">
        <f t="shared" si="2"/>
        <v>105000</v>
      </c>
    </row>
    <row r="179" spans="1:16" ht="26.25" customHeight="1" x14ac:dyDescent="0.2">
      <c r="A179" s="100"/>
      <c r="B179" s="100"/>
      <c r="C179" s="65" t="s">
        <v>2402</v>
      </c>
      <c r="D179" s="70" t="s">
        <v>57</v>
      </c>
      <c r="E179" s="12">
        <v>44544</v>
      </c>
      <c r="F179" s="68" t="s">
        <v>59</v>
      </c>
      <c r="G179" s="12">
        <v>44552</v>
      </c>
      <c r="H179" s="69" t="s">
        <v>2130</v>
      </c>
      <c r="I179" s="15">
        <v>77</v>
      </c>
      <c r="J179" s="15">
        <v>51</v>
      </c>
      <c r="K179" s="15">
        <v>22</v>
      </c>
      <c r="L179" s="15">
        <v>12</v>
      </c>
      <c r="M179" s="73">
        <v>21.598500000000001</v>
      </c>
      <c r="N179" s="104">
        <v>21.598500000000001</v>
      </c>
      <c r="O179" s="57">
        <v>7000</v>
      </c>
      <c r="P179" s="58">
        <f t="shared" si="2"/>
        <v>151189.5</v>
      </c>
    </row>
    <row r="180" spans="1:16" ht="26.25" customHeight="1" x14ac:dyDescent="0.2">
      <c r="A180" s="100"/>
      <c r="B180" s="100"/>
      <c r="C180" s="65" t="s">
        <v>2403</v>
      </c>
      <c r="D180" s="70" t="s">
        <v>57</v>
      </c>
      <c r="E180" s="12">
        <v>44544</v>
      </c>
      <c r="F180" s="68" t="s">
        <v>59</v>
      </c>
      <c r="G180" s="12">
        <v>44552</v>
      </c>
      <c r="H180" s="69" t="s">
        <v>2130</v>
      </c>
      <c r="I180" s="15">
        <v>88</v>
      </c>
      <c r="J180" s="15">
        <v>61</v>
      </c>
      <c r="K180" s="15">
        <v>20</v>
      </c>
      <c r="L180" s="15">
        <v>17</v>
      </c>
      <c r="M180" s="73">
        <v>26.84</v>
      </c>
      <c r="N180" s="104">
        <v>26.84</v>
      </c>
      <c r="O180" s="57">
        <v>7000</v>
      </c>
      <c r="P180" s="58">
        <f t="shared" si="2"/>
        <v>187880</v>
      </c>
    </row>
    <row r="181" spans="1:16" ht="26.25" customHeight="1" x14ac:dyDescent="0.2">
      <c r="A181" s="100"/>
      <c r="B181" s="100"/>
      <c r="C181" s="65" t="s">
        <v>2404</v>
      </c>
      <c r="D181" s="70" t="s">
        <v>57</v>
      </c>
      <c r="E181" s="12">
        <v>44544</v>
      </c>
      <c r="F181" s="68" t="s">
        <v>59</v>
      </c>
      <c r="G181" s="12">
        <v>44552</v>
      </c>
      <c r="H181" s="69" t="s">
        <v>2130</v>
      </c>
      <c r="I181" s="15">
        <v>78</v>
      </c>
      <c r="J181" s="15">
        <v>54</v>
      </c>
      <c r="K181" s="15">
        <v>27</v>
      </c>
      <c r="L181" s="15">
        <v>11</v>
      </c>
      <c r="M181" s="73">
        <v>28.431000000000001</v>
      </c>
      <c r="N181" s="104">
        <v>29</v>
      </c>
      <c r="O181" s="57">
        <v>7000</v>
      </c>
      <c r="P181" s="58">
        <f t="shared" si="2"/>
        <v>203000</v>
      </c>
    </row>
    <row r="182" spans="1:16" ht="26.25" customHeight="1" x14ac:dyDescent="0.2">
      <c r="A182" s="100"/>
      <c r="B182" s="100"/>
      <c r="C182" s="65" t="s">
        <v>2405</v>
      </c>
      <c r="D182" s="70" t="s">
        <v>57</v>
      </c>
      <c r="E182" s="12">
        <v>44544</v>
      </c>
      <c r="F182" s="68" t="s">
        <v>59</v>
      </c>
      <c r="G182" s="12">
        <v>44552</v>
      </c>
      <c r="H182" s="69" t="s">
        <v>2130</v>
      </c>
      <c r="I182" s="15">
        <v>74</v>
      </c>
      <c r="J182" s="15">
        <v>24</v>
      </c>
      <c r="K182" s="15">
        <v>8</v>
      </c>
      <c r="L182" s="15">
        <v>2</v>
      </c>
      <c r="M182" s="73">
        <v>3.552</v>
      </c>
      <c r="N182" s="104">
        <v>3.552</v>
      </c>
      <c r="O182" s="57">
        <v>7000</v>
      </c>
      <c r="P182" s="58">
        <f t="shared" si="2"/>
        <v>24864</v>
      </c>
    </row>
    <row r="183" spans="1:16" ht="26.25" customHeight="1" x14ac:dyDescent="0.2">
      <c r="A183" s="100"/>
      <c r="B183" s="100"/>
      <c r="C183" s="65" t="s">
        <v>2406</v>
      </c>
      <c r="D183" s="70" t="s">
        <v>57</v>
      </c>
      <c r="E183" s="12">
        <v>44544</v>
      </c>
      <c r="F183" s="68" t="s">
        <v>59</v>
      </c>
      <c r="G183" s="12">
        <v>44552</v>
      </c>
      <c r="H183" s="69" t="s">
        <v>2130</v>
      </c>
      <c r="I183" s="15">
        <v>44</v>
      </c>
      <c r="J183" s="15">
        <v>31</v>
      </c>
      <c r="K183" s="15">
        <v>21</v>
      </c>
      <c r="L183" s="15">
        <v>3</v>
      </c>
      <c r="M183" s="73">
        <v>7.1609999999999996</v>
      </c>
      <c r="N183" s="104">
        <v>7.1609999999999996</v>
      </c>
      <c r="O183" s="57">
        <v>7000</v>
      </c>
      <c r="P183" s="58">
        <f t="shared" si="2"/>
        <v>50127</v>
      </c>
    </row>
    <row r="184" spans="1:16" ht="26.25" customHeight="1" x14ac:dyDescent="0.2">
      <c r="A184" s="100"/>
      <c r="B184" s="100"/>
      <c r="C184" s="65" t="s">
        <v>2407</v>
      </c>
      <c r="D184" s="70" t="s">
        <v>57</v>
      </c>
      <c r="E184" s="12">
        <v>44544</v>
      </c>
      <c r="F184" s="68" t="s">
        <v>59</v>
      </c>
      <c r="G184" s="12">
        <v>44552</v>
      </c>
      <c r="H184" s="69" t="s">
        <v>2130</v>
      </c>
      <c r="I184" s="15">
        <v>75</v>
      </c>
      <c r="J184" s="15">
        <v>48</v>
      </c>
      <c r="K184" s="15">
        <v>19</v>
      </c>
      <c r="L184" s="15">
        <v>15</v>
      </c>
      <c r="M184" s="73">
        <v>17.100000000000001</v>
      </c>
      <c r="N184" s="104">
        <v>17.100000000000001</v>
      </c>
      <c r="O184" s="57">
        <v>7000</v>
      </c>
      <c r="P184" s="58">
        <f t="shared" si="2"/>
        <v>119700.00000000001</v>
      </c>
    </row>
    <row r="185" spans="1:16" ht="26.25" customHeight="1" x14ac:dyDescent="0.2">
      <c r="A185" s="100"/>
      <c r="B185" s="100"/>
      <c r="C185" s="65" t="s">
        <v>2408</v>
      </c>
      <c r="D185" s="70" t="s">
        <v>57</v>
      </c>
      <c r="E185" s="12">
        <v>44544</v>
      </c>
      <c r="F185" s="68" t="s">
        <v>59</v>
      </c>
      <c r="G185" s="12">
        <v>44552</v>
      </c>
      <c r="H185" s="69" t="s">
        <v>2130</v>
      </c>
      <c r="I185" s="15">
        <v>89</v>
      </c>
      <c r="J185" s="15">
        <v>57</v>
      </c>
      <c r="K185" s="15">
        <v>31</v>
      </c>
      <c r="L185" s="15">
        <v>24</v>
      </c>
      <c r="M185" s="73">
        <v>39.315750000000001</v>
      </c>
      <c r="N185" s="104">
        <v>40</v>
      </c>
      <c r="O185" s="57">
        <v>7000</v>
      </c>
      <c r="P185" s="58">
        <f t="shared" si="2"/>
        <v>280000</v>
      </c>
    </row>
    <row r="186" spans="1:16" ht="26.25" customHeight="1" x14ac:dyDescent="0.2">
      <c r="A186" s="100"/>
      <c r="B186" s="100"/>
      <c r="C186" s="65" t="s">
        <v>2409</v>
      </c>
      <c r="D186" s="70" t="s">
        <v>57</v>
      </c>
      <c r="E186" s="12">
        <v>44544</v>
      </c>
      <c r="F186" s="68" t="s">
        <v>59</v>
      </c>
      <c r="G186" s="12">
        <v>44552</v>
      </c>
      <c r="H186" s="69" t="s">
        <v>2130</v>
      </c>
      <c r="I186" s="15">
        <v>56</v>
      </c>
      <c r="J186" s="15">
        <v>24</v>
      </c>
      <c r="K186" s="15">
        <v>11</v>
      </c>
      <c r="L186" s="15">
        <v>8</v>
      </c>
      <c r="M186" s="73">
        <v>3.6960000000000002</v>
      </c>
      <c r="N186" s="104">
        <v>8</v>
      </c>
      <c r="O186" s="57">
        <v>7000</v>
      </c>
      <c r="P186" s="58">
        <f t="shared" si="2"/>
        <v>56000</v>
      </c>
    </row>
    <row r="187" spans="1:16" ht="26.25" customHeight="1" x14ac:dyDescent="0.2">
      <c r="A187" s="100"/>
      <c r="B187" s="100"/>
      <c r="C187" s="65" t="s">
        <v>2410</v>
      </c>
      <c r="D187" s="70" t="s">
        <v>57</v>
      </c>
      <c r="E187" s="12">
        <v>44544</v>
      </c>
      <c r="F187" s="68" t="s">
        <v>59</v>
      </c>
      <c r="G187" s="12">
        <v>44552</v>
      </c>
      <c r="H187" s="69" t="s">
        <v>2130</v>
      </c>
      <c r="I187" s="15">
        <v>53</v>
      </c>
      <c r="J187" s="15">
        <v>42</v>
      </c>
      <c r="K187" s="15">
        <v>32</v>
      </c>
      <c r="L187" s="15">
        <v>14</v>
      </c>
      <c r="M187" s="73">
        <v>17.808</v>
      </c>
      <c r="N187" s="104">
        <v>17.808</v>
      </c>
      <c r="O187" s="57">
        <v>7000</v>
      </c>
      <c r="P187" s="58">
        <f t="shared" si="2"/>
        <v>124656</v>
      </c>
    </row>
    <row r="188" spans="1:16" ht="26.25" customHeight="1" x14ac:dyDescent="0.2">
      <c r="A188" s="100"/>
      <c r="B188" s="100"/>
      <c r="C188" s="65" t="s">
        <v>2411</v>
      </c>
      <c r="D188" s="70" t="s">
        <v>57</v>
      </c>
      <c r="E188" s="12">
        <v>44544</v>
      </c>
      <c r="F188" s="68" t="s">
        <v>59</v>
      </c>
      <c r="G188" s="12">
        <v>44552</v>
      </c>
      <c r="H188" s="69" t="s">
        <v>2130</v>
      </c>
      <c r="I188" s="15">
        <v>56</v>
      </c>
      <c r="J188" s="15">
        <v>36</v>
      </c>
      <c r="K188" s="15">
        <v>12</v>
      </c>
      <c r="L188" s="15">
        <v>5</v>
      </c>
      <c r="M188" s="73">
        <v>6.048</v>
      </c>
      <c r="N188" s="104">
        <v>6.048</v>
      </c>
      <c r="O188" s="57">
        <v>7000</v>
      </c>
      <c r="P188" s="58">
        <f t="shared" si="2"/>
        <v>42336</v>
      </c>
    </row>
    <row r="189" spans="1:16" ht="26.25" customHeight="1" x14ac:dyDescent="0.2">
      <c r="A189" s="100"/>
      <c r="B189" s="101"/>
      <c r="C189" s="65" t="s">
        <v>2412</v>
      </c>
      <c r="D189" s="70" t="s">
        <v>57</v>
      </c>
      <c r="E189" s="12">
        <v>44544</v>
      </c>
      <c r="F189" s="68" t="s">
        <v>59</v>
      </c>
      <c r="G189" s="12">
        <v>44552</v>
      </c>
      <c r="H189" s="69" t="s">
        <v>2130</v>
      </c>
      <c r="I189" s="15">
        <v>42</v>
      </c>
      <c r="J189" s="15">
        <v>34</v>
      </c>
      <c r="K189" s="15">
        <v>92</v>
      </c>
      <c r="L189" s="15">
        <v>6</v>
      </c>
      <c r="M189" s="73">
        <v>32.844000000000001</v>
      </c>
      <c r="N189" s="104">
        <v>32.844000000000001</v>
      </c>
      <c r="O189" s="57">
        <v>7000</v>
      </c>
      <c r="P189" s="58">
        <f t="shared" si="2"/>
        <v>229908</v>
      </c>
    </row>
    <row r="190" spans="1:16" ht="26.25" customHeight="1" x14ac:dyDescent="0.2">
      <c r="A190" s="100"/>
      <c r="B190" s="100" t="s">
        <v>2413</v>
      </c>
      <c r="C190" s="65" t="s">
        <v>2414</v>
      </c>
      <c r="D190" s="70" t="s">
        <v>57</v>
      </c>
      <c r="E190" s="12">
        <v>44544</v>
      </c>
      <c r="F190" s="68" t="s">
        <v>59</v>
      </c>
      <c r="G190" s="12">
        <v>44552</v>
      </c>
      <c r="H190" s="69" t="s">
        <v>2130</v>
      </c>
      <c r="I190" s="15">
        <v>78</v>
      </c>
      <c r="J190" s="15">
        <v>54</v>
      </c>
      <c r="K190" s="15">
        <v>14</v>
      </c>
      <c r="L190" s="15">
        <v>10</v>
      </c>
      <c r="M190" s="73">
        <v>14.742000000000001</v>
      </c>
      <c r="N190" s="104">
        <v>14.742000000000001</v>
      </c>
      <c r="O190" s="57">
        <v>7000</v>
      </c>
      <c r="P190" s="58">
        <f t="shared" si="2"/>
        <v>103194</v>
      </c>
    </row>
    <row r="191" spans="1:16" ht="26.25" customHeight="1" x14ac:dyDescent="0.2">
      <c r="A191" s="100"/>
      <c r="B191" s="100"/>
      <c r="C191" s="65" t="s">
        <v>2415</v>
      </c>
      <c r="D191" s="70" t="s">
        <v>57</v>
      </c>
      <c r="E191" s="12">
        <v>44544</v>
      </c>
      <c r="F191" s="68" t="s">
        <v>59</v>
      </c>
      <c r="G191" s="12">
        <v>44552</v>
      </c>
      <c r="H191" s="69" t="s">
        <v>2130</v>
      </c>
      <c r="I191" s="15">
        <v>102</v>
      </c>
      <c r="J191" s="15">
        <v>22</v>
      </c>
      <c r="K191" s="15">
        <v>10</v>
      </c>
      <c r="L191" s="15">
        <v>2</v>
      </c>
      <c r="M191" s="73">
        <v>5.61</v>
      </c>
      <c r="N191" s="104">
        <v>5.61</v>
      </c>
      <c r="O191" s="57">
        <v>7000</v>
      </c>
      <c r="P191" s="58">
        <f t="shared" si="2"/>
        <v>39270</v>
      </c>
    </row>
    <row r="192" spans="1:16" ht="26.25" customHeight="1" x14ac:dyDescent="0.2">
      <c r="A192" s="100"/>
      <c r="B192" s="101"/>
      <c r="C192" s="65" t="s">
        <v>2416</v>
      </c>
      <c r="D192" s="70" t="s">
        <v>57</v>
      </c>
      <c r="E192" s="12">
        <v>44544</v>
      </c>
      <c r="F192" s="68" t="s">
        <v>59</v>
      </c>
      <c r="G192" s="12">
        <v>44552</v>
      </c>
      <c r="H192" s="69" t="s">
        <v>2130</v>
      </c>
      <c r="I192" s="15">
        <v>41</v>
      </c>
      <c r="J192" s="15">
        <v>30</v>
      </c>
      <c r="K192" s="15">
        <v>36</v>
      </c>
      <c r="L192" s="15">
        <v>7</v>
      </c>
      <c r="M192" s="73">
        <v>11.07</v>
      </c>
      <c r="N192" s="104">
        <v>11.07</v>
      </c>
      <c r="O192" s="57">
        <v>7000</v>
      </c>
      <c r="P192" s="58">
        <f t="shared" si="2"/>
        <v>77490</v>
      </c>
    </row>
    <row r="193" spans="1:18" ht="26.25" customHeight="1" x14ac:dyDescent="0.2">
      <c r="A193" s="100"/>
      <c r="B193" s="100" t="s">
        <v>2417</v>
      </c>
      <c r="C193" s="65" t="s">
        <v>2418</v>
      </c>
      <c r="D193" s="70" t="s">
        <v>57</v>
      </c>
      <c r="E193" s="12">
        <v>44544</v>
      </c>
      <c r="F193" s="68" t="s">
        <v>59</v>
      </c>
      <c r="G193" s="12">
        <v>44552</v>
      </c>
      <c r="H193" s="69" t="s">
        <v>2130</v>
      </c>
      <c r="I193" s="15">
        <v>64</v>
      </c>
      <c r="J193" s="15">
        <v>41</v>
      </c>
      <c r="K193" s="15">
        <v>13</v>
      </c>
      <c r="L193" s="15">
        <v>4</v>
      </c>
      <c r="M193" s="73">
        <v>8.5280000000000005</v>
      </c>
      <c r="N193" s="104">
        <v>8.5280000000000005</v>
      </c>
      <c r="O193" s="57">
        <v>7000</v>
      </c>
      <c r="P193" s="58">
        <f t="shared" si="2"/>
        <v>59696</v>
      </c>
    </row>
    <row r="194" spans="1:18" ht="26.25" customHeight="1" x14ac:dyDescent="0.2">
      <c r="A194" s="100"/>
      <c r="B194" s="100"/>
      <c r="C194" s="65" t="s">
        <v>2419</v>
      </c>
      <c r="D194" s="70" t="s">
        <v>57</v>
      </c>
      <c r="E194" s="12">
        <v>44544</v>
      </c>
      <c r="F194" s="68" t="s">
        <v>59</v>
      </c>
      <c r="G194" s="12">
        <v>44552</v>
      </c>
      <c r="H194" s="69" t="s">
        <v>2130</v>
      </c>
      <c r="I194" s="15">
        <v>60</v>
      </c>
      <c r="J194" s="15">
        <v>30</v>
      </c>
      <c r="K194" s="15">
        <v>24</v>
      </c>
      <c r="L194" s="15">
        <v>6</v>
      </c>
      <c r="M194" s="73">
        <v>10.8</v>
      </c>
      <c r="N194" s="104">
        <v>10.8</v>
      </c>
      <c r="O194" s="57">
        <v>7000</v>
      </c>
      <c r="P194" s="58">
        <f t="shared" si="2"/>
        <v>75600</v>
      </c>
    </row>
    <row r="195" spans="1:18" ht="26.25" customHeight="1" x14ac:dyDescent="0.2">
      <c r="A195" s="100"/>
      <c r="B195" s="100"/>
      <c r="C195" s="65" t="s">
        <v>2420</v>
      </c>
      <c r="D195" s="70" t="s">
        <v>57</v>
      </c>
      <c r="E195" s="12">
        <v>44544</v>
      </c>
      <c r="F195" s="68" t="s">
        <v>59</v>
      </c>
      <c r="G195" s="12">
        <v>44552</v>
      </c>
      <c r="H195" s="69" t="s">
        <v>2130</v>
      </c>
      <c r="I195" s="15">
        <v>36</v>
      </c>
      <c r="J195" s="15">
        <v>31</v>
      </c>
      <c r="K195" s="15">
        <v>22</v>
      </c>
      <c r="L195" s="15">
        <v>10</v>
      </c>
      <c r="M195" s="73">
        <v>6.1379999999999999</v>
      </c>
      <c r="N195" s="104">
        <v>10</v>
      </c>
      <c r="O195" s="57">
        <v>7000</v>
      </c>
      <c r="P195" s="58">
        <f t="shared" ref="P195:P198" si="3">N195*O195</f>
        <v>70000</v>
      </c>
      <c r="R195" s="4">
        <f>188+9</f>
        <v>197</v>
      </c>
    </row>
    <row r="196" spans="1:18" ht="26.25" customHeight="1" x14ac:dyDescent="0.2">
      <c r="A196" s="100"/>
      <c r="B196" s="100"/>
      <c r="C196" s="65" t="s">
        <v>2421</v>
      </c>
      <c r="D196" s="70" t="s">
        <v>57</v>
      </c>
      <c r="E196" s="12">
        <v>44544</v>
      </c>
      <c r="F196" s="68" t="s">
        <v>59</v>
      </c>
      <c r="G196" s="12">
        <v>44552</v>
      </c>
      <c r="H196" s="69" t="s">
        <v>2130</v>
      </c>
      <c r="I196" s="15">
        <v>58</v>
      </c>
      <c r="J196" s="15">
        <v>31</v>
      </c>
      <c r="K196" s="15">
        <v>20</v>
      </c>
      <c r="L196" s="15">
        <v>9</v>
      </c>
      <c r="M196" s="73">
        <v>8.99</v>
      </c>
      <c r="N196" s="104">
        <v>9</v>
      </c>
      <c r="O196" s="57">
        <v>7000</v>
      </c>
      <c r="P196" s="58">
        <f t="shared" si="3"/>
        <v>63000</v>
      </c>
    </row>
    <row r="197" spans="1:18" ht="26.25" customHeight="1" x14ac:dyDescent="0.2">
      <c r="A197" s="100"/>
      <c r="B197" s="100"/>
      <c r="C197" s="65" t="s">
        <v>2422</v>
      </c>
      <c r="D197" s="70" t="s">
        <v>57</v>
      </c>
      <c r="E197" s="12">
        <v>44544</v>
      </c>
      <c r="F197" s="68" t="s">
        <v>59</v>
      </c>
      <c r="G197" s="12">
        <v>44552</v>
      </c>
      <c r="H197" s="69" t="s">
        <v>2130</v>
      </c>
      <c r="I197" s="15">
        <v>64</v>
      </c>
      <c r="J197" s="15">
        <v>48</v>
      </c>
      <c r="K197" s="15">
        <v>36</v>
      </c>
      <c r="L197" s="15">
        <v>16</v>
      </c>
      <c r="M197" s="73">
        <v>27.648</v>
      </c>
      <c r="N197" s="104">
        <v>27.648</v>
      </c>
      <c r="O197" s="57">
        <v>7000</v>
      </c>
      <c r="P197" s="58">
        <f t="shared" si="3"/>
        <v>193536</v>
      </c>
    </row>
    <row r="198" spans="1:18" ht="26.25" customHeight="1" x14ac:dyDescent="0.2">
      <c r="A198" s="100"/>
      <c r="B198" s="100"/>
      <c r="C198" s="65" t="s">
        <v>2423</v>
      </c>
      <c r="D198" s="70" t="s">
        <v>57</v>
      </c>
      <c r="E198" s="12">
        <v>44544</v>
      </c>
      <c r="F198" s="68" t="s">
        <v>59</v>
      </c>
      <c r="G198" s="12">
        <v>44552</v>
      </c>
      <c r="H198" s="69" t="s">
        <v>2130</v>
      </c>
      <c r="I198" s="15">
        <v>56</v>
      </c>
      <c r="J198" s="15">
        <v>41</v>
      </c>
      <c r="K198" s="15">
        <v>28</v>
      </c>
      <c r="L198" s="15">
        <v>11</v>
      </c>
      <c r="M198" s="73">
        <v>16.071999999999999</v>
      </c>
      <c r="N198" s="104">
        <v>16.071999999999999</v>
      </c>
      <c r="O198" s="57">
        <v>7000</v>
      </c>
      <c r="P198" s="58">
        <f t="shared" si="3"/>
        <v>112504</v>
      </c>
    </row>
    <row r="199" spans="1:18" ht="22.5" customHeight="1" x14ac:dyDescent="0.2">
      <c r="A199" s="159" t="s">
        <v>30</v>
      </c>
      <c r="B199" s="160"/>
      <c r="C199" s="160"/>
      <c r="D199" s="160"/>
      <c r="E199" s="160"/>
      <c r="F199" s="160"/>
      <c r="G199" s="160"/>
      <c r="H199" s="160"/>
      <c r="I199" s="160"/>
      <c r="J199" s="160"/>
      <c r="K199" s="160"/>
      <c r="L199" s="161"/>
      <c r="M199" s="71">
        <f>SUBTOTAL(109,Table224578910112345678910111213141516171819202122232425262728293031323334353738394041[KG VOLUME])</f>
        <v>3375.2557500000012</v>
      </c>
      <c r="N199" s="61">
        <f>SUM(N3:N198)</f>
        <v>3499.9465000000014</v>
      </c>
      <c r="O199" s="162">
        <f>SUM(P3:P198)</f>
        <v>24499625.5</v>
      </c>
      <c r="P199" s="163"/>
    </row>
    <row r="200" spans="1:18" ht="18" customHeight="1" x14ac:dyDescent="0.2">
      <c r="A200" s="78"/>
      <c r="B200" s="49" t="s">
        <v>42</v>
      </c>
      <c r="C200" s="48"/>
      <c r="D200" s="50" t="s">
        <v>43</v>
      </c>
      <c r="E200" s="78"/>
      <c r="F200" s="78"/>
      <c r="G200" s="78"/>
      <c r="H200" s="78"/>
      <c r="I200" s="78"/>
      <c r="J200" s="78"/>
      <c r="K200" s="78"/>
      <c r="L200" s="78"/>
      <c r="M200" s="79"/>
      <c r="N200" s="80" t="s">
        <v>52</v>
      </c>
      <c r="O200" s="81"/>
      <c r="P200" s="81">
        <v>0</v>
      </c>
    </row>
    <row r="201" spans="1:18" ht="18" customHeight="1" thickBot="1" x14ac:dyDescent="0.25">
      <c r="A201" s="78"/>
      <c r="B201" s="49"/>
      <c r="C201" s="48"/>
      <c r="D201" s="50"/>
      <c r="E201" s="78"/>
      <c r="F201" s="78"/>
      <c r="G201" s="78"/>
      <c r="H201" s="78"/>
      <c r="I201" s="78"/>
      <c r="J201" s="78"/>
      <c r="K201" s="78"/>
      <c r="L201" s="78"/>
      <c r="M201" s="79"/>
      <c r="N201" s="82" t="s">
        <v>53</v>
      </c>
      <c r="O201" s="83"/>
      <c r="P201" s="83">
        <f>O199-P200</f>
        <v>24499625.5</v>
      </c>
    </row>
    <row r="202" spans="1:18" ht="18" customHeight="1" x14ac:dyDescent="0.2">
      <c r="A202" s="10"/>
      <c r="H202" s="56"/>
      <c r="N202" s="55" t="s">
        <v>31</v>
      </c>
      <c r="P202" s="62">
        <f>P201*1%</f>
        <v>244996.255</v>
      </c>
    </row>
    <row r="203" spans="1:18" ht="18" customHeight="1" thickBot="1" x14ac:dyDescent="0.25">
      <c r="A203" s="10"/>
      <c r="H203" s="56"/>
      <c r="N203" s="55" t="s">
        <v>54</v>
      </c>
      <c r="P203" s="64">
        <f>P201*2%</f>
        <v>489992.51</v>
      </c>
    </row>
    <row r="204" spans="1:18" ht="18" customHeight="1" x14ac:dyDescent="0.2">
      <c r="A204" s="10"/>
      <c r="H204" s="56"/>
      <c r="N204" s="59" t="s">
        <v>32</v>
      </c>
      <c r="O204" s="60"/>
      <c r="P204" s="63">
        <f>P201+P202-P203</f>
        <v>24254629.244999997</v>
      </c>
    </row>
    <row r="206" spans="1:18" x14ac:dyDescent="0.2">
      <c r="A206" s="10"/>
      <c r="H206" s="56"/>
      <c r="P206" s="64"/>
    </row>
    <row r="207" spans="1:18" x14ac:dyDescent="0.2">
      <c r="A207" s="10"/>
      <c r="H207" s="56"/>
      <c r="O207" s="51"/>
      <c r="P207" s="64"/>
    </row>
    <row r="208" spans="1:18" s="3" customFormat="1" x14ac:dyDescent="0.25">
      <c r="A208" s="10"/>
      <c r="B208" s="2"/>
      <c r="C208" s="2"/>
      <c r="E208" s="11"/>
      <c r="H208" s="56"/>
      <c r="N208" s="14"/>
      <c r="O208" s="14"/>
      <c r="P208" s="14"/>
    </row>
    <row r="209" spans="1:16" s="3" customFormat="1" x14ac:dyDescent="0.25">
      <c r="A209" s="10"/>
      <c r="B209" s="2"/>
      <c r="C209" s="2"/>
      <c r="E209" s="11"/>
      <c r="H209" s="56"/>
      <c r="N209" s="14"/>
      <c r="O209" s="14"/>
      <c r="P209" s="14"/>
    </row>
    <row r="210" spans="1:16" s="3" customFormat="1" x14ac:dyDescent="0.25">
      <c r="A210" s="10"/>
      <c r="B210" s="2"/>
      <c r="C210" s="2"/>
      <c r="E210" s="11"/>
      <c r="H210" s="56"/>
      <c r="N210" s="14"/>
      <c r="O210" s="14"/>
      <c r="P210" s="14"/>
    </row>
    <row r="211" spans="1:16" s="3" customFormat="1" x14ac:dyDescent="0.25">
      <c r="A211" s="10"/>
      <c r="B211" s="2"/>
      <c r="C211" s="2"/>
      <c r="E211" s="11"/>
      <c r="H211" s="56"/>
      <c r="N211" s="14"/>
      <c r="O211" s="14"/>
      <c r="P211" s="14"/>
    </row>
    <row r="212" spans="1:16" s="3" customFormat="1" x14ac:dyDescent="0.25">
      <c r="A212" s="10"/>
      <c r="B212" s="2"/>
      <c r="C212" s="2"/>
      <c r="E212" s="11"/>
      <c r="H212" s="56"/>
      <c r="N212" s="14"/>
      <c r="O212" s="14"/>
      <c r="P212" s="14"/>
    </row>
    <row r="213" spans="1:16" s="3" customFormat="1" x14ac:dyDescent="0.25">
      <c r="A213" s="10"/>
      <c r="B213" s="2"/>
      <c r="C213" s="2"/>
      <c r="E213" s="11"/>
      <c r="H213" s="56"/>
      <c r="N213" s="14"/>
      <c r="O213" s="14"/>
      <c r="P213" s="14"/>
    </row>
    <row r="214" spans="1:16" s="3" customFormat="1" x14ac:dyDescent="0.25">
      <c r="A214" s="10"/>
      <c r="B214" s="2"/>
      <c r="C214" s="2"/>
      <c r="E214" s="11"/>
      <c r="H214" s="56"/>
      <c r="N214" s="14"/>
      <c r="O214" s="14"/>
      <c r="P214" s="14"/>
    </row>
    <row r="215" spans="1:16" s="3" customFormat="1" x14ac:dyDescent="0.25">
      <c r="A215" s="10"/>
      <c r="B215" s="2"/>
      <c r="C215" s="2"/>
      <c r="E215" s="11"/>
      <c r="H215" s="56"/>
      <c r="N215" s="14"/>
      <c r="O215" s="14"/>
      <c r="P215" s="14"/>
    </row>
    <row r="216" spans="1:16" s="3" customFormat="1" x14ac:dyDescent="0.25">
      <c r="A216" s="10"/>
      <c r="B216" s="2"/>
      <c r="C216" s="2"/>
      <c r="E216" s="11"/>
      <c r="H216" s="56"/>
      <c r="N216" s="14"/>
      <c r="O216" s="14"/>
      <c r="P216" s="14"/>
    </row>
    <row r="217" spans="1:16" s="3" customFormat="1" x14ac:dyDescent="0.25">
      <c r="A217" s="10"/>
      <c r="B217" s="2"/>
      <c r="C217" s="2"/>
      <c r="E217" s="11"/>
      <c r="H217" s="56"/>
      <c r="N217" s="14"/>
      <c r="O217" s="14"/>
      <c r="P217" s="14"/>
    </row>
    <row r="218" spans="1:16" s="3" customFormat="1" x14ac:dyDescent="0.25">
      <c r="A218" s="10"/>
      <c r="B218" s="2"/>
      <c r="C218" s="2"/>
      <c r="E218" s="11"/>
      <c r="H218" s="56"/>
      <c r="N218" s="14"/>
      <c r="O218" s="14"/>
      <c r="P218" s="14"/>
    </row>
    <row r="219" spans="1:16" s="3" customFormat="1" x14ac:dyDescent="0.25">
      <c r="A219" s="10"/>
      <c r="B219" s="2"/>
      <c r="C219" s="2"/>
      <c r="E219" s="11"/>
      <c r="H219" s="56"/>
      <c r="N219" s="14"/>
      <c r="O219" s="14"/>
      <c r="P219" s="14"/>
    </row>
  </sheetData>
  <mergeCells count="2">
    <mergeCell ref="A199:L199"/>
    <mergeCell ref="O199:P199"/>
  </mergeCells>
  <conditionalFormatting sqref="C3:C198">
    <cfRule type="duplicateValues" dxfId="959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2"/>
  <sheetViews>
    <sheetView topLeftCell="A52" workbookViewId="0">
      <selection activeCell="G60" sqref="G6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403976</v>
      </c>
      <c r="B3" s="165" t="s">
        <v>2424</v>
      </c>
      <c r="C3" s="90" t="s">
        <v>2425</v>
      </c>
      <c r="D3" s="102" t="s">
        <v>57</v>
      </c>
      <c r="E3" s="91">
        <v>44545</v>
      </c>
      <c r="F3" s="102" t="s">
        <v>59</v>
      </c>
      <c r="G3" s="91">
        <v>44552</v>
      </c>
      <c r="H3" s="90" t="s">
        <v>2130</v>
      </c>
      <c r="I3" s="90">
        <v>195</v>
      </c>
      <c r="J3" s="90">
        <v>20</v>
      </c>
      <c r="K3" s="90">
        <v>12</v>
      </c>
      <c r="L3" s="90">
        <v>10</v>
      </c>
      <c r="M3" s="90">
        <v>11.7</v>
      </c>
      <c r="N3" s="104">
        <v>11.7</v>
      </c>
      <c r="O3" s="57">
        <v>7000</v>
      </c>
      <c r="P3" s="58">
        <f t="shared" ref="P3:P61" si="0">N3*O3</f>
        <v>81900</v>
      </c>
    </row>
    <row r="4" spans="1:16" ht="26.25" customHeight="1" x14ac:dyDescent="0.2">
      <c r="A4" s="100"/>
      <c r="B4" s="90" t="s">
        <v>2426</v>
      </c>
      <c r="C4" s="90" t="s">
        <v>2427</v>
      </c>
      <c r="D4" s="102" t="s">
        <v>57</v>
      </c>
      <c r="E4" s="91">
        <v>44545</v>
      </c>
      <c r="F4" s="102" t="s">
        <v>59</v>
      </c>
      <c r="G4" s="91">
        <v>44552</v>
      </c>
      <c r="H4" s="90" t="s">
        <v>2130</v>
      </c>
      <c r="I4" s="90">
        <v>54</v>
      </c>
      <c r="J4" s="90">
        <v>43</v>
      </c>
      <c r="K4" s="90">
        <v>23</v>
      </c>
      <c r="L4" s="90">
        <v>5</v>
      </c>
      <c r="M4" s="90">
        <v>13.3515</v>
      </c>
      <c r="N4" s="104">
        <v>14</v>
      </c>
      <c r="O4" s="57">
        <v>7000</v>
      </c>
      <c r="P4" s="58">
        <f t="shared" si="0"/>
        <v>98000</v>
      </c>
    </row>
    <row r="5" spans="1:16" ht="26.25" customHeight="1" x14ac:dyDescent="0.2">
      <c r="A5" s="100"/>
      <c r="B5" s="164" t="s">
        <v>2428</v>
      </c>
      <c r="C5" s="90" t="s">
        <v>2429</v>
      </c>
      <c r="D5" s="102" t="s">
        <v>57</v>
      </c>
      <c r="E5" s="91">
        <v>44545</v>
      </c>
      <c r="F5" s="102" t="s">
        <v>59</v>
      </c>
      <c r="G5" s="91">
        <v>44552</v>
      </c>
      <c r="H5" s="90" t="s">
        <v>2130</v>
      </c>
      <c r="I5" s="90">
        <v>105</v>
      </c>
      <c r="J5" s="90">
        <v>55</v>
      </c>
      <c r="K5" s="90">
        <v>25</v>
      </c>
      <c r="L5" s="90">
        <v>42</v>
      </c>
      <c r="M5" s="90">
        <v>36.09375</v>
      </c>
      <c r="N5" s="104">
        <v>42</v>
      </c>
      <c r="O5" s="57">
        <v>7000</v>
      </c>
      <c r="P5" s="58">
        <f t="shared" si="0"/>
        <v>294000</v>
      </c>
    </row>
    <row r="6" spans="1:16" ht="26.25" customHeight="1" x14ac:dyDescent="0.2">
      <c r="A6" s="100"/>
      <c r="B6" s="100"/>
      <c r="C6" s="90" t="s">
        <v>2430</v>
      </c>
      <c r="D6" s="102" t="s">
        <v>57</v>
      </c>
      <c r="E6" s="91">
        <v>44545</v>
      </c>
      <c r="F6" s="102" t="s">
        <v>59</v>
      </c>
      <c r="G6" s="91">
        <v>44552</v>
      </c>
      <c r="H6" s="90" t="s">
        <v>2130</v>
      </c>
      <c r="I6" s="90">
        <v>100</v>
      </c>
      <c r="J6" s="90">
        <v>55</v>
      </c>
      <c r="K6" s="90">
        <v>24</v>
      </c>
      <c r="L6" s="90">
        <v>20</v>
      </c>
      <c r="M6" s="90">
        <v>33</v>
      </c>
      <c r="N6" s="104">
        <v>33</v>
      </c>
      <c r="O6" s="57">
        <v>7000</v>
      </c>
      <c r="P6" s="58">
        <f t="shared" si="0"/>
        <v>231000</v>
      </c>
    </row>
    <row r="7" spans="1:16" ht="26.25" customHeight="1" x14ac:dyDescent="0.2">
      <c r="A7" s="100"/>
      <c r="B7" s="100"/>
      <c r="C7" s="65" t="s">
        <v>2431</v>
      </c>
      <c r="D7" s="70" t="s">
        <v>57</v>
      </c>
      <c r="E7" s="12">
        <v>44545</v>
      </c>
      <c r="F7" s="68" t="s">
        <v>59</v>
      </c>
      <c r="G7" s="12">
        <v>44552</v>
      </c>
      <c r="H7" s="69" t="s">
        <v>2130</v>
      </c>
      <c r="I7" s="15">
        <v>102</v>
      </c>
      <c r="J7" s="15">
        <v>60</v>
      </c>
      <c r="K7" s="15">
        <v>35</v>
      </c>
      <c r="L7" s="15">
        <v>17</v>
      </c>
      <c r="M7" s="73">
        <v>53.55</v>
      </c>
      <c r="N7" s="104">
        <v>53.55</v>
      </c>
      <c r="O7" s="57">
        <v>7000</v>
      </c>
      <c r="P7" s="58">
        <f t="shared" si="0"/>
        <v>374850</v>
      </c>
    </row>
    <row r="8" spans="1:16" ht="26.25" customHeight="1" x14ac:dyDescent="0.2">
      <c r="A8" s="100"/>
      <c r="B8" s="100"/>
      <c r="C8" s="65" t="s">
        <v>2432</v>
      </c>
      <c r="D8" s="70" t="s">
        <v>57</v>
      </c>
      <c r="E8" s="12">
        <v>44545</v>
      </c>
      <c r="F8" s="68" t="s">
        <v>59</v>
      </c>
      <c r="G8" s="12">
        <v>44552</v>
      </c>
      <c r="H8" s="69" t="s">
        <v>2130</v>
      </c>
      <c r="I8" s="15">
        <v>96</v>
      </c>
      <c r="J8" s="15">
        <v>63</v>
      </c>
      <c r="K8" s="15">
        <v>31</v>
      </c>
      <c r="L8" s="15">
        <v>22</v>
      </c>
      <c r="M8" s="73">
        <v>46.872</v>
      </c>
      <c r="N8" s="104">
        <v>46.872</v>
      </c>
      <c r="O8" s="57">
        <v>7000</v>
      </c>
      <c r="P8" s="58">
        <f t="shared" si="0"/>
        <v>328104</v>
      </c>
    </row>
    <row r="9" spans="1:16" ht="26.25" customHeight="1" x14ac:dyDescent="0.2">
      <c r="A9" s="100"/>
      <c r="B9" s="100"/>
      <c r="C9" s="65" t="s">
        <v>2433</v>
      </c>
      <c r="D9" s="70" t="s">
        <v>57</v>
      </c>
      <c r="E9" s="12">
        <v>44545</v>
      </c>
      <c r="F9" s="68" t="s">
        <v>59</v>
      </c>
      <c r="G9" s="12">
        <v>44552</v>
      </c>
      <c r="H9" s="69" t="s">
        <v>2130</v>
      </c>
      <c r="I9" s="15">
        <v>86</v>
      </c>
      <c r="J9" s="15">
        <v>47</v>
      </c>
      <c r="K9" s="15">
        <v>35</v>
      </c>
      <c r="L9" s="15">
        <v>8</v>
      </c>
      <c r="M9" s="73">
        <v>35.3675</v>
      </c>
      <c r="N9" s="104">
        <v>36</v>
      </c>
      <c r="O9" s="57">
        <v>7000</v>
      </c>
      <c r="P9" s="58">
        <f t="shared" si="0"/>
        <v>252000</v>
      </c>
    </row>
    <row r="10" spans="1:16" ht="26.25" customHeight="1" x14ac:dyDescent="0.2">
      <c r="A10" s="100"/>
      <c r="B10" s="100"/>
      <c r="C10" s="65" t="s">
        <v>2434</v>
      </c>
      <c r="D10" s="70" t="s">
        <v>57</v>
      </c>
      <c r="E10" s="12">
        <v>44545</v>
      </c>
      <c r="F10" s="68" t="s">
        <v>59</v>
      </c>
      <c r="G10" s="12">
        <v>44552</v>
      </c>
      <c r="H10" s="69" t="s">
        <v>2130</v>
      </c>
      <c r="I10" s="15">
        <v>84</v>
      </c>
      <c r="J10" s="15">
        <v>53</v>
      </c>
      <c r="K10" s="15">
        <v>22</v>
      </c>
      <c r="L10" s="15">
        <v>8</v>
      </c>
      <c r="M10" s="73">
        <v>24.486000000000001</v>
      </c>
      <c r="N10" s="104">
        <v>25</v>
      </c>
      <c r="O10" s="57">
        <v>7000</v>
      </c>
      <c r="P10" s="58">
        <f t="shared" si="0"/>
        <v>175000</v>
      </c>
    </row>
    <row r="11" spans="1:16" ht="26.25" customHeight="1" x14ac:dyDescent="0.2">
      <c r="A11" s="100"/>
      <c r="B11" s="100"/>
      <c r="C11" s="65" t="s">
        <v>2435</v>
      </c>
      <c r="D11" s="70" t="s">
        <v>57</v>
      </c>
      <c r="E11" s="12">
        <v>44545</v>
      </c>
      <c r="F11" s="68" t="s">
        <v>59</v>
      </c>
      <c r="G11" s="12">
        <v>44552</v>
      </c>
      <c r="H11" s="69" t="s">
        <v>2130</v>
      </c>
      <c r="I11" s="15">
        <v>50</v>
      </c>
      <c r="J11" s="15">
        <v>34</v>
      </c>
      <c r="K11" s="15">
        <v>30</v>
      </c>
      <c r="L11" s="15">
        <v>16</v>
      </c>
      <c r="M11" s="73">
        <v>12.75</v>
      </c>
      <c r="N11" s="104">
        <v>16</v>
      </c>
      <c r="O11" s="57">
        <v>7000</v>
      </c>
      <c r="P11" s="58">
        <f t="shared" si="0"/>
        <v>112000</v>
      </c>
    </row>
    <row r="12" spans="1:16" ht="26.25" customHeight="1" x14ac:dyDescent="0.2">
      <c r="A12" s="100"/>
      <c r="B12" s="100"/>
      <c r="C12" s="65" t="s">
        <v>2436</v>
      </c>
      <c r="D12" s="70" t="s">
        <v>57</v>
      </c>
      <c r="E12" s="12">
        <v>44545</v>
      </c>
      <c r="F12" s="68" t="s">
        <v>59</v>
      </c>
      <c r="G12" s="12">
        <v>44552</v>
      </c>
      <c r="H12" s="69" t="s">
        <v>2130</v>
      </c>
      <c r="I12" s="15">
        <v>82</v>
      </c>
      <c r="J12" s="15">
        <v>52</v>
      </c>
      <c r="K12" s="15">
        <v>25</v>
      </c>
      <c r="L12" s="15">
        <v>7</v>
      </c>
      <c r="M12" s="73">
        <v>26.65</v>
      </c>
      <c r="N12" s="104">
        <v>26.65</v>
      </c>
      <c r="O12" s="57">
        <v>7000</v>
      </c>
      <c r="P12" s="58">
        <f t="shared" si="0"/>
        <v>186550</v>
      </c>
    </row>
    <row r="13" spans="1:16" ht="26.25" customHeight="1" x14ac:dyDescent="0.2">
      <c r="A13" s="100"/>
      <c r="B13" s="100"/>
      <c r="C13" s="65" t="s">
        <v>2437</v>
      </c>
      <c r="D13" s="70" t="s">
        <v>57</v>
      </c>
      <c r="E13" s="12">
        <v>44545</v>
      </c>
      <c r="F13" s="68" t="s">
        <v>59</v>
      </c>
      <c r="G13" s="12">
        <v>44552</v>
      </c>
      <c r="H13" s="69" t="s">
        <v>2130</v>
      </c>
      <c r="I13" s="15">
        <v>95</v>
      </c>
      <c r="J13" s="15">
        <v>50</v>
      </c>
      <c r="K13" s="15">
        <v>15</v>
      </c>
      <c r="L13" s="15">
        <v>9</v>
      </c>
      <c r="M13" s="73">
        <v>17.8125</v>
      </c>
      <c r="N13" s="104">
        <v>17.8125</v>
      </c>
      <c r="O13" s="57">
        <v>7000</v>
      </c>
      <c r="P13" s="58">
        <f t="shared" si="0"/>
        <v>124687.5</v>
      </c>
    </row>
    <row r="14" spans="1:16" ht="26.25" customHeight="1" x14ac:dyDescent="0.2">
      <c r="A14" s="100"/>
      <c r="B14" s="100"/>
      <c r="C14" s="65" t="s">
        <v>2438</v>
      </c>
      <c r="D14" s="70" t="s">
        <v>57</v>
      </c>
      <c r="E14" s="12">
        <v>44545</v>
      </c>
      <c r="F14" s="68" t="s">
        <v>59</v>
      </c>
      <c r="G14" s="12">
        <v>44552</v>
      </c>
      <c r="H14" s="69" t="s">
        <v>2130</v>
      </c>
      <c r="I14" s="15">
        <v>30</v>
      </c>
      <c r="J14" s="15">
        <v>26</v>
      </c>
      <c r="K14" s="15">
        <v>18</v>
      </c>
      <c r="L14" s="15">
        <v>4</v>
      </c>
      <c r="M14" s="73">
        <v>3.51</v>
      </c>
      <c r="N14" s="104">
        <v>4</v>
      </c>
      <c r="O14" s="57">
        <v>7000</v>
      </c>
      <c r="P14" s="58">
        <f t="shared" si="0"/>
        <v>28000</v>
      </c>
    </row>
    <row r="15" spans="1:16" ht="26.25" customHeight="1" x14ac:dyDescent="0.2">
      <c r="A15" s="100"/>
      <c r="B15" s="100"/>
      <c r="C15" s="65" t="s">
        <v>2439</v>
      </c>
      <c r="D15" s="70" t="s">
        <v>57</v>
      </c>
      <c r="E15" s="12">
        <v>44545</v>
      </c>
      <c r="F15" s="68" t="s">
        <v>59</v>
      </c>
      <c r="G15" s="12">
        <v>44552</v>
      </c>
      <c r="H15" s="69" t="s">
        <v>2130</v>
      </c>
      <c r="I15" s="15">
        <v>105</v>
      </c>
      <c r="J15" s="15">
        <v>68</v>
      </c>
      <c r="K15" s="15">
        <v>41</v>
      </c>
      <c r="L15" s="15">
        <v>10</v>
      </c>
      <c r="M15" s="73">
        <v>73.185000000000002</v>
      </c>
      <c r="N15" s="104">
        <v>73.185000000000002</v>
      </c>
      <c r="O15" s="57">
        <v>7000</v>
      </c>
      <c r="P15" s="58">
        <f t="shared" si="0"/>
        <v>512295</v>
      </c>
    </row>
    <row r="16" spans="1:16" ht="26.25" customHeight="1" x14ac:dyDescent="0.2">
      <c r="A16" s="100"/>
      <c r="B16" s="100"/>
      <c r="C16" s="65" t="s">
        <v>2440</v>
      </c>
      <c r="D16" s="70" t="s">
        <v>57</v>
      </c>
      <c r="E16" s="12">
        <v>44545</v>
      </c>
      <c r="F16" s="68" t="s">
        <v>59</v>
      </c>
      <c r="G16" s="12">
        <v>44552</v>
      </c>
      <c r="H16" s="69" t="s">
        <v>2130</v>
      </c>
      <c r="I16" s="15">
        <v>70</v>
      </c>
      <c r="J16" s="15">
        <v>50</v>
      </c>
      <c r="K16" s="15">
        <v>23</v>
      </c>
      <c r="L16" s="15">
        <v>5</v>
      </c>
      <c r="M16" s="73">
        <v>20.125</v>
      </c>
      <c r="N16" s="104">
        <v>20.125</v>
      </c>
      <c r="O16" s="57">
        <v>7000</v>
      </c>
      <c r="P16" s="58">
        <f t="shared" si="0"/>
        <v>140875</v>
      </c>
    </row>
    <row r="17" spans="1:16" ht="26.25" customHeight="1" x14ac:dyDescent="0.2">
      <c r="A17" s="100"/>
      <c r="B17" s="100"/>
      <c r="C17" s="65" t="s">
        <v>2441</v>
      </c>
      <c r="D17" s="70" t="s">
        <v>57</v>
      </c>
      <c r="E17" s="12">
        <v>44545</v>
      </c>
      <c r="F17" s="68" t="s">
        <v>59</v>
      </c>
      <c r="G17" s="12">
        <v>44552</v>
      </c>
      <c r="H17" s="69" t="s">
        <v>2130</v>
      </c>
      <c r="I17" s="15">
        <v>60</v>
      </c>
      <c r="J17" s="15">
        <v>45</v>
      </c>
      <c r="K17" s="15">
        <v>21</v>
      </c>
      <c r="L17" s="15">
        <v>5</v>
      </c>
      <c r="M17" s="73">
        <v>14.175000000000001</v>
      </c>
      <c r="N17" s="104">
        <v>14.175000000000001</v>
      </c>
      <c r="O17" s="57">
        <v>7000</v>
      </c>
      <c r="P17" s="58">
        <f t="shared" si="0"/>
        <v>99225</v>
      </c>
    </row>
    <row r="18" spans="1:16" ht="26.25" customHeight="1" x14ac:dyDescent="0.2">
      <c r="A18" s="100"/>
      <c r="B18" s="100"/>
      <c r="C18" s="65" t="s">
        <v>2442</v>
      </c>
      <c r="D18" s="70" t="s">
        <v>57</v>
      </c>
      <c r="E18" s="12">
        <v>44545</v>
      </c>
      <c r="F18" s="68" t="s">
        <v>59</v>
      </c>
      <c r="G18" s="12">
        <v>44552</v>
      </c>
      <c r="H18" s="69" t="s">
        <v>2130</v>
      </c>
      <c r="I18" s="15">
        <v>80</v>
      </c>
      <c r="J18" s="15">
        <v>53</v>
      </c>
      <c r="K18" s="15">
        <v>24</v>
      </c>
      <c r="L18" s="15">
        <v>14</v>
      </c>
      <c r="M18" s="73">
        <v>25.44</v>
      </c>
      <c r="N18" s="104">
        <v>26</v>
      </c>
      <c r="O18" s="57">
        <v>7000</v>
      </c>
      <c r="P18" s="58">
        <f t="shared" si="0"/>
        <v>182000</v>
      </c>
    </row>
    <row r="19" spans="1:16" ht="26.25" customHeight="1" x14ac:dyDescent="0.2">
      <c r="A19" s="100"/>
      <c r="B19" s="100"/>
      <c r="C19" s="65" t="s">
        <v>2443</v>
      </c>
      <c r="D19" s="70" t="s">
        <v>57</v>
      </c>
      <c r="E19" s="12">
        <v>44545</v>
      </c>
      <c r="F19" s="68" t="s">
        <v>59</v>
      </c>
      <c r="G19" s="12">
        <v>44552</v>
      </c>
      <c r="H19" s="69" t="s">
        <v>2130</v>
      </c>
      <c r="I19" s="15">
        <v>90</v>
      </c>
      <c r="J19" s="15">
        <v>52</v>
      </c>
      <c r="K19" s="15">
        <v>32</v>
      </c>
      <c r="L19" s="15">
        <v>24</v>
      </c>
      <c r="M19" s="73">
        <v>37.44</v>
      </c>
      <c r="N19" s="104">
        <v>38</v>
      </c>
      <c r="O19" s="57">
        <v>7000</v>
      </c>
      <c r="P19" s="58">
        <f t="shared" si="0"/>
        <v>266000</v>
      </c>
    </row>
    <row r="20" spans="1:16" ht="26.25" customHeight="1" x14ac:dyDescent="0.2">
      <c r="A20" s="100"/>
      <c r="B20" s="100"/>
      <c r="C20" s="65" t="s">
        <v>2444</v>
      </c>
      <c r="D20" s="70" t="s">
        <v>57</v>
      </c>
      <c r="E20" s="12">
        <v>44545</v>
      </c>
      <c r="F20" s="68" t="s">
        <v>59</v>
      </c>
      <c r="G20" s="12">
        <v>44552</v>
      </c>
      <c r="H20" s="69" t="s">
        <v>2130</v>
      </c>
      <c r="I20" s="15">
        <v>95</v>
      </c>
      <c r="J20" s="15">
        <v>45</v>
      </c>
      <c r="K20" s="15">
        <v>32</v>
      </c>
      <c r="L20" s="15">
        <v>14</v>
      </c>
      <c r="M20" s="73">
        <v>34.200000000000003</v>
      </c>
      <c r="N20" s="104">
        <v>34.200000000000003</v>
      </c>
      <c r="O20" s="57">
        <v>7000</v>
      </c>
      <c r="P20" s="58">
        <f t="shared" si="0"/>
        <v>239400.00000000003</v>
      </c>
    </row>
    <row r="21" spans="1:16" ht="26.25" customHeight="1" x14ac:dyDescent="0.2">
      <c r="A21" s="100"/>
      <c r="B21" s="100"/>
      <c r="C21" s="65" t="s">
        <v>2445</v>
      </c>
      <c r="D21" s="70" t="s">
        <v>57</v>
      </c>
      <c r="E21" s="12">
        <v>44545</v>
      </c>
      <c r="F21" s="68" t="s">
        <v>59</v>
      </c>
      <c r="G21" s="12">
        <v>44552</v>
      </c>
      <c r="H21" s="69" t="s">
        <v>2130</v>
      </c>
      <c r="I21" s="15">
        <v>100</v>
      </c>
      <c r="J21" s="15">
        <v>60</v>
      </c>
      <c r="K21" s="15">
        <v>20</v>
      </c>
      <c r="L21" s="15">
        <v>13</v>
      </c>
      <c r="M21" s="73">
        <v>30</v>
      </c>
      <c r="N21" s="104">
        <v>30</v>
      </c>
      <c r="O21" s="57">
        <v>7000</v>
      </c>
      <c r="P21" s="58">
        <f t="shared" si="0"/>
        <v>210000</v>
      </c>
    </row>
    <row r="22" spans="1:16" ht="26.25" customHeight="1" x14ac:dyDescent="0.2">
      <c r="A22" s="100"/>
      <c r="B22" s="100"/>
      <c r="C22" s="65" t="s">
        <v>2446</v>
      </c>
      <c r="D22" s="70" t="s">
        <v>57</v>
      </c>
      <c r="E22" s="12">
        <v>44545</v>
      </c>
      <c r="F22" s="68" t="s">
        <v>59</v>
      </c>
      <c r="G22" s="12">
        <v>44552</v>
      </c>
      <c r="H22" s="69" t="s">
        <v>2130</v>
      </c>
      <c r="I22" s="15">
        <v>89</v>
      </c>
      <c r="J22" s="15">
        <v>64</v>
      </c>
      <c r="K22" s="15">
        <v>25</v>
      </c>
      <c r="L22" s="15">
        <v>20</v>
      </c>
      <c r="M22" s="73">
        <v>35.6</v>
      </c>
      <c r="N22" s="104">
        <v>35.6</v>
      </c>
      <c r="O22" s="57">
        <v>7000</v>
      </c>
      <c r="P22" s="58">
        <f t="shared" si="0"/>
        <v>249200</v>
      </c>
    </row>
    <row r="23" spans="1:16" ht="26.25" customHeight="1" x14ac:dyDescent="0.2">
      <c r="A23" s="100"/>
      <c r="B23" s="100"/>
      <c r="C23" s="65" t="s">
        <v>2447</v>
      </c>
      <c r="D23" s="70" t="s">
        <v>57</v>
      </c>
      <c r="E23" s="12">
        <v>44545</v>
      </c>
      <c r="F23" s="68" t="s">
        <v>59</v>
      </c>
      <c r="G23" s="12">
        <v>44552</v>
      </c>
      <c r="H23" s="69" t="s">
        <v>2130</v>
      </c>
      <c r="I23" s="15">
        <v>102</v>
      </c>
      <c r="J23" s="15">
        <v>60</v>
      </c>
      <c r="K23" s="15">
        <v>28</v>
      </c>
      <c r="L23" s="15">
        <v>40</v>
      </c>
      <c r="M23" s="73">
        <v>42.84</v>
      </c>
      <c r="N23" s="104">
        <v>42.84</v>
      </c>
      <c r="O23" s="57">
        <v>7000</v>
      </c>
      <c r="P23" s="58">
        <f t="shared" si="0"/>
        <v>299880</v>
      </c>
    </row>
    <row r="24" spans="1:16" ht="26.25" customHeight="1" x14ac:dyDescent="0.2">
      <c r="A24" s="100"/>
      <c r="B24" s="100"/>
      <c r="C24" s="65" t="s">
        <v>2448</v>
      </c>
      <c r="D24" s="70" t="s">
        <v>57</v>
      </c>
      <c r="E24" s="12">
        <v>44545</v>
      </c>
      <c r="F24" s="68" t="s">
        <v>59</v>
      </c>
      <c r="G24" s="12">
        <v>44552</v>
      </c>
      <c r="H24" s="69" t="s">
        <v>2130</v>
      </c>
      <c r="I24" s="15">
        <v>85</v>
      </c>
      <c r="J24" s="15">
        <v>52</v>
      </c>
      <c r="K24" s="15">
        <v>24</v>
      </c>
      <c r="L24" s="15">
        <v>18</v>
      </c>
      <c r="M24" s="73">
        <v>26.52</v>
      </c>
      <c r="N24" s="104">
        <v>26.52</v>
      </c>
      <c r="O24" s="57">
        <v>7000</v>
      </c>
      <c r="P24" s="58">
        <f t="shared" si="0"/>
        <v>185640</v>
      </c>
    </row>
    <row r="25" spans="1:16" ht="26.25" customHeight="1" x14ac:dyDescent="0.2">
      <c r="A25" s="100"/>
      <c r="B25" s="100"/>
      <c r="C25" s="65" t="s">
        <v>2449</v>
      </c>
      <c r="D25" s="70" t="s">
        <v>57</v>
      </c>
      <c r="E25" s="12">
        <v>44545</v>
      </c>
      <c r="F25" s="68" t="s">
        <v>59</v>
      </c>
      <c r="G25" s="12">
        <v>44552</v>
      </c>
      <c r="H25" s="69" t="s">
        <v>2130</v>
      </c>
      <c r="I25" s="15">
        <v>87</v>
      </c>
      <c r="J25" s="15">
        <v>45</v>
      </c>
      <c r="K25" s="15">
        <v>28</v>
      </c>
      <c r="L25" s="15">
        <v>6</v>
      </c>
      <c r="M25" s="73">
        <v>27.405000000000001</v>
      </c>
      <c r="N25" s="104">
        <v>28</v>
      </c>
      <c r="O25" s="57">
        <v>7000</v>
      </c>
      <c r="P25" s="58">
        <f t="shared" si="0"/>
        <v>196000</v>
      </c>
    </row>
    <row r="26" spans="1:16" ht="26.25" customHeight="1" x14ac:dyDescent="0.2">
      <c r="A26" s="100"/>
      <c r="B26" s="100"/>
      <c r="C26" s="65" t="s">
        <v>2450</v>
      </c>
      <c r="D26" s="70" t="s">
        <v>57</v>
      </c>
      <c r="E26" s="12">
        <v>44545</v>
      </c>
      <c r="F26" s="68" t="s">
        <v>59</v>
      </c>
      <c r="G26" s="12">
        <v>44552</v>
      </c>
      <c r="H26" s="69" t="s">
        <v>2130</v>
      </c>
      <c r="I26" s="15">
        <v>50</v>
      </c>
      <c r="J26" s="15">
        <v>40</v>
      </c>
      <c r="K26" s="15">
        <v>10</v>
      </c>
      <c r="L26" s="15">
        <v>3</v>
      </c>
      <c r="M26" s="73">
        <v>5</v>
      </c>
      <c r="N26" s="104">
        <v>5</v>
      </c>
      <c r="O26" s="57">
        <v>7000</v>
      </c>
      <c r="P26" s="58">
        <f t="shared" si="0"/>
        <v>35000</v>
      </c>
    </row>
    <row r="27" spans="1:16" ht="26.25" customHeight="1" x14ac:dyDescent="0.2">
      <c r="A27" s="100"/>
      <c r="B27" s="100"/>
      <c r="C27" s="65" t="s">
        <v>2451</v>
      </c>
      <c r="D27" s="70" t="s">
        <v>57</v>
      </c>
      <c r="E27" s="12">
        <v>44545</v>
      </c>
      <c r="F27" s="68" t="s">
        <v>59</v>
      </c>
      <c r="G27" s="12">
        <v>44552</v>
      </c>
      <c r="H27" s="69" t="s">
        <v>2130</v>
      </c>
      <c r="I27" s="15">
        <v>100</v>
      </c>
      <c r="J27" s="15">
        <v>40</v>
      </c>
      <c r="K27" s="15">
        <v>28</v>
      </c>
      <c r="L27" s="15">
        <v>13</v>
      </c>
      <c r="M27" s="73">
        <v>28</v>
      </c>
      <c r="N27" s="104">
        <v>28</v>
      </c>
      <c r="O27" s="57">
        <v>7000</v>
      </c>
      <c r="P27" s="58">
        <f t="shared" si="0"/>
        <v>196000</v>
      </c>
    </row>
    <row r="28" spans="1:16" ht="26.25" customHeight="1" x14ac:dyDescent="0.2">
      <c r="A28" s="100"/>
      <c r="B28" s="100"/>
      <c r="C28" s="65" t="s">
        <v>2452</v>
      </c>
      <c r="D28" s="70" t="s">
        <v>57</v>
      </c>
      <c r="E28" s="12">
        <v>44545</v>
      </c>
      <c r="F28" s="68" t="s">
        <v>59</v>
      </c>
      <c r="G28" s="12">
        <v>44552</v>
      </c>
      <c r="H28" s="69" t="s">
        <v>2130</v>
      </c>
      <c r="I28" s="15">
        <v>95</v>
      </c>
      <c r="J28" s="15">
        <v>64</v>
      </c>
      <c r="K28" s="15">
        <v>31</v>
      </c>
      <c r="L28" s="15">
        <v>8</v>
      </c>
      <c r="M28" s="73">
        <v>47.12</v>
      </c>
      <c r="N28" s="104">
        <v>47.12</v>
      </c>
      <c r="O28" s="57">
        <v>7000</v>
      </c>
      <c r="P28" s="58">
        <f t="shared" si="0"/>
        <v>329840</v>
      </c>
    </row>
    <row r="29" spans="1:16" ht="26.25" customHeight="1" x14ac:dyDescent="0.2">
      <c r="A29" s="100"/>
      <c r="B29" s="100"/>
      <c r="C29" s="65" t="s">
        <v>2453</v>
      </c>
      <c r="D29" s="70" t="s">
        <v>57</v>
      </c>
      <c r="E29" s="12">
        <v>44545</v>
      </c>
      <c r="F29" s="68" t="s">
        <v>59</v>
      </c>
      <c r="G29" s="12">
        <v>44552</v>
      </c>
      <c r="H29" s="69" t="s">
        <v>2130</v>
      </c>
      <c r="I29" s="15">
        <v>100</v>
      </c>
      <c r="J29" s="15">
        <v>60</v>
      </c>
      <c r="K29" s="15">
        <v>28</v>
      </c>
      <c r="L29" s="15">
        <v>9</v>
      </c>
      <c r="M29" s="73">
        <v>42</v>
      </c>
      <c r="N29" s="104">
        <v>42</v>
      </c>
      <c r="O29" s="57">
        <v>7000</v>
      </c>
      <c r="P29" s="58">
        <f t="shared" si="0"/>
        <v>294000</v>
      </c>
    </row>
    <row r="30" spans="1:16" ht="26.25" customHeight="1" x14ac:dyDescent="0.2">
      <c r="A30" s="100"/>
      <c r="B30" s="100"/>
      <c r="C30" s="65" t="s">
        <v>2454</v>
      </c>
      <c r="D30" s="70" t="s">
        <v>57</v>
      </c>
      <c r="E30" s="12">
        <v>44545</v>
      </c>
      <c r="F30" s="68" t="s">
        <v>59</v>
      </c>
      <c r="G30" s="12">
        <v>44552</v>
      </c>
      <c r="H30" s="69" t="s">
        <v>2130</v>
      </c>
      <c r="I30" s="15">
        <v>87</v>
      </c>
      <c r="J30" s="15">
        <v>62</v>
      </c>
      <c r="K30" s="15">
        <v>34</v>
      </c>
      <c r="L30" s="15">
        <v>11</v>
      </c>
      <c r="M30" s="73">
        <v>45.848999999999997</v>
      </c>
      <c r="N30" s="104">
        <v>45.848999999999997</v>
      </c>
      <c r="O30" s="57">
        <v>7000</v>
      </c>
      <c r="P30" s="58">
        <f t="shared" si="0"/>
        <v>320943</v>
      </c>
    </row>
    <row r="31" spans="1:16" ht="26.25" customHeight="1" x14ac:dyDescent="0.2">
      <c r="A31" s="100"/>
      <c r="B31" s="100"/>
      <c r="C31" s="65" t="s">
        <v>2455</v>
      </c>
      <c r="D31" s="70" t="s">
        <v>57</v>
      </c>
      <c r="E31" s="12">
        <v>44545</v>
      </c>
      <c r="F31" s="68" t="s">
        <v>59</v>
      </c>
      <c r="G31" s="12">
        <v>44552</v>
      </c>
      <c r="H31" s="69" t="s">
        <v>2130</v>
      </c>
      <c r="I31" s="15">
        <v>56</v>
      </c>
      <c r="J31" s="15">
        <v>43</v>
      </c>
      <c r="K31" s="15">
        <v>21</v>
      </c>
      <c r="L31" s="15">
        <v>2</v>
      </c>
      <c r="M31" s="73">
        <v>12.641999999999999</v>
      </c>
      <c r="N31" s="104">
        <v>12.641999999999999</v>
      </c>
      <c r="O31" s="57">
        <v>7000</v>
      </c>
      <c r="P31" s="58">
        <f t="shared" si="0"/>
        <v>88494</v>
      </c>
    </row>
    <row r="32" spans="1:16" ht="26.25" customHeight="1" x14ac:dyDescent="0.2">
      <c r="A32" s="100"/>
      <c r="B32" s="100"/>
      <c r="C32" s="65" t="s">
        <v>2456</v>
      </c>
      <c r="D32" s="70" t="s">
        <v>57</v>
      </c>
      <c r="E32" s="12">
        <v>44545</v>
      </c>
      <c r="F32" s="68" t="s">
        <v>59</v>
      </c>
      <c r="G32" s="12">
        <v>44552</v>
      </c>
      <c r="H32" s="69" t="s">
        <v>2130</v>
      </c>
      <c r="I32" s="15">
        <v>64</v>
      </c>
      <c r="J32" s="15">
        <v>54</v>
      </c>
      <c r="K32" s="15">
        <v>13</v>
      </c>
      <c r="L32" s="15">
        <v>18</v>
      </c>
      <c r="M32" s="73">
        <v>11.231999999999999</v>
      </c>
      <c r="N32" s="104">
        <v>18</v>
      </c>
      <c r="O32" s="57">
        <v>7000</v>
      </c>
      <c r="P32" s="58">
        <f t="shared" si="0"/>
        <v>126000</v>
      </c>
    </row>
    <row r="33" spans="1:16" ht="26.25" customHeight="1" x14ac:dyDescent="0.2">
      <c r="A33" s="100"/>
      <c r="B33" s="100"/>
      <c r="C33" s="65" t="s">
        <v>2457</v>
      </c>
      <c r="D33" s="70" t="s">
        <v>57</v>
      </c>
      <c r="E33" s="12">
        <v>44545</v>
      </c>
      <c r="F33" s="68" t="s">
        <v>59</v>
      </c>
      <c r="G33" s="12">
        <v>44552</v>
      </c>
      <c r="H33" s="69" t="s">
        <v>2130</v>
      </c>
      <c r="I33" s="15">
        <v>70</v>
      </c>
      <c r="J33" s="15">
        <v>54</v>
      </c>
      <c r="K33" s="15">
        <v>23</v>
      </c>
      <c r="L33" s="15">
        <v>3</v>
      </c>
      <c r="M33" s="73">
        <v>21.734999999999999</v>
      </c>
      <c r="N33" s="104">
        <v>21.734999999999999</v>
      </c>
      <c r="O33" s="57">
        <v>7000</v>
      </c>
      <c r="P33" s="58">
        <f t="shared" si="0"/>
        <v>152145</v>
      </c>
    </row>
    <row r="34" spans="1:16" ht="26.25" customHeight="1" x14ac:dyDescent="0.2">
      <c r="A34" s="100"/>
      <c r="B34" s="100"/>
      <c r="C34" s="65" t="s">
        <v>2458</v>
      </c>
      <c r="D34" s="70" t="s">
        <v>57</v>
      </c>
      <c r="E34" s="12">
        <v>44545</v>
      </c>
      <c r="F34" s="68" t="s">
        <v>59</v>
      </c>
      <c r="G34" s="12">
        <v>44552</v>
      </c>
      <c r="H34" s="69" t="s">
        <v>2130</v>
      </c>
      <c r="I34" s="15">
        <v>87</v>
      </c>
      <c r="J34" s="15">
        <v>68</v>
      </c>
      <c r="K34" s="15">
        <v>32</v>
      </c>
      <c r="L34" s="15">
        <v>3</v>
      </c>
      <c r="M34" s="73">
        <v>47.328000000000003</v>
      </c>
      <c r="N34" s="104">
        <v>48</v>
      </c>
      <c r="O34" s="57">
        <v>7000</v>
      </c>
      <c r="P34" s="58">
        <f t="shared" si="0"/>
        <v>336000</v>
      </c>
    </row>
    <row r="35" spans="1:16" ht="26.25" customHeight="1" x14ac:dyDescent="0.2">
      <c r="A35" s="100"/>
      <c r="B35" s="100"/>
      <c r="C35" s="65" t="s">
        <v>2459</v>
      </c>
      <c r="D35" s="70" t="s">
        <v>57</v>
      </c>
      <c r="E35" s="12">
        <v>44545</v>
      </c>
      <c r="F35" s="68" t="s">
        <v>59</v>
      </c>
      <c r="G35" s="12">
        <v>44552</v>
      </c>
      <c r="H35" s="69" t="s">
        <v>2130</v>
      </c>
      <c r="I35" s="15">
        <v>64</v>
      </c>
      <c r="J35" s="15">
        <v>34</v>
      </c>
      <c r="K35" s="15">
        <v>12</v>
      </c>
      <c r="L35" s="15">
        <v>5</v>
      </c>
      <c r="M35" s="73">
        <v>6.5279999999999996</v>
      </c>
      <c r="N35" s="104">
        <v>6.5279999999999996</v>
      </c>
      <c r="O35" s="57">
        <v>7000</v>
      </c>
      <c r="P35" s="58">
        <f t="shared" si="0"/>
        <v>45696</v>
      </c>
    </row>
    <row r="36" spans="1:16" ht="26.25" customHeight="1" x14ac:dyDescent="0.2">
      <c r="A36" s="100"/>
      <c r="B36" s="100"/>
      <c r="C36" s="65" t="s">
        <v>2460</v>
      </c>
      <c r="D36" s="70" t="s">
        <v>57</v>
      </c>
      <c r="E36" s="12">
        <v>44545</v>
      </c>
      <c r="F36" s="68" t="s">
        <v>59</v>
      </c>
      <c r="G36" s="12">
        <v>44552</v>
      </c>
      <c r="H36" s="69" t="s">
        <v>2130</v>
      </c>
      <c r="I36" s="15">
        <v>45</v>
      </c>
      <c r="J36" s="15">
        <v>38</v>
      </c>
      <c r="K36" s="15">
        <v>19</v>
      </c>
      <c r="L36" s="15">
        <v>3</v>
      </c>
      <c r="M36" s="73">
        <v>8.1225000000000005</v>
      </c>
      <c r="N36" s="104">
        <v>8.1225000000000005</v>
      </c>
      <c r="O36" s="57">
        <v>7000</v>
      </c>
      <c r="P36" s="58">
        <f t="shared" si="0"/>
        <v>56857.5</v>
      </c>
    </row>
    <row r="37" spans="1:16" ht="26.25" customHeight="1" x14ac:dyDescent="0.2">
      <c r="A37" s="100"/>
      <c r="B37" s="100"/>
      <c r="C37" s="65" t="s">
        <v>2461</v>
      </c>
      <c r="D37" s="70" t="s">
        <v>57</v>
      </c>
      <c r="E37" s="12">
        <v>44545</v>
      </c>
      <c r="F37" s="68" t="s">
        <v>59</v>
      </c>
      <c r="G37" s="12">
        <v>44552</v>
      </c>
      <c r="H37" s="69" t="s">
        <v>2130</v>
      </c>
      <c r="I37" s="15">
        <v>92</v>
      </c>
      <c r="J37" s="15">
        <v>65</v>
      </c>
      <c r="K37" s="15">
        <v>36</v>
      </c>
      <c r="L37" s="15">
        <v>8</v>
      </c>
      <c r="M37" s="73">
        <v>53.82</v>
      </c>
      <c r="N37" s="104">
        <v>53.82</v>
      </c>
      <c r="O37" s="57">
        <v>7000</v>
      </c>
      <c r="P37" s="58">
        <f t="shared" si="0"/>
        <v>376740</v>
      </c>
    </row>
    <row r="38" spans="1:16" ht="26.25" customHeight="1" x14ac:dyDescent="0.2">
      <c r="A38" s="100"/>
      <c r="B38" s="100"/>
      <c r="C38" s="65" t="s">
        <v>2462</v>
      </c>
      <c r="D38" s="70" t="s">
        <v>57</v>
      </c>
      <c r="E38" s="12">
        <v>44545</v>
      </c>
      <c r="F38" s="68" t="s">
        <v>59</v>
      </c>
      <c r="G38" s="12">
        <v>44552</v>
      </c>
      <c r="H38" s="69" t="s">
        <v>2130</v>
      </c>
      <c r="I38" s="15">
        <v>57</v>
      </c>
      <c r="J38" s="15">
        <v>54</v>
      </c>
      <c r="K38" s="15">
        <v>12</v>
      </c>
      <c r="L38" s="15">
        <v>2</v>
      </c>
      <c r="M38" s="73">
        <v>9.234</v>
      </c>
      <c r="N38" s="104">
        <v>9.234</v>
      </c>
      <c r="O38" s="57">
        <v>7000</v>
      </c>
      <c r="P38" s="58">
        <f t="shared" si="0"/>
        <v>64638</v>
      </c>
    </row>
    <row r="39" spans="1:16" ht="26.25" customHeight="1" x14ac:dyDescent="0.2">
      <c r="A39" s="100"/>
      <c r="B39" s="100"/>
      <c r="C39" s="65" t="s">
        <v>2463</v>
      </c>
      <c r="D39" s="70" t="s">
        <v>57</v>
      </c>
      <c r="E39" s="12">
        <v>44545</v>
      </c>
      <c r="F39" s="68" t="s">
        <v>59</v>
      </c>
      <c r="G39" s="12">
        <v>44552</v>
      </c>
      <c r="H39" s="69" t="s">
        <v>2130</v>
      </c>
      <c r="I39" s="15">
        <v>45</v>
      </c>
      <c r="J39" s="15">
        <v>38</v>
      </c>
      <c r="K39" s="15">
        <v>25</v>
      </c>
      <c r="L39" s="15">
        <v>4</v>
      </c>
      <c r="M39" s="73">
        <v>10.6875</v>
      </c>
      <c r="N39" s="104">
        <v>10.6875</v>
      </c>
      <c r="O39" s="57">
        <v>7000</v>
      </c>
      <c r="P39" s="58">
        <f t="shared" si="0"/>
        <v>74812.5</v>
      </c>
    </row>
    <row r="40" spans="1:16" ht="26.25" customHeight="1" x14ac:dyDescent="0.2">
      <c r="A40" s="100"/>
      <c r="B40" s="100"/>
      <c r="C40" s="65" t="s">
        <v>2464</v>
      </c>
      <c r="D40" s="70" t="s">
        <v>57</v>
      </c>
      <c r="E40" s="12">
        <v>44545</v>
      </c>
      <c r="F40" s="68" t="s">
        <v>59</v>
      </c>
      <c r="G40" s="12">
        <v>44552</v>
      </c>
      <c r="H40" s="69" t="s">
        <v>2130</v>
      </c>
      <c r="I40" s="15">
        <v>67</v>
      </c>
      <c r="J40" s="15">
        <v>43</v>
      </c>
      <c r="K40" s="15">
        <v>15</v>
      </c>
      <c r="L40" s="15">
        <v>5</v>
      </c>
      <c r="M40" s="73">
        <v>10.803750000000001</v>
      </c>
      <c r="N40" s="104">
        <v>10.803750000000001</v>
      </c>
      <c r="O40" s="57">
        <v>7000</v>
      </c>
      <c r="P40" s="58">
        <f t="shared" si="0"/>
        <v>75626.25</v>
      </c>
    </row>
    <row r="41" spans="1:16" ht="26.25" customHeight="1" x14ac:dyDescent="0.2">
      <c r="A41" s="100"/>
      <c r="B41" s="100"/>
      <c r="C41" s="65" t="s">
        <v>2465</v>
      </c>
      <c r="D41" s="70" t="s">
        <v>57</v>
      </c>
      <c r="E41" s="12">
        <v>44545</v>
      </c>
      <c r="F41" s="68" t="s">
        <v>59</v>
      </c>
      <c r="G41" s="12">
        <v>44552</v>
      </c>
      <c r="H41" s="69" t="s">
        <v>2130</v>
      </c>
      <c r="I41" s="15">
        <v>50</v>
      </c>
      <c r="J41" s="15">
        <v>50</v>
      </c>
      <c r="K41" s="15">
        <v>10</v>
      </c>
      <c r="L41" s="15">
        <v>3</v>
      </c>
      <c r="M41" s="73">
        <v>6.25</v>
      </c>
      <c r="N41" s="104">
        <v>6.25</v>
      </c>
      <c r="O41" s="57">
        <v>7000</v>
      </c>
      <c r="P41" s="58">
        <f t="shared" si="0"/>
        <v>43750</v>
      </c>
    </row>
    <row r="42" spans="1:16" ht="26.25" customHeight="1" x14ac:dyDescent="0.2">
      <c r="A42" s="100"/>
      <c r="B42" s="100"/>
      <c r="C42" s="65" t="s">
        <v>2466</v>
      </c>
      <c r="D42" s="70" t="s">
        <v>57</v>
      </c>
      <c r="E42" s="12">
        <v>44545</v>
      </c>
      <c r="F42" s="68" t="s">
        <v>59</v>
      </c>
      <c r="G42" s="12">
        <v>44552</v>
      </c>
      <c r="H42" s="69" t="s">
        <v>2130</v>
      </c>
      <c r="I42" s="15">
        <v>50</v>
      </c>
      <c r="J42" s="15">
        <v>50</v>
      </c>
      <c r="K42" s="15">
        <v>20</v>
      </c>
      <c r="L42" s="15">
        <v>6</v>
      </c>
      <c r="M42" s="73">
        <v>12.5</v>
      </c>
      <c r="N42" s="104">
        <v>14</v>
      </c>
      <c r="O42" s="57">
        <v>7000</v>
      </c>
      <c r="P42" s="58">
        <f t="shared" si="0"/>
        <v>98000</v>
      </c>
    </row>
    <row r="43" spans="1:16" ht="26.25" customHeight="1" x14ac:dyDescent="0.2">
      <c r="A43" s="100"/>
      <c r="B43" s="100"/>
      <c r="C43" s="65" t="s">
        <v>2467</v>
      </c>
      <c r="D43" s="70" t="s">
        <v>57</v>
      </c>
      <c r="E43" s="12">
        <v>44545</v>
      </c>
      <c r="F43" s="68" t="s">
        <v>59</v>
      </c>
      <c r="G43" s="12">
        <v>44552</v>
      </c>
      <c r="H43" s="69" t="s">
        <v>2130</v>
      </c>
      <c r="I43" s="15">
        <v>90</v>
      </c>
      <c r="J43" s="15">
        <v>60</v>
      </c>
      <c r="K43" s="15">
        <v>25</v>
      </c>
      <c r="L43" s="15">
        <v>10</v>
      </c>
      <c r="M43" s="73">
        <v>33.75</v>
      </c>
      <c r="N43" s="104">
        <v>33.75</v>
      </c>
      <c r="O43" s="57">
        <v>7000</v>
      </c>
      <c r="P43" s="58">
        <f t="shared" si="0"/>
        <v>236250</v>
      </c>
    </row>
    <row r="44" spans="1:16" ht="26.25" customHeight="1" x14ac:dyDescent="0.2">
      <c r="A44" s="100"/>
      <c r="B44" s="100"/>
      <c r="C44" s="65" t="s">
        <v>2468</v>
      </c>
      <c r="D44" s="70" t="s">
        <v>57</v>
      </c>
      <c r="E44" s="12">
        <v>44545</v>
      </c>
      <c r="F44" s="68" t="s">
        <v>59</v>
      </c>
      <c r="G44" s="12">
        <v>44552</v>
      </c>
      <c r="H44" s="69" t="s">
        <v>2130</v>
      </c>
      <c r="I44" s="15">
        <v>60</v>
      </c>
      <c r="J44" s="15">
        <v>35</v>
      </c>
      <c r="K44" s="15">
        <v>12</v>
      </c>
      <c r="L44" s="15">
        <v>6</v>
      </c>
      <c r="M44" s="73">
        <v>6.3</v>
      </c>
      <c r="N44" s="104">
        <v>7</v>
      </c>
      <c r="O44" s="57">
        <v>7000</v>
      </c>
      <c r="P44" s="58">
        <f t="shared" si="0"/>
        <v>49000</v>
      </c>
    </row>
    <row r="45" spans="1:16" ht="26.25" customHeight="1" x14ac:dyDescent="0.2">
      <c r="A45" s="100"/>
      <c r="B45" s="100"/>
      <c r="C45" s="65" t="s">
        <v>2469</v>
      </c>
      <c r="D45" s="70" t="s">
        <v>57</v>
      </c>
      <c r="E45" s="12">
        <v>44545</v>
      </c>
      <c r="F45" s="68" t="s">
        <v>59</v>
      </c>
      <c r="G45" s="12">
        <v>44552</v>
      </c>
      <c r="H45" s="69" t="s">
        <v>2130</v>
      </c>
      <c r="I45" s="15">
        <v>50</v>
      </c>
      <c r="J45" s="15">
        <v>22</v>
      </c>
      <c r="K45" s="15">
        <v>26</v>
      </c>
      <c r="L45" s="15">
        <v>6</v>
      </c>
      <c r="M45" s="73">
        <v>7.15</v>
      </c>
      <c r="N45" s="104">
        <v>7.15</v>
      </c>
      <c r="O45" s="57">
        <v>7000</v>
      </c>
      <c r="P45" s="58">
        <f t="shared" si="0"/>
        <v>50050</v>
      </c>
    </row>
    <row r="46" spans="1:16" ht="26.25" customHeight="1" x14ac:dyDescent="0.2">
      <c r="A46" s="100"/>
      <c r="B46" s="100"/>
      <c r="C46" s="65" t="s">
        <v>2470</v>
      </c>
      <c r="D46" s="70" t="s">
        <v>57</v>
      </c>
      <c r="E46" s="12">
        <v>44545</v>
      </c>
      <c r="F46" s="68" t="s">
        <v>59</v>
      </c>
      <c r="G46" s="12">
        <v>44552</v>
      </c>
      <c r="H46" s="69" t="s">
        <v>2130</v>
      </c>
      <c r="I46" s="15">
        <v>50</v>
      </c>
      <c r="J46" s="15">
        <v>40</v>
      </c>
      <c r="K46" s="15">
        <v>20</v>
      </c>
      <c r="L46" s="15">
        <v>5</v>
      </c>
      <c r="M46" s="73">
        <v>10</v>
      </c>
      <c r="N46" s="104">
        <v>10</v>
      </c>
      <c r="O46" s="57">
        <v>7000</v>
      </c>
      <c r="P46" s="58">
        <f t="shared" si="0"/>
        <v>70000</v>
      </c>
    </row>
    <row r="47" spans="1:16" ht="26.25" customHeight="1" x14ac:dyDescent="0.2">
      <c r="A47" s="100"/>
      <c r="B47" s="100"/>
      <c r="C47" s="65" t="s">
        <v>2471</v>
      </c>
      <c r="D47" s="70" t="s">
        <v>57</v>
      </c>
      <c r="E47" s="12">
        <v>44545</v>
      </c>
      <c r="F47" s="68" t="s">
        <v>59</v>
      </c>
      <c r="G47" s="12">
        <v>44552</v>
      </c>
      <c r="H47" s="69" t="s">
        <v>2130</v>
      </c>
      <c r="I47" s="15">
        <v>54</v>
      </c>
      <c r="J47" s="15">
        <v>32</v>
      </c>
      <c r="K47" s="15">
        <v>12</v>
      </c>
      <c r="L47" s="15">
        <v>13</v>
      </c>
      <c r="M47" s="73">
        <v>5.1840000000000002</v>
      </c>
      <c r="N47" s="104">
        <v>13</v>
      </c>
      <c r="O47" s="57">
        <v>7000</v>
      </c>
      <c r="P47" s="58">
        <f t="shared" si="0"/>
        <v>91000</v>
      </c>
    </row>
    <row r="48" spans="1:16" ht="26.25" customHeight="1" x14ac:dyDescent="0.2">
      <c r="A48" s="100"/>
      <c r="B48" s="100"/>
      <c r="C48" s="65" t="s">
        <v>2472</v>
      </c>
      <c r="D48" s="70" t="s">
        <v>57</v>
      </c>
      <c r="E48" s="12">
        <v>44545</v>
      </c>
      <c r="F48" s="68" t="s">
        <v>59</v>
      </c>
      <c r="G48" s="12">
        <v>44552</v>
      </c>
      <c r="H48" s="69" t="s">
        <v>2130</v>
      </c>
      <c r="I48" s="15">
        <v>65</v>
      </c>
      <c r="J48" s="15">
        <v>53</v>
      </c>
      <c r="K48" s="15">
        <v>24</v>
      </c>
      <c r="L48" s="15">
        <v>3</v>
      </c>
      <c r="M48" s="73">
        <v>20.67</v>
      </c>
      <c r="N48" s="104">
        <v>20.67</v>
      </c>
      <c r="O48" s="57">
        <v>7000</v>
      </c>
      <c r="P48" s="58">
        <f t="shared" si="0"/>
        <v>144690</v>
      </c>
    </row>
    <row r="49" spans="1:16" ht="26.25" customHeight="1" x14ac:dyDescent="0.2">
      <c r="A49" s="100"/>
      <c r="B49" s="100"/>
      <c r="C49" s="65" t="s">
        <v>2473</v>
      </c>
      <c r="D49" s="70" t="s">
        <v>57</v>
      </c>
      <c r="E49" s="12">
        <v>44545</v>
      </c>
      <c r="F49" s="68" t="s">
        <v>59</v>
      </c>
      <c r="G49" s="12">
        <v>44552</v>
      </c>
      <c r="H49" s="69" t="s">
        <v>2130</v>
      </c>
      <c r="I49" s="15">
        <v>40</v>
      </c>
      <c r="J49" s="15">
        <v>40</v>
      </c>
      <c r="K49" s="15">
        <v>18</v>
      </c>
      <c r="L49" s="15">
        <v>2</v>
      </c>
      <c r="M49" s="73">
        <v>7.2</v>
      </c>
      <c r="N49" s="104">
        <v>7.2</v>
      </c>
      <c r="O49" s="57">
        <v>7000</v>
      </c>
      <c r="P49" s="58">
        <f t="shared" si="0"/>
        <v>50400</v>
      </c>
    </row>
    <row r="50" spans="1:16" ht="26.25" customHeight="1" x14ac:dyDescent="0.2">
      <c r="A50" s="100"/>
      <c r="B50" s="100"/>
      <c r="C50" s="65" t="s">
        <v>2474</v>
      </c>
      <c r="D50" s="70" t="s">
        <v>57</v>
      </c>
      <c r="E50" s="12">
        <v>44545</v>
      </c>
      <c r="F50" s="68" t="s">
        <v>59</v>
      </c>
      <c r="G50" s="12">
        <v>44552</v>
      </c>
      <c r="H50" s="69" t="s">
        <v>2130</v>
      </c>
      <c r="I50" s="15">
        <v>27</v>
      </c>
      <c r="J50" s="15">
        <v>20</v>
      </c>
      <c r="K50" s="15">
        <v>12</v>
      </c>
      <c r="L50" s="15">
        <v>1</v>
      </c>
      <c r="M50" s="73">
        <v>1.62</v>
      </c>
      <c r="N50" s="104">
        <v>1.62</v>
      </c>
      <c r="O50" s="57">
        <v>7000</v>
      </c>
      <c r="P50" s="58">
        <f t="shared" si="0"/>
        <v>11340</v>
      </c>
    </row>
    <row r="51" spans="1:16" ht="26.25" customHeight="1" x14ac:dyDescent="0.2">
      <c r="A51" s="100"/>
      <c r="B51" s="100"/>
      <c r="C51" s="65" t="s">
        <v>2475</v>
      </c>
      <c r="D51" s="70" t="s">
        <v>57</v>
      </c>
      <c r="E51" s="12">
        <v>44545</v>
      </c>
      <c r="F51" s="68" t="s">
        <v>59</v>
      </c>
      <c r="G51" s="12">
        <v>44552</v>
      </c>
      <c r="H51" s="69" t="s">
        <v>2130</v>
      </c>
      <c r="I51" s="15">
        <v>50</v>
      </c>
      <c r="J51" s="15">
        <v>55</v>
      </c>
      <c r="K51" s="15">
        <v>12</v>
      </c>
      <c r="L51" s="15">
        <v>7</v>
      </c>
      <c r="M51" s="73">
        <v>8.25</v>
      </c>
      <c r="N51" s="104">
        <v>8.25</v>
      </c>
      <c r="O51" s="57">
        <v>7000</v>
      </c>
      <c r="P51" s="58">
        <f t="shared" si="0"/>
        <v>57750</v>
      </c>
    </row>
    <row r="52" spans="1:16" ht="26.25" customHeight="1" x14ac:dyDescent="0.2">
      <c r="A52" s="100"/>
      <c r="B52" s="100"/>
      <c r="C52" s="65" t="s">
        <v>2476</v>
      </c>
      <c r="D52" s="70" t="s">
        <v>57</v>
      </c>
      <c r="E52" s="12">
        <v>44545</v>
      </c>
      <c r="F52" s="68" t="s">
        <v>59</v>
      </c>
      <c r="G52" s="12">
        <v>44552</v>
      </c>
      <c r="H52" s="69" t="s">
        <v>2130</v>
      </c>
      <c r="I52" s="15">
        <v>55</v>
      </c>
      <c r="J52" s="15">
        <v>45</v>
      </c>
      <c r="K52" s="15">
        <v>25</v>
      </c>
      <c r="L52" s="15">
        <v>5</v>
      </c>
      <c r="M52" s="73">
        <v>15.46875</v>
      </c>
      <c r="N52" s="104">
        <v>16</v>
      </c>
      <c r="O52" s="57">
        <v>7000</v>
      </c>
      <c r="P52" s="58">
        <f t="shared" si="0"/>
        <v>112000</v>
      </c>
    </row>
    <row r="53" spans="1:16" ht="26.25" customHeight="1" x14ac:dyDescent="0.2">
      <c r="A53" s="100"/>
      <c r="B53" s="100"/>
      <c r="C53" s="65" t="s">
        <v>2477</v>
      </c>
      <c r="D53" s="70" t="s">
        <v>57</v>
      </c>
      <c r="E53" s="12">
        <v>44545</v>
      </c>
      <c r="F53" s="68" t="s">
        <v>59</v>
      </c>
      <c r="G53" s="12">
        <v>44552</v>
      </c>
      <c r="H53" s="69" t="s">
        <v>2130</v>
      </c>
      <c r="I53" s="15">
        <v>47</v>
      </c>
      <c r="J53" s="15">
        <v>45</v>
      </c>
      <c r="K53" s="15">
        <v>10</v>
      </c>
      <c r="L53" s="15">
        <v>2</v>
      </c>
      <c r="M53" s="73">
        <v>5.2874999999999996</v>
      </c>
      <c r="N53" s="104">
        <v>5.2874999999999996</v>
      </c>
      <c r="O53" s="57">
        <v>7000</v>
      </c>
      <c r="P53" s="58">
        <f t="shared" si="0"/>
        <v>37012.5</v>
      </c>
    </row>
    <row r="54" spans="1:16" ht="26.25" customHeight="1" x14ac:dyDescent="0.2">
      <c r="A54" s="100"/>
      <c r="B54" s="100"/>
      <c r="C54" s="65" t="s">
        <v>2478</v>
      </c>
      <c r="D54" s="70" t="s">
        <v>57</v>
      </c>
      <c r="E54" s="12">
        <v>44545</v>
      </c>
      <c r="F54" s="68" t="s">
        <v>59</v>
      </c>
      <c r="G54" s="12">
        <v>44552</v>
      </c>
      <c r="H54" s="69" t="s">
        <v>2130</v>
      </c>
      <c r="I54" s="15">
        <v>70</v>
      </c>
      <c r="J54" s="15">
        <v>52</v>
      </c>
      <c r="K54" s="15">
        <v>24</v>
      </c>
      <c r="L54" s="15">
        <v>7</v>
      </c>
      <c r="M54" s="73">
        <v>21.84</v>
      </c>
      <c r="N54" s="104">
        <v>21.84</v>
      </c>
      <c r="O54" s="57">
        <v>7000</v>
      </c>
      <c r="P54" s="58">
        <f t="shared" si="0"/>
        <v>152880</v>
      </c>
    </row>
    <row r="55" spans="1:16" ht="26.25" customHeight="1" x14ac:dyDescent="0.2">
      <c r="A55" s="100"/>
      <c r="B55" s="100"/>
      <c r="C55" s="65" t="s">
        <v>2479</v>
      </c>
      <c r="D55" s="70" t="s">
        <v>57</v>
      </c>
      <c r="E55" s="12">
        <v>44545</v>
      </c>
      <c r="F55" s="68" t="s">
        <v>59</v>
      </c>
      <c r="G55" s="12">
        <v>44552</v>
      </c>
      <c r="H55" s="69" t="s">
        <v>2130</v>
      </c>
      <c r="I55" s="15">
        <v>80</v>
      </c>
      <c r="J55" s="15">
        <v>60</v>
      </c>
      <c r="K55" s="15">
        <v>25</v>
      </c>
      <c r="L55" s="15">
        <v>5</v>
      </c>
      <c r="M55" s="73">
        <v>30</v>
      </c>
      <c r="N55" s="104">
        <v>30</v>
      </c>
      <c r="O55" s="57">
        <v>7000</v>
      </c>
      <c r="P55" s="58">
        <f t="shared" si="0"/>
        <v>210000</v>
      </c>
    </row>
    <row r="56" spans="1:16" ht="26.25" customHeight="1" x14ac:dyDescent="0.2">
      <c r="A56" s="100"/>
      <c r="B56" s="100"/>
      <c r="C56" s="65" t="s">
        <v>2480</v>
      </c>
      <c r="D56" s="70" t="s">
        <v>57</v>
      </c>
      <c r="E56" s="12">
        <v>44545</v>
      </c>
      <c r="F56" s="68" t="s">
        <v>59</v>
      </c>
      <c r="G56" s="12">
        <v>44552</v>
      </c>
      <c r="H56" s="69" t="s">
        <v>2130</v>
      </c>
      <c r="I56" s="15">
        <v>110</v>
      </c>
      <c r="J56" s="15">
        <v>30</v>
      </c>
      <c r="K56" s="15">
        <v>10</v>
      </c>
      <c r="L56" s="15">
        <v>13</v>
      </c>
      <c r="M56" s="73">
        <v>8.25</v>
      </c>
      <c r="N56" s="104">
        <v>13</v>
      </c>
      <c r="O56" s="57">
        <v>7000</v>
      </c>
      <c r="P56" s="58">
        <f t="shared" si="0"/>
        <v>91000</v>
      </c>
    </row>
    <row r="57" spans="1:16" ht="26.25" customHeight="1" x14ac:dyDescent="0.2">
      <c r="A57" s="100"/>
      <c r="B57" s="100"/>
      <c r="C57" s="65" t="s">
        <v>2481</v>
      </c>
      <c r="D57" s="70" t="s">
        <v>57</v>
      </c>
      <c r="E57" s="12">
        <v>44545</v>
      </c>
      <c r="F57" s="68" t="s">
        <v>59</v>
      </c>
      <c r="G57" s="12">
        <v>44552</v>
      </c>
      <c r="H57" s="69" t="s">
        <v>2130</v>
      </c>
      <c r="I57" s="15">
        <v>182</v>
      </c>
      <c r="J57" s="15">
        <v>10</v>
      </c>
      <c r="K57" s="15">
        <v>10</v>
      </c>
      <c r="L57" s="15">
        <v>1</v>
      </c>
      <c r="M57" s="73">
        <v>4.55</v>
      </c>
      <c r="N57" s="104">
        <v>4.55</v>
      </c>
      <c r="O57" s="57">
        <v>7000</v>
      </c>
      <c r="P57" s="58">
        <f t="shared" si="0"/>
        <v>31850</v>
      </c>
    </row>
    <row r="58" spans="1:16" ht="26.25" customHeight="1" x14ac:dyDescent="0.2">
      <c r="A58" s="100"/>
      <c r="B58" s="101"/>
      <c r="C58" s="65" t="s">
        <v>2482</v>
      </c>
      <c r="D58" s="70" t="s">
        <v>57</v>
      </c>
      <c r="E58" s="12">
        <v>44545</v>
      </c>
      <c r="F58" s="68" t="s">
        <v>59</v>
      </c>
      <c r="G58" s="12">
        <v>44552</v>
      </c>
      <c r="H58" s="69" t="s">
        <v>2130</v>
      </c>
      <c r="I58" s="15">
        <v>85</v>
      </c>
      <c r="J58" s="15">
        <v>54</v>
      </c>
      <c r="K58" s="15">
        <v>27</v>
      </c>
      <c r="L58" s="15">
        <v>11</v>
      </c>
      <c r="M58" s="73">
        <v>30.982500000000002</v>
      </c>
      <c r="N58" s="104">
        <v>30.982500000000002</v>
      </c>
      <c r="O58" s="57">
        <v>7000</v>
      </c>
      <c r="P58" s="58">
        <f t="shared" si="0"/>
        <v>216877.5</v>
      </c>
    </row>
    <row r="59" spans="1:16" ht="26.25" customHeight="1" x14ac:dyDescent="0.2">
      <c r="A59" s="100"/>
      <c r="B59" s="165" t="s">
        <v>2483</v>
      </c>
      <c r="C59" s="65" t="s">
        <v>2484</v>
      </c>
      <c r="D59" s="70" t="s">
        <v>57</v>
      </c>
      <c r="E59" s="12">
        <v>44545</v>
      </c>
      <c r="F59" s="68" t="s">
        <v>59</v>
      </c>
      <c r="G59" s="12">
        <v>44552</v>
      </c>
      <c r="H59" s="69" t="s">
        <v>2130</v>
      </c>
      <c r="I59" s="15">
        <v>76</v>
      </c>
      <c r="J59" s="15">
        <v>45</v>
      </c>
      <c r="K59" s="15">
        <v>17</v>
      </c>
      <c r="L59" s="15">
        <v>10</v>
      </c>
      <c r="M59" s="73">
        <v>14.535</v>
      </c>
      <c r="N59" s="104">
        <v>14.535</v>
      </c>
      <c r="O59" s="57">
        <v>7000</v>
      </c>
      <c r="P59" s="58">
        <f t="shared" si="0"/>
        <v>101745</v>
      </c>
    </row>
    <row r="60" spans="1:16" ht="26.25" customHeight="1" x14ac:dyDescent="0.2">
      <c r="A60" s="100"/>
      <c r="B60" s="165" t="s">
        <v>2485</v>
      </c>
      <c r="C60" s="65" t="s">
        <v>2486</v>
      </c>
      <c r="D60" s="70" t="s">
        <v>57</v>
      </c>
      <c r="E60" s="12">
        <v>44545</v>
      </c>
      <c r="F60" s="68" t="s">
        <v>59</v>
      </c>
      <c r="G60" s="12">
        <v>44552</v>
      </c>
      <c r="H60" s="69" t="s">
        <v>2130</v>
      </c>
      <c r="I60" s="15">
        <v>70</v>
      </c>
      <c r="J60" s="15">
        <v>62</v>
      </c>
      <c r="K60" s="15">
        <v>13</v>
      </c>
      <c r="L60" s="15">
        <v>7</v>
      </c>
      <c r="M60" s="73">
        <v>14.105</v>
      </c>
      <c r="N60" s="104">
        <v>14.105</v>
      </c>
      <c r="O60" s="57">
        <v>7000</v>
      </c>
      <c r="P60" s="58">
        <f t="shared" si="0"/>
        <v>98735</v>
      </c>
    </row>
    <row r="61" spans="1:16" ht="26.25" customHeight="1" x14ac:dyDescent="0.2">
      <c r="A61" s="100"/>
      <c r="B61" s="90" t="s">
        <v>2487</v>
      </c>
      <c r="C61" s="65" t="s">
        <v>2488</v>
      </c>
      <c r="D61" s="70" t="s">
        <v>57</v>
      </c>
      <c r="E61" s="12">
        <v>44545</v>
      </c>
      <c r="F61" s="68" t="s">
        <v>59</v>
      </c>
      <c r="G61" s="12">
        <v>44548</v>
      </c>
      <c r="H61" s="69" t="s">
        <v>1631</v>
      </c>
      <c r="I61" s="15">
        <v>85</v>
      </c>
      <c r="J61" s="15">
        <v>58</v>
      </c>
      <c r="K61" s="15">
        <v>22</v>
      </c>
      <c r="L61" s="15">
        <v>14</v>
      </c>
      <c r="M61" s="73">
        <v>27.114999999999998</v>
      </c>
      <c r="N61" s="104">
        <v>27.114999999999998</v>
      </c>
      <c r="O61" s="57">
        <v>7000</v>
      </c>
      <c r="P61" s="58">
        <f t="shared" si="0"/>
        <v>189805</v>
      </c>
    </row>
    <row r="62" spans="1:16" ht="22.5" customHeight="1" x14ac:dyDescent="0.2">
      <c r="A62" s="159" t="s">
        <v>30</v>
      </c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1"/>
      <c r="M62" s="71">
        <f>SUBTOTAL(109,Table22457891011234567891011121314151617181920212223242526272829303132333435373839404142[KG VOLUME])</f>
        <v>1333.1827500000002</v>
      </c>
      <c r="N62" s="61">
        <f>SUM(N3:N61)</f>
        <v>1369.0762500000001</v>
      </c>
      <c r="O62" s="162">
        <f>SUM(P3:P61)</f>
        <v>9583533.75</v>
      </c>
      <c r="P62" s="163"/>
    </row>
    <row r="63" spans="1:16" ht="18" customHeight="1" x14ac:dyDescent="0.2">
      <c r="A63" s="78"/>
      <c r="B63" s="49" t="s">
        <v>42</v>
      </c>
      <c r="C63" s="48"/>
      <c r="D63" s="50" t="s">
        <v>43</v>
      </c>
      <c r="E63" s="78"/>
      <c r="F63" s="78"/>
      <c r="G63" s="78"/>
      <c r="H63" s="78"/>
      <c r="I63" s="78"/>
      <c r="J63" s="78"/>
      <c r="K63" s="78"/>
      <c r="L63" s="78"/>
      <c r="M63" s="79"/>
      <c r="N63" s="80" t="s">
        <v>52</v>
      </c>
      <c r="O63" s="81"/>
      <c r="P63" s="81">
        <v>0</v>
      </c>
    </row>
    <row r="64" spans="1:16" ht="18" customHeight="1" thickBot="1" x14ac:dyDescent="0.25">
      <c r="A64" s="78"/>
      <c r="B64" s="49"/>
      <c r="C64" s="48"/>
      <c r="D64" s="50"/>
      <c r="E64" s="78"/>
      <c r="F64" s="78"/>
      <c r="G64" s="78"/>
      <c r="H64" s="78"/>
      <c r="I64" s="78"/>
      <c r="J64" s="78"/>
      <c r="K64" s="78"/>
      <c r="L64" s="78"/>
      <c r="M64" s="79"/>
      <c r="N64" s="82" t="s">
        <v>53</v>
      </c>
      <c r="O64" s="83"/>
      <c r="P64" s="83">
        <f>O62-P63</f>
        <v>9583533.75</v>
      </c>
    </row>
    <row r="65" spans="1:16" ht="18" customHeight="1" x14ac:dyDescent="0.2">
      <c r="A65" s="10"/>
      <c r="H65" s="56"/>
      <c r="N65" s="55" t="s">
        <v>31</v>
      </c>
      <c r="P65" s="62">
        <f>P64*1%</f>
        <v>95835.337500000009</v>
      </c>
    </row>
    <row r="66" spans="1:16" ht="18" customHeight="1" thickBot="1" x14ac:dyDescent="0.25">
      <c r="A66" s="10"/>
      <c r="H66" s="56"/>
      <c r="N66" s="55" t="s">
        <v>54</v>
      </c>
      <c r="P66" s="64">
        <f>P64*2%</f>
        <v>191670.67500000002</v>
      </c>
    </row>
    <row r="67" spans="1:16" ht="18" customHeight="1" x14ac:dyDescent="0.2">
      <c r="A67" s="10"/>
      <c r="H67" s="56"/>
      <c r="N67" s="59" t="s">
        <v>32</v>
      </c>
      <c r="O67" s="60"/>
      <c r="P67" s="63">
        <f>P64+P65-P66</f>
        <v>9487698.4124999996</v>
      </c>
    </row>
    <row r="69" spans="1:16" x14ac:dyDescent="0.2">
      <c r="A69" s="10"/>
      <c r="H69" s="56"/>
      <c r="P69" s="64"/>
    </row>
    <row r="70" spans="1:16" x14ac:dyDescent="0.2">
      <c r="A70" s="10"/>
      <c r="H70" s="56"/>
      <c r="O70" s="51"/>
      <c r="P70" s="64"/>
    </row>
    <row r="71" spans="1:16" s="3" customFormat="1" x14ac:dyDescent="0.25">
      <c r="A71" s="10"/>
      <c r="B71" s="2"/>
      <c r="C71" s="2"/>
      <c r="E71" s="11"/>
      <c r="H71" s="56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6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6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6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6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6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6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6"/>
      <c r="N78" s="14"/>
      <c r="O78" s="14"/>
      <c r="P78" s="14"/>
    </row>
    <row r="79" spans="1:16" s="3" customFormat="1" x14ac:dyDescent="0.25">
      <c r="A79" s="10"/>
      <c r="B79" s="2"/>
      <c r="C79" s="2"/>
      <c r="E79" s="11"/>
      <c r="H79" s="56"/>
      <c r="N79" s="14"/>
      <c r="O79" s="14"/>
      <c r="P79" s="14"/>
    </row>
    <row r="80" spans="1:16" s="3" customFormat="1" x14ac:dyDescent="0.25">
      <c r="A80" s="10"/>
      <c r="B80" s="2"/>
      <c r="C80" s="2"/>
      <c r="E80" s="11"/>
      <c r="H80" s="56"/>
      <c r="N80" s="14"/>
      <c r="O80" s="14"/>
      <c r="P80" s="14"/>
    </row>
    <row r="81" spans="1:16" s="3" customFormat="1" x14ac:dyDescent="0.25">
      <c r="A81" s="10"/>
      <c r="B81" s="2"/>
      <c r="C81" s="2"/>
      <c r="E81" s="11"/>
      <c r="H81" s="56"/>
      <c r="N81" s="14"/>
      <c r="O81" s="14"/>
      <c r="P81" s="14"/>
    </row>
    <row r="82" spans="1:16" s="3" customFormat="1" x14ac:dyDescent="0.25">
      <c r="A82" s="10"/>
      <c r="B82" s="2"/>
      <c r="C82" s="2"/>
      <c r="E82" s="11"/>
      <c r="H82" s="56"/>
      <c r="N82" s="14"/>
      <c r="O82" s="14"/>
      <c r="P82" s="14"/>
    </row>
  </sheetData>
  <mergeCells count="2">
    <mergeCell ref="A62:L62"/>
    <mergeCell ref="O62:P62"/>
  </mergeCells>
  <conditionalFormatting sqref="C3:C61">
    <cfRule type="duplicateValues" dxfId="943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6"/>
  <sheetViews>
    <sheetView topLeftCell="A35" workbookViewId="0">
      <selection activeCell="M51" sqref="M5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403909</v>
      </c>
      <c r="B3" s="99" t="s">
        <v>2489</v>
      </c>
      <c r="C3" s="90" t="s">
        <v>2490</v>
      </c>
      <c r="D3" s="102" t="s">
        <v>57</v>
      </c>
      <c r="E3" s="91">
        <v>44545</v>
      </c>
      <c r="F3" s="102" t="s">
        <v>59</v>
      </c>
      <c r="G3" s="91">
        <v>44548</v>
      </c>
      <c r="H3" s="90" t="s">
        <v>1619</v>
      </c>
      <c r="I3" s="90">
        <v>68</v>
      </c>
      <c r="J3" s="90">
        <v>62</v>
      </c>
      <c r="K3" s="90">
        <v>35</v>
      </c>
      <c r="L3" s="90">
        <v>19</v>
      </c>
      <c r="M3" s="90">
        <v>36.89</v>
      </c>
      <c r="N3" s="104">
        <v>36.89</v>
      </c>
      <c r="O3" s="57">
        <v>7000</v>
      </c>
      <c r="P3" s="58">
        <f t="shared" ref="P3:P45" si="0">N3*O3</f>
        <v>258230</v>
      </c>
    </row>
    <row r="4" spans="1:16" ht="26.25" customHeight="1" x14ac:dyDescent="0.2">
      <c r="A4" s="100"/>
      <c r="B4" s="100"/>
      <c r="C4" s="90" t="s">
        <v>2491</v>
      </c>
      <c r="D4" s="102" t="s">
        <v>57</v>
      </c>
      <c r="E4" s="91">
        <v>44545</v>
      </c>
      <c r="F4" s="102" t="s">
        <v>59</v>
      </c>
      <c r="G4" s="91">
        <v>44548</v>
      </c>
      <c r="H4" s="90" t="s">
        <v>1619</v>
      </c>
      <c r="I4" s="90">
        <v>55</v>
      </c>
      <c r="J4" s="90">
        <v>45</v>
      </c>
      <c r="K4" s="90">
        <v>36</v>
      </c>
      <c r="L4" s="90">
        <v>9</v>
      </c>
      <c r="M4" s="90">
        <v>22.274999999999999</v>
      </c>
      <c r="N4" s="104">
        <v>22.274999999999999</v>
      </c>
      <c r="O4" s="57">
        <v>7000</v>
      </c>
      <c r="P4" s="58">
        <f t="shared" si="0"/>
        <v>155925</v>
      </c>
    </row>
    <row r="5" spans="1:16" ht="26.25" customHeight="1" x14ac:dyDescent="0.2">
      <c r="A5" s="100"/>
      <c r="B5" s="100"/>
      <c r="C5" s="90" t="s">
        <v>2492</v>
      </c>
      <c r="D5" s="102" t="s">
        <v>57</v>
      </c>
      <c r="E5" s="91">
        <v>44545</v>
      </c>
      <c r="F5" s="102" t="s">
        <v>59</v>
      </c>
      <c r="G5" s="91">
        <v>44548</v>
      </c>
      <c r="H5" s="90" t="s">
        <v>1619</v>
      </c>
      <c r="I5" s="90">
        <v>55</v>
      </c>
      <c r="J5" s="90">
        <v>41</v>
      </c>
      <c r="K5" s="90">
        <v>18</v>
      </c>
      <c r="L5" s="90">
        <v>4</v>
      </c>
      <c r="M5" s="90">
        <v>10.147500000000001</v>
      </c>
      <c r="N5" s="104">
        <v>10.147500000000001</v>
      </c>
      <c r="O5" s="57">
        <v>7000</v>
      </c>
      <c r="P5" s="58">
        <f t="shared" si="0"/>
        <v>71032.5</v>
      </c>
    </row>
    <row r="6" spans="1:16" ht="26.25" customHeight="1" x14ac:dyDescent="0.2">
      <c r="A6" s="100"/>
      <c r="B6" s="100"/>
      <c r="C6" s="90" t="s">
        <v>2493</v>
      </c>
      <c r="D6" s="102" t="s">
        <v>57</v>
      </c>
      <c r="E6" s="91">
        <v>44545</v>
      </c>
      <c r="F6" s="102" t="s">
        <v>59</v>
      </c>
      <c r="G6" s="91">
        <v>44548</v>
      </c>
      <c r="H6" s="90" t="s">
        <v>1619</v>
      </c>
      <c r="I6" s="90">
        <v>82</v>
      </c>
      <c r="J6" s="90">
        <v>40</v>
      </c>
      <c r="K6" s="90">
        <v>27</v>
      </c>
      <c r="L6" s="90">
        <v>3</v>
      </c>
      <c r="M6" s="90">
        <v>22.14</v>
      </c>
      <c r="N6" s="104">
        <v>22.14</v>
      </c>
      <c r="O6" s="57">
        <v>7000</v>
      </c>
      <c r="P6" s="58">
        <f t="shared" si="0"/>
        <v>154980</v>
      </c>
    </row>
    <row r="7" spans="1:16" ht="26.25" customHeight="1" x14ac:dyDescent="0.2">
      <c r="A7" s="100"/>
      <c r="B7" s="100"/>
      <c r="C7" s="65" t="s">
        <v>2494</v>
      </c>
      <c r="D7" s="70" t="s">
        <v>57</v>
      </c>
      <c r="E7" s="12">
        <v>44545</v>
      </c>
      <c r="F7" s="68" t="s">
        <v>59</v>
      </c>
      <c r="G7" s="12">
        <v>44548</v>
      </c>
      <c r="H7" s="69" t="s">
        <v>1619</v>
      </c>
      <c r="I7" s="15">
        <v>42</v>
      </c>
      <c r="J7" s="15">
        <v>32</v>
      </c>
      <c r="K7" s="15">
        <v>18</v>
      </c>
      <c r="L7" s="15">
        <v>6</v>
      </c>
      <c r="M7" s="73">
        <v>6.048</v>
      </c>
      <c r="N7" s="104">
        <v>6.048</v>
      </c>
      <c r="O7" s="57">
        <v>7000</v>
      </c>
      <c r="P7" s="58">
        <f t="shared" si="0"/>
        <v>42336</v>
      </c>
    </row>
    <row r="8" spans="1:16" ht="26.25" customHeight="1" x14ac:dyDescent="0.2">
      <c r="A8" s="100"/>
      <c r="B8" s="100"/>
      <c r="C8" s="65" t="s">
        <v>2495</v>
      </c>
      <c r="D8" s="70" t="s">
        <v>57</v>
      </c>
      <c r="E8" s="12">
        <v>44545</v>
      </c>
      <c r="F8" s="68" t="s">
        <v>59</v>
      </c>
      <c r="G8" s="12">
        <v>44548</v>
      </c>
      <c r="H8" s="69" t="s">
        <v>1619</v>
      </c>
      <c r="I8" s="15">
        <v>54</v>
      </c>
      <c r="J8" s="15">
        <v>17</v>
      </c>
      <c r="K8" s="15">
        <v>10</v>
      </c>
      <c r="L8" s="15">
        <v>2</v>
      </c>
      <c r="M8" s="73">
        <v>2.2949999999999999</v>
      </c>
      <c r="N8" s="104">
        <v>3</v>
      </c>
      <c r="O8" s="57">
        <v>7000</v>
      </c>
      <c r="P8" s="58">
        <f t="shared" si="0"/>
        <v>21000</v>
      </c>
    </row>
    <row r="9" spans="1:16" ht="26.25" customHeight="1" x14ac:dyDescent="0.2">
      <c r="A9" s="100"/>
      <c r="B9" s="100"/>
      <c r="C9" s="65" t="s">
        <v>2496</v>
      </c>
      <c r="D9" s="70" t="s">
        <v>57</v>
      </c>
      <c r="E9" s="12">
        <v>44545</v>
      </c>
      <c r="F9" s="68" t="s">
        <v>59</v>
      </c>
      <c r="G9" s="12">
        <v>44548</v>
      </c>
      <c r="H9" s="69" t="s">
        <v>1619</v>
      </c>
      <c r="I9" s="15">
        <v>62</v>
      </c>
      <c r="J9" s="15">
        <v>40</v>
      </c>
      <c r="K9" s="15">
        <v>18</v>
      </c>
      <c r="L9" s="15">
        <v>8</v>
      </c>
      <c r="M9" s="73">
        <v>11.16</v>
      </c>
      <c r="N9" s="104">
        <v>11.16</v>
      </c>
      <c r="O9" s="57">
        <v>7000</v>
      </c>
      <c r="P9" s="58">
        <f t="shared" si="0"/>
        <v>78120</v>
      </c>
    </row>
    <row r="10" spans="1:16" ht="26.25" customHeight="1" x14ac:dyDescent="0.2">
      <c r="A10" s="100"/>
      <c r="B10" s="100"/>
      <c r="C10" s="65" t="s">
        <v>2497</v>
      </c>
      <c r="D10" s="70" t="s">
        <v>57</v>
      </c>
      <c r="E10" s="12">
        <v>44545</v>
      </c>
      <c r="F10" s="68" t="s">
        <v>59</v>
      </c>
      <c r="G10" s="12">
        <v>44548</v>
      </c>
      <c r="H10" s="69" t="s">
        <v>1619</v>
      </c>
      <c r="I10" s="15">
        <v>65</v>
      </c>
      <c r="J10" s="15">
        <v>11</v>
      </c>
      <c r="K10" s="15">
        <v>11</v>
      </c>
      <c r="L10" s="15">
        <v>1</v>
      </c>
      <c r="M10" s="73">
        <v>1.9662500000000001</v>
      </c>
      <c r="N10" s="104">
        <v>1.9662500000000001</v>
      </c>
      <c r="O10" s="57">
        <v>7000</v>
      </c>
      <c r="P10" s="58">
        <f t="shared" si="0"/>
        <v>13763.75</v>
      </c>
    </row>
    <row r="11" spans="1:16" ht="26.25" customHeight="1" x14ac:dyDescent="0.2">
      <c r="A11" s="100"/>
      <c r="B11" s="100"/>
      <c r="C11" s="65" t="s">
        <v>2498</v>
      </c>
      <c r="D11" s="70" t="s">
        <v>57</v>
      </c>
      <c r="E11" s="12">
        <v>44545</v>
      </c>
      <c r="F11" s="68" t="s">
        <v>59</v>
      </c>
      <c r="G11" s="12">
        <v>44548</v>
      </c>
      <c r="H11" s="69" t="s">
        <v>1619</v>
      </c>
      <c r="I11" s="15">
        <v>38</v>
      </c>
      <c r="J11" s="15">
        <v>36</v>
      </c>
      <c r="K11" s="15">
        <v>36</v>
      </c>
      <c r="L11" s="15">
        <v>6</v>
      </c>
      <c r="M11" s="73">
        <v>12.311999999999999</v>
      </c>
      <c r="N11" s="104">
        <v>13</v>
      </c>
      <c r="O11" s="57">
        <v>7000</v>
      </c>
      <c r="P11" s="58">
        <f t="shared" si="0"/>
        <v>91000</v>
      </c>
    </row>
    <row r="12" spans="1:16" ht="26.25" customHeight="1" x14ac:dyDescent="0.2">
      <c r="A12" s="100"/>
      <c r="B12" s="100"/>
      <c r="C12" s="65" t="s">
        <v>2499</v>
      </c>
      <c r="D12" s="70" t="s">
        <v>57</v>
      </c>
      <c r="E12" s="12">
        <v>44545</v>
      </c>
      <c r="F12" s="68" t="s">
        <v>59</v>
      </c>
      <c r="G12" s="12">
        <v>44548</v>
      </c>
      <c r="H12" s="69" t="s">
        <v>1619</v>
      </c>
      <c r="I12" s="15">
        <v>35</v>
      </c>
      <c r="J12" s="15">
        <v>30</v>
      </c>
      <c r="K12" s="15">
        <v>32</v>
      </c>
      <c r="L12" s="15">
        <v>5</v>
      </c>
      <c r="M12" s="73">
        <v>8.4</v>
      </c>
      <c r="N12" s="104">
        <v>9</v>
      </c>
      <c r="O12" s="57">
        <v>7000</v>
      </c>
      <c r="P12" s="58">
        <f t="shared" si="0"/>
        <v>63000</v>
      </c>
    </row>
    <row r="13" spans="1:16" ht="26.25" customHeight="1" x14ac:dyDescent="0.2">
      <c r="A13" s="100"/>
      <c r="B13" s="100"/>
      <c r="C13" s="65" t="s">
        <v>2500</v>
      </c>
      <c r="D13" s="70" t="s">
        <v>57</v>
      </c>
      <c r="E13" s="12">
        <v>44545</v>
      </c>
      <c r="F13" s="68" t="s">
        <v>59</v>
      </c>
      <c r="G13" s="12">
        <v>44548</v>
      </c>
      <c r="H13" s="69" t="s">
        <v>1619</v>
      </c>
      <c r="I13" s="15">
        <v>48</v>
      </c>
      <c r="J13" s="15">
        <v>31</v>
      </c>
      <c r="K13" s="15">
        <v>37</v>
      </c>
      <c r="L13" s="15">
        <v>12</v>
      </c>
      <c r="M13" s="73">
        <v>13.763999999999999</v>
      </c>
      <c r="N13" s="104">
        <v>13.763999999999999</v>
      </c>
      <c r="O13" s="57">
        <v>7000</v>
      </c>
      <c r="P13" s="58">
        <f t="shared" si="0"/>
        <v>96348</v>
      </c>
    </row>
    <row r="14" spans="1:16" ht="26.25" customHeight="1" x14ac:dyDescent="0.2">
      <c r="A14" s="100"/>
      <c r="B14" s="100"/>
      <c r="C14" s="65" t="s">
        <v>2501</v>
      </c>
      <c r="D14" s="70" t="s">
        <v>57</v>
      </c>
      <c r="E14" s="12">
        <v>44545</v>
      </c>
      <c r="F14" s="68" t="s">
        <v>59</v>
      </c>
      <c r="G14" s="12">
        <v>44548</v>
      </c>
      <c r="H14" s="69" t="s">
        <v>1619</v>
      </c>
      <c r="I14" s="15">
        <v>60</v>
      </c>
      <c r="J14" s="15">
        <v>46</v>
      </c>
      <c r="K14" s="15">
        <v>26</v>
      </c>
      <c r="L14" s="15">
        <v>11</v>
      </c>
      <c r="M14" s="73">
        <v>17.940000000000001</v>
      </c>
      <c r="N14" s="104">
        <v>17.940000000000001</v>
      </c>
      <c r="O14" s="57">
        <v>7000</v>
      </c>
      <c r="P14" s="58">
        <f t="shared" si="0"/>
        <v>125580.00000000001</v>
      </c>
    </row>
    <row r="15" spans="1:16" ht="26.25" customHeight="1" x14ac:dyDescent="0.2">
      <c r="A15" s="100"/>
      <c r="B15" s="100"/>
      <c r="C15" s="65" t="s">
        <v>2502</v>
      </c>
      <c r="D15" s="70" t="s">
        <v>57</v>
      </c>
      <c r="E15" s="12">
        <v>44545</v>
      </c>
      <c r="F15" s="68" t="s">
        <v>59</v>
      </c>
      <c r="G15" s="12">
        <v>44548</v>
      </c>
      <c r="H15" s="69" t="s">
        <v>1619</v>
      </c>
      <c r="I15" s="15">
        <v>61</v>
      </c>
      <c r="J15" s="15">
        <v>53</v>
      </c>
      <c r="K15" s="15">
        <v>22</v>
      </c>
      <c r="L15" s="15">
        <v>7</v>
      </c>
      <c r="M15" s="73">
        <v>17.781500000000001</v>
      </c>
      <c r="N15" s="104">
        <v>17.781500000000001</v>
      </c>
      <c r="O15" s="57">
        <v>7000</v>
      </c>
      <c r="P15" s="58">
        <f t="shared" si="0"/>
        <v>124470.50000000001</v>
      </c>
    </row>
    <row r="16" spans="1:16" ht="26.25" customHeight="1" x14ac:dyDescent="0.2">
      <c r="A16" s="100"/>
      <c r="B16" s="100"/>
      <c r="C16" s="65" t="s">
        <v>2503</v>
      </c>
      <c r="D16" s="70" t="s">
        <v>57</v>
      </c>
      <c r="E16" s="12">
        <v>44545</v>
      </c>
      <c r="F16" s="68" t="s">
        <v>59</v>
      </c>
      <c r="G16" s="12">
        <v>44548</v>
      </c>
      <c r="H16" s="69" t="s">
        <v>1619</v>
      </c>
      <c r="I16" s="15">
        <v>58</v>
      </c>
      <c r="J16" s="15">
        <v>38</v>
      </c>
      <c r="K16" s="15">
        <v>12</v>
      </c>
      <c r="L16" s="15">
        <v>4</v>
      </c>
      <c r="M16" s="73">
        <v>6.6120000000000001</v>
      </c>
      <c r="N16" s="104">
        <v>6.6120000000000001</v>
      </c>
      <c r="O16" s="57">
        <v>7000</v>
      </c>
      <c r="P16" s="58">
        <f t="shared" si="0"/>
        <v>46284</v>
      </c>
    </row>
    <row r="17" spans="1:16" ht="26.25" customHeight="1" x14ac:dyDescent="0.2">
      <c r="A17" s="100"/>
      <c r="B17" s="100"/>
      <c r="C17" s="65" t="s">
        <v>2504</v>
      </c>
      <c r="D17" s="70" t="s">
        <v>57</v>
      </c>
      <c r="E17" s="12">
        <v>44545</v>
      </c>
      <c r="F17" s="68" t="s">
        <v>59</v>
      </c>
      <c r="G17" s="12">
        <v>44548</v>
      </c>
      <c r="H17" s="69" t="s">
        <v>1619</v>
      </c>
      <c r="I17" s="15">
        <v>52</v>
      </c>
      <c r="J17" s="15">
        <v>52</v>
      </c>
      <c r="K17" s="15">
        <v>21</v>
      </c>
      <c r="L17" s="15">
        <v>6</v>
      </c>
      <c r="M17" s="73">
        <v>14.196</v>
      </c>
      <c r="N17" s="104">
        <v>14.196</v>
      </c>
      <c r="O17" s="57">
        <v>7000</v>
      </c>
      <c r="P17" s="58">
        <f t="shared" si="0"/>
        <v>99372</v>
      </c>
    </row>
    <row r="18" spans="1:16" ht="26.25" customHeight="1" x14ac:dyDescent="0.2">
      <c r="A18" s="100"/>
      <c r="B18" s="100"/>
      <c r="C18" s="65" t="s">
        <v>2505</v>
      </c>
      <c r="D18" s="70" t="s">
        <v>57</v>
      </c>
      <c r="E18" s="12">
        <v>44545</v>
      </c>
      <c r="F18" s="68" t="s">
        <v>59</v>
      </c>
      <c r="G18" s="12">
        <v>44548</v>
      </c>
      <c r="H18" s="69" t="s">
        <v>1619</v>
      </c>
      <c r="I18" s="15">
        <v>42</v>
      </c>
      <c r="J18" s="15">
        <v>38</v>
      </c>
      <c r="K18" s="15">
        <v>26</v>
      </c>
      <c r="L18" s="15">
        <v>5</v>
      </c>
      <c r="M18" s="73">
        <v>10.374000000000001</v>
      </c>
      <c r="N18" s="104">
        <v>11</v>
      </c>
      <c r="O18" s="57">
        <v>7000</v>
      </c>
      <c r="P18" s="58">
        <f t="shared" si="0"/>
        <v>77000</v>
      </c>
    </row>
    <row r="19" spans="1:16" ht="26.25" customHeight="1" x14ac:dyDescent="0.2">
      <c r="A19" s="100"/>
      <c r="B19" s="100"/>
      <c r="C19" s="65" t="s">
        <v>2506</v>
      </c>
      <c r="D19" s="70" t="s">
        <v>57</v>
      </c>
      <c r="E19" s="12">
        <v>44545</v>
      </c>
      <c r="F19" s="68" t="s">
        <v>59</v>
      </c>
      <c r="G19" s="12">
        <v>44548</v>
      </c>
      <c r="H19" s="69" t="s">
        <v>1619</v>
      </c>
      <c r="I19" s="15">
        <v>51</v>
      </c>
      <c r="J19" s="15">
        <v>28</v>
      </c>
      <c r="K19" s="15">
        <v>11</v>
      </c>
      <c r="L19" s="15">
        <v>3</v>
      </c>
      <c r="M19" s="73">
        <v>3.927</v>
      </c>
      <c r="N19" s="104">
        <v>3.927</v>
      </c>
      <c r="O19" s="57">
        <v>7000</v>
      </c>
      <c r="P19" s="58">
        <f t="shared" si="0"/>
        <v>27489</v>
      </c>
    </row>
    <row r="20" spans="1:16" ht="26.25" customHeight="1" x14ac:dyDescent="0.2">
      <c r="A20" s="100"/>
      <c r="B20" s="100"/>
      <c r="C20" s="65" t="s">
        <v>2507</v>
      </c>
      <c r="D20" s="70" t="s">
        <v>57</v>
      </c>
      <c r="E20" s="12">
        <v>44545</v>
      </c>
      <c r="F20" s="68" t="s">
        <v>59</v>
      </c>
      <c r="G20" s="12">
        <v>44548</v>
      </c>
      <c r="H20" s="69" t="s">
        <v>1619</v>
      </c>
      <c r="I20" s="15">
        <v>41</v>
      </c>
      <c r="J20" s="15">
        <v>28</v>
      </c>
      <c r="K20" s="15">
        <v>10</v>
      </c>
      <c r="L20" s="15">
        <v>2</v>
      </c>
      <c r="M20" s="73">
        <v>2.87</v>
      </c>
      <c r="N20" s="104">
        <v>2.87</v>
      </c>
      <c r="O20" s="57">
        <v>7000</v>
      </c>
      <c r="P20" s="58">
        <f t="shared" si="0"/>
        <v>20090</v>
      </c>
    </row>
    <row r="21" spans="1:16" ht="26.25" customHeight="1" x14ac:dyDescent="0.2">
      <c r="A21" s="100"/>
      <c r="B21" s="100"/>
      <c r="C21" s="65" t="s">
        <v>2508</v>
      </c>
      <c r="D21" s="70" t="s">
        <v>57</v>
      </c>
      <c r="E21" s="12">
        <v>44545</v>
      </c>
      <c r="F21" s="68" t="s">
        <v>59</v>
      </c>
      <c r="G21" s="12">
        <v>44548</v>
      </c>
      <c r="H21" s="69" t="s">
        <v>1619</v>
      </c>
      <c r="I21" s="15">
        <v>40</v>
      </c>
      <c r="J21" s="15">
        <v>25</v>
      </c>
      <c r="K21" s="15">
        <v>12</v>
      </c>
      <c r="L21" s="15">
        <v>2</v>
      </c>
      <c r="M21" s="73">
        <v>3</v>
      </c>
      <c r="N21" s="104">
        <v>3</v>
      </c>
      <c r="O21" s="57">
        <v>7000</v>
      </c>
      <c r="P21" s="58">
        <f t="shared" si="0"/>
        <v>21000</v>
      </c>
    </row>
    <row r="22" spans="1:16" ht="26.25" customHeight="1" x14ac:dyDescent="0.2">
      <c r="A22" s="100"/>
      <c r="B22" s="100"/>
      <c r="C22" s="65" t="s">
        <v>2509</v>
      </c>
      <c r="D22" s="70" t="s">
        <v>57</v>
      </c>
      <c r="E22" s="12">
        <v>44545</v>
      </c>
      <c r="F22" s="68" t="s">
        <v>59</v>
      </c>
      <c r="G22" s="12">
        <v>44548</v>
      </c>
      <c r="H22" s="69" t="s">
        <v>1619</v>
      </c>
      <c r="I22" s="15">
        <v>91</v>
      </c>
      <c r="J22" s="15">
        <v>49</v>
      </c>
      <c r="K22" s="15">
        <v>32</v>
      </c>
      <c r="L22" s="15">
        <v>11</v>
      </c>
      <c r="M22" s="73">
        <v>35.671999999999997</v>
      </c>
      <c r="N22" s="104">
        <v>35.671999999999997</v>
      </c>
      <c r="O22" s="57">
        <v>7000</v>
      </c>
      <c r="P22" s="58">
        <f t="shared" si="0"/>
        <v>249703.99999999997</v>
      </c>
    </row>
    <row r="23" spans="1:16" ht="26.25" customHeight="1" x14ac:dyDescent="0.2">
      <c r="A23" s="100"/>
      <c r="B23" s="100"/>
      <c r="C23" s="65" t="s">
        <v>2510</v>
      </c>
      <c r="D23" s="70" t="s">
        <v>57</v>
      </c>
      <c r="E23" s="12">
        <v>44545</v>
      </c>
      <c r="F23" s="68" t="s">
        <v>59</v>
      </c>
      <c r="G23" s="12">
        <v>44548</v>
      </c>
      <c r="H23" s="69" t="s">
        <v>1619</v>
      </c>
      <c r="I23" s="15">
        <v>71</v>
      </c>
      <c r="J23" s="15">
        <v>53</v>
      </c>
      <c r="K23" s="15">
        <v>27</v>
      </c>
      <c r="L23" s="15">
        <v>15</v>
      </c>
      <c r="M23" s="73">
        <v>25.40025</v>
      </c>
      <c r="N23" s="104">
        <v>26</v>
      </c>
      <c r="O23" s="57">
        <v>7000</v>
      </c>
      <c r="P23" s="58">
        <f t="shared" si="0"/>
        <v>182000</v>
      </c>
    </row>
    <row r="24" spans="1:16" ht="26.25" customHeight="1" x14ac:dyDescent="0.2">
      <c r="A24" s="100"/>
      <c r="B24" s="100"/>
      <c r="C24" s="65" t="s">
        <v>2511</v>
      </c>
      <c r="D24" s="70" t="s">
        <v>57</v>
      </c>
      <c r="E24" s="12">
        <v>44545</v>
      </c>
      <c r="F24" s="68" t="s">
        <v>59</v>
      </c>
      <c r="G24" s="12">
        <v>44548</v>
      </c>
      <c r="H24" s="69" t="s">
        <v>1619</v>
      </c>
      <c r="I24" s="15">
        <v>104</v>
      </c>
      <c r="J24" s="15">
        <v>41</v>
      </c>
      <c r="K24" s="15">
        <v>28</v>
      </c>
      <c r="L24" s="15">
        <v>14</v>
      </c>
      <c r="M24" s="73">
        <v>29.847999999999999</v>
      </c>
      <c r="N24" s="104">
        <v>29.847999999999999</v>
      </c>
      <c r="O24" s="57">
        <v>7000</v>
      </c>
      <c r="P24" s="58">
        <f t="shared" si="0"/>
        <v>208936</v>
      </c>
    </row>
    <row r="25" spans="1:16" ht="26.25" customHeight="1" x14ac:dyDescent="0.2">
      <c r="A25" s="100"/>
      <c r="B25" s="100"/>
      <c r="C25" s="65" t="s">
        <v>2512</v>
      </c>
      <c r="D25" s="70" t="s">
        <v>57</v>
      </c>
      <c r="E25" s="12">
        <v>44545</v>
      </c>
      <c r="F25" s="68" t="s">
        <v>59</v>
      </c>
      <c r="G25" s="12">
        <v>44548</v>
      </c>
      <c r="H25" s="69" t="s">
        <v>1619</v>
      </c>
      <c r="I25" s="15">
        <v>48</v>
      </c>
      <c r="J25" s="15">
        <v>31</v>
      </c>
      <c r="K25" s="15">
        <v>15</v>
      </c>
      <c r="L25" s="15">
        <v>2</v>
      </c>
      <c r="M25" s="73">
        <v>5.58</v>
      </c>
      <c r="N25" s="104">
        <v>5.58</v>
      </c>
      <c r="O25" s="57">
        <v>7000</v>
      </c>
      <c r="P25" s="58">
        <f t="shared" si="0"/>
        <v>39060</v>
      </c>
    </row>
    <row r="26" spans="1:16" ht="26.25" customHeight="1" x14ac:dyDescent="0.2">
      <c r="A26" s="100"/>
      <c r="B26" s="100"/>
      <c r="C26" s="65" t="s">
        <v>2513</v>
      </c>
      <c r="D26" s="70" t="s">
        <v>57</v>
      </c>
      <c r="E26" s="12">
        <v>44545</v>
      </c>
      <c r="F26" s="68" t="s">
        <v>59</v>
      </c>
      <c r="G26" s="12">
        <v>44548</v>
      </c>
      <c r="H26" s="69" t="s">
        <v>1619</v>
      </c>
      <c r="I26" s="15">
        <v>145</v>
      </c>
      <c r="J26" s="15">
        <v>40</v>
      </c>
      <c r="K26" s="15">
        <v>8</v>
      </c>
      <c r="L26" s="15">
        <v>6</v>
      </c>
      <c r="M26" s="73">
        <v>11.6</v>
      </c>
      <c r="N26" s="104">
        <v>11.6</v>
      </c>
      <c r="O26" s="57">
        <v>7000</v>
      </c>
      <c r="P26" s="58">
        <f t="shared" si="0"/>
        <v>81200</v>
      </c>
    </row>
    <row r="27" spans="1:16" ht="26.25" customHeight="1" x14ac:dyDescent="0.2">
      <c r="A27" s="100"/>
      <c r="B27" s="100"/>
      <c r="C27" s="65" t="s">
        <v>2514</v>
      </c>
      <c r="D27" s="70" t="s">
        <v>57</v>
      </c>
      <c r="E27" s="12">
        <v>44545</v>
      </c>
      <c r="F27" s="68" t="s">
        <v>59</v>
      </c>
      <c r="G27" s="12">
        <v>44548</v>
      </c>
      <c r="H27" s="69" t="s">
        <v>1619</v>
      </c>
      <c r="I27" s="15">
        <v>91</v>
      </c>
      <c r="J27" s="15">
        <v>58</v>
      </c>
      <c r="K27" s="15">
        <v>52</v>
      </c>
      <c r="L27" s="15">
        <v>30</v>
      </c>
      <c r="M27" s="73">
        <v>68.614000000000004</v>
      </c>
      <c r="N27" s="104">
        <v>68.614000000000004</v>
      </c>
      <c r="O27" s="57">
        <v>7000</v>
      </c>
      <c r="P27" s="58">
        <f t="shared" si="0"/>
        <v>480298.00000000006</v>
      </c>
    </row>
    <row r="28" spans="1:16" ht="26.25" customHeight="1" x14ac:dyDescent="0.2">
      <c r="A28" s="100"/>
      <c r="B28" s="100"/>
      <c r="C28" s="65" t="s">
        <v>2515</v>
      </c>
      <c r="D28" s="70" t="s">
        <v>57</v>
      </c>
      <c r="E28" s="12">
        <v>44545</v>
      </c>
      <c r="F28" s="68" t="s">
        <v>59</v>
      </c>
      <c r="G28" s="12">
        <v>44548</v>
      </c>
      <c r="H28" s="69" t="s">
        <v>1619</v>
      </c>
      <c r="I28" s="15">
        <v>61</v>
      </c>
      <c r="J28" s="15">
        <v>45</v>
      </c>
      <c r="K28" s="15">
        <v>19</v>
      </c>
      <c r="L28" s="15">
        <v>7</v>
      </c>
      <c r="M28" s="73">
        <v>13.03875</v>
      </c>
      <c r="N28" s="104">
        <v>13.03875</v>
      </c>
      <c r="O28" s="57">
        <v>7000</v>
      </c>
      <c r="P28" s="58">
        <f t="shared" si="0"/>
        <v>91271.25</v>
      </c>
    </row>
    <row r="29" spans="1:16" ht="26.25" customHeight="1" x14ac:dyDescent="0.2">
      <c r="A29" s="100"/>
      <c r="B29" s="100"/>
      <c r="C29" s="65" t="s">
        <v>2516</v>
      </c>
      <c r="D29" s="70" t="s">
        <v>57</v>
      </c>
      <c r="E29" s="12">
        <v>44545</v>
      </c>
      <c r="F29" s="68" t="s">
        <v>59</v>
      </c>
      <c r="G29" s="12">
        <v>44548</v>
      </c>
      <c r="H29" s="69" t="s">
        <v>1619</v>
      </c>
      <c r="I29" s="15">
        <v>225</v>
      </c>
      <c r="J29" s="15">
        <v>26</v>
      </c>
      <c r="K29" s="15">
        <v>21</v>
      </c>
      <c r="L29" s="15">
        <v>15</v>
      </c>
      <c r="M29" s="73">
        <v>30.712499999999999</v>
      </c>
      <c r="N29" s="104">
        <v>30.712499999999999</v>
      </c>
      <c r="O29" s="57">
        <v>7000</v>
      </c>
      <c r="P29" s="58">
        <f t="shared" si="0"/>
        <v>214987.5</v>
      </c>
    </row>
    <row r="30" spans="1:16" ht="26.25" customHeight="1" x14ac:dyDescent="0.2">
      <c r="A30" s="100"/>
      <c r="B30" s="100"/>
      <c r="C30" s="65" t="s">
        <v>2517</v>
      </c>
      <c r="D30" s="70" t="s">
        <v>57</v>
      </c>
      <c r="E30" s="12">
        <v>44545</v>
      </c>
      <c r="F30" s="68" t="s">
        <v>59</v>
      </c>
      <c r="G30" s="12">
        <v>44548</v>
      </c>
      <c r="H30" s="69" t="s">
        <v>1619</v>
      </c>
      <c r="I30" s="15">
        <v>55</v>
      </c>
      <c r="J30" s="15">
        <v>28</v>
      </c>
      <c r="K30" s="15">
        <v>13</v>
      </c>
      <c r="L30" s="15">
        <v>3</v>
      </c>
      <c r="M30" s="73">
        <v>5.0049999999999999</v>
      </c>
      <c r="N30" s="104">
        <v>5.0049999999999999</v>
      </c>
      <c r="O30" s="57">
        <v>7000</v>
      </c>
      <c r="P30" s="58">
        <f t="shared" si="0"/>
        <v>35035</v>
      </c>
    </row>
    <row r="31" spans="1:16" ht="26.25" customHeight="1" x14ac:dyDescent="0.2">
      <c r="A31" s="100"/>
      <c r="B31" s="100"/>
      <c r="C31" s="65" t="s">
        <v>2518</v>
      </c>
      <c r="D31" s="70" t="s">
        <v>57</v>
      </c>
      <c r="E31" s="12">
        <v>44545</v>
      </c>
      <c r="F31" s="68" t="s">
        <v>59</v>
      </c>
      <c r="G31" s="12">
        <v>44548</v>
      </c>
      <c r="H31" s="69" t="s">
        <v>1619</v>
      </c>
      <c r="I31" s="15">
        <v>94</v>
      </c>
      <c r="J31" s="15">
        <v>50</v>
      </c>
      <c r="K31" s="15">
        <v>18</v>
      </c>
      <c r="L31" s="15">
        <v>13</v>
      </c>
      <c r="M31" s="73">
        <v>21.15</v>
      </c>
      <c r="N31" s="104">
        <v>21.15</v>
      </c>
      <c r="O31" s="57">
        <v>7000</v>
      </c>
      <c r="P31" s="58">
        <f t="shared" si="0"/>
        <v>148050</v>
      </c>
    </row>
    <row r="32" spans="1:16" ht="26.25" customHeight="1" x14ac:dyDescent="0.2">
      <c r="A32" s="100"/>
      <c r="B32" s="100"/>
      <c r="C32" s="65" t="s">
        <v>2519</v>
      </c>
      <c r="D32" s="70" t="s">
        <v>57</v>
      </c>
      <c r="E32" s="12">
        <v>44545</v>
      </c>
      <c r="F32" s="68" t="s">
        <v>59</v>
      </c>
      <c r="G32" s="12">
        <v>44548</v>
      </c>
      <c r="H32" s="69" t="s">
        <v>1619</v>
      </c>
      <c r="I32" s="15">
        <v>47</v>
      </c>
      <c r="J32" s="15">
        <v>42</v>
      </c>
      <c r="K32" s="15">
        <v>26</v>
      </c>
      <c r="L32" s="15">
        <v>7</v>
      </c>
      <c r="M32" s="73">
        <v>12.831</v>
      </c>
      <c r="N32" s="104">
        <v>12.831</v>
      </c>
      <c r="O32" s="57">
        <v>7000</v>
      </c>
      <c r="P32" s="58">
        <f t="shared" si="0"/>
        <v>89817</v>
      </c>
    </row>
    <row r="33" spans="1:16" ht="26.25" customHeight="1" x14ac:dyDescent="0.2">
      <c r="A33" s="100"/>
      <c r="B33" s="100"/>
      <c r="C33" s="65" t="s">
        <v>2520</v>
      </c>
      <c r="D33" s="70" t="s">
        <v>57</v>
      </c>
      <c r="E33" s="12">
        <v>44545</v>
      </c>
      <c r="F33" s="68" t="s">
        <v>59</v>
      </c>
      <c r="G33" s="12">
        <v>44548</v>
      </c>
      <c r="H33" s="69" t="s">
        <v>1619</v>
      </c>
      <c r="I33" s="15">
        <v>28</v>
      </c>
      <c r="J33" s="15">
        <v>25</v>
      </c>
      <c r="K33" s="15">
        <v>18</v>
      </c>
      <c r="L33" s="15">
        <v>10</v>
      </c>
      <c r="M33" s="73">
        <v>3.15</v>
      </c>
      <c r="N33" s="104">
        <v>10</v>
      </c>
      <c r="O33" s="57">
        <v>7000</v>
      </c>
      <c r="P33" s="58">
        <f t="shared" si="0"/>
        <v>70000</v>
      </c>
    </row>
    <row r="34" spans="1:16" ht="26.25" customHeight="1" x14ac:dyDescent="0.2">
      <c r="A34" s="100"/>
      <c r="B34" s="100"/>
      <c r="C34" s="65" t="s">
        <v>2521</v>
      </c>
      <c r="D34" s="70" t="s">
        <v>57</v>
      </c>
      <c r="E34" s="12">
        <v>44545</v>
      </c>
      <c r="F34" s="68" t="s">
        <v>59</v>
      </c>
      <c r="G34" s="12">
        <v>44548</v>
      </c>
      <c r="H34" s="69" t="s">
        <v>1619</v>
      </c>
      <c r="I34" s="15">
        <v>88</v>
      </c>
      <c r="J34" s="15">
        <v>52</v>
      </c>
      <c r="K34" s="15">
        <v>23</v>
      </c>
      <c r="L34" s="15">
        <v>16</v>
      </c>
      <c r="M34" s="73">
        <v>26.312000000000001</v>
      </c>
      <c r="N34" s="104">
        <v>27</v>
      </c>
      <c r="O34" s="57">
        <v>7000</v>
      </c>
      <c r="P34" s="58">
        <f t="shared" si="0"/>
        <v>189000</v>
      </c>
    </row>
    <row r="35" spans="1:16" ht="26.25" customHeight="1" x14ac:dyDescent="0.2">
      <c r="A35" s="100"/>
      <c r="B35" s="100"/>
      <c r="C35" s="65" t="s">
        <v>2522</v>
      </c>
      <c r="D35" s="70" t="s">
        <v>57</v>
      </c>
      <c r="E35" s="12">
        <v>44545</v>
      </c>
      <c r="F35" s="68" t="s">
        <v>59</v>
      </c>
      <c r="G35" s="12">
        <v>44548</v>
      </c>
      <c r="H35" s="69" t="s">
        <v>1619</v>
      </c>
      <c r="I35" s="15">
        <v>45</v>
      </c>
      <c r="J35" s="15">
        <v>35</v>
      </c>
      <c r="K35" s="15">
        <v>28</v>
      </c>
      <c r="L35" s="15">
        <v>12</v>
      </c>
      <c r="M35" s="73">
        <v>11.025</v>
      </c>
      <c r="N35" s="104">
        <v>12</v>
      </c>
      <c r="O35" s="57">
        <v>7000</v>
      </c>
      <c r="P35" s="58">
        <f t="shared" si="0"/>
        <v>84000</v>
      </c>
    </row>
    <row r="36" spans="1:16" ht="26.25" customHeight="1" x14ac:dyDescent="0.2">
      <c r="A36" s="100"/>
      <c r="B36" s="100"/>
      <c r="C36" s="65" t="s">
        <v>2523</v>
      </c>
      <c r="D36" s="70" t="s">
        <v>57</v>
      </c>
      <c r="E36" s="12">
        <v>44545</v>
      </c>
      <c r="F36" s="68" t="s">
        <v>59</v>
      </c>
      <c r="G36" s="12">
        <v>44548</v>
      </c>
      <c r="H36" s="69" t="s">
        <v>1619</v>
      </c>
      <c r="I36" s="15">
        <v>95</v>
      </c>
      <c r="J36" s="15">
        <v>58</v>
      </c>
      <c r="K36" s="15">
        <v>27</v>
      </c>
      <c r="L36" s="15">
        <v>20</v>
      </c>
      <c r="M36" s="73">
        <v>37.192500000000003</v>
      </c>
      <c r="N36" s="104">
        <v>37.192500000000003</v>
      </c>
      <c r="O36" s="57">
        <v>7000</v>
      </c>
      <c r="P36" s="58">
        <f t="shared" si="0"/>
        <v>260347.50000000003</v>
      </c>
    </row>
    <row r="37" spans="1:16" ht="26.25" customHeight="1" x14ac:dyDescent="0.2">
      <c r="A37" s="100"/>
      <c r="B37" s="100"/>
      <c r="C37" s="65" t="s">
        <v>2524</v>
      </c>
      <c r="D37" s="70" t="s">
        <v>57</v>
      </c>
      <c r="E37" s="12">
        <v>44545</v>
      </c>
      <c r="F37" s="68" t="s">
        <v>59</v>
      </c>
      <c r="G37" s="12">
        <v>44548</v>
      </c>
      <c r="H37" s="69" t="s">
        <v>1619</v>
      </c>
      <c r="I37" s="15">
        <v>52</v>
      </c>
      <c r="J37" s="15">
        <v>44</v>
      </c>
      <c r="K37" s="15">
        <v>26</v>
      </c>
      <c r="L37" s="15">
        <v>13</v>
      </c>
      <c r="M37" s="73">
        <v>14.872</v>
      </c>
      <c r="N37" s="104">
        <v>14.872</v>
      </c>
      <c r="O37" s="57">
        <v>7000</v>
      </c>
      <c r="P37" s="58">
        <f t="shared" si="0"/>
        <v>104104</v>
      </c>
    </row>
    <row r="38" spans="1:16" ht="26.25" customHeight="1" x14ac:dyDescent="0.2">
      <c r="A38" s="100"/>
      <c r="B38" s="100"/>
      <c r="C38" s="65" t="s">
        <v>2525</v>
      </c>
      <c r="D38" s="70" t="s">
        <v>57</v>
      </c>
      <c r="E38" s="12">
        <v>44545</v>
      </c>
      <c r="F38" s="68" t="s">
        <v>59</v>
      </c>
      <c r="G38" s="12">
        <v>44548</v>
      </c>
      <c r="H38" s="69" t="s">
        <v>1619</v>
      </c>
      <c r="I38" s="15">
        <v>65</v>
      </c>
      <c r="J38" s="15">
        <v>48</v>
      </c>
      <c r="K38" s="15">
        <v>41</v>
      </c>
      <c r="L38" s="15">
        <v>13</v>
      </c>
      <c r="M38" s="73">
        <v>31.98</v>
      </c>
      <c r="N38" s="104">
        <v>31.98</v>
      </c>
      <c r="O38" s="57">
        <v>7000</v>
      </c>
      <c r="P38" s="58">
        <f t="shared" si="0"/>
        <v>223860</v>
      </c>
    </row>
    <row r="39" spans="1:16" ht="26.25" customHeight="1" x14ac:dyDescent="0.2">
      <c r="A39" s="100"/>
      <c r="B39" s="100"/>
      <c r="C39" s="65" t="s">
        <v>2526</v>
      </c>
      <c r="D39" s="70" t="s">
        <v>57</v>
      </c>
      <c r="E39" s="12">
        <v>44545</v>
      </c>
      <c r="F39" s="68" t="s">
        <v>59</v>
      </c>
      <c r="G39" s="12">
        <v>44548</v>
      </c>
      <c r="H39" s="69" t="s">
        <v>1619</v>
      </c>
      <c r="I39" s="15">
        <v>51</v>
      </c>
      <c r="J39" s="15">
        <v>35</v>
      </c>
      <c r="K39" s="15">
        <v>35</v>
      </c>
      <c r="L39" s="15">
        <v>6</v>
      </c>
      <c r="M39" s="73">
        <v>15.61875</v>
      </c>
      <c r="N39" s="104">
        <v>15.61875</v>
      </c>
      <c r="O39" s="57">
        <v>7000</v>
      </c>
      <c r="P39" s="58">
        <f t="shared" si="0"/>
        <v>109331.25</v>
      </c>
    </row>
    <row r="40" spans="1:16" ht="26.25" customHeight="1" x14ac:dyDescent="0.2">
      <c r="A40" s="100"/>
      <c r="B40" s="100"/>
      <c r="C40" s="65" t="s">
        <v>2527</v>
      </c>
      <c r="D40" s="70" t="s">
        <v>57</v>
      </c>
      <c r="E40" s="12">
        <v>44545</v>
      </c>
      <c r="F40" s="68" t="s">
        <v>59</v>
      </c>
      <c r="G40" s="12">
        <v>44548</v>
      </c>
      <c r="H40" s="69" t="s">
        <v>1619</v>
      </c>
      <c r="I40" s="15">
        <v>100</v>
      </c>
      <c r="J40" s="15">
        <v>55</v>
      </c>
      <c r="K40" s="15">
        <v>32</v>
      </c>
      <c r="L40" s="15">
        <v>16</v>
      </c>
      <c r="M40" s="73">
        <v>44</v>
      </c>
      <c r="N40" s="104">
        <v>44</v>
      </c>
      <c r="O40" s="57">
        <v>7000</v>
      </c>
      <c r="P40" s="58">
        <f t="shared" si="0"/>
        <v>308000</v>
      </c>
    </row>
    <row r="41" spans="1:16" ht="26.25" customHeight="1" x14ac:dyDescent="0.2">
      <c r="A41" s="100"/>
      <c r="B41" s="100"/>
      <c r="C41" s="65" t="s">
        <v>2528</v>
      </c>
      <c r="D41" s="70" t="s">
        <v>57</v>
      </c>
      <c r="E41" s="12">
        <v>44545</v>
      </c>
      <c r="F41" s="68" t="s">
        <v>59</v>
      </c>
      <c r="G41" s="12">
        <v>44548</v>
      </c>
      <c r="H41" s="69" t="s">
        <v>1619</v>
      </c>
      <c r="I41" s="15">
        <v>64</v>
      </c>
      <c r="J41" s="15">
        <v>40</v>
      </c>
      <c r="K41" s="15">
        <v>17</v>
      </c>
      <c r="L41" s="15">
        <v>12</v>
      </c>
      <c r="M41" s="73">
        <v>10.88</v>
      </c>
      <c r="N41" s="104">
        <v>12</v>
      </c>
      <c r="O41" s="57">
        <v>7000</v>
      </c>
      <c r="P41" s="58">
        <f t="shared" si="0"/>
        <v>84000</v>
      </c>
    </row>
    <row r="42" spans="1:16" ht="26.25" customHeight="1" x14ac:dyDescent="0.2">
      <c r="A42" s="100"/>
      <c r="B42" s="100"/>
      <c r="C42" s="65" t="s">
        <v>2529</v>
      </c>
      <c r="D42" s="70" t="s">
        <v>57</v>
      </c>
      <c r="E42" s="12">
        <v>44545</v>
      </c>
      <c r="F42" s="68" t="s">
        <v>59</v>
      </c>
      <c r="G42" s="12">
        <v>44548</v>
      </c>
      <c r="H42" s="69" t="s">
        <v>1619</v>
      </c>
      <c r="I42" s="15">
        <v>60</v>
      </c>
      <c r="J42" s="15">
        <v>48</v>
      </c>
      <c r="K42" s="15">
        <v>21</v>
      </c>
      <c r="L42" s="15">
        <v>10</v>
      </c>
      <c r="M42" s="73">
        <v>15.12</v>
      </c>
      <c r="N42" s="104">
        <v>15.12</v>
      </c>
      <c r="O42" s="57">
        <v>7000</v>
      </c>
      <c r="P42" s="58">
        <f t="shared" si="0"/>
        <v>105840</v>
      </c>
    </row>
    <row r="43" spans="1:16" ht="26.25" customHeight="1" x14ac:dyDescent="0.2">
      <c r="A43" s="100"/>
      <c r="B43" s="100"/>
      <c r="C43" s="65" t="s">
        <v>2530</v>
      </c>
      <c r="D43" s="70" t="s">
        <v>57</v>
      </c>
      <c r="E43" s="12">
        <v>44545</v>
      </c>
      <c r="F43" s="68" t="s">
        <v>59</v>
      </c>
      <c r="G43" s="12">
        <v>44548</v>
      </c>
      <c r="H43" s="69" t="s">
        <v>1619</v>
      </c>
      <c r="I43" s="15">
        <v>54</v>
      </c>
      <c r="J43" s="15">
        <v>48</v>
      </c>
      <c r="K43" s="15">
        <v>12</v>
      </c>
      <c r="L43" s="15">
        <v>4</v>
      </c>
      <c r="M43" s="73">
        <v>7.7759999999999998</v>
      </c>
      <c r="N43" s="104">
        <v>7.7759999999999998</v>
      </c>
      <c r="O43" s="57">
        <v>7000</v>
      </c>
      <c r="P43" s="58">
        <f t="shared" si="0"/>
        <v>54432</v>
      </c>
    </row>
    <row r="44" spans="1:16" ht="26.25" customHeight="1" x14ac:dyDescent="0.2">
      <c r="A44" s="100"/>
      <c r="B44" s="100"/>
      <c r="C44" s="65" t="s">
        <v>2531</v>
      </c>
      <c r="D44" s="70" t="s">
        <v>57</v>
      </c>
      <c r="E44" s="12">
        <v>44545</v>
      </c>
      <c r="F44" s="68" t="s">
        <v>59</v>
      </c>
      <c r="G44" s="12">
        <v>44548</v>
      </c>
      <c r="H44" s="69" t="s">
        <v>1619</v>
      </c>
      <c r="I44" s="15">
        <v>148</v>
      </c>
      <c r="J44" s="15">
        <v>30</v>
      </c>
      <c r="K44" s="15">
        <v>18</v>
      </c>
      <c r="L44" s="15">
        <v>24</v>
      </c>
      <c r="M44" s="73">
        <v>19.98</v>
      </c>
      <c r="N44" s="104">
        <v>24</v>
      </c>
      <c r="O44" s="57">
        <v>7000</v>
      </c>
      <c r="P44" s="58">
        <f t="shared" si="0"/>
        <v>168000</v>
      </c>
    </row>
    <row r="45" spans="1:16" ht="26.25" customHeight="1" x14ac:dyDescent="0.2">
      <c r="A45" s="100"/>
      <c r="B45" s="100"/>
      <c r="C45" s="65" t="s">
        <v>2532</v>
      </c>
      <c r="D45" s="70" t="s">
        <v>57</v>
      </c>
      <c r="E45" s="12">
        <v>44545</v>
      </c>
      <c r="F45" s="68" t="s">
        <v>59</v>
      </c>
      <c r="G45" s="12">
        <v>44548</v>
      </c>
      <c r="H45" s="69" t="s">
        <v>1619</v>
      </c>
      <c r="I45" s="15">
        <v>75</v>
      </c>
      <c r="J45" s="15">
        <v>48</v>
      </c>
      <c r="K45" s="15">
        <v>50</v>
      </c>
      <c r="L45" s="15">
        <v>23</v>
      </c>
      <c r="M45" s="73">
        <v>45</v>
      </c>
      <c r="N45" s="104">
        <v>45</v>
      </c>
      <c r="O45" s="57">
        <v>7000</v>
      </c>
      <c r="P45" s="58">
        <f t="shared" si="0"/>
        <v>315000</v>
      </c>
    </row>
    <row r="46" spans="1:16" ht="22.5" customHeight="1" x14ac:dyDescent="0.2">
      <c r="A46" s="159" t="s">
        <v>30</v>
      </c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1"/>
      <c r="M46" s="71">
        <f>SUBTOTAL(109,Table2245789101123456789101112131415161718192021222324252627282930313233343537383940414243[KG VOLUME])</f>
        <v>766.45599999999979</v>
      </c>
      <c r="N46" s="61">
        <f>SUM(N3:N45)</f>
        <v>783.32774999999981</v>
      </c>
      <c r="O46" s="162">
        <f>SUM(P3:P45)</f>
        <v>5483294.25</v>
      </c>
      <c r="P46" s="163"/>
    </row>
    <row r="47" spans="1:16" ht="18" customHeight="1" x14ac:dyDescent="0.2">
      <c r="A47" s="78"/>
      <c r="B47" s="49" t="s">
        <v>42</v>
      </c>
      <c r="C47" s="48"/>
      <c r="D47" s="50" t="s">
        <v>43</v>
      </c>
      <c r="E47" s="78"/>
      <c r="F47" s="78"/>
      <c r="G47" s="78"/>
      <c r="H47" s="78"/>
      <c r="I47" s="78"/>
      <c r="J47" s="78"/>
      <c r="K47" s="78"/>
      <c r="L47" s="78"/>
      <c r="M47" s="79"/>
      <c r="N47" s="80" t="s">
        <v>52</v>
      </c>
      <c r="O47" s="81"/>
      <c r="P47" s="81">
        <v>0</v>
      </c>
    </row>
    <row r="48" spans="1:16" ht="18" customHeight="1" thickBot="1" x14ac:dyDescent="0.25">
      <c r="A48" s="78"/>
      <c r="B48" s="49"/>
      <c r="C48" s="48"/>
      <c r="D48" s="50"/>
      <c r="E48" s="78"/>
      <c r="F48" s="78"/>
      <c r="G48" s="78"/>
      <c r="H48" s="78"/>
      <c r="I48" s="78"/>
      <c r="J48" s="78"/>
      <c r="K48" s="78"/>
      <c r="L48" s="78"/>
      <c r="M48" s="79"/>
      <c r="N48" s="82" t="s">
        <v>53</v>
      </c>
      <c r="O48" s="83"/>
      <c r="P48" s="83">
        <f>O46-P47</f>
        <v>5483294.25</v>
      </c>
    </row>
    <row r="49" spans="1:16" ht="18" customHeight="1" x14ac:dyDescent="0.2">
      <c r="A49" s="10"/>
      <c r="H49" s="56"/>
      <c r="N49" s="55" t="s">
        <v>31</v>
      </c>
      <c r="P49" s="62">
        <f>P48*1%</f>
        <v>54832.942500000005</v>
      </c>
    </row>
    <row r="50" spans="1:16" ht="18" customHeight="1" thickBot="1" x14ac:dyDescent="0.25">
      <c r="A50" s="10"/>
      <c r="H50" s="56"/>
      <c r="N50" s="55" t="s">
        <v>54</v>
      </c>
      <c r="P50" s="64">
        <f>P48*2%</f>
        <v>109665.88500000001</v>
      </c>
    </row>
    <row r="51" spans="1:16" ht="18" customHeight="1" x14ac:dyDescent="0.2">
      <c r="A51" s="10"/>
      <c r="H51" s="56"/>
      <c r="N51" s="59" t="s">
        <v>32</v>
      </c>
      <c r="O51" s="60"/>
      <c r="P51" s="63">
        <f>P48+P49-P50</f>
        <v>5428461.3075000001</v>
      </c>
    </row>
    <row r="53" spans="1:16" x14ac:dyDescent="0.2">
      <c r="A53" s="10"/>
      <c r="H53" s="56"/>
      <c r="P53" s="64"/>
    </row>
    <row r="54" spans="1:16" x14ac:dyDescent="0.2">
      <c r="A54" s="10"/>
      <c r="H54" s="56"/>
      <c r="O54" s="51"/>
      <c r="P54" s="6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6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6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6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6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6"/>
      <c r="N66" s="14"/>
      <c r="O66" s="14"/>
      <c r="P66" s="14"/>
    </row>
  </sheetData>
  <mergeCells count="2">
    <mergeCell ref="A46:L46"/>
    <mergeCell ref="O46:P46"/>
  </mergeCells>
  <conditionalFormatting sqref="C3:C45">
    <cfRule type="duplicateValues" dxfId="927" priority="7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7"/>
  <sheetViews>
    <sheetView topLeftCell="A152" workbookViewId="0">
      <selection activeCell="O158" sqref="O15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402659</v>
      </c>
      <c r="B3" s="99" t="s">
        <v>2533</v>
      </c>
      <c r="C3" s="90" t="s">
        <v>2534</v>
      </c>
      <c r="D3" s="102" t="s">
        <v>57</v>
      </c>
      <c r="E3" s="91">
        <v>44545</v>
      </c>
      <c r="F3" s="102" t="s">
        <v>59</v>
      </c>
      <c r="G3" s="91">
        <v>44548</v>
      </c>
      <c r="H3" s="90" t="s">
        <v>1619</v>
      </c>
      <c r="I3" s="90">
        <v>80</v>
      </c>
      <c r="J3" s="90">
        <v>50</v>
      </c>
      <c r="K3" s="90">
        <v>21</v>
      </c>
      <c r="L3" s="90">
        <v>11</v>
      </c>
      <c r="M3" s="90">
        <v>21</v>
      </c>
      <c r="N3" s="104">
        <v>21</v>
      </c>
      <c r="O3" s="57">
        <v>7000</v>
      </c>
      <c r="P3" s="58">
        <f t="shared" ref="P3:P66" si="0">N3*O3</f>
        <v>147000</v>
      </c>
    </row>
    <row r="4" spans="1:16" ht="26.25" customHeight="1" x14ac:dyDescent="0.2">
      <c r="A4" s="100"/>
      <c r="B4" s="100"/>
      <c r="C4" s="90" t="s">
        <v>2535</v>
      </c>
      <c r="D4" s="102" t="s">
        <v>57</v>
      </c>
      <c r="E4" s="91">
        <v>44545</v>
      </c>
      <c r="F4" s="102" t="s">
        <v>59</v>
      </c>
      <c r="G4" s="91">
        <v>44548</v>
      </c>
      <c r="H4" s="90" t="s">
        <v>1619</v>
      </c>
      <c r="I4" s="90">
        <v>70</v>
      </c>
      <c r="J4" s="90">
        <v>54</v>
      </c>
      <c r="K4" s="90">
        <v>15</v>
      </c>
      <c r="L4" s="90">
        <v>7</v>
      </c>
      <c r="M4" s="90">
        <v>14.175000000000001</v>
      </c>
      <c r="N4" s="104">
        <v>14.175000000000001</v>
      </c>
      <c r="O4" s="57">
        <v>7000</v>
      </c>
      <c r="P4" s="58">
        <f t="shared" si="0"/>
        <v>99225</v>
      </c>
    </row>
    <row r="5" spans="1:16" ht="26.25" customHeight="1" x14ac:dyDescent="0.2">
      <c r="A5" s="100"/>
      <c r="B5" s="100"/>
      <c r="C5" s="90" t="s">
        <v>2536</v>
      </c>
      <c r="D5" s="102" t="s">
        <v>57</v>
      </c>
      <c r="E5" s="91">
        <v>44545</v>
      </c>
      <c r="F5" s="102" t="s">
        <v>59</v>
      </c>
      <c r="G5" s="91">
        <v>44548</v>
      </c>
      <c r="H5" s="90" t="s">
        <v>1619</v>
      </c>
      <c r="I5" s="90">
        <v>30</v>
      </c>
      <c r="J5" s="90">
        <v>30</v>
      </c>
      <c r="K5" s="90">
        <v>30</v>
      </c>
      <c r="L5" s="90">
        <v>5</v>
      </c>
      <c r="M5" s="90">
        <v>6.75</v>
      </c>
      <c r="N5" s="104">
        <v>6.75</v>
      </c>
      <c r="O5" s="57">
        <v>7000</v>
      </c>
      <c r="P5" s="58">
        <f t="shared" si="0"/>
        <v>47250</v>
      </c>
    </row>
    <row r="6" spans="1:16" ht="26.25" customHeight="1" x14ac:dyDescent="0.2">
      <c r="A6" s="100"/>
      <c r="B6" s="100"/>
      <c r="C6" s="65" t="s">
        <v>2537</v>
      </c>
      <c r="D6" s="70" t="s">
        <v>57</v>
      </c>
      <c r="E6" s="12">
        <v>44545</v>
      </c>
      <c r="F6" s="68" t="s">
        <v>59</v>
      </c>
      <c r="G6" s="12">
        <v>44548</v>
      </c>
      <c r="H6" s="69" t="s">
        <v>1619</v>
      </c>
      <c r="I6" s="15">
        <v>75</v>
      </c>
      <c r="J6" s="15">
        <v>51</v>
      </c>
      <c r="K6" s="15">
        <v>23</v>
      </c>
      <c r="L6" s="15">
        <v>2</v>
      </c>
      <c r="M6" s="73">
        <v>21.993749999999999</v>
      </c>
      <c r="N6" s="104">
        <v>21.993749999999999</v>
      </c>
      <c r="O6" s="57">
        <v>7000</v>
      </c>
      <c r="P6" s="58">
        <f t="shared" si="0"/>
        <v>153956.25</v>
      </c>
    </row>
    <row r="7" spans="1:16" ht="26.25" customHeight="1" x14ac:dyDescent="0.2">
      <c r="A7" s="100"/>
      <c r="B7" s="100"/>
      <c r="C7" s="65" t="s">
        <v>2538</v>
      </c>
      <c r="D7" s="70" t="s">
        <v>57</v>
      </c>
      <c r="E7" s="12">
        <v>44545</v>
      </c>
      <c r="F7" s="68" t="s">
        <v>59</v>
      </c>
      <c r="G7" s="12">
        <v>44548</v>
      </c>
      <c r="H7" s="69" t="s">
        <v>1619</v>
      </c>
      <c r="I7" s="15">
        <v>82</v>
      </c>
      <c r="J7" s="15">
        <v>59</v>
      </c>
      <c r="K7" s="15">
        <v>23</v>
      </c>
      <c r="L7" s="15">
        <v>4</v>
      </c>
      <c r="M7" s="73">
        <v>27.8185</v>
      </c>
      <c r="N7" s="104">
        <v>27.8185</v>
      </c>
      <c r="O7" s="57">
        <v>7000</v>
      </c>
      <c r="P7" s="58">
        <f t="shared" si="0"/>
        <v>194729.5</v>
      </c>
    </row>
    <row r="8" spans="1:16" ht="26.25" customHeight="1" x14ac:dyDescent="0.2">
      <c r="A8" s="100"/>
      <c r="B8" s="100"/>
      <c r="C8" s="65" t="s">
        <v>2539</v>
      </c>
      <c r="D8" s="70" t="s">
        <v>57</v>
      </c>
      <c r="E8" s="12">
        <v>44545</v>
      </c>
      <c r="F8" s="68" t="s">
        <v>59</v>
      </c>
      <c r="G8" s="12">
        <v>44548</v>
      </c>
      <c r="H8" s="69" t="s">
        <v>1619</v>
      </c>
      <c r="I8" s="15">
        <v>71</v>
      </c>
      <c r="J8" s="15">
        <v>62</v>
      </c>
      <c r="K8" s="15">
        <v>18</v>
      </c>
      <c r="L8" s="15">
        <v>7</v>
      </c>
      <c r="M8" s="73">
        <v>19.809000000000001</v>
      </c>
      <c r="N8" s="104">
        <v>19.809000000000001</v>
      </c>
      <c r="O8" s="57">
        <v>7000</v>
      </c>
      <c r="P8" s="58">
        <f t="shared" si="0"/>
        <v>138663</v>
      </c>
    </row>
    <row r="9" spans="1:16" ht="26.25" customHeight="1" x14ac:dyDescent="0.2">
      <c r="A9" s="100"/>
      <c r="B9" s="100"/>
      <c r="C9" s="65" t="s">
        <v>2540</v>
      </c>
      <c r="D9" s="70" t="s">
        <v>57</v>
      </c>
      <c r="E9" s="12">
        <v>44545</v>
      </c>
      <c r="F9" s="68" t="s">
        <v>59</v>
      </c>
      <c r="G9" s="12">
        <v>44548</v>
      </c>
      <c r="H9" s="69" t="s">
        <v>1619</v>
      </c>
      <c r="I9" s="15">
        <v>65</v>
      </c>
      <c r="J9" s="15">
        <v>45</v>
      </c>
      <c r="K9" s="15">
        <v>13</v>
      </c>
      <c r="L9" s="15">
        <v>5</v>
      </c>
      <c r="M9" s="73">
        <v>9.5062499999999996</v>
      </c>
      <c r="N9" s="104">
        <v>9.5062499999999996</v>
      </c>
      <c r="O9" s="57">
        <v>7000</v>
      </c>
      <c r="P9" s="58">
        <f t="shared" si="0"/>
        <v>66543.75</v>
      </c>
    </row>
    <row r="10" spans="1:16" ht="26.25" customHeight="1" x14ac:dyDescent="0.2">
      <c r="A10" s="100"/>
      <c r="B10" s="100"/>
      <c r="C10" s="65" t="s">
        <v>2541</v>
      </c>
      <c r="D10" s="70" t="s">
        <v>57</v>
      </c>
      <c r="E10" s="12">
        <v>44545</v>
      </c>
      <c r="F10" s="68" t="s">
        <v>59</v>
      </c>
      <c r="G10" s="12">
        <v>44548</v>
      </c>
      <c r="H10" s="69" t="s">
        <v>1619</v>
      </c>
      <c r="I10" s="15">
        <v>91</v>
      </c>
      <c r="J10" s="15">
        <v>50</v>
      </c>
      <c r="K10" s="15">
        <v>24</v>
      </c>
      <c r="L10" s="15">
        <v>12</v>
      </c>
      <c r="M10" s="73">
        <v>27.3</v>
      </c>
      <c r="N10" s="104">
        <v>28</v>
      </c>
      <c r="O10" s="57">
        <v>7000</v>
      </c>
      <c r="P10" s="58">
        <f t="shared" si="0"/>
        <v>196000</v>
      </c>
    </row>
    <row r="11" spans="1:16" ht="26.25" customHeight="1" x14ac:dyDescent="0.2">
      <c r="A11" s="100"/>
      <c r="B11" s="100"/>
      <c r="C11" s="65" t="s">
        <v>2542</v>
      </c>
      <c r="D11" s="70" t="s">
        <v>57</v>
      </c>
      <c r="E11" s="12">
        <v>44545</v>
      </c>
      <c r="F11" s="68" t="s">
        <v>59</v>
      </c>
      <c r="G11" s="12">
        <v>44548</v>
      </c>
      <c r="H11" s="69" t="s">
        <v>1619</v>
      </c>
      <c r="I11" s="15">
        <v>100</v>
      </c>
      <c r="J11" s="15">
        <v>60</v>
      </c>
      <c r="K11" s="15">
        <v>26</v>
      </c>
      <c r="L11" s="15">
        <v>23</v>
      </c>
      <c r="M11" s="73">
        <v>39</v>
      </c>
      <c r="N11" s="104">
        <v>39</v>
      </c>
      <c r="O11" s="57">
        <v>7000</v>
      </c>
      <c r="P11" s="58">
        <f t="shared" si="0"/>
        <v>273000</v>
      </c>
    </row>
    <row r="12" spans="1:16" ht="26.25" customHeight="1" x14ac:dyDescent="0.2">
      <c r="A12" s="100"/>
      <c r="B12" s="100"/>
      <c r="C12" s="65" t="s">
        <v>2543</v>
      </c>
      <c r="D12" s="70" t="s">
        <v>57</v>
      </c>
      <c r="E12" s="12">
        <v>44545</v>
      </c>
      <c r="F12" s="68" t="s">
        <v>59</v>
      </c>
      <c r="G12" s="12">
        <v>44548</v>
      </c>
      <c r="H12" s="69" t="s">
        <v>1619</v>
      </c>
      <c r="I12" s="15">
        <v>95</v>
      </c>
      <c r="J12" s="15">
        <v>61</v>
      </c>
      <c r="K12" s="15">
        <v>15</v>
      </c>
      <c r="L12" s="15">
        <v>16</v>
      </c>
      <c r="M12" s="73">
        <v>21.731249999999999</v>
      </c>
      <c r="N12" s="104">
        <v>21.731249999999999</v>
      </c>
      <c r="O12" s="57">
        <v>7000</v>
      </c>
      <c r="P12" s="58">
        <f t="shared" si="0"/>
        <v>152118.75</v>
      </c>
    </row>
    <row r="13" spans="1:16" ht="26.25" customHeight="1" x14ac:dyDescent="0.2">
      <c r="A13" s="100"/>
      <c r="B13" s="100"/>
      <c r="C13" s="65" t="s">
        <v>2544</v>
      </c>
      <c r="D13" s="70" t="s">
        <v>57</v>
      </c>
      <c r="E13" s="12">
        <v>44545</v>
      </c>
      <c r="F13" s="68" t="s">
        <v>59</v>
      </c>
      <c r="G13" s="12">
        <v>44548</v>
      </c>
      <c r="H13" s="69" t="s">
        <v>1619</v>
      </c>
      <c r="I13" s="15">
        <v>60</v>
      </c>
      <c r="J13" s="15">
        <v>55</v>
      </c>
      <c r="K13" s="15">
        <v>21</v>
      </c>
      <c r="L13" s="15">
        <v>5</v>
      </c>
      <c r="M13" s="73">
        <v>17.324999999999999</v>
      </c>
      <c r="N13" s="104">
        <v>18</v>
      </c>
      <c r="O13" s="57">
        <v>7000</v>
      </c>
      <c r="P13" s="58">
        <f t="shared" si="0"/>
        <v>126000</v>
      </c>
    </row>
    <row r="14" spans="1:16" ht="26.25" customHeight="1" x14ac:dyDescent="0.2">
      <c r="A14" s="100"/>
      <c r="B14" s="100"/>
      <c r="C14" s="65" t="s">
        <v>2545</v>
      </c>
      <c r="D14" s="70" t="s">
        <v>57</v>
      </c>
      <c r="E14" s="12">
        <v>44545</v>
      </c>
      <c r="F14" s="68" t="s">
        <v>59</v>
      </c>
      <c r="G14" s="12">
        <v>44548</v>
      </c>
      <c r="H14" s="69" t="s">
        <v>1619</v>
      </c>
      <c r="I14" s="15">
        <v>92</v>
      </c>
      <c r="J14" s="15">
        <v>59</v>
      </c>
      <c r="K14" s="15">
        <v>26</v>
      </c>
      <c r="L14" s="15">
        <v>21</v>
      </c>
      <c r="M14" s="73">
        <v>35.281999999999996</v>
      </c>
      <c r="N14" s="104">
        <v>35.281999999999996</v>
      </c>
      <c r="O14" s="57">
        <v>7000</v>
      </c>
      <c r="P14" s="58">
        <f t="shared" si="0"/>
        <v>246973.99999999997</v>
      </c>
    </row>
    <row r="15" spans="1:16" ht="26.25" customHeight="1" x14ac:dyDescent="0.2">
      <c r="A15" s="100"/>
      <c r="B15" s="100"/>
      <c r="C15" s="65" t="s">
        <v>2546</v>
      </c>
      <c r="D15" s="70" t="s">
        <v>57</v>
      </c>
      <c r="E15" s="12">
        <v>44545</v>
      </c>
      <c r="F15" s="68" t="s">
        <v>59</v>
      </c>
      <c r="G15" s="12">
        <v>44548</v>
      </c>
      <c r="H15" s="69" t="s">
        <v>1619</v>
      </c>
      <c r="I15" s="15">
        <v>95</v>
      </c>
      <c r="J15" s="15">
        <v>62</v>
      </c>
      <c r="K15" s="15">
        <v>28</v>
      </c>
      <c r="L15" s="15">
        <v>16</v>
      </c>
      <c r="M15" s="73">
        <v>41.23</v>
      </c>
      <c r="N15" s="104">
        <v>41.23</v>
      </c>
      <c r="O15" s="57">
        <v>7000</v>
      </c>
      <c r="P15" s="58">
        <f t="shared" si="0"/>
        <v>288610</v>
      </c>
    </row>
    <row r="16" spans="1:16" ht="26.25" customHeight="1" x14ac:dyDescent="0.2">
      <c r="A16" s="100"/>
      <c r="B16" s="100"/>
      <c r="C16" s="65" t="s">
        <v>2547</v>
      </c>
      <c r="D16" s="70" t="s">
        <v>57</v>
      </c>
      <c r="E16" s="12">
        <v>44545</v>
      </c>
      <c r="F16" s="68" t="s">
        <v>59</v>
      </c>
      <c r="G16" s="12">
        <v>44548</v>
      </c>
      <c r="H16" s="69" t="s">
        <v>1619</v>
      </c>
      <c r="I16" s="15">
        <v>84</v>
      </c>
      <c r="J16" s="15">
        <v>57</v>
      </c>
      <c r="K16" s="15">
        <v>25</v>
      </c>
      <c r="L16" s="15">
        <v>5</v>
      </c>
      <c r="M16" s="73">
        <v>29.925000000000001</v>
      </c>
      <c r="N16" s="104">
        <v>29.925000000000001</v>
      </c>
      <c r="O16" s="57">
        <v>7000</v>
      </c>
      <c r="P16" s="58">
        <f t="shared" si="0"/>
        <v>209475</v>
      </c>
    </row>
    <row r="17" spans="1:16" ht="26.25" customHeight="1" x14ac:dyDescent="0.2">
      <c r="A17" s="100"/>
      <c r="B17" s="100"/>
      <c r="C17" s="65" t="s">
        <v>2548</v>
      </c>
      <c r="D17" s="70" t="s">
        <v>57</v>
      </c>
      <c r="E17" s="12">
        <v>44545</v>
      </c>
      <c r="F17" s="68" t="s">
        <v>59</v>
      </c>
      <c r="G17" s="12">
        <v>44548</v>
      </c>
      <c r="H17" s="69" t="s">
        <v>1619</v>
      </c>
      <c r="I17" s="15">
        <v>89</v>
      </c>
      <c r="J17" s="15">
        <v>58</v>
      </c>
      <c r="K17" s="15">
        <v>13</v>
      </c>
      <c r="L17" s="15">
        <v>4</v>
      </c>
      <c r="M17" s="73">
        <v>16.776499999999999</v>
      </c>
      <c r="N17" s="104">
        <v>16.776499999999999</v>
      </c>
      <c r="O17" s="57">
        <v>7000</v>
      </c>
      <c r="P17" s="58">
        <f t="shared" si="0"/>
        <v>117435.49999999999</v>
      </c>
    </row>
    <row r="18" spans="1:16" ht="26.25" customHeight="1" x14ac:dyDescent="0.2">
      <c r="A18" s="100"/>
      <c r="B18" s="100"/>
      <c r="C18" s="65" t="s">
        <v>2549</v>
      </c>
      <c r="D18" s="70" t="s">
        <v>57</v>
      </c>
      <c r="E18" s="12">
        <v>44545</v>
      </c>
      <c r="F18" s="68" t="s">
        <v>59</v>
      </c>
      <c r="G18" s="12">
        <v>44548</v>
      </c>
      <c r="H18" s="69" t="s">
        <v>1619</v>
      </c>
      <c r="I18" s="15">
        <v>50</v>
      </c>
      <c r="J18" s="15">
        <v>40</v>
      </c>
      <c r="K18" s="15">
        <v>12</v>
      </c>
      <c r="L18" s="15">
        <v>2</v>
      </c>
      <c r="M18" s="73">
        <v>6</v>
      </c>
      <c r="N18" s="104">
        <v>6</v>
      </c>
      <c r="O18" s="57">
        <v>7000</v>
      </c>
      <c r="P18" s="58">
        <f t="shared" si="0"/>
        <v>42000</v>
      </c>
    </row>
    <row r="19" spans="1:16" ht="26.25" customHeight="1" x14ac:dyDescent="0.2">
      <c r="A19" s="100"/>
      <c r="B19" s="100"/>
      <c r="C19" s="65" t="s">
        <v>2550</v>
      </c>
      <c r="D19" s="70" t="s">
        <v>57</v>
      </c>
      <c r="E19" s="12">
        <v>44545</v>
      </c>
      <c r="F19" s="68" t="s">
        <v>59</v>
      </c>
      <c r="G19" s="12">
        <v>44548</v>
      </c>
      <c r="H19" s="69" t="s">
        <v>1619</v>
      </c>
      <c r="I19" s="15">
        <v>93</v>
      </c>
      <c r="J19" s="15">
        <v>58</v>
      </c>
      <c r="K19" s="15">
        <v>27</v>
      </c>
      <c r="L19" s="15">
        <v>9</v>
      </c>
      <c r="M19" s="73">
        <v>36.409500000000001</v>
      </c>
      <c r="N19" s="104">
        <v>37</v>
      </c>
      <c r="O19" s="57">
        <v>7000</v>
      </c>
      <c r="P19" s="58">
        <f t="shared" si="0"/>
        <v>259000</v>
      </c>
    </row>
    <row r="20" spans="1:16" ht="26.25" customHeight="1" x14ac:dyDescent="0.2">
      <c r="A20" s="100"/>
      <c r="B20" s="100"/>
      <c r="C20" s="65" t="s">
        <v>2551</v>
      </c>
      <c r="D20" s="70" t="s">
        <v>57</v>
      </c>
      <c r="E20" s="12">
        <v>44545</v>
      </c>
      <c r="F20" s="68" t="s">
        <v>59</v>
      </c>
      <c r="G20" s="12">
        <v>44548</v>
      </c>
      <c r="H20" s="69" t="s">
        <v>1619</v>
      </c>
      <c r="I20" s="15">
        <v>53</v>
      </c>
      <c r="J20" s="15">
        <v>55</v>
      </c>
      <c r="K20" s="15">
        <v>10</v>
      </c>
      <c r="L20" s="15">
        <v>5</v>
      </c>
      <c r="M20" s="73">
        <v>7.2874999999999996</v>
      </c>
      <c r="N20" s="104">
        <v>7.2874999999999996</v>
      </c>
      <c r="O20" s="57">
        <v>7000</v>
      </c>
      <c r="P20" s="58">
        <f t="shared" si="0"/>
        <v>51012.5</v>
      </c>
    </row>
    <row r="21" spans="1:16" ht="26.25" customHeight="1" x14ac:dyDescent="0.2">
      <c r="A21" s="100"/>
      <c r="B21" s="100"/>
      <c r="C21" s="65" t="s">
        <v>2552</v>
      </c>
      <c r="D21" s="70" t="s">
        <v>57</v>
      </c>
      <c r="E21" s="12">
        <v>44545</v>
      </c>
      <c r="F21" s="68" t="s">
        <v>59</v>
      </c>
      <c r="G21" s="12">
        <v>44548</v>
      </c>
      <c r="H21" s="69" t="s">
        <v>1619</v>
      </c>
      <c r="I21" s="15">
        <v>80</v>
      </c>
      <c r="J21" s="15">
        <v>53</v>
      </c>
      <c r="K21" s="15">
        <v>22</v>
      </c>
      <c r="L21" s="15">
        <v>17</v>
      </c>
      <c r="M21" s="73">
        <v>23.32</v>
      </c>
      <c r="N21" s="104">
        <v>24</v>
      </c>
      <c r="O21" s="57">
        <v>7000</v>
      </c>
      <c r="P21" s="58">
        <f t="shared" si="0"/>
        <v>168000</v>
      </c>
    </row>
    <row r="22" spans="1:16" ht="26.25" customHeight="1" x14ac:dyDescent="0.2">
      <c r="A22" s="100"/>
      <c r="B22" s="100"/>
      <c r="C22" s="65" t="s">
        <v>2553</v>
      </c>
      <c r="D22" s="70" t="s">
        <v>57</v>
      </c>
      <c r="E22" s="12">
        <v>44545</v>
      </c>
      <c r="F22" s="68" t="s">
        <v>59</v>
      </c>
      <c r="G22" s="12">
        <v>44548</v>
      </c>
      <c r="H22" s="69" t="s">
        <v>1619</v>
      </c>
      <c r="I22" s="15">
        <v>60</v>
      </c>
      <c r="J22" s="15">
        <v>54</v>
      </c>
      <c r="K22" s="15">
        <v>34</v>
      </c>
      <c r="L22" s="15">
        <v>16</v>
      </c>
      <c r="M22" s="73">
        <v>27.54</v>
      </c>
      <c r="N22" s="104">
        <v>27.54</v>
      </c>
      <c r="O22" s="57">
        <v>7000</v>
      </c>
      <c r="P22" s="58">
        <f t="shared" si="0"/>
        <v>192780</v>
      </c>
    </row>
    <row r="23" spans="1:16" ht="26.25" customHeight="1" x14ac:dyDescent="0.2">
      <c r="A23" s="100"/>
      <c r="B23" s="100"/>
      <c r="C23" s="65" t="s">
        <v>2554</v>
      </c>
      <c r="D23" s="70" t="s">
        <v>57</v>
      </c>
      <c r="E23" s="12">
        <v>44545</v>
      </c>
      <c r="F23" s="68" t="s">
        <v>59</v>
      </c>
      <c r="G23" s="12">
        <v>44548</v>
      </c>
      <c r="H23" s="69" t="s">
        <v>1619</v>
      </c>
      <c r="I23" s="15">
        <v>72</v>
      </c>
      <c r="J23" s="15">
        <v>60</v>
      </c>
      <c r="K23" s="15">
        <v>21</v>
      </c>
      <c r="L23" s="15">
        <v>10</v>
      </c>
      <c r="M23" s="73">
        <v>22.68</v>
      </c>
      <c r="N23" s="104">
        <v>22.68</v>
      </c>
      <c r="O23" s="57">
        <v>7000</v>
      </c>
      <c r="P23" s="58">
        <f t="shared" si="0"/>
        <v>158760</v>
      </c>
    </row>
    <row r="24" spans="1:16" ht="26.25" customHeight="1" x14ac:dyDescent="0.2">
      <c r="A24" s="100"/>
      <c r="B24" s="100"/>
      <c r="C24" s="65" t="s">
        <v>2555</v>
      </c>
      <c r="D24" s="70" t="s">
        <v>57</v>
      </c>
      <c r="E24" s="12">
        <v>44545</v>
      </c>
      <c r="F24" s="68" t="s">
        <v>59</v>
      </c>
      <c r="G24" s="12">
        <v>44548</v>
      </c>
      <c r="H24" s="69" t="s">
        <v>1619</v>
      </c>
      <c r="I24" s="15">
        <v>102</v>
      </c>
      <c r="J24" s="15">
        <v>62</v>
      </c>
      <c r="K24" s="15">
        <v>12</v>
      </c>
      <c r="L24" s="15">
        <v>20</v>
      </c>
      <c r="M24" s="73">
        <v>18.972000000000001</v>
      </c>
      <c r="N24" s="104">
        <v>20</v>
      </c>
      <c r="O24" s="57">
        <v>7000</v>
      </c>
      <c r="P24" s="58">
        <f t="shared" si="0"/>
        <v>140000</v>
      </c>
    </row>
    <row r="25" spans="1:16" ht="26.25" customHeight="1" x14ac:dyDescent="0.2">
      <c r="A25" s="100"/>
      <c r="B25" s="100"/>
      <c r="C25" s="65" t="s">
        <v>2556</v>
      </c>
      <c r="D25" s="70" t="s">
        <v>57</v>
      </c>
      <c r="E25" s="12">
        <v>44545</v>
      </c>
      <c r="F25" s="68" t="s">
        <v>59</v>
      </c>
      <c r="G25" s="12">
        <v>44548</v>
      </c>
      <c r="H25" s="69" t="s">
        <v>1619</v>
      </c>
      <c r="I25" s="15">
        <v>90</v>
      </c>
      <c r="J25" s="15">
        <v>62</v>
      </c>
      <c r="K25" s="15">
        <v>23</v>
      </c>
      <c r="L25" s="15">
        <v>7</v>
      </c>
      <c r="M25" s="73">
        <v>32.085000000000001</v>
      </c>
      <c r="N25" s="104">
        <v>32.085000000000001</v>
      </c>
      <c r="O25" s="57">
        <v>7000</v>
      </c>
      <c r="P25" s="58">
        <f t="shared" si="0"/>
        <v>224595</v>
      </c>
    </row>
    <row r="26" spans="1:16" ht="26.25" customHeight="1" x14ac:dyDescent="0.2">
      <c r="A26" s="100"/>
      <c r="B26" s="100"/>
      <c r="C26" s="65" t="s">
        <v>2557</v>
      </c>
      <c r="D26" s="70" t="s">
        <v>57</v>
      </c>
      <c r="E26" s="12">
        <v>44545</v>
      </c>
      <c r="F26" s="68" t="s">
        <v>59</v>
      </c>
      <c r="G26" s="12">
        <v>44548</v>
      </c>
      <c r="H26" s="69" t="s">
        <v>1619</v>
      </c>
      <c r="I26" s="15">
        <v>105</v>
      </c>
      <c r="J26" s="15">
        <v>23</v>
      </c>
      <c r="K26" s="15">
        <v>30</v>
      </c>
      <c r="L26" s="15">
        <v>20</v>
      </c>
      <c r="M26" s="73">
        <v>18.112500000000001</v>
      </c>
      <c r="N26" s="104">
        <v>20</v>
      </c>
      <c r="O26" s="57">
        <v>7000</v>
      </c>
      <c r="P26" s="58">
        <f t="shared" si="0"/>
        <v>140000</v>
      </c>
    </row>
    <row r="27" spans="1:16" ht="26.25" customHeight="1" x14ac:dyDescent="0.2">
      <c r="A27" s="100"/>
      <c r="B27" s="100"/>
      <c r="C27" s="65" t="s">
        <v>2558</v>
      </c>
      <c r="D27" s="70" t="s">
        <v>57</v>
      </c>
      <c r="E27" s="12">
        <v>44545</v>
      </c>
      <c r="F27" s="68" t="s">
        <v>59</v>
      </c>
      <c r="G27" s="12">
        <v>44548</v>
      </c>
      <c r="H27" s="69" t="s">
        <v>1619</v>
      </c>
      <c r="I27" s="15">
        <v>100</v>
      </c>
      <c r="J27" s="15">
        <v>60</v>
      </c>
      <c r="K27" s="15">
        <v>27</v>
      </c>
      <c r="L27" s="15">
        <v>11</v>
      </c>
      <c r="M27" s="73">
        <v>40.5</v>
      </c>
      <c r="N27" s="104">
        <v>42</v>
      </c>
      <c r="O27" s="57">
        <v>7000</v>
      </c>
      <c r="P27" s="58">
        <f t="shared" si="0"/>
        <v>294000</v>
      </c>
    </row>
    <row r="28" spans="1:16" ht="26.25" customHeight="1" x14ac:dyDescent="0.2">
      <c r="A28" s="100"/>
      <c r="B28" s="100"/>
      <c r="C28" s="65" t="s">
        <v>2559</v>
      </c>
      <c r="D28" s="70" t="s">
        <v>57</v>
      </c>
      <c r="E28" s="12">
        <v>44545</v>
      </c>
      <c r="F28" s="68" t="s">
        <v>59</v>
      </c>
      <c r="G28" s="12">
        <v>44548</v>
      </c>
      <c r="H28" s="69" t="s">
        <v>1619</v>
      </c>
      <c r="I28" s="15">
        <v>106</v>
      </c>
      <c r="J28" s="15">
        <v>56</v>
      </c>
      <c r="K28" s="15">
        <v>24</v>
      </c>
      <c r="L28" s="15">
        <v>34</v>
      </c>
      <c r="M28" s="73">
        <v>35.616</v>
      </c>
      <c r="N28" s="104">
        <v>35.616</v>
      </c>
      <c r="O28" s="57">
        <v>7000</v>
      </c>
      <c r="P28" s="58">
        <f t="shared" si="0"/>
        <v>249312</v>
      </c>
    </row>
    <row r="29" spans="1:16" ht="26.25" customHeight="1" x14ac:dyDescent="0.2">
      <c r="A29" s="100"/>
      <c r="B29" s="100"/>
      <c r="C29" s="65" t="s">
        <v>2560</v>
      </c>
      <c r="D29" s="70" t="s">
        <v>57</v>
      </c>
      <c r="E29" s="12">
        <v>44545</v>
      </c>
      <c r="F29" s="68" t="s">
        <v>59</v>
      </c>
      <c r="G29" s="12">
        <v>44548</v>
      </c>
      <c r="H29" s="69" t="s">
        <v>1619</v>
      </c>
      <c r="I29" s="15">
        <v>65</v>
      </c>
      <c r="J29" s="15">
        <v>60</v>
      </c>
      <c r="K29" s="15">
        <v>17</v>
      </c>
      <c r="L29" s="15">
        <v>5</v>
      </c>
      <c r="M29" s="73">
        <v>16.574999999999999</v>
      </c>
      <c r="N29" s="104">
        <v>16.574999999999999</v>
      </c>
      <c r="O29" s="57">
        <v>7000</v>
      </c>
      <c r="P29" s="58">
        <f t="shared" si="0"/>
        <v>116025</v>
      </c>
    </row>
    <row r="30" spans="1:16" ht="26.25" customHeight="1" x14ac:dyDescent="0.2">
      <c r="A30" s="100"/>
      <c r="B30" s="100"/>
      <c r="C30" s="65" t="s">
        <v>2561</v>
      </c>
      <c r="D30" s="70" t="s">
        <v>57</v>
      </c>
      <c r="E30" s="12">
        <v>44545</v>
      </c>
      <c r="F30" s="68" t="s">
        <v>59</v>
      </c>
      <c r="G30" s="12">
        <v>44548</v>
      </c>
      <c r="H30" s="69" t="s">
        <v>1619</v>
      </c>
      <c r="I30" s="15">
        <v>82</v>
      </c>
      <c r="J30" s="15">
        <v>53</v>
      </c>
      <c r="K30" s="15">
        <v>16</v>
      </c>
      <c r="L30" s="15">
        <v>6</v>
      </c>
      <c r="M30" s="73">
        <v>17.384</v>
      </c>
      <c r="N30" s="104">
        <v>18</v>
      </c>
      <c r="O30" s="57">
        <v>7000</v>
      </c>
      <c r="P30" s="58">
        <f t="shared" si="0"/>
        <v>126000</v>
      </c>
    </row>
    <row r="31" spans="1:16" ht="26.25" customHeight="1" x14ac:dyDescent="0.2">
      <c r="A31" s="100"/>
      <c r="B31" s="100"/>
      <c r="C31" s="65" t="s">
        <v>2562</v>
      </c>
      <c r="D31" s="70" t="s">
        <v>57</v>
      </c>
      <c r="E31" s="12">
        <v>44545</v>
      </c>
      <c r="F31" s="68" t="s">
        <v>59</v>
      </c>
      <c r="G31" s="12">
        <v>44548</v>
      </c>
      <c r="H31" s="69" t="s">
        <v>1619</v>
      </c>
      <c r="I31" s="15">
        <v>95</v>
      </c>
      <c r="J31" s="15">
        <v>52</v>
      </c>
      <c r="K31" s="15">
        <v>23</v>
      </c>
      <c r="L31" s="15">
        <v>25</v>
      </c>
      <c r="M31" s="73">
        <v>28.405000000000001</v>
      </c>
      <c r="N31" s="104">
        <v>29</v>
      </c>
      <c r="O31" s="57">
        <v>7000</v>
      </c>
      <c r="P31" s="58">
        <f t="shared" si="0"/>
        <v>203000</v>
      </c>
    </row>
    <row r="32" spans="1:16" ht="26.25" customHeight="1" x14ac:dyDescent="0.2">
      <c r="A32" s="100"/>
      <c r="B32" s="100"/>
      <c r="C32" s="65" t="s">
        <v>2563</v>
      </c>
      <c r="D32" s="70" t="s">
        <v>57</v>
      </c>
      <c r="E32" s="12">
        <v>44545</v>
      </c>
      <c r="F32" s="68" t="s">
        <v>59</v>
      </c>
      <c r="G32" s="12">
        <v>44548</v>
      </c>
      <c r="H32" s="69" t="s">
        <v>1619</v>
      </c>
      <c r="I32" s="15">
        <v>35</v>
      </c>
      <c r="J32" s="15">
        <v>28</v>
      </c>
      <c r="K32" s="15">
        <v>15</v>
      </c>
      <c r="L32" s="15">
        <v>1</v>
      </c>
      <c r="M32" s="73">
        <v>3.6749999999999998</v>
      </c>
      <c r="N32" s="104">
        <v>3.6749999999999998</v>
      </c>
      <c r="O32" s="57">
        <v>7000</v>
      </c>
      <c r="P32" s="58">
        <f t="shared" si="0"/>
        <v>25725</v>
      </c>
    </row>
    <row r="33" spans="1:16" ht="26.25" customHeight="1" x14ac:dyDescent="0.2">
      <c r="A33" s="100"/>
      <c r="B33" s="100"/>
      <c r="C33" s="65" t="s">
        <v>2564</v>
      </c>
      <c r="D33" s="70" t="s">
        <v>57</v>
      </c>
      <c r="E33" s="12">
        <v>44545</v>
      </c>
      <c r="F33" s="68" t="s">
        <v>59</v>
      </c>
      <c r="G33" s="12">
        <v>44548</v>
      </c>
      <c r="H33" s="69" t="s">
        <v>1619</v>
      </c>
      <c r="I33" s="15">
        <v>72</v>
      </c>
      <c r="J33" s="15">
        <v>51</v>
      </c>
      <c r="K33" s="15">
        <v>17</v>
      </c>
      <c r="L33" s="15">
        <v>11</v>
      </c>
      <c r="M33" s="73">
        <v>15.606</v>
      </c>
      <c r="N33" s="104">
        <v>15.606</v>
      </c>
      <c r="O33" s="57">
        <v>7000</v>
      </c>
      <c r="P33" s="58">
        <f t="shared" si="0"/>
        <v>109242</v>
      </c>
    </row>
    <row r="34" spans="1:16" ht="26.25" customHeight="1" x14ac:dyDescent="0.2">
      <c r="A34" s="100"/>
      <c r="B34" s="100"/>
      <c r="C34" s="65" t="s">
        <v>2565</v>
      </c>
      <c r="D34" s="70" t="s">
        <v>57</v>
      </c>
      <c r="E34" s="12">
        <v>44545</v>
      </c>
      <c r="F34" s="68" t="s">
        <v>59</v>
      </c>
      <c r="G34" s="12">
        <v>44548</v>
      </c>
      <c r="H34" s="69" t="s">
        <v>1619</v>
      </c>
      <c r="I34" s="15">
        <v>62</v>
      </c>
      <c r="J34" s="15">
        <v>51</v>
      </c>
      <c r="K34" s="15">
        <v>12</v>
      </c>
      <c r="L34" s="15">
        <v>2</v>
      </c>
      <c r="M34" s="73">
        <v>9.4860000000000007</v>
      </c>
      <c r="N34" s="104">
        <v>10</v>
      </c>
      <c r="O34" s="57">
        <v>7000</v>
      </c>
      <c r="P34" s="58">
        <f t="shared" si="0"/>
        <v>70000</v>
      </c>
    </row>
    <row r="35" spans="1:16" ht="26.25" customHeight="1" x14ac:dyDescent="0.2">
      <c r="A35" s="100"/>
      <c r="B35" s="100"/>
      <c r="C35" s="65" t="s">
        <v>2566</v>
      </c>
      <c r="D35" s="70" t="s">
        <v>57</v>
      </c>
      <c r="E35" s="12">
        <v>44545</v>
      </c>
      <c r="F35" s="68" t="s">
        <v>59</v>
      </c>
      <c r="G35" s="12">
        <v>44548</v>
      </c>
      <c r="H35" s="69" t="s">
        <v>1619</v>
      </c>
      <c r="I35" s="15">
        <v>45</v>
      </c>
      <c r="J35" s="15">
        <v>20</v>
      </c>
      <c r="K35" s="15">
        <v>20</v>
      </c>
      <c r="L35" s="15">
        <v>1</v>
      </c>
      <c r="M35" s="73">
        <v>4.5</v>
      </c>
      <c r="N35" s="104">
        <v>6</v>
      </c>
      <c r="O35" s="57">
        <v>7000</v>
      </c>
      <c r="P35" s="58">
        <f t="shared" si="0"/>
        <v>42000</v>
      </c>
    </row>
    <row r="36" spans="1:16" ht="26.25" customHeight="1" x14ac:dyDescent="0.2">
      <c r="A36" s="100"/>
      <c r="B36" s="100"/>
      <c r="C36" s="65" t="s">
        <v>2567</v>
      </c>
      <c r="D36" s="70" t="s">
        <v>57</v>
      </c>
      <c r="E36" s="12">
        <v>44545</v>
      </c>
      <c r="F36" s="68" t="s">
        <v>59</v>
      </c>
      <c r="G36" s="12">
        <v>44548</v>
      </c>
      <c r="H36" s="69" t="s">
        <v>1619</v>
      </c>
      <c r="I36" s="15">
        <v>70</v>
      </c>
      <c r="J36" s="15">
        <v>60</v>
      </c>
      <c r="K36" s="15">
        <v>5</v>
      </c>
      <c r="L36" s="15">
        <v>1</v>
      </c>
      <c r="M36" s="73">
        <v>5.25</v>
      </c>
      <c r="N36" s="104">
        <v>5.25</v>
      </c>
      <c r="O36" s="57">
        <v>7000</v>
      </c>
      <c r="P36" s="58">
        <f t="shared" si="0"/>
        <v>36750</v>
      </c>
    </row>
    <row r="37" spans="1:16" ht="26.25" customHeight="1" x14ac:dyDescent="0.2">
      <c r="A37" s="100"/>
      <c r="B37" s="100"/>
      <c r="C37" s="65" t="s">
        <v>2568</v>
      </c>
      <c r="D37" s="70" t="s">
        <v>57</v>
      </c>
      <c r="E37" s="12">
        <v>44545</v>
      </c>
      <c r="F37" s="68" t="s">
        <v>59</v>
      </c>
      <c r="G37" s="12">
        <v>44548</v>
      </c>
      <c r="H37" s="69" t="s">
        <v>1619</v>
      </c>
      <c r="I37" s="15">
        <v>105</v>
      </c>
      <c r="J37" s="15">
        <v>12</v>
      </c>
      <c r="K37" s="15">
        <v>12</v>
      </c>
      <c r="L37" s="15">
        <v>1</v>
      </c>
      <c r="M37" s="73">
        <v>3.78</v>
      </c>
      <c r="N37" s="104">
        <v>3.78</v>
      </c>
      <c r="O37" s="57">
        <v>7000</v>
      </c>
      <c r="P37" s="58">
        <f t="shared" si="0"/>
        <v>26460</v>
      </c>
    </row>
    <row r="38" spans="1:16" ht="26.25" customHeight="1" x14ac:dyDescent="0.2">
      <c r="A38" s="100"/>
      <c r="B38" s="100"/>
      <c r="C38" s="65" t="s">
        <v>2569</v>
      </c>
      <c r="D38" s="70" t="s">
        <v>57</v>
      </c>
      <c r="E38" s="12">
        <v>44545</v>
      </c>
      <c r="F38" s="68" t="s">
        <v>59</v>
      </c>
      <c r="G38" s="12">
        <v>44548</v>
      </c>
      <c r="H38" s="69" t="s">
        <v>1619</v>
      </c>
      <c r="I38" s="15">
        <v>65</v>
      </c>
      <c r="J38" s="15">
        <v>60</v>
      </c>
      <c r="K38" s="15">
        <v>13</v>
      </c>
      <c r="L38" s="15">
        <v>4</v>
      </c>
      <c r="M38" s="73">
        <v>12.675000000000001</v>
      </c>
      <c r="N38" s="104">
        <v>12.675000000000001</v>
      </c>
      <c r="O38" s="57">
        <v>7000</v>
      </c>
      <c r="P38" s="58">
        <f t="shared" si="0"/>
        <v>88725</v>
      </c>
    </row>
    <row r="39" spans="1:16" ht="26.25" customHeight="1" x14ac:dyDescent="0.2">
      <c r="A39" s="100"/>
      <c r="B39" s="100"/>
      <c r="C39" s="65" t="s">
        <v>2570</v>
      </c>
      <c r="D39" s="70" t="s">
        <v>57</v>
      </c>
      <c r="E39" s="12">
        <v>44545</v>
      </c>
      <c r="F39" s="68" t="s">
        <v>59</v>
      </c>
      <c r="G39" s="12">
        <v>44548</v>
      </c>
      <c r="H39" s="69" t="s">
        <v>1619</v>
      </c>
      <c r="I39" s="15">
        <v>33</v>
      </c>
      <c r="J39" s="15">
        <v>33</v>
      </c>
      <c r="K39" s="15">
        <v>15</v>
      </c>
      <c r="L39" s="15">
        <v>4</v>
      </c>
      <c r="M39" s="73">
        <v>4.0837500000000002</v>
      </c>
      <c r="N39" s="104">
        <v>4.0837500000000002</v>
      </c>
      <c r="O39" s="57">
        <v>7000</v>
      </c>
      <c r="P39" s="58">
        <f t="shared" si="0"/>
        <v>28586.25</v>
      </c>
    </row>
    <row r="40" spans="1:16" ht="26.25" customHeight="1" x14ac:dyDescent="0.2">
      <c r="A40" s="100"/>
      <c r="B40" s="100"/>
      <c r="C40" s="65" t="s">
        <v>2571</v>
      </c>
      <c r="D40" s="70" t="s">
        <v>57</v>
      </c>
      <c r="E40" s="12">
        <v>44545</v>
      </c>
      <c r="F40" s="68" t="s">
        <v>59</v>
      </c>
      <c r="G40" s="12">
        <v>44548</v>
      </c>
      <c r="H40" s="69" t="s">
        <v>1619</v>
      </c>
      <c r="I40" s="15">
        <v>70</v>
      </c>
      <c r="J40" s="15">
        <v>15</v>
      </c>
      <c r="K40" s="15">
        <v>15</v>
      </c>
      <c r="L40" s="15">
        <v>4</v>
      </c>
      <c r="M40" s="73">
        <v>3.9375</v>
      </c>
      <c r="N40" s="104">
        <v>4</v>
      </c>
      <c r="O40" s="57">
        <v>7000</v>
      </c>
      <c r="P40" s="58">
        <f t="shared" si="0"/>
        <v>28000</v>
      </c>
    </row>
    <row r="41" spans="1:16" ht="26.25" customHeight="1" x14ac:dyDescent="0.2">
      <c r="A41" s="100"/>
      <c r="B41" s="100"/>
      <c r="C41" s="65" t="s">
        <v>2572</v>
      </c>
      <c r="D41" s="70" t="s">
        <v>57</v>
      </c>
      <c r="E41" s="12">
        <v>44545</v>
      </c>
      <c r="F41" s="68" t="s">
        <v>59</v>
      </c>
      <c r="G41" s="12">
        <v>44548</v>
      </c>
      <c r="H41" s="69" t="s">
        <v>1619</v>
      </c>
      <c r="I41" s="15">
        <v>85</v>
      </c>
      <c r="J41" s="15">
        <v>53</v>
      </c>
      <c r="K41" s="15">
        <v>15</v>
      </c>
      <c r="L41" s="15">
        <v>11</v>
      </c>
      <c r="M41" s="73">
        <v>16.893750000000001</v>
      </c>
      <c r="N41" s="104">
        <v>16.893750000000001</v>
      </c>
      <c r="O41" s="57">
        <v>7000</v>
      </c>
      <c r="P41" s="58">
        <f t="shared" si="0"/>
        <v>118256.25</v>
      </c>
    </row>
    <row r="42" spans="1:16" ht="26.25" customHeight="1" x14ac:dyDescent="0.2">
      <c r="A42" s="100"/>
      <c r="B42" s="100"/>
      <c r="C42" s="65" t="s">
        <v>2573</v>
      </c>
      <c r="D42" s="70" t="s">
        <v>57</v>
      </c>
      <c r="E42" s="12">
        <v>44545</v>
      </c>
      <c r="F42" s="68" t="s">
        <v>59</v>
      </c>
      <c r="G42" s="12">
        <v>44548</v>
      </c>
      <c r="H42" s="69" t="s">
        <v>1619</v>
      </c>
      <c r="I42" s="15">
        <v>100</v>
      </c>
      <c r="J42" s="15">
        <v>55</v>
      </c>
      <c r="K42" s="15">
        <v>21</v>
      </c>
      <c r="L42" s="15">
        <v>8</v>
      </c>
      <c r="M42" s="73">
        <v>28.875</v>
      </c>
      <c r="N42" s="104">
        <v>28.875</v>
      </c>
      <c r="O42" s="57">
        <v>7000</v>
      </c>
      <c r="P42" s="58">
        <f t="shared" si="0"/>
        <v>202125</v>
      </c>
    </row>
    <row r="43" spans="1:16" ht="26.25" customHeight="1" x14ac:dyDescent="0.2">
      <c r="A43" s="100"/>
      <c r="B43" s="100"/>
      <c r="C43" s="65" t="s">
        <v>2574</v>
      </c>
      <c r="D43" s="70" t="s">
        <v>57</v>
      </c>
      <c r="E43" s="12">
        <v>44545</v>
      </c>
      <c r="F43" s="68" t="s">
        <v>59</v>
      </c>
      <c r="G43" s="12">
        <v>44548</v>
      </c>
      <c r="H43" s="69" t="s">
        <v>1619</v>
      </c>
      <c r="I43" s="15">
        <v>106</v>
      </c>
      <c r="J43" s="15">
        <v>54</v>
      </c>
      <c r="K43" s="15">
        <v>26</v>
      </c>
      <c r="L43" s="15">
        <v>11</v>
      </c>
      <c r="M43" s="73">
        <v>37.206000000000003</v>
      </c>
      <c r="N43" s="104">
        <v>37.206000000000003</v>
      </c>
      <c r="O43" s="57">
        <v>7000</v>
      </c>
      <c r="P43" s="58">
        <f t="shared" si="0"/>
        <v>260442.00000000003</v>
      </c>
    </row>
    <row r="44" spans="1:16" ht="26.25" customHeight="1" x14ac:dyDescent="0.2">
      <c r="A44" s="100"/>
      <c r="B44" s="100"/>
      <c r="C44" s="65" t="s">
        <v>2575</v>
      </c>
      <c r="D44" s="70" t="s">
        <v>57</v>
      </c>
      <c r="E44" s="12">
        <v>44545</v>
      </c>
      <c r="F44" s="68" t="s">
        <v>59</v>
      </c>
      <c r="G44" s="12">
        <v>44548</v>
      </c>
      <c r="H44" s="69" t="s">
        <v>1619</v>
      </c>
      <c r="I44" s="15">
        <v>45</v>
      </c>
      <c r="J44" s="15">
        <v>55</v>
      </c>
      <c r="K44" s="15">
        <v>15</v>
      </c>
      <c r="L44" s="15">
        <v>6</v>
      </c>
      <c r="M44" s="73">
        <v>9.28125</v>
      </c>
      <c r="N44" s="104">
        <v>9.28125</v>
      </c>
      <c r="O44" s="57">
        <v>7000</v>
      </c>
      <c r="P44" s="58">
        <f t="shared" si="0"/>
        <v>64968.75</v>
      </c>
    </row>
    <row r="45" spans="1:16" ht="26.25" customHeight="1" x14ac:dyDescent="0.2">
      <c r="A45" s="100"/>
      <c r="B45" s="100"/>
      <c r="C45" s="65" t="s">
        <v>2576</v>
      </c>
      <c r="D45" s="70" t="s">
        <v>57</v>
      </c>
      <c r="E45" s="12">
        <v>44545</v>
      </c>
      <c r="F45" s="68" t="s">
        <v>59</v>
      </c>
      <c r="G45" s="12">
        <v>44548</v>
      </c>
      <c r="H45" s="69" t="s">
        <v>1619</v>
      </c>
      <c r="I45" s="15">
        <v>45</v>
      </c>
      <c r="J45" s="15">
        <v>37</v>
      </c>
      <c r="K45" s="15">
        <v>18</v>
      </c>
      <c r="L45" s="15">
        <v>2</v>
      </c>
      <c r="M45" s="73">
        <v>7.4924999999999997</v>
      </c>
      <c r="N45" s="104">
        <v>8</v>
      </c>
      <c r="O45" s="57">
        <v>7000</v>
      </c>
      <c r="P45" s="58">
        <f t="shared" si="0"/>
        <v>56000</v>
      </c>
    </row>
    <row r="46" spans="1:16" ht="26.25" customHeight="1" x14ac:dyDescent="0.2">
      <c r="A46" s="100"/>
      <c r="B46" s="100"/>
      <c r="C46" s="65" t="s">
        <v>2577</v>
      </c>
      <c r="D46" s="70" t="s">
        <v>57</v>
      </c>
      <c r="E46" s="12">
        <v>44545</v>
      </c>
      <c r="F46" s="68" t="s">
        <v>59</v>
      </c>
      <c r="G46" s="12">
        <v>44548</v>
      </c>
      <c r="H46" s="69" t="s">
        <v>1619</v>
      </c>
      <c r="I46" s="15">
        <v>60</v>
      </c>
      <c r="J46" s="15">
        <v>30</v>
      </c>
      <c r="K46" s="15">
        <v>20</v>
      </c>
      <c r="L46" s="15">
        <v>4</v>
      </c>
      <c r="M46" s="73">
        <v>9</v>
      </c>
      <c r="N46" s="104">
        <v>9</v>
      </c>
      <c r="O46" s="57">
        <v>7000</v>
      </c>
      <c r="P46" s="58">
        <f t="shared" si="0"/>
        <v>63000</v>
      </c>
    </row>
    <row r="47" spans="1:16" ht="26.25" customHeight="1" x14ac:dyDescent="0.2">
      <c r="A47" s="100"/>
      <c r="B47" s="100"/>
      <c r="C47" s="65" t="s">
        <v>2578</v>
      </c>
      <c r="D47" s="70" t="s">
        <v>57</v>
      </c>
      <c r="E47" s="12">
        <v>44545</v>
      </c>
      <c r="F47" s="68" t="s">
        <v>59</v>
      </c>
      <c r="G47" s="12">
        <v>44548</v>
      </c>
      <c r="H47" s="69" t="s">
        <v>1619</v>
      </c>
      <c r="I47" s="15">
        <v>83</v>
      </c>
      <c r="J47" s="15">
        <v>60</v>
      </c>
      <c r="K47" s="15">
        <v>24</v>
      </c>
      <c r="L47" s="15">
        <v>10</v>
      </c>
      <c r="M47" s="73">
        <v>29.88</v>
      </c>
      <c r="N47" s="104">
        <v>29.88</v>
      </c>
      <c r="O47" s="57">
        <v>7000</v>
      </c>
      <c r="P47" s="58">
        <f t="shared" si="0"/>
        <v>209160</v>
      </c>
    </row>
    <row r="48" spans="1:16" ht="26.25" customHeight="1" x14ac:dyDescent="0.2">
      <c r="A48" s="100"/>
      <c r="B48" s="100"/>
      <c r="C48" s="65" t="s">
        <v>2579</v>
      </c>
      <c r="D48" s="70" t="s">
        <v>57</v>
      </c>
      <c r="E48" s="12">
        <v>44545</v>
      </c>
      <c r="F48" s="68" t="s">
        <v>59</v>
      </c>
      <c r="G48" s="12">
        <v>44548</v>
      </c>
      <c r="H48" s="69" t="s">
        <v>1619</v>
      </c>
      <c r="I48" s="15">
        <v>81</v>
      </c>
      <c r="J48" s="15">
        <v>43</v>
      </c>
      <c r="K48" s="15">
        <v>17</v>
      </c>
      <c r="L48" s="15">
        <v>11</v>
      </c>
      <c r="M48" s="73">
        <v>14.80275</v>
      </c>
      <c r="N48" s="104">
        <v>14.80275</v>
      </c>
      <c r="O48" s="57">
        <v>7000</v>
      </c>
      <c r="P48" s="58">
        <f t="shared" si="0"/>
        <v>103619.25</v>
      </c>
    </row>
    <row r="49" spans="1:16" ht="26.25" customHeight="1" x14ac:dyDescent="0.2">
      <c r="A49" s="100"/>
      <c r="B49" s="100"/>
      <c r="C49" s="65" t="s">
        <v>2580</v>
      </c>
      <c r="D49" s="70" t="s">
        <v>57</v>
      </c>
      <c r="E49" s="12">
        <v>44545</v>
      </c>
      <c r="F49" s="68" t="s">
        <v>59</v>
      </c>
      <c r="G49" s="12">
        <v>44548</v>
      </c>
      <c r="H49" s="69" t="s">
        <v>1619</v>
      </c>
      <c r="I49" s="15">
        <v>85</v>
      </c>
      <c r="J49" s="15">
        <v>50</v>
      </c>
      <c r="K49" s="15">
        <v>19</v>
      </c>
      <c r="L49" s="15">
        <v>12</v>
      </c>
      <c r="M49" s="73">
        <v>20.1875</v>
      </c>
      <c r="N49" s="104">
        <v>20.1875</v>
      </c>
      <c r="O49" s="57">
        <v>7000</v>
      </c>
      <c r="P49" s="58">
        <f t="shared" si="0"/>
        <v>141312.5</v>
      </c>
    </row>
    <row r="50" spans="1:16" ht="26.25" customHeight="1" x14ac:dyDescent="0.2">
      <c r="A50" s="100"/>
      <c r="B50" s="100"/>
      <c r="C50" s="65" t="s">
        <v>2581</v>
      </c>
      <c r="D50" s="70" t="s">
        <v>57</v>
      </c>
      <c r="E50" s="12">
        <v>44545</v>
      </c>
      <c r="F50" s="68" t="s">
        <v>59</v>
      </c>
      <c r="G50" s="12">
        <v>44548</v>
      </c>
      <c r="H50" s="69" t="s">
        <v>1619</v>
      </c>
      <c r="I50" s="15">
        <v>92</v>
      </c>
      <c r="J50" s="15">
        <v>49</v>
      </c>
      <c r="K50" s="15">
        <v>27</v>
      </c>
      <c r="L50" s="15">
        <v>12</v>
      </c>
      <c r="M50" s="73">
        <v>30.428999999999998</v>
      </c>
      <c r="N50" s="104">
        <v>31</v>
      </c>
      <c r="O50" s="57">
        <v>7000</v>
      </c>
      <c r="P50" s="58">
        <f t="shared" si="0"/>
        <v>217000</v>
      </c>
    </row>
    <row r="51" spans="1:16" ht="26.25" customHeight="1" x14ac:dyDescent="0.2">
      <c r="A51" s="100"/>
      <c r="B51" s="100"/>
      <c r="C51" s="65" t="s">
        <v>2582</v>
      </c>
      <c r="D51" s="70" t="s">
        <v>57</v>
      </c>
      <c r="E51" s="12">
        <v>44545</v>
      </c>
      <c r="F51" s="68" t="s">
        <v>59</v>
      </c>
      <c r="G51" s="12">
        <v>44548</v>
      </c>
      <c r="H51" s="69" t="s">
        <v>1619</v>
      </c>
      <c r="I51" s="15">
        <v>115</v>
      </c>
      <c r="J51" s="15">
        <v>8</v>
      </c>
      <c r="K51" s="15">
        <v>8</v>
      </c>
      <c r="L51" s="15">
        <v>2</v>
      </c>
      <c r="M51" s="73">
        <v>1.84</v>
      </c>
      <c r="N51" s="104">
        <v>2</v>
      </c>
      <c r="O51" s="57">
        <v>7000</v>
      </c>
      <c r="P51" s="58">
        <f t="shared" si="0"/>
        <v>14000</v>
      </c>
    </row>
    <row r="52" spans="1:16" ht="26.25" customHeight="1" x14ac:dyDescent="0.2">
      <c r="A52" s="100"/>
      <c r="B52" s="100"/>
      <c r="C52" s="65" t="s">
        <v>2583</v>
      </c>
      <c r="D52" s="70" t="s">
        <v>57</v>
      </c>
      <c r="E52" s="12">
        <v>44545</v>
      </c>
      <c r="F52" s="68" t="s">
        <v>59</v>
      </c>
      <c r="G52" s="12">
        <v>44548</v>
      </c>
      <c r="H52" s="69" t="s">
        <v>1619</v>
      </c>
      <c r="I52" s="15">
        <v>77</v>
      </c>
      <c r="J52" s="15">
        <v>63</v>
      </c>
      <c r="K52" s="15">
        <v>25</v>
      </c>
      <c r="L52" s="15">
        <v>8</v>
      </c>
      <c r="M52" s="73">
        <v>30.318750000000001</v>
      </c>
      <c r="N52" s="104">
        <v>31</v>
      </c>
      <c r="O52" s="57">
        <v>7000</v>
      </c>
      <c r="P52" s="58">
        <f t="shared" si="0"/>
        <v>217000</v>
      </c>
    </row>
    <row r="53" spans="1:16" ht="26.25" customHeight="1" x14ac:dyDescent="0.2">
      <c r="A53" s="100"/>
      <c r="B53" s="100"/>
      <c r="C53" s="65" t="s">
        <v>2584</v>
      </c>
      <c r="D53" s="70" t="s">
        <v>57</v>
      </c>
      <c r="E53" s="12">
        <v>44545</v>
      </c>
      <c r="F53" s="68" t="s">
        <v>59</v>
      </c>
      <c r="G53" s="12">
        <v>44548</v>
      </c>
      <c r="H53" s="69" t="s">
        <v>1619</v>
      </c>
      <c r="I53" s="15">
        <v>87</v>
      </c>
      <c r="J53" s="15">
        <v>53</v>
      </c>
      <c r="K53" s="15">
        <v>22</v>
      </c>
      <c r="L53" s="15">
        <v>14</v>
      </c>
      <c r="M53" s="73">
        <v>25.360499999999998</v>
      </c>
      <c r="N53" s="104">
        <v>26</v>
      </c>
      <c r="O53" s="57">
        <v>7000</v>
      </c>
      <c r="P53" s="58">
        <f t="shared" si="0"/>
        <v>182000</v>
      </c>
    </row>
    <row r="54" spans="1:16" ht="26.25" customHeight="1" x14ac:dyDescent="0.2">
      <c r="A54" s="100"/>
      <c r="B54" s="100"/>
      <c r="C54" s="65" t="s">
        <v>2585</v>
      </c>
      <c r="D54" s="70" t="s">
        <v>57</v>
      </c>
      <c r="E54" s="12">
        <v>44545</v>
      </c>
      <c r="F54" s="68" t="s">
        <v>59</v>
      </c>
      <c r="G54" s="12">
        <v>44548</v>
      </c>
      <c r="H54" s="69" t="s">
        <v>1619</v>
      </c>
      <c r="I54" s="15">
        <v>110</v>
      </c>
      <c r="J54" s="15">
        <v>63</v>
      </c>
      <c r="K54" s="15">
        <v>2</v>
      </c>
      <c r="L54" s="15">
        <v>23</v>
      </c>
      <c r="M54" s="73">
        <v>3.4649999999999999</v>
      </c>
      <c r="N54" s="104">
        <v>24</v>
      </c>
      <c r="O54" s="57">
        <v>7000</v>
      </c>
      <c r="P54" s="58">
        <f t="shared" si="0"/>
        <v>168000</v>
      </c>
    </row>
    <row r="55" spans="1:16" ht="26.25" customHeight="1" x14ac:dyDescent="0.2">
      <c r="A55" s="100"/>
      <c r="B55" s="100"/>
      <c r="C55" s="65" t="s">
        <v>2586</v>
      </c>
      <c r="D55" s="70" t="s">
        <v>57</v>
      </c>
      <c r="E55" s="12">
        <v>44545</v>
      </c>
      <c r="F55" s="68" t="s">
        <v>59</v>
      </c>
      <c r="G55" s="12">
        <v>44548</v>
      </c>
      <c r="H55" s="69" t="s">
        <v>1619</v>
      </c>
      <c r="I55" s="15">
        <v>40</v>
      </c>
      <c r="J55" s="15">
        <v>50</v>
      </c>
      <c r="K55" s="15">
        <v>17</v>
      </c>
      <c r="L55" s="15">
        <v>2</v>
      </c>
      <c r="M55" s="73">
        <v>8.5</v>
      </c>
      <c r="N55" s="104">
        <v>10</v>
      </c>
      <c r="O55" s="57">
        <v>7000</v>
      </c>
      <c r="P55" s="58">
        <f t="shared" si="0"/>
        <v>70000</v>
      </c>
    </row>
    <row r="56" spans="1:16" ht="26.25" customHeight="1" x14ac:dyDescent="0.2">
      <c r="A56" s="100"/>
      <c r="B56" s="100"/>
      <c r="C56" s="65" t="s">
        <v>2587</v>
      </c>
      <c r="D56" s="70" t="s">
        <v>57</v>
      </c>
      <c r="E56" s="12">
        <v>44545</v>
      </c>
      <c r="F56" s="68" t="s">
        <v>59</v>
      </c>
      <c r="G56" s="12">
        <v>44548</v>
      </c>
      <c r="H56" s="69" t="s">
        <v>1619</v>
      </c>
      <c r="I56" s="15">
        <v>50</v>
      </c>
      <c r="J56" s="15">
        <v>44</v>
      </c>
      <c r="K56" s="15">
        <v>15</v>
      </c>
      <c r="L56" s="15">
        <v>4</v>
      </c>
      <c r="M56" s="73">
        <v>8.25</v>
      </c>
      <c r="N56" s="104">
        <v>8.25</v>
      </c>
      <c r="O56" s="57">
        <v>7000</v>
      </c>
      <c r="P56" s="58">
        <f t="shared" si="0"/>
        <v>57750</v>
      </c>
    </row>
    <row r="57" spans="1:16" ht="26.25" customHeight="1" x14ac:dyDescent="0.2">
      <c r="A57" s="100"/>
      <c r="B57" s="100"/>
      <c r="C57" s="65" t="s">
        <v>2588</v>
      </c>
      <c r="D57" s="70" t="s">
        <v>57</v>
      </c>
      <c r="E57" s="12">
        <v>44545</v>
      </c>
      <c r="F57" s="68" t="s">
        <v>59</v>
      </c>
      <c r="G57" s="12">
        <v>44548</v>
      </c>
      <c r="H57" s="69" t="s">
        <v>1619</v>
      </c>
      <c r="I57" s="15">
        <v>25</v>
      </c>
      <c r="J57" s="15">
        <v>33</v>
      </c>
      <c r="K57" s="15">
        <v>12</v>
      </c>
      <c r="L57" s="15">
        <v>2</v>
      </c>
      <c r="M57" s="73">
        <v>2.4750000000000001</v>
      </c>
      <c r="N57" s="104">
        <v>3</v>
      </c>
      <c r="O57" s="57">
        <v>7000</v>
      </c>
      <c r="P57" s="58">
        <f t="shared" si="0"/>
        <v>21000</v>
      </c>
    </row>
    <row r="58" spans="1:16" ht="26.25" customHeight="1" x14ac:dyDescent="0.2">
      <c r="A58" s="100"/>
      <c r="B58" s="100"/>
      <c r="C58" s="65" t="s">
        <v>2589</v>
      </c>
      <c r="D58" s="70" t="s">
        <v>57</v>
      </c>
      <c r="E58" s="12">
        <v>44545</v>
      </c>
      <c r="F58" s="68" t="s">
        <v>59</v>
      </c>
      <c r="G58" s="12">
        <v>44548</v>
      </c>
      <c r="H58" s="69" t="s">
        <v>1619</v>
      </c>
      <c r="I58" s="15">
        <v>40</v>
      </c>
      <c r="J58" s="15">
        <v>30</v>
      </c>
      <c r="K58" s="15">
        <v>30</v>
      </c>
      <c r="L58" s="15">
        <v>11</v>
      </c>
      <c r="M58" s="73">
        <v>9</v>
      </c>
      <c r="N58" s="104">
        <v>11</v>
      </c>
      <c r="O58" s="57">
        <v>7000</v>
      </c>
      <c r="P58" s="58">
        <f t="shared" si="0"/>
        <v>77000</v>
      </c>
    </row>
    <row r="59" spans="1:16" ht="26.25" customHeight="1" x14ac:dyDescent="0.2">
      <c r="A59" s="100"/>
      <c r="B59" s="100"/>
      <c r="C59" s="65" t="s">
        <v>2590</v>
      </c>
      <c r="D59" s="70" t="s">
        <v>57</v>
      </c>
      <c r="E59" s="12">
        <v>44545</v>
      </c>
      <c r="F59" s="68" t="s">
        <v>59</v>
      </c>
      <c r="G59" s="12">
        <v>44548</v>
      </c>
      <c r="H59" s="69" t="s">
        <v>1619</v>
      </c>
      <c r="I59" s="15">
        <v>40</v>
      </c>
      <c r="J59" s="15">
        <v>30</v>
      </c>
      <c r="K59" s="15">
        <v>28</v>
      </c>
      <c r="L59" s="15">
        <v>2</v>
      </c>
      <c r="M59" s="73">
        <v>8.4</v>
      </c>
      <c r="N59" s="104">
        <v>9</v>
      </c>
      <c r="O59" s="57">
        <v>7000</v>
      </c>
      <c r="P59" s="58">
        <f t="shared" si="0"/>
        <v>63000</v>
      </c>
    </row>
    <row r="60" spans="1:16" ht="26.25" customHeight="1" x14ac:dyDescent="0.2">
      <c r="A60" s="100"/>
      <c r="B60" s="100"/>
      <c r="C60" s="65" t="s">
        <v>2591</v>
      </c>
      <c r="D60" s="70" t="s">
        <v>57</v>
      </c>
      <c r="E60" s="12">
        <v>44545</v>
      </c>
      <c r="F60" s="68" t="s">
        <v>59</v>
      </c>
      <c r="G60" s="12">
        <v>44548</v>
      </c>
      <c r="H60" s="69" t="s">
        <v>1619</v>
      </c>
      <c r="I60" s="15">
        <v>43</v>
      </c>
      <c r="J60" s="15">
        <v>30</v>
      </c>
      <c r="K60" s="15">
        <v>22</v>
      </c>
      <c r="L60" s="15">
        <v>5</v>
      </c>
      <c r="M60" s="73">
        <v>7.0949999999999998</v>
      </c>
      <c r="N60" s="104">
        <v>7.0949999999999998</v>
      </c>
      <c r="O60" s="57">
        <v>7000</v>
      </c>
      <c r="P60" s="58">
        <f t="shared" si="0"/>
        <v>49665</v>
      </c>
    </row>
    <row r="61" spans="1:16" ht="26.25" customHeight="1" x14ac:dyDescent="0.2">
      <c r="A61" s="100"/>
      <c r="B61" s="100"/>
      <c r="C61" s="65" t="s">
        <v>2592</v>
      </c>
      <c r="D61" s="70" t="s">
        <v>57</v>
      </c>
      <c r="E61" s="12">
        <v>44545</v>
      </c>
      <c r="F61" s="68" t="s">
        <v>59</v>
      </c>
      <c r="G61" s="12">
        <v>44548</v>
      </c>
      <c r="H61" s="69" t="s">
        <v>1619</v>
      </c>
      <c r="I61" s="15">
        <v>55</v>
      </c>
      <c r="J61" s="15">
        <v>60</v>
      </c>
      <c r="K61" s="15">
        <v>38</v>
      </c>
      <c r="L61" s="15">
        <v>28</v>
      </c>
      <c r="M61" s="73">
        <v>31.35</v>
      </c>
      <c r="N61" s="104">
        <v>32</v>
      </c>
      <c r="O61" s="57">
        <v>7000</v>
      </c>
      <c r="P61" s="58">
        <f t="shared" si="0"/>
        <v>224000</v>
      </c>
    </row>
    <row r="62" spans="1:16" ht="26.25" customHeight="1" x14ac:dyDescent="0.2">
      <c r="A62" s="100"/>
      <c r="B62" s="100"/>
      <c r="C62" s="65" t="s">
        <v>2593</v>
      </c>
      <c r="D62" s="70" t="s">
        <v>57</v>
      </c>
      <c r="E62" s="12">
        <v>44545</v>
      </c>
      <c r="F62" s="68" t="s">
        <v>59</v>
      </c>
      <c r="G62" s="12">
        <v>44548</v>
      </c>
      <c r="H62" s="69" t="s">
        <v>1619</v>
      </c>
      <c r="I62" s="15">
        <v>77</v>
      </c>
      <c r="J62" s="15">
        <v>51</v>
      </c>
      <c r="K62" s="15">
        <v>27</v>
      </c>
      <c r="L62" s="15">
        <v>16</v>
      </c>
      <c r="M62" s="73">
        <v>26.507249999999999</v>
      </c>
      <c r="N62" s="104">
        <v>26.507249999999999</v>
      </c>
      <c r="O62" s="57">
        <v>7000</v>
      </c>
      <c r="P62" s="58">
        <f t="shared" si="0"/>
        <v>185550.75</v>
      </c>
    </row>
    <row r="63" spans="1:16" ht="26.25" customHeight="1" x14ac:dyDescent="0.2">
      <c r="A63" s="100"/>
      <c r="B63" s="100"/>
      <c r="C63" s="65" t="s">
        <v>2594</v>
      </c>
      <c r="D63" s="70" t="s">
        <v>57</v>
      </c>
      <c r="E63" s="12">
        <v>44545</v>
      </c>
      <c r="F63" s="68" t="s">
        <v>59</v>
      </c>
      <c r="G63" s="12">
        <v>44548</v>
      </c>
      <c r="H63" s="69" t="s">
        <v>1619</v>
      </c>
      <c r="I63" s="15">
        <v>85</v>
      </c>
      <c r="J63" s="15">
        <v>52</v>
      </c>
      <c r="K63" s="15">
        <v>26</v>
      </c>
      <c r="L63" s="15">
        <v>7</v>
      </c>
      <c r="M63" s="73">
        <v>28.73</v>
      </c>
      <c r="N63" s="104">
        <v>28.73</v>
      </c>
      <c r="O63" s="57">
        <v>7000</v>
      </c>
      <c r="P63" s="58">
        <f t="shared" si="0"/>
        <v>201110</v>
      </c>
    </row>
    <row r="64" spans="1:16" ht="26.25" customHeight="1" x14ac:dyDescent="0.2">
      <c r="A64" s="100"/>
      <c r="B64" s="100"/>
      <c r="C64" s="65" t="s">
        <v>2595</v>
      </c>
      <c r="D64" s="70" t="s">
        <v>57</v>
      </c>
      <c r="E64" s="12">
        <v>44545</v>
      </c>
      <c r="F64" s="68" t="s">
        <v>59</v>
      </c>
      <c r="G64" s="12">
        <v>44548</v>
      </c>
      <c r="H64" s="69" t="s">
        <v>1619</v>
      </c>
      <c r="I64" s="15">
        <v>61</v>
      </c>
      <c r="J64" s="15">
        <v>51</v>
      </c>
      <c r="K64" s="15">
        <v>23</v>
      </c>
      <c r="L64" s="15">
        <v>7</v>
      </c>
      <c r="M64" s="73">
        <v>17.888249999999999</v>
      </c>
      <c r="N64" s="104">
        <v>17.888249999999999</v>
      </c>
      <c r="O64" s="57">
        <v>7000</v>
      </c>
      <c r="P64" s="58">
        <f t="shared" si="0"/>
        <v>125217.75</v>
      </c>
    </row>
    <row r="65" spans="1:16" ht="26.25" customHeight="1" x14ac:dyDescent="0.2">
      <c r="A65" s="100"/>
      <c r="B65" s="100"/>
      <c r="C65" s="65" t="s">
        <v>2596</v>
      </c>
      <c r="D65" s="70" t="s">
        <v>57</v>
      </c>
      <c r="E65" s="12">
        <v>44545</v>
      </c>
      <c r="F65" s="68" t="s">
        <v>59</v>
      </c>
      <c r="G65" s="12">
        <v>44548</v>
      </c>
      <c r="H65" s="69" t="s">
        <v>1619</v>
      </c>
      <c r="I65" s="15">
        <v>56</v>
      </c>
      <c r="J65" s="15">
        <v>43</v>
      </c>
      <c r="K65" s="15">
        <v>23</v>
      </c>
      <c r="L65" s="15">
        <v>1</v>
      </c>
      <c r="M65" s="73">
        <v>13.846</v>
      </c>
      <c r="N65" s="104">
        <v>13.846</v>
      </c>
      <c r="O65" s="57">
        <v>7000</v>
      </c>
      <c r="P65" s="58">
        <f t="shared" si="0"/>
        <v>96922</v>
      </c>
    </row>
    <row r="66" spans="1:16" ht="26.25" customHeight="1" x14ac:dyDescent="0.2">
      <c r="A66" s="100"/>
      <c r="B66" s="100"/>
      <c r="C66" s="65" t="s">
        <v>2597</v>
      </c>
      <c r="D66" s="70" t="s">
        <v>57</v>
      </c>
      <c r="E66" s="12">
        <v>44545</v>
      </c>
      <c r="F66" s="68" t="s">
        <v>59</v>
      </c>
      <c r="G66" s="12">
        <v>44548</v>
      </c>
      <c r="H66" s="69" t="s">
        <v>1619</v>
      </c>
      <c r="I66" s="15">
        <v>40</v>
      </c>
      <c r="J66" s="15">
        <v>35</v>
      </c>
      <c r="K66" s="15">
        <v>33</v>
      </c>
      <c r="L66" s="15">
        <v>5</v>
      </c>
      <c r="M66" s="73">
        <v>11.55</v>
      </c>
      <c r="N66" s="104">
        <v>11.55</v>
      </c>
      <c r="O66" s="57">
        <v>7000</v>
      </c>
      <c r="P66" s="58">
        <f t="shared" si="0"/>
        <v>80850</v>
      </c>
    </row>
    <row r="67" spans="1:16" ht="26.25" customHeight="1" x14ac:dyDescent="0.2">
      <c r="A67" s="100"/>
      <c r="B67" s="100"/>
      <c r="C67" s="65" t="s">
        <v>2598</v>
      </c>
      <c r="D67" s="70" t="s">
        <v>57</v>
      </c>
      <c r="E67" s="12">
        <v>44545</v>
      </c>
      <c r="F67" s="68" t="s">
        <v>59</v>
      </c>
      <c r="G67" s="12">
        <v>44548</v>
      </c>
      <c r="H67" s="69" t="s">
        <v>1619</v>
      </c>
      <c r="I67" s="15">
        <v>90</v>
      </c>
      <c r="J67" s="15">
        <v>40</v>
      </c>
      <c r="K67" s="15">
        <v>27</v>
      </c>
      <c r="L67" s="15">
        <v>1</v>
      </c>
      <c r="M67" s="73">
        <v>24.3</v>
      </c>
      <c r="N67" s="104">
        <v>25</v>
      </c>
      <c r="O67" s="57">
        <v>7000</v>
      </c>
      <c r="P67" s="58">
        <f t="shared" ref="P67:P130" si="1">N67*O67</f>
        <v>175000</v>
      </c>
    </row>
    <row r="68" spans="1:16" ht="26.25" customHeight="1" x14ac:dyDescent="0.2">
      <c r="A68" s="100"/>
      <c r="B68" s="100"/>
      <c r="C68" s="65" t="s">
        <v>2599</v>
      </c>
      <c r="D68" s="70" t="s">
        <v>57</v>
      </c>
      <c r="E68" s="12">
        <v>44545</v>
      </c>
      <c r="F68" s="68" t="s">
        <v>59</v>
      </c>
      <c r="G68" s="12">
        <v>44548</v>
      </c>
      <c r="H68" s="69" t="s">
        <v>1619</v>
      </c>
      <c r="I68" s="15">
        <v>78</v>
      </c>
      <c r="J68" s="15">
        <v>47</v>
      </c>
      <c r="K68" s="15">
        <v>15</v>
      </c>
      <c r="L68" s="15">
        <v>10</v>
      </c>
      <c r="M68" s="73">
        <v>13.7475</v>
      </c>
      <c r="N68" s="104">
        <v>13.7475</v>
      </c>
      <c r="O68" s="57">
        <v>7000</v>
      </c>
      <c r="P68" s="58">
        <f t="shared" si="1"/>
        <v>96232.5</v>
      </c>
    </row>
    <row r="69" spans="1:16" ht="26.25" customHeight="1" x14ac:dyDescent="0.2">
      <c r="A69" s="100"/>
      <c r="B69" s="100"/>
      <c r="C69" s="65" t="s">
        <v>2600</v>
      </c>
      <c r="D69" s="70" t="s">
        <v>57</v>
      </c>
      <c r="E69" s="12">
        <v>44545</v>
      </c>
      <c r="F69" s="68" t="s">
        <v>59</v>
      </c>
      <c r="G69" s="12">
        <v>44548</v>
      </c>
      <c r="H69" s="69" t="s">
        <v>1619</v>
      </c>
      <c r="I69" s="15">
        <v>90</v>
      </c>
      <c r="J69" s="15">
        <v>55</v>
      </c>
      <c r="K69" s="15">
        <v>35</v>
      </c>
      <c r="L69" s="15">
        <v>19</v>
      </c>
      <c r="M69" s="73">
        <v>43.3125</v>
      </c>
      <c r="N69" s="104">
        <v>44</v>
      </c>
      <c r="O69" s="57">
        <v>7000</v>
      </c>
      <c r="P69" s="58">
        <f t="shared" si="1"/>
        <v>308000</v>
      </c>
    </row>
    <row r="70" spans="1:16" ht="26.25" customHeight="1" x14ac:dyDescent="0.2">
      <c r="A70" s="100"/>
      <c r="B70" s="100"/>
      <c r="C70" s="65" t="s">
        <v>2601</v>
      </c>
      <c r="D70" s="70" t="s">
        <v>57</v>
      </c>
      <c r="E70" s="12">
        <v>44545</v>
      </c>
      <c r="F70" s="68" t="s">
        <v>59</v>
      </c>
      <c r="G70" s="12">
        <v>44548</v>
      </c>
      <c r="H70" s="69" t="s">
        <v>1619</v>
      </c>
      <c r="I70" s="15">
        <v>61</v>
      </c>
      <c r="J70" s="15">
        <v>40</v>
      </c>
      <c r="K70" s="15">
        <v>39</v>
      </c>
      <c r="L70" s="15">
        <v>17</v>
      </c>
      <c r="M70" s="73">
        <v>23.79</v>
      </c>
      <c r="N70" s="104">
        <v>23.79</v>
      </c>
      <c r="O70" s="57">
        <v>7000</v>
      </c>
      <c r="P70" s="58">
        <f t="shared" si="1"/>
        <v>166530</v>
      </c>
    </row>
    <row r="71" spans="1:16" ht="26.25" customHeight="1" x14ac:dyDescent="0.2">
      <c r="A71" s="100"/>
      <c r="B71" s="100"/>
      <c r="C71" s="65" t="s">
        <v>2602</v>
      </c>
      <c r="D71" s="70" t="s">
        <v>57</v>
      </c>
      <c r="E71" s="12">
        <v>44545</v>
      </c>
      <c r="F71" s="68" t="s">
        <v>59</v>
      </c>
      <c r="G71" s="12">
        <v>44548</v>
      </c>
      <c r="H71" s="69" t="s">
        <v>1619</v>
      </c>
      <c r="I71" s="15">
        <v>70</v>
      </c>
      <c r="J71" s="15">
        <v>50</v>
      </c>
      <c r="K71" s="15">
        <v>14</v>
      </c>
      <c r="L71" s="15">
        <v>9</v>
      </c>
      <c r="M71" s="73">
        <v>12.25</v>
      </c>
      <c r="N71" s="104">
        <v>12.25</v>
      </c>
      <c r="O71" s="57">
        <v>7000</v>
      </c>
      <c r="P71" s="58">
        <f t="shared" si="1"/>
        <v>85750</v>
      </c>
    </row>
    <row r="72" spans="1:16" ht="26.25" customHeight="1" x14ac:dyDescent="0.2">
      <c r="A72" s="100"/>
      <c r="B72" s="100"/>
      <c r="C72" s="65" t="s">
        <v>2603</v>
      </c>
      <c r="D72" s="70" t="s">
        <v>57</v>
      </c>
      <c r="E72" s="12">
        <v>44545</v>
      </c>
      <c r="F72" s="68" t="s">
        <v>59</v>
      </c>
      <c r="G72" s="12">
        <v>44548</v>
      </c>
      <c r="H72" s="69" t="s">
        <v>1619</v>
      </c>
      <c r="I72" s="15">
        <v>91</v>
      </c>
      <c r="J72" s="15">
        <v>58</v>
      </c>
      <c r="K72" s="15">
        <v>29</v>
      </c>
      <c r="L72" s="15">
        <v>18</v>
      </c>
      <c r="M72" s="73">
        <v>38.265500000000003</v>
      </c>
      <c r="N72" s="104">
        <v>38.265500000000003</v>
      </c>
      <c r="O72" s="57">
        <v>7000</v>
      </c>
      <c r="P72" s="58">
        <f t="shared" si="1"/>
        <v>267858.5</v>
      </c>
    </row>
    <row r="73" spans="1:16" ht="26.25" customHeight="1" x14ac:dyDescent="0.2">
      <c r="A73" s="100"/>
      <c r="B73" s="100"/>
      <c r="C73" s="65" t="s">
        <v>2604</v>
      </c>
      <c r="D73" s="70" t="s">
        <v>57</v>
      </c>
      <c r="E73" s="12">
        <v>44545</v>
      </c>
      <c r="F73" s="68" t="s">
        <v>59</v>
      </c>
      <c r="G73" s="12">
        <v>44548</v>
      </c>
      <c r="H73" s="69" t="s">
        <v>1619</v>
      </c>
      <c r="I73" s="15">
        <v>77</v>
      </c>
      <c r="J73" s="15">
        <v>48</v>
      </c>
      <c r="K73" s="15">
        <v>13</v>
      </c>
      <c r="L73" s="15">
        <v>9</v>
      </c>
      <c r="M73" s="73">
        <v>12.012</v>
      </c>
      <c r="N73" s="104">
        <v>12.012</v>
      </c>
      <c r="O73" s="57">
        <v>7000</v>
      </c>
      <c r="P73" s="58">
        <f t="shared" si="1"/>
        <v>84084</v>
      </c>
    </row>
    <row r="74" spans="1:16" ht="26.25" customHeight="1" x14ac:dyDescent="0.2">
      <c r="A74" s="100"/>
      <c r="B74" s="100"/>
      <c r="C74" s="65" t="s">
        <v>2605</v>
      </c>
      <c r="D74" s="70" t="s">
        <v>57</v>
      </c>
      <c r="E74" s="12">
        <v>44545</v>
      </c>
      <c r="F74" s="68" t="s">
        <v>59</v>
      </c>
      <c r="G74" s="12">
        <v>44548</v>
      </c>
      <c r="H74" s="69" t="s">
        <v>1619</v>
      </c>
      <c r="I74" s="15">
        <v>62</v>
      </c>
      <c r="J74" s="15">
        <v>38</v>
      </c>
      <c r="K74" s="15">
        <v>42</v>
      </c>
      <c r="L74" s="15">
        <v>13</v>
      </c>
      <c r="M74" s="73">
        <v>24.738</v>
      </c>
      <c r="N74" s="104">
        <v>24.738</v>
      </c>
      <c r="O74" s="57">
        <v>7000</v>
      </c>
      <c r="P74" s="58">
        <f t="shared" si="1"/>
        <v>173166</v>
      </c>
    </row>
    <row r="75" spans="1:16" ht="26.25" customHeight="1" x14ac:dyDescent="0.2">
      <c r="A75" s="100"/>
      <c r="B75" s="100"/>
      <c r="C75" s="65" t="s">
        <v>2606</v>
      </c>
      <c r="D75" s="70" t="s">
        <v>57</v>
      </c>
      <c r="E75" s="12">
        <v>44545</v>
      </c>
      <c r="F75" s="68" t="s">
        <v>59</v>
      </c>
      <c r="G75" s="12">
        <v>44548</v>
      </c>
      <c r="H75" s="69" t="s">
        <v>1619</v>
      </c>
      <c r="I75" s="15">
        <v>105</v>
      </c>
      <c r="J75" s="15">
        <v>62</v>
      </c>
      <c r="K75" s="15">
        <v>32</v>
      </c>
      <c r="L75" s="15">
        <v>22</v>
      </c>
      <c r="M75" s="73">
        <v>52.08</v>
      </c>
      <c r="N75" s="104">
        <v>52.08</v>
      </c>
      <c r="O75" s="57">
        <v>7000</v>
      </c>
      <c r="P75" s="58">
        <f t="shared" si="1"/>
        <v>364560</v>
      </c>
    </row>
    <row r="76" spans="1:16" ht="26.25" customHeight="1" x14ac:dyDescent="0.2">
      <c r="A76" s="100"/>
      <c r="B76" s="100"/>
      <c r="C76" s="65" t="s">
        <v>2607</v>
      </c>
      <c r="D76" s="70" t="s">
        <v>57</v>
      </c>
      <c r="E76" s="12">
        <v>44545</v>
      </c>
      <c r="F76" s="68" t="s">
        <v>59</v>
      </c>
      <c r="G76" s="12">
        <v>44548</v>
      </c>
      <c r="H76" s="69" t="s">
        <v>1619</v>
      </c>
      <c r="I76" s="15">
        <v>64</v>
      </c>
      <c r="J76" s="15">
        <v>52</v>
      </c>
      <c r="K76" s="15">
        <v>25</v>
      </c>
      <c r="L76" s="15">
        <v>12</v>
      </c>
      <c r="M76" s="73">
        <v>20.8</v>
      </c>
      <c r="N76" s="104">
        <v>20.8</v>
      </c>
      <c r="O76" s="57">
        <v>7000</v>
      </c>
      <c r="P76" s="58">
        <f t="shared" si="1"/>
        <v>145600</v>
      </c>
    </row>
    <row r="77" spans="1:16" ht="26.25" customHeight="1" x14ac:dyDescent="0.2">
      <c r="A77" s="100"/>
      <c r="B77" s="100"/>
      <c r="C77" s="65" t="s">
        <v>2608</v>
      </c>
      <c r="D77" s="70" t="s">
        <v>57</v>
      </c>
      <c r="E77" s="12">
        <v>44545</v>
      </c>
      <c r="F77" s="68" t="s">
        <v>59</v>
      </c>
      <c r="G77" s="12">
        <v>44548</v>
      </c>
      <c r="H77" s="69" t="s">
        <v>1619</v>
      </c>
      <c r="I77" s="15">
        <v>85</v>
      </c>
      <c r="J77" s="15">
        <v>57</v>
      </c>
      <c r="K77" s="15">
        <v>31</v>
      </c>
      <c r="L77" s="15">
        <v>8</v>
      </c>
      <c r="M77" s="73">
        <v>37.548749999999998</v>
      </c>
      <c r="N77" s="104">
        <v>37.548749999999998</v>
      </c>
      <c r="O77" s="57">
        <v>7000</v>
      </c>
      <c r="P77" s="58">
        <f t="shared" si="1"/>
        <v>262841.25</v>
      </c>
    </row>
    <row r="78" spans="1:16" ht="26.25" customHeight="1" x14ac:dyDescent="0.2">
      <c r="A78" s="100"/>
      <c r="B78" s="100"/>
      <c r="C78" s="65" t="s">
        <v>2609</v>
      </c>
      <c r="D78" s="70" t="s">
        <v>57</v>
      </c>
      <c r="E78" s="12">
        <v>44545</v>
      </c>
      <c r="F78" s="68" t="s">
        <v>59</v>
      </c>
      <c r="G78" s="12">
        <v>44548</v>
      </c>
      <c r="H78" s="69" t="s">
        <v>1619</v>
      </c>
      <c r="I78" s="15">
        <v>52</v>
      </c>
      <c r="J78" s="15">
        <v>36</v>
      </c>
      <c r="K78" s="15">
        <v>11</v>
      </c>
      <c r="L78" s="15">
        <v>5</v>
      </c>
      <c r="M78" s="73">
        <v>5.1479999999999997</v>
      </c>
      <c r="N78" s="104">
        <v>5.1479999999999997</v>
      </c>
      <c r="O78" s="57">
        <v>7000</v>
      </c>
      <c r="P78" s="58">
        <f t="shared" si="1"/>
        <v>36036</v>
      </c>
    </row>
    <row r="79" spans="1:16" ht="26.25" customHeight="1" x14ac:dyDescent="0.2">
      <c r="A79" s="100"/>
      <c r="B79" s="100"/>
      <c r="C79" s="65" t="s">
        <v>2610</v>
      </c>
      <c r="D79" s="70" t="s">
        <v>57</v>
      </c>
      <c r="E79" s="12">
        <v>44545</v>
      </c>
      <c r="F79" s="68" t="s">
        <v>59</v>
      </c>
      <c r="G79" s="12">
        <v>44548</v>
      </c>
      <c r="H79" s="69" t="s">
        <v>1619</v>
      </c>
      <c r="I79" s="15">
        <v>50</v>
      </c>
      <c r="J79" s="15">
        <v>44</v>
      </c>
      <c r="K79" s="15">
        <v>26</v>
      </c>
      <c r="L79" s="15">
        <v>8</v>
      </c>
      <c r="M79" s="73">
        <v>14.3</v>
      </c>
      <c r="N79" s="104">
        <v>15</v>
      </c>
      <c r="O79" s="57">
        <v>7000</v>
      </c>
      <c r="P79" s="58">
        <f t="shared" si="1"/>
        <v>105000</v>
      </c>
    </row>
    <row r="80" spans="1:16" ht="26.25" customHeight="1" x14ac:dyDescent="0.2">
      <c r="A80" s="100"/>
      <c r="B80" s="100"/>
      <c r="C80" s="65" t="s">
        <v>2611</v>
      </c>
      <c r="D80" s="70" t="s">
        <v>57</v>
      </c>
      <c r="E80" s="12">
        <v>44545</v>
      </c>
      <c r="F80" s="68" t="s">
        <v>59</v>
      </c>
      <c r="G80" s="12">
        <v>44548</v>
      </c>
      <c r="H80" s="69" t="s">
        <v>1619</v>
      </c>
      <c r="I80" s="15">
        <v>70</v>
      </c>
      <c r="J80" s="15">
        <v>61</v>
      </c>
      <c r="K80" s="15">
        <v>22</v>
      </c>
      <c r="L80" s="15">
        <v>15</v>
      </c>
      <c r="M80" s="73">
        <v>23.484999999999999</v>
      </c>
      <c r="N80" s="104">
        <v>24</v>
      </c>
      <c r="O80" s="57">
        <v>7000</v>
      </c>
      <c r="P80" s="58">
        <f t="shared" si="1"/>
        <v>168000</v>
      </c>
    </row>
    <row r="81" spans="1:16" ht="26.25" customHeight="1" x14ac:dyDescent="0.2">
      <c r="A81" s="100"/>
      <c r="B81" s="100"/>
      <c r="C81" s="65" t="s">
        <v>2612</v>
      </c>
      <c r="D81" s="70" t="s">
        <v>57</v>
      </c>
      <c r="E81" s="12">
        <v>44545</v>
      </c>
      <c r="F81" s="68" t="s">
        <v>59</v>
      </c>
      <c r="G81" s="12">
        <v>44548</v>
      </c>
      <c r="H81" s="69" t="s">
        <v>1619</v>
      </c>
      <c r="I81" s="15">
        <v>55</v>
      </c>
      <c r="J81" s="15">
        <v>37</v>
      </c>
      <c r="K81" s="15">
        <v>38</v>
      </c>
      <c r="L81" s="15">
        <v>10</v>
      </c>
      <c r="M81" s="73">
        <v>19.3325</v>
      </c>
      <c r="N81" s="104">
        <v>20</v>
      </c>
      <c r="O81" s="57">
        <v>7000</v>
      </c>
      <c r="P81" s="58">
        <f t="shared" si="1"/>
        <v>140000</v>
      </c>
    </row>
    <row r="82" spans="1:16" ht="26.25" customHeight="1" x14ac:dyDescent="0.2">
      <c r="A82" s="100"/>
      <c r="B82" s="100"/>
      <c r="C82" s="65" t="s">
        <v>2613</v>
      </c>
      <c r="D82" s="70" t="s">
        <v>57</v>
      </c>
      <c r="E82" s="12">
        <v>44545</v>
      </c>
      <c r="F82" s="68" t="s">
        <v>59</v>
      </c>
      <c r="G82" s="12">
        <v>44548</v>
      </c>
      <c r="H82" s="69" t="s">
        <v>1619</v>
      </c>
      <c r="I82" s="15">
        <v>90</v>
      </c>
      <c r="J82" s="15">
        <v>61</v>
      </c>
      <c r="K82" s="15">
        <v>27</v>
      </c>
      <c r="L82" s="15">
        <v>17</v>
      </c>
      <c r="M82" s="73">
        <v>37.057499999999997</v>
      </c>
      <c r="N82" s="104">
        <v>37.057499999999997</v>
      </c>
      <c r="O82" s="57">
        <v>7000</v>
      </c>
      <c r="P82" s="58">
        <f t="shared" si="1"/>
        <v>259402.49999999997</v>
      </c>
    </row>
    <row r="83" spans="1:16" ht="26.25" customHeight="1" x14ac:dyDescent="0.2">
      <c r="A83" s="100"/>
      <c r="B83" s="100"/>
      <c r="C83" s="65" t="s">
        <v>2614</v>
      </c>
      <c r="D83" s="70" t="s">
        <v>57</v>
      </c>
      <c r="E83" s="12">
        <v>44545</v>
      </c>
      <c r="F83" s="68" t="s">
        <v>59</v>
      </c>
      <c r="G83" s="12">
        <v>44548</v>
      </c>
      <c r="H83" s="69" t="s">
        <v>1619</v>
      </c>
      <c r="I83" s="15">
        <v>55</v>
      </c>
      <c r="J83" s="15">
        <v>38</v>
      </c>
      <c r="K83" s="15">
        <v>17</v>
      </c>
      <c r="L83" s="15">
        <v>6</v>
      </c>
      <c r="M83" s="73">
        <v>8.8825000000000003</v>
      </c>
      <c r="N83" s="104">
        <v>8.8825000000000003</v>
      </c>
      <c r="O83" s="57">
        <v>7000</v>
      </c>
      <c r="P83" s="58">
        <f t="shared" si="1"/>
        <v>62177.5</v>
      </c>
    </row>
    <row r="84" spans="1:16" ht="26.25" customHeight="1" x14ac:dyDescent="0.2">
      <c r="A84" s="100"/>
      <c r="B84" s="100"/>
      <c r="C84" s="65" t="s">
        <v>2615</v>
      </c>
      <c r="D84" s="70" t="s">
        <v>57</v>
      </c>
      <c r="E84" s="12">
        <v>44545</v>
      </c>
      <c r="F84" s="68" t="s">
        <v>59</v>
      </c>
      <c r="G84" s="12">
        <v>44548</v>
      </c>
      <c r="H84" s="69" t="s">
        <v>1619</v>
      </c>
      <c r="I84" s="15">
        <v>55</v>
      </c>
      <c r="J84" s="15">
        <v>38</v>
      </c>
      <c r="K84" s="15">
        <v>12</v>
      </c>
      <c r="L84" s="15">
        <v>2</v>
      </c>
      <c r="M84" s="73">
        <v>6.27</v>
      </c>
      <c r="N84" s="104">
        <v>6.27</v>
      </c>
      <c r="O84" s="57">
        <v>7000</v>
      </c>
      <c r="P84" s="58">
        <f t="shared" si="1"/>
        <v>43890</v>
      </c>
    </row>
    <row r="85" spans="1:16" ht="26.25" customHeight="1" x14ac:dyDescent="0.2">
      <c r="A85" s="100"/>
      <c r="B85" s="100"/>
      <c r="C85" s="65" t="s">
        <v>2616</v>
      </c>
      <c r="D85" s="70" t="s">
        <v>57</v>
      </c>
      <c r="E85" s="12">
        <v>44545</v>
      </c>
      <c r="F85" s="68" t="s">
        <v>59</v>
      </c>
      <c r="G85" s="12">
        <v>44548</v>
      </c>
      <c r="H85" s="69" t="s">
        <v>1619</v>
      </c>
      <c r="I85" s="15">
        <v>95</v>
      </c>
      <c r="J85" s="15">
        <v>55</v>
      </c>
      <c r="K85" s="15">
        <v>24</v>
      </c>
      <c r="L85" s="15">
        <v>8</v>
      </c>
      <c r="M85" s="73">
        <v>31.35</v>
      </c>
      <c r="N85" s="104">
        <v>32</v>
      </c>
      <c r="O85" s="57">
        <v>7000</v>
      </c>
      <c r="P85" s="58">
        <f t="shared" si="1"/>
        <v>224000</v>
      </c>
    </row>
    <row r="86" spans="1:16" ht="26.25" customHeight="1" x14ac:dyDescent="0.2">
      <c r="A86" s="100"/>
      <c r="B86" s="100"/>
      <c r="C86" s="65" t="s">
        <v>2617</v>
      </c>
      <c r="D86" s="70" t="s">
        <v>57</v>
      </c>
      <c r="E86" s="12">
        <v>44545</v>
      </c>
      <c r="F86" s="68" t="s">
        <v>59</v>
      </c>
      <c r="G86" s="12">
        <v>44548</v>
      </c>
      <c r="H86" s="69" t="s">
        <v>1619</v>
      </c>
      <c r="I86" s="15">
        <v>88</v>
      </c>
      <c r="J86" s="15">
        <v>54</v>
      </c>
      <c r="K86" s="15">
        <v>37</v>
      </c>
      <c r="L86" s="15">
        <v>9</v>
      </c>
      <c r="M86" s="73">
        <v>43.956000000000003</v>
      </c>
      <c r="N86" s="104">
        <v>43.956000000000003</v>
      </c>
      <c r="O86" s="57">
        <v>7000</v>
      </c>
      <c r="P86" s="58">
        <f t="shared" si="1"/>
        <v>307692</v>
      </c>
    </row>
    <row r="87" spans="1:16" ht="26.25" customHeight="1" x14ac:dyDescent="0.2">
      <c r="A87" s="100"/>
      <c r="B87" s="100"/>
      <c r="C87" s="65" t="s">
        <v>2618</v>
      </c>
      <c r="D87" s="70" t="s">
        <v>57</v>
      </c>
      <c r="E87" s="12">
        <v>44545</v>
      </c>
      <c r="F87" s="68" t="s">
        <v>59</v>
      </c>
      <c r="G87" s="12">
        <v>44548</v>
      </c>
      <c r="H87" s="69" t="s">
        <v>1619</v>
      </c>
      <c r="I87" s="15">
        <v>82</v>
      </c>
      <c r="J87" s="15">
        <v>44</v>
      </c>
      <c r="K87" s="15">
        <v>44</v>
      </c>
      <c r="L87" s="15">
        <v>8</v>
      </c>
      <c r="M87" s="73">
        <v>39.688000000000002</v>
      </c>
      <c r="N87" s="104">
        <v>39.688000000000002</v>
      </c>
      <c r="O87" s="57">
        <v>7000</v>
      </c>
      <c r="P87" s="58">
        <f t="shared" si="1"/>
        <v>277816</v>
      </c>
    </row>
    <row r="88" spans="1:16" ht="26.25" customHeight="1" x14ac:dyDescent="0.2">
      <c r="A88" s="100"/>
      <c r="B88" s="100"/>
      <c r="C88" s="65" t="s">
        <v>2619</v>
      </c>
      <c r="D88" s="70" t="s">
        <v>57</v>
      </c>
      <c r="E88" s="12">
        <v>44545</v>
      </c>
      <c r="F88" s="68" t="s">
        <v>59</v>
      </c>
      <c r="G88" s="12">
        <v>44548</v>
      </c>
      <c r="H88" s="69" t="s">
        <v>1619</v>
      </c>
      <c r="I88" s="15">
        <v>70</v>
      </c>
      <c r="J88" s="15">
        <v>57</v>
      </c>
      <c r="K88" s="15">
        <v>26</v>
      </c>
      <c r="L88" s="15">
        <v>9</v>
      </c>
      <c r="M88" s="73">
        <v>25.934999999999999</v>
      </c>
      <c r="N88" s="104">
        <v>25.934999999999999</v>
      </c>
      <c r="O88" s="57">
        <v>7000</v>
      </c>
      <c r="P88" s="58">
        <f t="shared" si="1"/>
        <v>181545</v>
      </c>
    </row>
    <row r="89" spans="1:16" ht="26.25" customHeight="1" x14ac:dyDescent="0.2">
      <c r="A89" s="100"/>
      <c r="B89" s="100"/>
      <c r="C89" s="65" t="s">
        <v>2620</v>
      </c>
      <c r="D89" s="70" t="s">
        <v>57</v>
      </c>
      <c r="E89" s="12">
        <v>44545</v>
      </c>
      <c r="F89" s="68" t="s">
        <v>59</v>
      </c>
      <c r="G89" s="12">
        <v>44548</v>
      </c>
      <c r="H89" s="69" t="s">
        <v>1619</v>
      </c>
      <c r="I89" s="15">
        <v>55</v>
      </c>
      <c r="J89" s="15">
        <v>42</v>
      </c>
      <c r="K89" s="15">
        <v>14</v>
      </c>
      <c r="L89" s="15">
        <v>3</v>
      </c>
      <c r="M89" s="73">
        <v>8.0850000000000009</v>
      </c>
      <c r="N89" s="104">
        <v>8.0850000000000009</v>
      </c>
      <c r="O89" s="57">
        <v>7000</v>
      </c>
      <c r="P89" s="58">
        <f t="shared" si="1"/>
        <v>56595.000000000007</v>
      </c>
    </row>
    <row r="90" spans="1:16" ht="26.25" customHeight="1" x14ac:dyDescent="0.2">
      <c r="A90" s="100"/>
      <c r="B90" s="100"/>
      <c r="C90" s="65" t="s">
        <v>2621</v>
      </c>
      <c r="D90" s="70" t="s">
        <v>57</v>
      </c>
      <c r="E90" s="12">
        <v>44545</v>
      </c>
      <c r="F90" s="68" t="s">
        <v>59</v>
      </c>
      <c r="G90" s="12">
        <v>44548</v>
      </c>
      <c r="H90" s="69" t="s">
        <v>1619</v>
      </c>
      <c r="I90" s="15">
        <v>55</v>
      </c>
      <c r="J90" s="15">
        <v>36</v>
      </c>
      <c r="K90" s="15">
        <v>21</v>
      </c>
      <c r="L90" s="15">
        <v>15</v>
      </c>
      <c r="M90" s="73">
        <v>10.395</v>
      </c>
      <c r="N90" s="104">
        <v>16</v>
      </c>
      <c r="O90" s="57">
        <v>7000</v>
      </c>
      <c r="P90" s="58">
        <f t="shared" si="1"/>
        <v>112000</v>
      </c>
    </row>
    <row r="91" spans="1:16" ht="26.25" customHeight="1" x14ac:dyDescent="0.2">
      <c r="A91" s="100"/>
      <c r="B91" s="100"/>
      <c r="C91" s="65" t="s">
        <v>2622</v>
      </c>
      <c r="D91" s="70" t="s">
        <v>57</v>
      </c>
      <c r="E91" s="12">
        <v>44545</v>
      </c>
      <c r="F91" s="68" t="s">
        <v>59</v>
      </c>
      <c r="G91" s="12">
        <v>44548</v>
      </c>
      <c r="H91" s="69" t="s">
        <v>1619</v>
      </c>
      <c r="I91" s="15">
        <v>44</v>
      </c>
      <c r="J91" s="15">
        <v>20</v>
      </c>
      <c r="K91" s="15">
        <v>10</v>
      </c>
      <c r="L91" s="15">
        <v>5</v>
      </c>
      <c r="M91" s="73">
        <v>2.2000000000000002</v>
      </c>
      <c r="N91" s="104">
        <v>5</v>
      </c>
      <c r="O91" s="57">
        <v>7000</v>
      </c>
      <c r="P91" s="58">
        <f t="shared" si="1"/>
        <v>35000</v>
      </c>
    </row>
    <row r="92" spans="1:16" ht="26.25" customHeight="1" x14ac:dyDescent="0.2">
      <c r="A92" s="100"/>
      <c r="B92" s="100"/>
      <c r="C92" s="65" t="s">
        <v>2623</v>
      </c>
      <c r="D92" s="70" t="s">
        <v>57</v>
      </c>
      <c r="E92" s="12">
        <v>44545</v>
      </c>
      <c r="F92" s="68" t="s">
        <v>59</v>
      </c>
      <c r="G92" s="12">
        <v>44548</v>
      </c>
      <c r="H92" s="69" t="s">
        <v>1619</v>
      </c>
      <c r="I92" s="15">
        <v>86</v>
      </c>
      <c r="J92" s="15">
        <v>35</v>
      </c>
      <c r="K92" s="15">
        <v>52</v>
      </c>
      <c r="L92" s="15">
        <v>17</v>
      </c>
      <c r="M92" s="73">
        <v>39.130000000000003</v>
      </c>
      <c r="N92" s="104">
        <v>39.130000000000003</v>
      </c>
      <c r="O92" s="57">
        <v>7000</v>
      </c>
      <c r="P92" s="58">
        <f t="shared" si="1"/>
        <v>273910</v>
      </c>
    </row>
    <row r="93" spans="1:16" ht="26.25" customHeight="1" x14ac:dyDescent="0.2">
      <c r="A93" s="100"/>
      <c r="B93" s="100"/>
      <c r="C93" s="65" t="s">
        <v>2624</v>
      </c>
      <c r="D93" s="70" t="s">
        <v>57</v>
      </c>
      <c r="E93" s="12">
        <v>44545</v>
      </c>
      <c r="F93" s="68" t="s">
        <v>59</v>
      </c>
      <c r="G93" s="12">
        <v>44548</v>
      </c>
      <c r="H93" s="69" t="s">
        <v>1619</v>
      </c>
      <c r="I93" s="15">
        <v>67</v>
      </c>
      <c r="J93" s="15">
        <v>54</v>
      </c>
      <c r="K93" s="15">
        <v>25</v>
      </c>
      <c r="L93" s="15">
        <v>10</v>
      </c>
      <c r="M93" s="73">
        <v>22.612500000000001</v>
      </c>
      <c r="N93" s="104">
        <v>22.612500000000001</v>
      </c>
      <c r="O93" s="57">
        <v>7000</v>
      </c>
      <c r="P93" s="58">
        <f t="shared" si="1"/>
        <v>158287.5</v>
      </c>
    </row>
    <row r="94" spans="1:16" ht="26.25" customHeight="1" x14ac:dyDescent="0.2">
      <c r="A94" s="100"/>
      <c r="B94" s="100"/>
      <c r="C94" s="65" t="s">
        <v>2625</v>
      </c>
      <c r="D94" s="70" t="s">
        <v>57</v>
      </c>
      <c r="E94" s="12">
        <v>44545</v>
      </c>
      <c r="F94" s="68" t="s">
        <v>59</v>
      </c>
      <c r="G94" s="12">
        <v>44548</v>
      </c>
      <c r="H94" s="69" t="s">
        <v>1619</v>
      </c>
      <c r="I94" s="15">
        <v>45</v>
      </c>
      <c r="J94" s="15">
        <v>32</v>
      </c>
      <c r="K94" s="15">
        <v>21</v>
      </c>
      <c r="L94" s="15">
        <v>5</v>
      </c>
      <c r="M94" s="73">
        <v>7.56</v>
      </c>
      <c r="N94" s="104">
        <v>7.56</v>
      </c>
      <c r="O94" s="57">
        <v>7000</v>
      </c>
      <c r="P94" s="58">
        <f t="shared" si="1"/>
        <v>52920</v>
      </c>
    </row>
    <row r="95" spans="1:16" ht="26.25" customHeight="1" x14ac:dyDescent="0.2">
      <c r="A95" s="100"/>
      <c r="B95" s="100"/>
      <c r="C95" s="65" t="s">
        <v>2626</v>
      </c>
      <c r="D95" s="70" t="s">
        <v>57</v>
      </c>
      <c r="E95" s="12">
        <v>44545</v>
      </c>
      <c r="F95" s="68" t="s">
        <v>59</v>
      </c>
      <c r="G95" s="12">
        <v>44548</v>
      </c>
      <c r="H95" s="69" t="s">
        <v>1619</v>
      </c>
      <c r="I95" s="15">
        <v>72</v>
      </c>
      <c r="J95" s="15">
        <v>44</v>
      </c>
      <c r="K95" s="15">
        <v>12</v>
      </c>
      <c r="L95" s="15">
        <v>3</v>
      </c>
      <c r="M95" s="73">
        <v>9.5039999999999996</v>
      </c>
      <c r="N95" s="104">
        <v>11</v>
      </c>
      <c r="O95" s="57">
        <v>7000</v>
      </c>
      <c r="P95" s="58">
        <f t="shared" si="1"/>
        <v>77000</v>
      </c>
    </row>
    <row r="96" spans="1:16" ht="26.25" customHeight="1" x14ac:dyDescent="0.2">
      <c r="A96" s="100"/>
      <c r="B96" s="100"/>
      <c r="C96" s="65" t="s">
        <v>2627</v>
      </c>
      <c r="D96" s="70" t="s">
        <v>57</v>
      </c>
      <c r="E96" s="12">
        <v>44545</v>
      </c>
      <c r="F96" s="68" t="s">
        <v>59</v>
      </c>
      <c r="G96" s="12">
        <v>44548</v>
      </c>
      <c r="H96" s="69" t="s">
        <v>1619</v>
      </c>
      <c r="I96" s="15">
        <v>60</v>
      </c>
      <c r="J96" s="15">
        <v>49</v>
      </c>
      <c r="K96" s="15">
        <v>10</v>
      </c>
      <c r="L96" s="15">
        <v>7</v>
      </c>
      <c r="M96" s="73">
        <v>7.35</v>
      </c>
      <c r="N96" s="104">
        <v>7.35</v>
      </c>
      <c r="O96" s="57">
        <v>7000</v>
      </c>
      <c r="P96" s="58">
        <f t="shared" si="1"/>
        <v>51450</v>
      </c>
    </row>
    <row r="97" spans="1:16" ht="26.25" customHeight="1" x14ac:dyDescent="0.2">
      <c r="A97" s="100"/>
      <c r="B97" s="100"/>
      <c r="C97" s="65" t="s">
        <v>2628</v>
      </c>
      <c r="D97" s="70" t="s">
        <v>57</v>
      </c>
      <c r="E97" s="12">
        <v>44545</v>
      </c>
      <c r="F97" s="68" t="s">
        <v>59</v>
      </c>
      <c r="G97" s="12">
        <v>44548</v>
      </c>
      <c r="H97" s="69" t="s">
        <v>1619</v>
      </c>
      <c r="I97" s="15">
        <v>97</v>
      </c>
      <c r="J97" s="15">
        <v>28</v>
      </c>
      <c r="K97" s="15">
        <v>17</v>
      </c>
      <c r="L97" s="15">
        <v>8</v>
      </c>
      <c r="M97" s="73">
        <v>11.542999999999999</v>
      </c>
      <c r="N97" s="104">
        <v>11.542999999999999</v>
      </c>
      <c r="O97" s="57">
        <v>7000</v>
      </c>
      <c r="P97" s="58">
        <f t="shared" si="1"/>
        <v>80801</v>
      </c>
    </row>
    <row r="98" spans="1:16" ht="26.25" customHeight="1" x14ac:dyDescent="0.2">
      <c r="A98" s="100"/>
      <c r="B98" s="100"/>
      <c r="C98" s="65" t="s">
        <v>2629</v>
      </c>
      <c r="D98" s="70" t="s">
        <v>57</v>
      </c>
      <c r="E98" s="12">
        <v>44545</v>
      </c>
      <c r="F98" s="68" t="s">
        <v>59</v>
      </c>
      <c r="G98" s="12">
        <v>44548</v>
      </c>
      <c r="H98" s="69" t="s">
        <v>1619</v>
      </c>
      <c r="I98" s="15">
        <v>47</v>
      </c>
      <c r="J98" s="15">
        <v>37</v>
      </c>
      <c r="K98" s="15">
        <v>31</v>
      </c>
      <c r="L98" s="15">
        <v>8</v>
      </c>
      <c r="M98" s="73">
        <v>13.47725</v>
      </c>
      <c r="N98" s="104">
        <v>14</v>
      </c>
      <c r="O98" s="57">
        <v>7000</v>
      </c>
      <c r="P98" s="58">
        <f t="shared" si="1"/>
        <v>98000</v>
      </c>
    </row>
    <row r="99" spans="1:16" ht="26.25" customHeight="1" x14ac:dyDescent="0.2">
      <c r="A99" s="100"/>
      <c r="B99" s="100"/>
      <c r="C99" s="65" t="s">
        <v>2630</v>
      </c>
      <c r="D99" s="70" t="s">
        <v>57</v>
      </c>
      <c r="E99" s="12">
        <v>44545</v>
      </c>
      <c r="F99" s="68" t="s">
        <v>59</v>
      </c>
      <c r="G99" s="12">
        <v>44548</v>
      </c>
      <c r="H99" s="69" t="s">
        <v>1619</v>
      </c>
      <c r="I99" s="15">
        <v>70</v>
      </c>
      <c r="J99" s="15">
        <v>70</v>
      </c>
      <c r="K99" s="15">
        <v>8</v>
      </c>
      <c r="L99" s="15">
        <v>1</v>
      </c>
      <c r="M99" s="73">
        <v>9.8000000000000007</v>
      </c>
      <c r="N99" s="104">
        <v>9.8000000000000007</v>
      </c>
      <c r="O99" s="57">
        <v>7000</v>
      </c>
      <c r="P99" s="58">
        <f t="shared" si="1"/>
        <v>68600</v>
      </c>
    </row>
    <row r="100" spans="1:16" ht="26.25" customHeight="1" x14ac:dyDescent="0.2">
      <c r="A100" s="100"/>
      <c r="B100" s="100"/>
      <c r="C100" s="65" t="s">
        <v>2631</v>
      </c>
      <c r="D100" s="70" t="s">
        <v>57</v>
      </c>
      <c r="E100" s="12">
        <v>44545</v>
      </c>
      <c r="F100" s="68" t="s">
        <v>59</v>
      </c>
      <c r="G100" s="12">
        <v>44548</v>
      </c>
      <c r="H100" s="69" t="s">
        <v>1619</v>
      </c>
      <c r="I100" s="15">
        <v>66</v>
      </c>
      <c r="J100" s="15">
        <v>41</v>
      </c>
      <c r="K100" s="15">
        <v>31</v>
      </c>
      <c r="L100" s="15">
        <v>16</v>
      </c>
      <c r="M100" s="73">
        <v>20.971499999999999</v>
      </c>
      <c r="N100" s="104">
        <v>20.971499999999999</v>
      </c>
      <c r="O100" s="57">
        <v>7000</v>
      </c>
      <c r="P100" s="58">
        <f t="shared" si="1"/>
        <v>146800.5</v>
      </c>
    </row>
    <row r="101" spans="1:16" ht="26.25" customHeight="1" x14ac:dyDescent="0.2">
      <c r="A101" s="100"/>
      <c r="B101" s="100"/>
      <c r="C101" s="65" t="s">
        <v>2632</v>
      </c>
      <c r="D101" s="70" t="s">
        <v>57</v>
      </c>
      <c r="E101" s="12">
        <v>44545</v>
      </c>
      <c r="F101" s="68" t="s">
        <v>59</v>
      </c>
      <c r="G101" s="12">
        <v>44548</v>
      </c>
      <c r="H101" s="69" t="s">
        <v>1619</v>
      </c>
      <c r="I101" s="15">
        <v>72</v>
      </c>
      <c r="J101" s="15">
        <v>27</v>
      </c>
      <c r="K101" s="15">
        <v>18</v>
      </c>
      <c r="L101" s="15">
        <v>1</v>
      </c>
      <c r="M101" s="73">
        <v>8.7479999999999993</v>
      </c>
      <c r="N101" s="104">
        <v>8.7479999999999993</v>
      </c>
      <c r="O101" s="57">
        <v>7000</v>
      </c>
      <c r="P101" s="58">
        <f t="shared" si="1"/>
        <v>61235.999999999993</v>
      </c>
    </row>
    <row r="102" spans="1:16" ht="26.25" customHeight="1" x14ac:dyDescent="0.2">
      <c r="A102" s="100"/>
      <c r="B102" s="100"/>
      <c r="C102" s="65" t="s">
        <v>2633</v>
      </c>
      <c r="D102" s="70" t="s">
        <v>57</v>
      </c>
      <c r="E102" s="12">
        <v>44545</v>
      </c>
      <c r="F102" s="68" t="s">
        <v>59</v>
      </c>
      <c r="G102" s="12">
        <v>44548</v>
      </c>
      <c r="H102" s="69" t="s">
        <v>1619</v>
      </c>
      <c r="I102" s="15">
        <v>57</v>
      </c>
      <c r="J102" s="15">
        <v>31</v>
      </c>
      <c r="K102" s="15">
        <v>15</v>
      </c>
      <c r="L102" s="15">
        <v>4</v>
      </c>
      <c r="M102" s="73">
        <v>6.6262499999999998</v>
      </c>
      <c r="N102" s="104">
        <v>6.6262499999999998</v>
      </c>
      <c r="O102" s="57">
        <v>7000</v>
      </c>
      <c r="P102" s="58">
        <f t="shared" si="1"/>
        <v>46383.75</v>
      </c>
    </row>
    <row r="103" spans="1:16" ht="26.25" customHeight="1" x14ac:dyDescent="0.2">
      <c r="A103" s="100"/>
      <c r="B103" s="100"/>
      <c r="C103" s="65" t="s">
        <v>2634</v>
      </c>
      <c r="D103" s="70" t="s">
        <v>57</v>
      </c>
      <c r="E103" s="12">
        <v>44545</v>
      </c>
      <c r="F103" s="68" t="s">
        <v>59</v>
      </c>
      <c r="G103" s="12">
        <v>44548</v>
      </c>
      <c r="H103" s="69" t="s">
        <v>1619</v>
      </c>
      <c r="I103" s="15">
        <v>37</v>
      </c>
      <c r="J103" s="15">
        <v>30</v>
      </c>
      <c r="K103" s="15">
        <v>26</v>
      </c>
      <c r="L103" s="15">
        <v>4</v>
      </c>
      <c r="M103" s="73">
        <v>7.2149999999999999</v>
      </c>
      <c r="N103" s="104">
        <v>7.2149999999999999</v>
      </c>
      <c r="O103" s="57">
        <v>7000</v>
      </c>
      <c r="P103" s="58">
        <f t="shared" si="1"/>
        <v>50505</v>
      </c>
    </row>
    <row r="104" spans="1:16" ht="26.25" customHeight="1" x14ac:dyDescent="0.2">
      <c r="A104" s="100"/>
      <c r="B104" s="100"/>
      <c r="C104" s="65" t="s">
        <v>2635</v>
      </c>
      <c r="D104" s="70" t="s">
        <v>57</v>
      </c>
      <c r="E104" s="12">
        <v>44545</v>
      </c>
      <c r="F104" s="68" t="s">
        <v>59</v>
      </c>
      <c r="G104" s="12">
        <v>44548</v>
      </c>
      <c r="H104" s="69" t="s">
        <v>1619</v>
      </c>
      <c r="I104" s="15">
        <v>37</v>
      </c>
      <c r="J104" s="15">
        <v>37</v>
      </c>
      <c r="K104" s="15">
        <v>37</v>
      </c>
      <c r="L104" s="15">
        <v>8</v>
      </c>
      <c r="M104" s="73">
        <v>12.66325</v>
      </c>
      <c r="N104" s="104">
        <v>12.66325</v>
      </c>
      <c r="O104" s="57">
        <v>7000</v>
      </c>
      <c r="P104" s="58">
        <f t="shared" si="1"/>
        <v>88642.75</v>
      </c>
    </row>
    <row r="105" spans="1:16" ht="26.25" customHeight="1" x14ac:dyDescent="0.2">
      <c r="A105" s="100"/>
      <c r="B105" s="100"/>
      <c r="C105" s="65" t="s">
        <v>2636</v>
      </c>
      <c r="D105" s="70" t="s">
        <v>57</v>
      </c>
      <c r="E105" s="12">
        <v>44545</v>
      </c>
      <c r="F105" s="68" t="s">
        <v>59</v>
      </c>
      <c r="G105" s="12">
        <v>44548</v>
      </c>
      <c r="H105" s="69" t="s">
        <v>1619</v>
      </c>
      <c r="I105" s="15">
        <v>38</v>
      </c>
      <c r="J105" s="15">
        <v>38</v>
      </c>
      <c r="K105" s="15">
        <v>38</v>
      </c>
      <c r="L105" s="15">
        <v>5</v>
      </c>
      <c r="M105" s="73">
        <v>13.718</v>
      </c>
      <c r="N105" s="104">
        <v>13.718</v>
      </c>
      <c r="O105" s="57">
        <v>7000</v>
      </c>
      <c r="P105" s="58">
        <f t="shared" si="1"/>
        <v>96026</v>
      </c>
    </row>
    <row r="106" spans="1:16" ht="26.25" customHeight="1" x14ac:dyDescent="0.2">
      <c r="A106" s="100"/>
      <c r="B106" s="100"/>
      <c r="C106" s="65" t="s">
        <v>2637</v>
      </c>
      <c r="D106" s="70" t="s">
        <v>57</v>
      </c>
      <c r="E106" s="12">
        <v>44545</v>
      </c>
      <c r="F106" s="68" t="s">
        <v>59</v>
      </c>
      <c r="G106" s="12">
        <v>44548</v>
      </c>
      <c r="H106" s="69" t="s">
        <v>1619</v>
      </c>
      <c r="I106" s="15">
        <v>33</v>
      </c>
      <c r="J106" s="15">
        <v>24</v>
      </c>
      <c r="K106" s="15">
        <v>21</v>
      </c>
      <c r="L106" s="15">
        <v>2</v>
      </c>
      <c r="M106" s="73">
        <v>4.1580000000000004</v>
      </c>
      <c r="N106" s="104">
        <v>4.1580000000000004</v>
      </c>
      <c r="O106" s="57">
        <v>7000</v>
      </c>
      <c r="P106" s="58">
        <f t="shared" si="1"/>
        <v>29106.000000000004</v>
      </c>
    </row>
    <row r="107" spans="1:16" ht="26.25" customHeight="1" x14ac:dyDescent="0.2">
      <c r="A107" s="100"/>
      <c r="B107" s="100"/>
      <c r="C107" s="65" t="s">
        <v>2638</v>
      </c>
      <c r="D107" s="70" t="s">
        <v>57</v>
      </c>
      <c r="E107" s="12">
        <v>44545</v>
      </c>
      <c r="F107" s="68" t="s">
        <v>59</v>
      </c>
      <c r="G107" s="12">
        <v>44548</v>
      </c>
      <c r="H107" s="69" t="s">
        <v>1619</v>
      </c>
      <c r="I107" s="15">
        <v>37</v>
      </c>
      <c r="J107" s="15">
        <v>35</v>
      </c>
      <c r="K107" s="15">
        <v>37</v>
      </c>
      <c r="L107" s="15">
        <v>6</v>
      </c>
      <c r="M107" s="73">
        <v>11.97875</v>
      </c>
      <c r="N107" s="104">
        <v>11.97875</v>
      </c>
      <c r="O107" s="57">
        <v>7000</v>
      </c>
      <c r="P107" s="58">
        <f t="shared" si="1"/>
        <v>83851.25</v>
      </c>
    </row>
    <row r="108" spans="1:16" ht="26.25" customHeight="1" x14ac:dyDescent="0.2">
      <c r="A108" s="100"/>
      <c r="B108" s="100"/>
      <c r="C108" s="65" t="s">
        <v>2639</v>
      </c>
      <c r="D108" s="70" t="s">
        <v>57</v>
      </c>
      <c r="E108" s="12">
        <v>44545</v>
      </c>
      <c r="F108" s="68" t="s">
        <v>59</v>
      </c>
      <c r="G108" s="12">
        <v>44548</v>
      </c>
      <c r="H108" s="69" t="s">
        <v>1619</v>
      </c>
      <c r="I108" s="15">
        <v>40</v>
      </c>
      <c r="J108" s="15">
        <v>35</v>
      </c>
      <c r="K108" s="15">
        <v>22</v>
      </c>
      <c r="L108" s="15">
        <v>4</v>
      </c>
      <c r="M108" s="73">
        <v>7.7</v>
      </c>
      <c r="N108" s="104">
        <v>7.7</v>
      </c>
      <c r="O108" s="57">
        <v>7000</v>
      </c>
      <c r="P108" s="58">
        <f t="shared" si="1"/>
        <v>53900</v>
      </c>
    </row>
    <row r="109" spans="1:16" ht="26.25" customHeight="1" x14ac:dyDescent="0.2">
      <c r="A109" s="100"/>
      <c r="B109" s="100"/>
      <c r="C109" s="65" t="s">
        <v>2640</v>
      </c>
      <c r="D109" s="70" t="s">
        <v>57</v>
      </c>
      <c r="E109" s="12">
        <v>44545</v>
      </c>
      <c r="F109" s="68" t="s">
        <v>59</v>
      </c>
      <c r="G109" s="12">
        <v>44548</v>
      </c>
      <c r="H109" s="69" t="s">
        <v>1619</v>
      </c>
      <c r="I109" s="15">
        <v>38</v>
      </c>
      <c r="J109" s="15">
        <v>30</v>
      </c>
      <c r="K109" s="15">
        <v>21</v>
      </c>
      <c r="L109" s="15">
        <v>4</v>
      </c>
      <c r="M109" s="73">
        <v>5.9850000000000003</v>
      </c>
      <c r="N109" s="104">
        <v>5.9850000000000003</v>
      </c>
      <c r="O109" s="57">
        <v>7000</v>
      </c>
      <c r="P109" s="58">
        <f t="shared" si="1"/>
        <v>41895</v>
      </c>
    </row>
    <row r="110" spans="1:16" ht="26.25" customHeight="1" x14ac:dyDescent="0.2">
      <c r="A110" s="100"/>
      <c r="B110" s="100"/>
      <c r="C110" s="65" t="s">
        <v>2641</v>
      </c>
      <c r="D110" s="70" t="s">
        <v>57</v>
      </c>
      <c r="E110" s="12">
        <v>44545</v>
      </c>
      <c r="F110" s="68" t="s">
        <v>59</v>
      </c>
      <c r="G110" s="12">
        <v>44548</v>
      </c>
      <c r="H110" s="69" t="s">
        <v>1619</v>
      </c>
      <c r="I110" s="15">
        <v>64</v>
      </c>
      <c r="J110" s="15">
        <v>37</v>
      </c>
      <c r="K110" s="15">
        <v>18</v>
      </c>
      <c r="L110" s="15">
        <v>10</v>
      </c>
      <c r="M110" s="73">
        <v>10.656000000000001</v>
      </c>
      <c r="N110" s="104">
        <v>10.656000000000001</v>
      </c>
      <c r="O110" s="57">
        <v>7000</v>
      </c>
      <c r="P110" s="58">
        <f t="shared" si="1"/>
        <v>74592</v>
      </c>
    </row>
    <row r="111" spans="1:16" ht="26.25" customHeight="1" x14ac:dyDescent="0.2">
      <c r="A111" s="100"/>
      <c r="B111" s="100"/>
      <c r="C111" s="65" t="s">
        <v>2642</v>
      </c>
      <c r="D111" s="70" t="s">
        <v>57</v>
      </c>
      <c r="E111" s="12">
        <v>44545</v>
      </c>
      <c r="F111" s="68" t="s">
        <v>59</v>
      </c>
      <c r="G111" s="12">
        <v>44548</v>
      </c>
      <c r="H111" s="69" t="s">
        <v>1619</v>
      </c>
      <c r="I111" s="15">
        <v>87</v>
      </c>
      <c r="J111" s="15">
        <v>60</v>
      </c>
      <c r="K111" s="15">
        <v>27</v>
      </c>
      <c r="L111" s="15">
        <v>10</v>
      </c>
      <c r="M111" s="73">
        <v>35.234999999999999</v>
      </c>
      <c r="N111" s="104">
        <v>35.234999999999999</v>
      </c>
      <c r="O111" s="57">
        <v>7000</v>
      </c>
      <c r="P111" s="58">
        <f t="shared" si="1"/>
        <v>246645</v>
      </c>
    </row>
    <row r="112" spans="1:16" ht="26.25" customHeight="1" x14ac:dyDescent="0.2">
      <c r="A112" s="100"/>
      <c r="B112" s="100"/>
      <c r="C112" s="65" t="s">
        <v>2643</v>
      </c>
      <c r="D112" s="70" t="s">
        <v>57</v>
      </c>
      <c r="E112" s="12">
        <v>44545</v>
      </c>
      <c r="F112" s="68" t="s">
        <v>59</v>
      </c>
      <c r="G112" s="12">
        <v>44548</v>
      </c>
      <c r="H112" s="69" t="s">
        <v>1619</v>
      </c>
      <c r="I112" s="15">
        <v>97</v>
      </c>
      <c r="J112" s="15">
        <v>54</v>
      </c>
      <c r="K112" s="15">
        <v>24</v>
      </c>
      <c r="L112" s="15">
        <v>10</v>
      </c>
      <c r="M112" s="73">
        <v>31.428000000000001</v>
      </c>
      <c r="N112" s="104">
        <v>32</v>
      </c>
      <c r="O112" s="57">
        <v>7000</v>
      </c>
      <c r="P112" s="58">
        <f t="shared" si="1"/>
        <v>224000</v>
      </c>
    </row>
    <row r="113" spans="1:16" ht="26.25" customHeight="1" x14ac:dyDescent="0.2">
      <c r="A113" s="100"/>
      <c r="B113" s="100"/>
      <c r="C113" s="65" t="s">
        <v>2644</v>
      </c>
      <c r="D113" s="70" t="s">
        <v>57</v>
      </c>
      <c r="E113" s="12">
        <v>44545</v>
      </c>
      <c r="F113" s="68" t="s">
        <v>59</v>
      </c>
      <c r="G113" s="12">
        <v>44548</v>
      </c>
      <c r="H113" s="69" t="s">
        <v>1619</v>
      </c>
      <c r="I113" s="15">
        <v>41</v>
      </c>
      <c r="J113" s="15">
        <v>41</v>
      </c>
      <c r="K113" s="15">
        <v>14</v>
      </c>
      <c r="L113" s="15">
        <v>1</v>
      </c>
      <c r="M113" s="73">
        <v>5.8834999999999997</v>
      </c>
      <c r="N113" s="104">
        <v>5.8834999999999997</v>
      </c>
      <c r="O113" s="57">
        <v>7000</v>
      </c>
      <c r="P113" s="58">
        <f t="shared" si="1"/>
        <v>41184.5</v>
      </c>
    </row>
    <row r="114" spans="1:16" ht="26.25" customHeight="1" x14ac:dyDescent="0.2">
      <c r="A114" s="100"/>
      <c r="B114" s="100"/>
      <c r="C114" s="65" t="s">
        <v>2645</v>
      </c>
      <c r="D114" s="70" t="s">
        <v>57</v>
      </c>
      <c r="E114" s="12">
        <v>44545</v>
      </c>
      <c r="F114" s="68" t="s">
        <v>59</v>
      </c>
      <c r="G114" s="12">
        <v>44548</v>
      </c>
      <c r="H114" s="69" t="s">
        <v>1619</v>
      </c>
      <c r="I114" s="15">
        <v>72</v>
      </c>
      <c r="J114" s="15">
        <v>57</v>
      </c>
      <c r="K114" s="15">
        <v>27</v>
      </c>
      <c r="L114" s="15">
        <v>3</v>
      </c>
      <c r="M114" s="73">
        <v>27.702000000000002</v>
      </c>
      <c r="N114" s="104">
        <v>27.702000000000002</v>
      </c>
      <c r="O114" s="57">
        <v>7000</v>
      </c>
      <c r="P114" s="58">
        <f t="shared" si="1"/>
        <v>193914</v>
      </c>
    </row>
    <row r="115" spans="1:16" ht="26.25" customHeight="1" x14ac:dyDescent="0.2">
      <c r="A115" s="100"/>
      <c r="B115" s="100"/>
      <c r="C115" s="65" t="s">
        <v>2646</v>
      </c>
      <c r="D115" s="70" t="s">
        <v>57</v>
      </c>
      <c r="E115" s="12">
        <v>44545</v>
      </c>
      <c r="F115" s="68" t="s">
        <v>59</v>
      </c>
      <c r="G115" s="12">
        <v>44548</v>
      </c>
      <c r="H115" s="69" t="s">
        <v>1619</v>
      </c>
      <c r="I115" s="15">
        <v>40</v>
      </c>
      <c r="J115" s="15">
        <v>40</v>
      </c>
      <c r="K115" s="15">
        <v>10</v>
      </c>
      <c r="L115" s="15">
        <v>1</v>
      </c>
      <c r="M115" s="73">
        <v>4</v>
      </c>
      <c r="N115" s="104">
        <v>4</v>
      </c>
      <c r="O115" s="57">
        <v>7000</v>
      </c>
      <c r="P115" s="58">
        <f t="shared" si="1"/>
        <v>28000</v>
      </c>
    </row>
    <row r="116" spans="1:16" ht="26.25" customHeight="1" x14ac:dyDescent="0.2">
      <c r="A116" s="100"/>
      <c r="B116" s="100"/>
      <c r="C116" s="65" t="s">
        <v>2647</v>
      </c>
      <c r="D116" s="70" t="s">
        <v>57</v>
      </c>
      <c r="E116" s="12">
        <v>44545</v>
      </c>
      <c r="F116" s="68" t="s">
        <v>59</v>
      </c>
      <c r="G116" s="12">
        <v>44548</v>
      </c>
      <c r="H116" s="69" t="s">
        <v>1619</v>
      </c>
      <c r="I116" s="15">
        <v>44</v>
      </c>
      <c r="J116" s="15">
        <v>33</v>
      </c>
      <c r="K116" s="15">
        <v>18</v>
      </c>
      <c r="L116" s="15">
        <v>4</v>
      </c>
      <c r="M116" s="73">
        <v>6.5339999999999998</v>
      </c>
      <c r="N116" s="104">
        <v>6.5339999999999998</v>
      </c>
      <c r="O116" s="57">
        <v>7000</v>
      </c>
      <c r="P116" s="58">
        <f t="shared" si="1"/>
        <v>45738</v>
      </c>
    </row>
    <row r="117" spans="1:16" ht="26.25" customHeight="1" x14ac:dyDescent="0.2">
      <c r="A117" s="100"/>
      <c r="B117" s="100"/>
      <c r="C117" s="65" t="s">
        <v>2648</v>
      </c>
      <c r="D117" s="70" t="s">
        <v>57</v>
      </c>
      <c r="E117" s="12">
        <v>44545</v>
      </c>
      <c r="F117" s="68" t="s">
        <v>59</v>
      </c>
      <c r="G117" s="12">
        <v>44548</v>
      </c>
      <c r="H117" s="69" t="s">
        <v>1619</v>
      </c>
      <c r="I117" s="15">
        <v>38</v>
      </c>
      <c r="J117" s="15">
        <v>30</v>
      </c>
      <c r="K117" s="15">
        <v>27</v>
      </c>
      <c r="L117" s="15">
        <v>1</v>
      </c>
      <c r="M117" s="73">
        <v>7.6950000000000003</v>
      </c>
      <c r="N117" s="104">
        <v>7.6950000000000003</v>
      </c>
      <c r="O117" s="57">
        <v>7000</v>
      </c>
      <c r="P117" s="58">
        <f t="shared" si="1"/>
        <v>53865</v>
      </c>
    </row>
    <row r="118" spans="1:16" ht="26.25" customHeight="1" x14ac:dyDescent="0.2">
      <c r="A118" s="100"/>
      <c r="B118" s="100"/>
      <c r="C118" s="65" t="s">
        <v>2649</v>
      </c>
      <c r="D118" s="70" t="s">
        <v>57</v>
      </c>
      <c r="E118" s="12">
        <v>44545</v>
      </c>
      <c r="F118" s="68" t="s">
        <v>59</v>
      </c>
      <c r="G118" s="12">
        <v>44548</v>
      </c>
      <c r="H118" s="69" t="s">
        <v>1619</v>
      </c>
      <c r="I118" s="15">
        <v>50</v>
      </c>
      <c r="J118" s="15">
        <v>30</v>
      </c>
      <c r="K118" s="15">
        <v>30</v>
      </c>
      <c r="L118" s="15">
        <v>2</v>
      </c>
      <c r="M118" s="73">
        <v>11.25</v>
      </c>
      <c r="N118" s="104">
        <v>11.25</v>
      </c>
      <c r="O118" s="57">
        <v>7000</v>
      </c>
      <c r="P118" s="58">
        <f t="shared" si="1"/>
        <v>78750</v>
      </c>
    </row>
    <row r="119" spans="1:16" ht="26.25" customHeight="1" x14ac:dyDescent="0.2">
      <c r="A119" s="100"/>
      <c r="B119" s="100"/>
      <c r="C119" s="65" t="s">
        <v>2650</v>
      </c>
      <c r="D119" s="70" t="s">
        <v>57</v>
      </c>
      <c r="E119" s="12">
        <v>44545</v>
      </c>
      <c r="F119" s="68" t="s">
        <v>59</v>
      </c>
      <c r="G119" s="12">
        <v>44548</v>
      </c>
      <c r="H119" s="69" t="s">
        <v>1619</v>
      </c>
      <c r="I119" s="15">
        <v>83</v>
      </c>
      <c r="J119" s="15">
        <v>52</v>
      </c>
      <c r="K119" s="15">
        <v>12</v>
      </c>
      <c r="L119" s="15">
        <v>13</v>
      </c>
      <c r="M119" s="73">
        <v>12.948</v>
      </c>
      <c r="N119" s="104">
        <v>13</v>
      </c>
      <c r="O119" s="57">
        <v>7000</v>
      </c>
      <c r="P119" s="58">
        <f t="shared" si="1"/>
        <v>91000</v>
      </c>
    </row>
    <row r="120" spans="1:16" ht="26.25" customHeight="1" x14ac:dyDescent="0.2">
      <c r="A120" s="100"/>
      <c r="B120" s="100"/>
      <c r="C120" s="65" t="s">
        <v>2651</v>
      </c>
      <c r="D120" s="70" t="s">
        <v>57</v>
      </c>
      <c r="E120" s="12">
        <v>44545</v>
      </c>
      <c r="F120" s="68" t="s">
        <v>59</v>
      </c>
      <c r="G120" s="12">
        <v>44548</v>
      </c>
      <c r="H120" s="69" t="s">
        <v>1619</v>
      </c>
      <c r="I120" s="15">
        <v>37</v>
      </c>
      <c r="J120" s="15">
        <v>27</v>
      </c>
      <c r="K120" s="15">
        <v>18</v>
      </c>
      <c r="L120" s="15">
        <v>1</v>
      </c>
      <c r="M120" s="73">
        <v>4.4954999999999998</v>
      </c>
      <c r="N120" s="104">
        <v>5</v>
      </c>
      <c r="O120" s="57">
        <v>7000</v>
      </c>
      <c r="P120" s="58">
        <f t="shared" si="1"/>
        <v>35000</v>
      </c>
    </row>
    <row r="121" spans="1:16" ht="26.25" customHeight="1" x14ac:dyDescent="0.2">
      <c r="A121" s="100"/>
      <c r="B121" s="100"/>
      <c r="C121" s="65" t="s">
        <v>2652</v>
      </c>
      <c r="D121" s="70" t="s">
        <v>57</v>
      </c>
      <c r="E121" s="12">
        <v>44545</v>
      </c>
      <c r="F121" s="68" t="s">
        <v>59</v>
      </c>
      <c r="G121" s="12">
        <v>44548</v>
      </c>
      <c r="H121" s="69" t="s">
        <v>1619</v>
      </c>
      <c r="I121" s="15">
        <v>113</v>
      </c>
      <c r="J121" s="15">
        <v>55</v>
      </c>
      <c r="K121" s="15">
        <v>15</v>
      </c>
      <c r="L121" s="15">
        <v>5</v>
      </c>
      <c r="M121" s="73">
        <v>23.306249999999999</v>
      </c>
      <c r="N121" s="104">
        <v>24</v>
      </c>
      <c r="O121" s="57">
        <v>7000</v>
      </c>
      <c r="P121" s="58">
        <f t="shared" si="1"/>
        <v>168000</v>
      </c>
    </row>
    <row r="122" spans="1:16" ht="26.25" customHeight="1" x14ac:dyDescent="0.2">
      <c r="A122" s="100"/>
      <c r="B122" s="100"/>
      <c r="C122" s="65" t="s">
        <v>2653</v>
      </c>
      <c r="D122" s="70" t="s">
        <v>57</v>
      </c>
      <c r="E122" s="12">
        <v>44545</v>
      </c>
      <c r="F122" s="68" t="s">
        <v>59</v>
      </c>
      <c r="G122" s="12">
        <v>44548</v>
      </c>
      <c r="H122" s="69" t="s">
        <v>1619</v>
      </c>
      <c r="I122" s="15">
        <v>137</v>
      </c>
      <c r="J122" s="15">
        <v>30</v>
      </c>
      <c r="K122" s="15">
        <v>9</v>
      </c>
      <c r="L122" s="15">
        <v>10</v>
      </c>
      <c r="M122" s="73">
        <v>9.2475000000000005</v>
      </c>
      <c r="N122" s="104">
        <v>10</v>
      </c>
      <c r="O122" s="57">
        <v>7000</v>
      </c>
      <c r="P122" s="58">
        <f t="shared" si="1"/>
        <v>70000</v>
      </c>
    </row>
    <row r="123" spans="1:16" ht="26.25" customHeight="1" x14ac:dyDescent="0.2">
      <c r="A123" s="100"/>
      <c r="B123" s="100"/>
      <c r="C123" s="65" t="s">
        <v>2654</v>
      </c>
      <c r="D123" s="70" t="s">
        <v>57</v>
      </c>
      <c r="E123" s="12">
        <v>44545</v>
      </c>
      <c r="F123" s="68" t="s">
        <v>59</v>
      </c>
      <c r="G123" s="12">
        <v>44548</v>
      </c>
      <c r="H123" s="69" t="s">
        <v>1619</v>
      </c>
      <c r="I123" s="15">
        <v>87</v>
      </c>
      <c r="J123" s="15">
        <v>62</v>
      </c>
      <c r="K123" s="15">
        <v>17</v>
      </c>
      <c r="L123" s="15">
        <v>2</v>
      </c>
      <c r="M123" s="73">
        <v>22.924499999999998</v>
      </c>
      <c r="N123" s="104">
        <v>22.924499999999998</v>
      </c>
      <c r="O123" s="57">
        <v>7000</v>
      </c>
      <c r="P123" s="58">
        <f t="shared" si="1"/>
        <v>160471.5</v>
      </c>
    </row>
    <row r="124" spans="1:16" ht="26.25" customHeight="1" x14ac:dyDescent="0.2">
      <c r="A124" s="100"/>
      <c r="B124" s="100"/>
      <c r="C124" s="65" t="s">
        <v>2655</v>
      </c>
      <c r="D124" s="70" t="s">
        <v>57</v>
      </c>
      <c r="E124" s="12">
        <v>44545</v>
      </c>
      <c r="F124" s="68" t="s">
        <v>59</v>
      </c>
      <c r="G124" s="12">
        <v>44548</v>
      </c>
      <c r="H124" s="69" t="s">
        <v>1619</v>
      </c>
      <c r="I124" s="15">
        <v>52</v>
      </c>
      <c r="J124" s="15">
        <v>38</v>
      </c>
      <c r="K124" s="15">
        <v>12</v>
      </c>
      <c r="L124" s="15">
        <v>6</v>
      </c>
      <c r="M124" s="73">
        <v>5.9279999999999999</v>
      </c>
      <c r="N124" s="104">
        <v>6</v>
      </c>
      <c r="O124" s="57">
        <v>7000</v>
      </c>
      <c r="P124" s="58">
        <f t="shared" si="1"/>
        <v>42000</v>
      </c>
    </row>
    <row r="125" spans="1:16" ht="26.25" customHeight="1" x14ac:dyDescent="0.2">
      <c r="A125" s="100"/>
      <c r="B125" s="100"/>
      <c r="C125" s="65" t="s">
        <v>2656</v>
      </c>
      <c r="D125" s="70" t="s">
        <v>57</v>
      </c>
      <c r="E125" s="12">
        <v>44545</v>
      </c>
      <c r="F125" s="68" t="s">
        <v>59</v>
      </c>
      <c r="G125" s="12">
        <v>44548</v>
      </c>
      <c r="H125" s="69" t="s">
        <v>1619</v>
      </c>
      <c r="I125" s="15">
        <v>38</v>
      </c>
      <c r="J125" s="15">
        <v>35</v>
      </c>
      <c r="K125" s="15">
        <v>20</v>
      </c>
      <c r="L125" s="15">
        <v>4</v>
      </c>
      <c r="M125" s="73">
        <v>6.65</v>
      </c>
      <c r="N125" s="104">
        <v>6.65</v>
      </c>
      <c r="O125" s="57">
        <v>7000</v>
      </c>
      <c r="P125" s="58">
        <f t="shared" si="1"/>
        <v>46550</v>
      </c>
    </row>
    <row r="126" spans="1:16" ht="26.25" customHeight="1" x14ac:dyDescent="0.2">
      <c r="A126" s="100"/>
      <c r="B126" s="100"/>
      <c r="C126" s="65" t="s">
        <v>2657</v>
      </c>
      <c r="D126" s="70" t="s">
        <v>57</v>
      </c>
      <c r="E126" s="12">
        <v>44545</v>
      </c>
      <c r="F126" s="68" t="s">
        <v>59</v>
      </c>
      <c r="G126" s="12">
        <v>44548</v>
      </c>
      <c r="H126" s="69" t="s">
        <v>1619</v>
      </c>
      <c r="I126" s="15">
        <v>56</v>
      </c>
      <c r="J126" s="15">
        <v>36</v>
      </c>
      <c r="K126" s="15">
        <v>31</v>
      </c>
      <c r="L126" s="15">
        <v>9</v>
      </c>
      <c r="M126" s="73">
        <v>15.624000000000001</v>
      </c>
      <c r="N126" s="104">
        <v>15.624000000000001</v>
      </c>
      <c r="O126" s="57">
        <v>7000</v>
      </c>
      <c r="P126" s="58">
        <f t="shared" si="1"/>
        <v>109368</v>
      </c>
    </row>
    <row r="127" spans="1:16" ht="26.25" customHeight="1" x14ac:dyDescent="0.2">
      <c r="A127" s="100"/>
      <c r="B127" s="100"/>
      <c r="C127" s="65" t="s">
        <v>2658</v>
      </c>
      <c r="D127" s="70" t="s">
        <v>57</v>
      </c>
      <c r="E127" s="12">
        <v>44545</v>
      </c>
      <c r="F127" s="68" t="s">
        <v>59</v>
      </c>
      <c r="G127" s="12">
        <v>44548</v>
      </c>
      <c r="H127" s="69" t="s">
        <v>1619</v>
      </c>
      <c r="I127" s="15">
        <v>108</v>
      </c>
      <c r="J127" s="15">
        <v>27</v>
      </c>
      <c r="K127" s="15">
        <v>17</v>
      </c>
      <c r="L127" s="15">
        <v>4</v>
      </c>
      <c r="M127" s="73">
        <v>12.393000000000001</v>
      </c>
      <c r="N127" s="104">
        <v>13</v>
      </c>
      <c r="O127" s="57">
        <v>7000</v>
      </c>
      <c r="P127" s="58">
        <f t="shared" si="1"/>
        <v>91000</v>
      </c>
    </row>
    <row r="128" spans="1:16" ht="26.25" customHeight="1" x14ac:dyDescent="0.2">
      <c r="A128" s="100"/>
      <c r="B128" s="100"/>
      <c r="C128" s="65" t="s">
        <v>2659</v>
      </c>
      <c r="D128" s="70" t="s">
        <v>57</v>
      </c>
      <c r="E128" s="12">
        <v>44545</v>
      </c>
      <c r="F128" s="68" t="s">
        <v>59</v>
      </c>
      <c r="G128" s="12">
        <v>44548</v>
      </c>
      <c r="H128" s="69" t="s">
        <v>1619</v>
      </c>
      <c r="I128" s="15">
        <v>80</v>
      </c>
      <c r="J128" s="15">
        <v>61</v>
      </c>
      <c r="K128" s="15">
        <v>12</v>
      </c>
      <c r="L128" s="15">
        <v>2</v>
      </c>
      <c r="M128" s="73">
        <v>14.64</v>
      </c>
      <c r="N128" s="104">
        <v>14.64</v>
      </c>
      <c r="O128" s="57">
        <v>7000</v>
      </c>
      <c r="P128" s="58">
        <f t="shared" si="1"/>
        <v>102480</v>
      </c>
    </row>
    <row r="129" spans="1:16" ht="26.25" customHeight="1" x14ac:dyDescent="0.2">
      <c r="A129" s="100"/>
      <c r="B129" s="100"/>
      <c r="C129" s="65" t="s">
        <v>2660</v>
      </c>
      <c r="D129" s="70" t="s">
        <v>57</v>
      </c>
      <c r="E129" s="12">
        <v>44545</v>
      </c>
      <c r="F129" s="68" t="s">
        <v>59</v>
      </c>
      <c r="G129" s="12">
        <v>44548</v>
      </c>
      <c r="H129" s="69" t="s">
        <v>1619</v>
      </c>
      <c r="I129" s="15">
        <v>52</v>
      </c>
      <c r="J129" s="15">
        <v>42</v>
      </c>
      <c r="K129" s="15">
        <v>8</v>
      </c>
      <c r="L129" s="15">
        <v>4</v>
      </c>
      <c r="M129" s="73">
        <v>4.3680000000000003</v>
      </c>
      <c r="N129" s="104">
        <v>5</v>
      </c>
      <c r="O129" s="57">
        <v>7000</v>
      </c>
      <c r="P129" s="58">
        <f t="shared" si="1"/>
        <v>35000</v>
      </c>
    </row>
    <row r="130" spans="1:16" ht="26.25" customHeight="1" x14ac:dyDescent="0.2">
      <c r="A130" s="100"/>
      <c r="B130" s="100"/>
      <c r="C130" s="65" t="s">
        <v>2661</v>
      </c>
      <c r="D130" s="70" t="s">
        <v>57</v>
      </c>
      <c r="E130" s="12">
        <v>44545</v>
      </c>
      <c r="F130" s="68" t="s">
        <v>59</v>
      </c>
      <c r="G130" s="12">
        <v>44548</v>
      </c>
      <c r="H130" s="69" t="s">
        <v>1619</v>
      </c>
      <c r="I130" s="15">
        <v>82</v>
      </c>
      <c r="J130" s="15">
        <v>17</v>
      </c>
      <c r="K130" s="15">
        <v>14</v>
      </c>
      <c r="L130" s="15">
        <v>3</v>
      </c>
      <c r="M130" s="73">
        <v>4.8789999999999996</v>
      </c>
      <c r="N130" s="104">
        <v>4.8789999999999996</v>
      </c>
      <c r="O130" s="57">
        <v>7000</v>
      </c>
      <c r="P130" s="58">
        <f t="shared" si="1"/>
        <v>34153</v>
      </c>
    </row>
    <row r="131" spans="1:16" ht="26.25" customHeight="1" x14ac:dyDescent="0.2">
      <c r="A131" s="100"/>
      <c r="B131" s="100"/>
      <c r="C131" s="65" t="s">
        <v>2662</v>
      </c>
      <c r="D131" s="70" t="s">
        <v>57</v>
      </c>
      <c r="E131" s="12">
        <v>44545</v>
      </c>
      <c r="F131" s="68" t="s">
        <v>59</v>
      </c>
      <c r="G131" s="12">
        <v>44548</v>
      </c>
      <c r="H131" s="69" t="s">
        <v>1619</v>
      </c>
      <c r="I131" s="15">
        <v>82</v>
      </c>
      <c r="J131" s="15">
        <v>52</v>
      </c>
      <c r="K131" s="15">
        <v>18</v>
      </c>
      <c r="L131" s="15">
        <v>10</v>
      </c>
      <c r="M131" s="73">
        <v>19.187999999999999</v>
      </c>
      <c r="N131" s="104">
        <v>19.187999999999999</v>
      </c>
      <c r="O131" s="57">
        <v>7000</v>
      </c>
      <c r="P131" s="58">
        <f t="shared" ref="P131:P156" si="2">N131*O131</f>
        <v>134316</v>
      </c>
    </row>
    <row r="132" spans="1:16" ht="26.25" customHeight="1" x14ac:dyDescent="0.2">
      <c r="A132" s="100"/>
      <c r="B132" s="100"/>
      <c r="C132" s="65" t="s">
        <v>2663</v>
      </c>
      <c r="D132" s="70" t="s">
        <v>57</v>
      </c>
      <c r="E132" s="12">
        <v>44545</v>
      </c>
      <c r="F132" s="68" t="s">
        <v>59</v>
      </c>
      <c r="G132" s="12">
        <v>44548</v>
      </c>
      <c r="H132" s="69" t="s">
        <v>1619</v>
      </c>
      <c r="I132" s="15">
        <v>72</v>
      </c>
      <c r="J132" s="15">
        <v>52</v>
      </c>
      <c r="K132" s="15">
        <v>27</v>
      </c>
      <c r="L132" s="15">
        <v>8</v>
      </c>
      <c r="M132" s="73">
        <v>25.271999999999998</v>
      </c>
      <c r="N132" s="104">
        <v>25.271999999999998</v>
      </c>
      <c r="O132" s="57">
        <v>7000</v>
      </c>
      <c r="P132" s="58">
        <f t="shared" si="2"/>
        <v>176904</v>
      </c>
    </row>
    <row r="133" spans="1:16" ht="26.25" customHeight="1" x14ac:dyDescent="0.2">
      <c r="A133" s="100"/>
      <c r="B133" s="100"/>
      <c r="C133" s="65" t="s">
        <v>2664</v>
      </c>
      <c r="D133" s="70" t="s">
        <v>57</v>
      </c>
      <c r="E133" s="12">
        <v>44545</v>
      </c>
      <c r="F133" s="68" t="s">
        <v>59</v>
      </c>
      <c r="G133" s="12">
        <v>44548</v>
      </c>
      <c r="H133" s="69" t="s">
        <v>1619</v>
      </c>
      <c r="I133" s="15">
        <v>40</v>
      </c>
      <c r="J133" s="15">
        <v>38</v>
      </c>
      <c r="K133" s="15">
        <v>25</v>
      </c>
      <c r="L133" s="15">
        <v>7</v>
      </c>
      <c r="M133" s="73">
        <v>9.5</v>
      </c>
      <c r="N133" s="104">
        <v>11</v>
      </c>
      <c r="O133" s="57">
        <v>7000</v>
      </c>
      <c r="P133" s="58">
        <f t="shared" si="2"/>
        <v>77000</v>
      </c>
    </row>
    <row r="134" spans="1:16" ht="26.25" customHeight="1" x14ac:dyDescent="0.2">
      <c r="A134" s="100"/>
      <c r="B134" s="100"/>
      <c r="C134" s="65" t="s">
        <v>2665</v>
      </c>
      <c r="D134" s="70" t="s">
        <v>57</v>
      </c>
      <c r="E134" s="12">
        <v>44545</v>
      </c>
      <c r="F134" s="68" t="s">
        <v>59</v>
      </c>
      <c r="G134" s="12">
        <v>44548</v>
      </c>
      <c r="H134" s="69" t="s">
        <v>1619</v>
      </c>
      <c r="I134" s="15">
        <v>92</v>
      </c>
      <c r="J134" s="15">
        <v>38</v>
      </c>
      <c r="K134" s="15">
        <v>24</v>
      </c>
      <c r="L134" s="15">
        <v>20</v>
      </c>
      <c r="M134" s="73">
        <v>20.975999999999999</v>
      </c>
      <c r="N134" s="104">
        <v>20.975999999999999</v>
      </c>
      <c r="O134" s="57">
        <v>7000</v>
      </c>
      <c r="P134" s="58">
        <f t="shared" si="2"/>
        <v>146832</v>
      </c>
    </row>
    <row r="135" spans="1:16" ht="26.25" customHeight="1" x14ac:dyDescent="0.2">
      <c r="A135" s="100"/>
      <c r="B135" s="100"/>
      <c r="C135" s="65" t="s">
        <v>2666</v>
      </c>
      <c r="D135" s="70" t="s">
        <v>57</v>
      </c>
      <c r="E135" s="12">
        <v>44545</v>
      </c>
      <c r="F135" s="68" t="s">
        <v>59</v>
      </c>
      <c r="G135" s="12">
        <v>44548</v>
      </c>
      <c r="H135" s="69" t="s">
        <v>1619</v>
      </c>
      <c r="I135" s="15">
        <v>35</v>
      </c>
      <c r="J135" s="15">
        <v>35</v>
      </c>
      <c r="K135" s="15">
        <v>25</v>
      </c>
      <c r="L135" s="15">
        <v>4</v>
      </c>
      <c r="M135" s="73">
        <v>7.65625</v>
      </c>
      <c r="N135" s="104">
        <v>7.65625</v>
      </c>
      <c r="O135" s="57">
        <v>7000</v>
      </c>
      <c r="P135" s="58">
        <f t="shared" si="2"/>
        <v>53593.75</v>
      </c>
    </row>
    <row r="136" spans="1:16" ht="26.25" customHeight="1" x14ac:dyDescent="0.2">
      <c r="A136" s="100"/>
      <c r="B136" s="100"/>
      <c r="C136" s="65" t="s">
        <v>2667</v>
      </c>
      <c r="D136" s="70" t="s">
        <v>57</v>
      </c>
      <c r="E136" s="12">
        <v>44545</v>
      </c>
      <c r="F136" s="68" t="s">
        <v>59</v>
      </c>
      <c r="G136" s="12">
        <v>44548</v>
      </c>
      <c r="H136" s="69" t="s">
        <v>1619</v>
      </c>
      <c r="I136" s="15">
        <v>55</v>
      </c>
      <c r="J136" s="15">
        <v>41</v>
      </c>
      <c r="K136" s="15">
        <v>21</v>
      </c>
      <c r="L136" s="15">
        <v>1</v>
      </c>
      <c r="M136" s="73">
        <v>11.838749999999999</v>
      </c>
      <c r="N136" s="104">
        <v>11.838749999999999</v>
      </c>
      <c r="O136" s="57">
        <v>7000</v>
      </c>
      <c r="P136" s="58">
        <f t="shared" si="2"/>
        <v>82871.25</v>
      </c>
    </row>
    <row r="137" spans="1:16" ht="26.25" customHeight="1" x14ac:dyDescent="0.2">
      <c r="A137" s="100"/>
      <c r="B137" s="100"/>
      <c r="C137" s="65" t="s">
        <v>2668</v>
      </c>
      <c r="D137" s="70" t="s">
        <v>57</v>
      </c>
      <c r="E137" s="12">
        <v>44545</v>
      </c>
      <c r="F137" s="68" t="s">
        <v>59</v>
      </c>
      <c r="G137" s="12">
        <v>44548</v>
      </c>
      <c r="H137" s="69" t="s">
        <v>1619</v>
      </c>
      <c r="I137" s="15">
        <v>94</v>
      </c>
      <c r="J137" s="15">
        <v>70</v>
      </c>
      <c r="K137" s="15">
        <v>8</v>
      </c>
      <c r="L137" s="15">
        <v>2</v>
      </c>
      <c r="M137" s="73">
        <v>13.16</v>
      </c>
      <c r="N137" s="104">
        <v>13.16</v>
      </c>
      <c r="O137" s="57">
        <v>7000</v>
      </c>
      <c r="P137" s="58">
        <f t="shared" si="2"/>
        <v>92120</v>
      </c>
    </row>
    <row r="138" spans="1:16" ht="26.25" customHeight="1" x14ac:dyDescent="0.2">
      <c r="A138" s="100"/>
      <c r="B138" s="100"/>
      <c r="C138" s="65" t="s">
        <v>2669</v>
      </c>
      <c r="D138" s="70" t="s">
        <v>57</v>
      </c>
      <c r="E138" s="12">
        <v>44545</v>
      </c>
      <c r="F138" s="68" t="s">
        <v>59</v>
      </c>
      <c r="G138" s="12">
        <v>44548</v>
      </c>
      <c r="H138" s="69" t="s">
        <v>1619</v>
      </c>
      <c r="I138" s="15">
        <v>88</v>
      </c>
      <c r="J138" s="15">
        <v>62</v>
      </c>
      <c r="K138" s="15">
        <v>17</v>
      </c>
      <c r="L138" s="15">
        <v>17</v>
      </c>
      <c r="M138" s="73">
        <v>23.187999999999999</v>
      </c>
      <c r="N138" s="104">
        <v>23.187999999999999</v>
      </c>
      <c r="O138" s="57">
        <v>7000</v>
      </c>
      <c r="P138" s="58">
        <f t="shared" si="2"/>
        <v>162316</v>
      </c>
    </row>
    <row r="139" spans="1:16" ht="26.25" customHeight="1" x14ac:dyDescent="0.2">
      <c r="A139" s="100"/>
      <c r="B139" s="100"/>
      <c r="C139" s="65" t="s">
        <v>2670</v>
      </c>
      <c r="D139" s="70" t="s">
        <v>57</v>
      </c>
      <c r="E139" s="12">
        <v>44545</v>
      </c>
      <c r="F139" s="68" t="s">
        <v>59</v>
      </c>
      <c r="G139" s="12">
        <v>44548</v>
      </c>
      <c r="H139" s="69" t="s">
        <v>1619</v>
      </c>
      <c r="I139" s="15">
        <v>87</v>
      </c>
      <c r="J139" s="15">
        <v>52</v>
      </c>
      <c r="K139" s="15">
        <v>13</v>
      </c>
      <c r="L139" s="15">
        <v>13</v>
      </c>
      <c r="M139" s="73">
        <v>14.702999999999999</v>
      </c>
      <c r="N139" s="104">
        <v>14.702999999999999</v>
      </c>
      <c r="O139" s="57">
        <v>7000</v>
      </c>
      <c r="P139" s="58">
        <f t="shared" si="2"/>
        <v>102921</v>
      </c>
    </row>
    <row r="140" spans="1:16" ht="26.25" customHeight="1" x14ac:dyDescent="0.2">
      <c r="A140" s="100"/>
      <c r="B140" s="100"/>
      <c r="C140" s="65" t="s">
        <v>2671</v>
      </c>
      <c r="D140" s="70" t="s">
        <v>57</v>
      </c>
      <c r="E140" s="12">
        <v>44545</v>
      </c>
      <c r="F140" s="68" t="s">
        <v>59</v>
      </c>
      <c r="G140" s="12">
        <v>44548</v>
      </c>
      <c r="H140" s="69" t="s">
        <v>1619</v>
      </c>
      <c r="I140" s="15">
        <v>38</v>
      </c>
      <c r="J140" s="15">
        <v>38</v>
      </c>
      <c r="K140" s="15">
        <v>21</v>
      </c>
      <c r="L140" s="15">
        <v>8</v>
      </c>
      <c r="M140" s="73">
        <v>7.5810000000000004</v>
      </c>
      <c r="N140" s="104">
        <v>8</v>
      </c>
      <c r="O140" s="57">
        <v>7000</v>
      </c>
      <c r="P140" s="58">
        <f t="shared" si="2"/>
        <v>56000</v>
      </c>
    </row>
    <row r="141" spans="1:16" ht="26.25" customHeight="1" x14ac:dyDescent="0.2">
      <c r="A141" s="100"/>
      <c r="B141" s="100"/>
      <c r="C141" s="65" t="s">
        <v>2672</v>
      </c>
      <c r="D141" s="70" t="s">
        <v>57</v>
      </c>
      <c r="E141" s="12">
        <v>44545</v>
      </c>
      <c r="F141" s="68" t="s">
        <v>59</v>
      </c>
      <c r="G141" s="12">
        <v>44548</v>
      </c>
      <c r="H141" s="69" t="s">
        <v>1619</v>
      </c>
      <c r="I141" s="15">
        <v>47</v>
      </c>
      <c r="J141" s="15">
        <v>34</v>
      </c>
      <c r="K141" s="15">
        <v>10</v>
      </c>
      <c r="L141" s="15">
        <v>1</v>
      </c>
      <c r="M141" s="73">
        <v>3.9950000000000001</v>
      </c>
      <c r="N141" s="104">
        <v>3.9950000000000001</v>
      </c>
      <c r="O141" s="57">
        <v>7000</v>
      </c>
      <c r="P141" s="58">
        <f t="shared" si="2"/>
        <v>27965</v>
      </c>
    </row>
    <row r="142" spans="1:16" ht="26.25" customHeight="1" x14ac:dyDescent="0.2">
      <c r="A142" s="100"/>
      <c r="B142" s="100"/>
      <c r="C142" s="65" t="s">
        <v>2673</v>
      </c>
      <c r="D142" s="70" t="s">
        <v>57</v>
      </c>
      <c r="E142" s="12">
        <v>44545</v>
      </c>
      <c r="F142" s="68" t="s">
        <v>59</v>
      </c>
      <c r="G142" s="12">
        <v>44548</v>
      </c>
      <c r="H142" s="69" t="s">
        <v>1619</v>
      </c>
      <c r="I142" s="15">
        <v>94</v>
      </c>
      <c r="J142" s="15">
        <v>52</v>
      </c>
      <c r="K142" s="15">
        <v>14</v>
      </c>
      <c r="L142" s="15">
        <v>9</v>
      </c>
      <c r="M142" s="73">
        <v>17.108000000000001</v>
      </c>
      <c r="N142" s="104">
        <v>17.108000000000001</v>
      </c>
      <c r="O142" s="57">
        <v>7000</v>
      </c>
      <c r="P142" s="58">
        <f t="shared" si="2"/>
        <v>119756</v>
      </c>
    </row>
    <row r="143" spans="1:16" ht="26.25" customHeight="1" x14ac:dyDescent="0.2">
      <c r="A143" s="100"/>
      <c r="B143" s="100"/>
      <c r="C143" s="65" t="s">
        <v>2674</v>
      </c>
      <c r="D143" s="70" t="s">
        <v>57</v>
      </c>
      <c r="E143" s="12">
        <v>44545</v>
      </c>
      <c r="F143" s="68" t="s">
        <v>59</v>
      </c>
      <c r="G143" s="12">
        <v>44548</v>
      </c>
      <c r="H143" s="69" t="s">
        <v>1619</v>
      </c>
      <c r="I143" s="15">
        <v>65</v>
      </c>
      <c r="J143" s="15">
        <v>41</v>
      </c>
      <c r="K143" s="15">
        <v>11</v>
      </c>
      <c r="L143" s="15">
        <v>2</v>
      </c>
      <c r="M143" s="73">
        <v>7.3287500000000003</v>
      </c>
      <c r="N143" s="104">
        <v>8</v>
      </c>
      <c r="O143" s="57">
        <v>7000</v>
      </c>
      <c r="P143" s="58">
        <f t="shared" si="2"/>
        <v>56000</v>
      </c>
    </row>
    <row r="144" spans="1:16" ht="26.25" customHeight="1" x14ac:dyDescent="0.2">
      <c r="A144" s="100"/>
      <c r="B144" s="100"/>
      <c r="C144" s="65" t="s">
        <v>2675</v>
      </c>
      <c r="D144" s="70" t="s">
        <v>57</v>
      </c>
      <c r="E144" s="12">
        <v>44545</v>
      </c>
      <c r="F144" s="68" t="s">
        <v>59</v>
      </c>
      <c r="G144" s="12">
        <v>44548</v>
      </c>
      <c r="H144" s="69" t="s">
        <v>1619</v>
      </c>
      <c r="I144" s="15">
        <v>175</v>
      </c>
      <c r="J144" s="15">
        <v>15</v>
      </c>
      <c r="K144" s="15">
        <v>15</v>
      </c>
      <c r="L144" s="15">
        <v>5</v>
      </c>
      <c r="M144" s="73">
        <v>9.84375</v>
      </c>
      <c r="N144" s="104">
        <v>9.84375</v>
      </c>
      <c r="O144" s="57">
        <v>7000</v>
      </c>
      <c r="P144" s="58">
        <f t="shared" si="2"/>
        <v>68906.25</v>
      </c>
    </row>
    <row r="145" spans="1:16" ht="26.25" customHeight="1" x14ac:dyDescent="0.2">
      <c r="A145" s="100"/>
      <c r="B145" s="100"/>
      <c r="C145" s="65" t="s">
        <v>2676</v>
      </c>
      <c r="D145" s="70" t="s">
        <v>57</v>
      </c>
      <c r="E145" s="12">
        <v>44545</v>
      </c>
      <c r="F145" s="68" t="s">
        <v>59</v>
      </c>
      <c r="G145" s="12">
        <v>44548</v>
      </c>
      <c r="H145" s="69" t="s">
        <v>1619</v>
      </c>
      <c r="I145" s="15">
        <v>70</v>
      </c>
      <c r="J145" s="15">
        <v>27</v>
      </c>
      <c r="K145" s="15">
        <v>20</v>
      </c>
      <c r="L145" s="15">
        <v>6</v>
      </c>
      <c r="M145" s="73">
        <v>9.4499999999999993</v>
      </c>
      <c r="N145" s="104">
        <v>10</v>
      </c>
      <c r="O145" s="57">
        <v>7000</v>
      </c>
      <c r="P145" s="58">
        <f t="shared" si="2"/>
        <v>70000</v>
      </c>
    </row>
    <row r="146" spans="1:16" ht="26.25" customHeight="1" x14ac:dyDescent="0.2">
      <c r="A146" s="100"/>
      <c r="B146" s="100"/>
      <c r="C146" s="65" t="s">
        <v>2677</v>
      </c>
      <c r="D146" s="70" t="s">
        <v>57</v>
      </c>
      <c r="E146" s="12">
        <v>44545</v>
      </c>
      <c r="F146" s="68" t="s">
        <v>59</v>
      </c>
      <c r="G146" s="12">
        <v>44548</v>
      </c>
      <c r="H146" s="69" t="s">
        <v>1619</v>
      </c>
      <c r="I146" s="15">
        <v>54</v>
      </c>
      <c r="J146" s="15">
        <v>26</v>
      </c>
      <c r="K146" s="15">
        <v>10</v>
      </c>
      <c r="L146" s="15">
        <v>3</v>
      </c>
      <c r="M146" s="73">
        <v>3.51</v>
      </c>
      <c r="N146" s="104">
        <v>3.51</v>
      </c>
      <c r="O146" s="57">
        <v>7000</v>
      </c>
      <c r="P146" s="58">
        <f t="shared" si="2"/>
        <v>24570</v>
      </c>
    </row>
    <row r="147" spans="1:16" ht="26.25" customHeight="1" x14ac:dyDescent="0.2">
      <c r="A147" s="100"/>
      <c r="B147" s="100"/>
      <c r="C147" s="65" t="s">
        <v>2678</v>
      </c>
      <c r="D147" s="70" t="s">
        <v>57</v>
      </c>
      <c r="E147" s="12">
        <v>44545</v>
      </c>
      <c r="F147" s="68" t="s">
        <v>59</v>
      </c>
      <c r="G147" s="12">
        <v>44548</v>
      </c>
      <c r="H147" s="69" t="s">
        <v>1619</v>
      </c>
      <c r="I147" s="15">
        <v>90</v>
      </c>
      <c r="J147" s="15">
        <v>71</v>
      </c>
      <c r="K147" s="15">
        <v>25</v>
      </c>
      <c r="L147" s="15">
        <v>23</v>
      </c>
      <c r="M147" s="73">
        <v>39.9375</v>
      </c>
      <c r="N147" s="104">
        <v>39.9375</v>
      </c>
      <c r="O147" s="57">
        <v>7000</v>
      </c>
      <c r="P147" s="58">
        <f t="shared" si="2"/>
        <v>279562.5</v>
      </c>
    </row>
    <row r="148" spans="1:16" ht="26.25" customHeight="1" x14ac:dyDescent="0.2">
      <c r="A148" s="100"/>
      <c r="B148" s="100"/>
      <c r="C148" s="65" t="s">
        <v>2679</v>
      </c>
      <c r="D148" s="70" t="s">
        <v>57</v>
      </c>
      <c r="E148" s="12">
        <v>44545</v>
      </c>
      <c r="F148" s="68" t="s">
        <v>59</v>
      </c>
      <c r="G148" s="12">
        <v>44548</v>
      </c>
      <c r="H148" s="69" t="s">
        <v>1619</v>
      </c>
      <c r="I148" s="15">
        <v>202</v>
      </c>
      <c r="J148" s="15">
        <v>8</v>
      </c>
      <c r="K148" s="15">
        <v>8</v>
      </c>
      <c r="L148" s="15">
        <v>2</v>
      </c>
      <c r="M148" s="73">
        <v>3.2320000000000002</v>
      </c>
      <c r="N148" s="104">
        <v>3.2320000000000002</v>
      </c>
      <c r="O148" s="57">
        <v>7000</v>
      </c>
      <c r="P148" s="58">
        <f t="shared" si="2"/>
        <v>22624</v>
      </c>
    </row>
    <row r="149" spans="1:16" ht="26.25" customHeight="1" x14ac:dyDescent="0.2">
      <c r="A149" s="100"/>
      <c r="B149" s="101"/>
      <c r="C149" s="65" t="s">
        <v>2680</v>
      </c>
      <c r="D149" s="70" t="s">
        <v>57</v>
      </c>
      <c r="E149" s="12">
        <v>44545</v>
      </c>
      <c r="F149" s="68" t="s">
        <v>59</v>
      </c>
      <c r="G149" s="12">
        <v>44548</v>
      </c>
      <c r="H149" s="69" t="s">
        <v>1619</v>
      </c>
      <c r="I149" s="15">
        <v>46</v>
      </c>
      <c r="J149" s="15">
        <v>42</v>
      </c>
      <c r="K149" s="15">
        <v>17</v>
      </c>
      <c r="L149" s="15">
        <v>7</v>
      </c>
      <c r="M149" s="73">
        <v>8.2110000000000003</v>
      </c>
      <c r="N149" s="104">
        <v>8.2110000000000003</v>
      </c>
      <c r="O149" s="57">
        <v>7000</v>
      </c>
      <c r="P149" s="58">
        <f t="shared" si="2"/>
        <v>57477</v>
      </c>
    </row>
    <row r="150" spans="1:16" ht="26.25" customHeight="1" x14ac:dyDescent="0.2">
      <c r="A150" s="100"/>
      <c r="B150" s="100" t="s">
        <v>2681</v>
      </c>
      <c r="C150" s="65" t="s">
        <v>2682</v>
      </c>
      <c r="D150" s="70" t="s">
        <v>57</v>
      </c>
      <c r="E150" s="12">
        <v>44545</v>
      </c>
      <c r="F150" s="68" t="s">
        <v>59</v>
      </c>
      <c r="G150" s="12">
        <v>44548</v>
      </c>
      <c r="H150" s="69" t="s">
        <v>1619</v>
      </c>
      <c r="I150" s="15">
        <v>56</v>
      </c>
      <c r="J150" s="15">
        <v>63</v>
      </c>
      <c r="K150" s="15">
        <v>24</v>
      </c>
      <c r="L150" s="15">
        <v>21</v>
      </c>
      <c r="M150" s="73">
        <v>21.167999999999999</v>
      </c>
      <c r="N150" s="104">
        <v>21.167999999999999</v>
      </c>
      <c r="O150" s="57">
        <v>7000</v>
      </c>
      <c r="P150" s="58">
        <f t="shared" si="2"/>
        <v>148176</v>
      </c>
    </row>
    <row r="151" spans="1:16" ht="26.25" customHeight="1" x14ac:dyDescent="0.2">
      <c r="A151" s="100"/>
      <c r="B151" s="100"/>
      <c r="C151" s="65" t="s">
        <v>2683</v>
      </c>
      <c r="D151" s="70" t="s">
        <v>57</v>
      </c>
      <c r="E151" s="12">
        <v>44545</v>
      </c>
      <c r="F151" s="68" t="s">
        <v>59</v>
      </c>
      <c r="G151" s="12">
        <v>44548</v>
      </c>
      <c r="H151" s="69" t="s">
        <v>1619</v>
      </c>
      <c r="I151" s="15">
        <v>82</v>
      </c>
      <c r="J151" s="15">
        <v>49</v>
      </c>
      <c r="K151" s="15">
        <v>30</v>
      </c>
      <c r="L151" s="15">
        <v>17</v>
      </c>
      <c r="M151" s="73">
        <v>30.135000000000002</v>
      </c>
      <c r="N151" s="104">
        <v>30.135000000000002</v>
      </c>
      <c r="O151" s="57">
        <v>7000</v>
      </c>
      <c r="P151" s="58">
        <f t="shared" si="2"/>
        <v>210945</v>
      </c>
    </row>
    <row r="152" spans="1:16" ht="26.25" customHeight="1" x14ac:dyDescent="0.2">
      <c r="A152" s="100"/>
      <c r="B152" s="100"/>
      <c r="C152" s="65" t="s">
        <v>2684</v>
      </c>
      <c r="D152" s="70" t="s">
        <v>57</v>
      </c>
      <c r="E152" s="12">
        <v>44545</v>
      </c>
      <c r="F152" s="68" t="s">
        <v>59</v>
      </c>
      <c r="G152" s="12">
        <v>44548</v>
      </c>
      <c r="H152" s="69" t="s">
        <v>1619</v>
      </c>
      <c r="I152" s="15">
        <v>70</v>
      </c>
      <c r="J152" s="15">
        <v>62</v>
      </c>
      <c r="K152" s="15">
        <v>22</v>
      </c>
      <c r="L152" s="15">
        <v>10</v>
      </c>
      <c r="M152" s="73">
        <v>23.87</v>
      </c>
      <c r="N152" s="104">
        <v>23.87</v>
      </c>
      <c r="O152" s="57">
        <v>7000</v>
      </c>
      <c r="P152" s="58">
        <f t="shared" si="2"/>
        <v>167090</v>
      </c>
    </row>
    <row r="153" spans="1:16" ht="26.25" customHeight="1" x14ac:dyDescent="0.2">
      <c r="A153" s="100"/>
      <c r="B153" s="100"/>
      <c r="C153" s="65" t="s">
        <v>2685</v>
      </c>
      <c r="D153" s="70" t="s">
        <v>57</v>
      </c>
      <c r="E153" s="12">
        <v>44545</v>
      </c>
      <c r="F153" s="68" t="s">
        <v>59</v>
      </c>
      <c r="G153" s="12">
        <v>44548</v>
      </c>
      <c r="H153" s="69" t="s">
        <v>1619</v>
      </c>
      <c r="I153" s="15">
        <v>33</v>
      </c>
      <c r="J153" s="15">
        <v>20</v>
      </c>
      <c r="K153" s="15">
        <v>10</v>
      </c>
      <c r="L153" s="15">
        <v>2</v>
      </c>
      <c r="M153" s="73">
        <v>1.65</v>
      </c>
      <c r="N153" s="104">
        <v>2</v>
      </c>
      <c r="O153" s="57">
        <v>7000</v>
      </c>
      <c r="P153" s="58">
        <f t="shared" si="2"/>
        <v>14000</v>
      </c>
    </row>
    <row r="154" spans="1:16" ht="26.25" customHeight="1" x14ac:dyDescent="0.2">
      <c r="A154" s="100"/>
      <c r="B154" s="100"/>
      <c r="C154" s="65" t="s">
        <v>2686</v>
      </c>
      <c r="D154" s="70" t="s">
        <v>57</v>
      </c>
      <c r="E154" s="12">
        <v>44545</v>
      </c>
      <c r="F154" s="68" t="s">
        <v>59</v>
      </c>
      <c r="G154" s="12">
        <v>44548</v>
      </c>
      <c r="H154" s="69" t="s">
        <v>1619</v>
      </c>
      <c r="I154" s="15">
        <v>37</v>
      </c>
      <c r="J154" s="15">
        <v>34</v>
      </c>
      <c r="K154" s="15">
        <v>9</v>
      </c>
      <c r="L154" s="15">
        <v>2</v>
      </c>
      <c r="M154" s="73">
        <v>2.8304999999999998</v>
      </c>
      <c r="N154" s="104">
        <v>2.8304999999999998</v>
      </c>
      <c r="O154" s="57">
        <v>7000</v>
      </c>
      <c r="P154" s="58">
        <f t="shared" si="2"/>
        <v>19813.5</v>
      </c>
    </row>
    <row r="155" spans="1:16" ht="26.25" customHeight="1" x14ac:dyDescent="0.2">
      <c r="A155" s="100"/>
      <c r="B155" s="100"/>
      <c r="C155" s="65" t="s">
        <v>2687</v>
      </c>
      <c r="D155" s="70" t="s">
        <v>57</v>
      </c>
      <c r="E155" s="12">
        <v>44545</v>
      </c>
      <c r="F155" s="68" t="s">
        <v>59</v>
      </c>
      <c r="G155" s="12">
        <v>44548</v>
      </c>
      <c r="H155" s="69" t="s">
        <v>1619</v>
      </c>
      <c r="I155" s="15">
        <v>78</v>
      </c>
      <c r="J155" s="15">
        <v>58</v>
      </c>
      <c r="K155" s="15">
        <v>5</v>
      </c>
      <c r="L155" s="15">
        <v>8</v>
      </c>
      <c r="M155" s="73">
        <v>5.6550000000000002</v>
      </c>
      <c r="N155" s="104">
        <v>8</v>
      </c>
      <c r="O155" s="57">
        <v>7000</v>
      </c>
      <c r="P155" s="58">
        <f t="shared" si="2"/>
        <v>56000</v>
      </c>
    </row>
    <row r="156" spans="1:16" ht="26.25" customHeight="1" x14ac:dyDescent="0.2">
      <c r="A156" s="100"/>
      <c r="B156" s="100"/>
      <c r="C156" s="65" t="s">
        <v>2688</v>
      </c>
      <c r="D156" s="70" t="s">
        <v>57</v>
      </c>
      <c r="E156" s="12">
        <v>44545</v>
      </c>
      <c r="F156" s="68" t="s">
        <v>59</v>
      </c>
      <c r="G156" s="12">
        <v>44548</v>
      </c>
      <c r="H156" s="69" t="s">
        <v>1619</v>
      </c>
      <c r="I156" s="15">
        <v>87</v>
      </c>
      <c r="J156" s="15">
        <v>54</v>
      </c>
      <c r="K156" s="15">
        <v>22</v>
      </c>
      <c r="L156" s="15">
        <v>15</v>
      </c>
      <c r="M156" s="73">
        <v>25.838999999999999</v>
      </c>
      <c r="N156" s="104">
        <v>25.838999999999999</v>
      </c>
      <c r="O156" s="57">
        <v>7000</v>
      </c>
      <c r="P156" s="58">
        <f t="shared" si="2"/>
        <v>180873</v>
      </c>
    </row>
    <row r="157" spans="1:16" ht="22.5" customHeight="1" x14ac:dyDescent="0.2">
      <c r="A157" s="159" t="s">
        <v>30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1"/>
      <c r="M157" s="71">
        <f>SUBTOTAL(109,Table224578910112345678910111213141516171819202122232425262728293031323334353738394041424344[KG VOLUME])</f>
        <v>2626.4084999999986</v>
      </c>
      <c r="N157" s="61">
        <f>SUM(N3:N156)</f>
        <v>2689.1909999999993</v>
      </c>
      <c r="O157" s="162">
        <f>SUM(P3:P156)</f>
        <v>18824337</v>
      </c>
      <c r="P157" s="163"/>
    </row>
    <row r="158" spans="1:16" ht="18" customHeight="1" x14ac:dyDescent="0.2">
      <c r="A158" s="78"/>
      <c r="B158" s="49" t="s">
        <v>42</v>
      </c>
      <c r="C158" s="48"/>
      <c r="D158" s="50" t="s">
        <v>43</v>
      </c>
      <c r="E158" s="78"/>
      <c r="F158" s="78"/>
      <c r="G158" s="78"/>
      <c r="H158" s="78"/>
      <c r="I158" s="78"/>
      <c r="J158" s="78"/>
      <c r="K158" s="78"/>
      <c r="L158" s="78"/>
      <c r="M158" s="79"/>
      <c r="N158" s="80" t="s">
        <v>52</v>
      </c>
      <c r="O158" s="81"/>
      <c r="P158" s="81">
        <v>0</v>
      </c>
    </row>
    <row r="159" spans="1:16" ht="18" customHeight="1" thickBot="1" x14ac:dyDescent="0.25">
      <c r="A159" s="78"/>
      <c r="B159" s="49"/>
      <c r="C159" s="48"/>
      <c r="D159" s="50"/>
      <c r="E159" s="78"/>
      <c r="F159" s="78"/>
      <c r="G159" s="78"/>
      <c r="H159" s="78"/>
      <c r="I159" s="78"/>
      <c r="J159" s="78"/>
      <c r="K159" s="78"/>
      <c r="L159" s="78"/>
      <c r="M159" s="79"/>
      <c r="N159" s="82" t="s">
        <v>53</v>
      </c>
      <c r="O159" s="83"/>
      <c r="P159" s="83">
        <f>O157-P158</f>
        <v>18824337</v>
      </c>
    </row>
    <row r="160" spans="1:16" ht="18" customHeight="1" x14ac:dyDescent="0.2">
      <c r="A160" s="10"/>
      <c r="H160" s="56"/>
      <c r="N160" s="55" t="s">
        <v>31</v>
      </c>
      <c r="P160" s="62">
        <f>P159*1%</f>
        <v>188243.37</v>
      </c>
    </row>
    <row r="161" spans="1:16" ht="18" customHeight="1" thickBot="1" x14ac:dyDescent="0.25">
      <c r="A161" s="10"/>
      <c r="H161" s="56"/>
      <c r="N161" s="55" t="s">
        <v>54</v>
      </c>
      <c r="P161" s="64">
        <f>P159*2%</f>
        <v>376486.74</v>
      </c>
    </row>
    <row r="162" spans="1:16" ht="18" customHeight="1" x14ac:dyDescent="0.2">
      <c r="A162" s="10"/>
      <c r="H162" s="56"/>
      <c r="N162" s="59" t="s">
        <v>32</v>
      </c>
      <c r="O162" s="60"/>
      <c r="P162" s="63">
        <f>P159+P160-P161</f>
        <v>18636093.630000003</v>
      </c>
    </row>
    <row r="164" spans="1:16" x14ac:dyDescent="0.2">
      <c r="A164" s="10"/>
      <c r="H164" s="56"/>
      <c r="P164" s="64"/>
    </row>
    <row r="165" spans="1:16" x14ac:dyDescent="0.2">
      <c r="A165" s="10"/>
      <c r="H165" s="56"/>
      <c r="O165" s="51"/>
      <c r="P165" s="64"/>
    </row>
    <row r="166" spans="1:16" s="3" customFormat="1" x14ac:dyDescent="0.25">
      <c r="A166" s="10"/>
      <c r="B166" s="2"/>
      <c r="C166" s="2"/>
      <c r="E166" s="11"/>
      <c r="H166" s="56"/>
      <c r="N166" s="14"/>
      <c r="O166" s="14"/>
      <c r="P166" s="14"/>
    </row>
    <row r="167" spans="1:16" s="3" customFormat="1" x14ac:dyDescent="0.25">
      <c r="A167" s="10"/>
      <c r="B167" s="2"/>
      <c r="C167" s="2"/>
      <c r="E167" s="11"/>
      <c r="H167" s="56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56"/>
      <c r="N168" s="14"/>
      <c r="O168" s="14"/>
      <c r="P168" s="14"/>
    </row>
    <row r="169" spans="1:16" s="3" customFormat="1" x14ac:dyDescent="0.25">
      <c r="A169" s="10"/>
      <c r="B169" s="2"/>
      <c r="C169" s="2"/>
      <c r="E169" s="11"/>
      <c r="H169" s="56"/>
      <c r="N169" s="14"/>
      <c r="O169" s="14"/>
      <c r="P169" s="14"/>
    </row>
    <row r="170" spans="1:16" s="3" customFormat="1" x14ac:dyDescent="0.25">
      <c r="A170" s="10"/>
      <c r="B170" s="2"/>
      <c r="C170" s="2"/>
      <c r="E170" s="11"/>
      <c r="H170" s="56"/>
      <c r="N170" s="14"/>
      <c r="O170" s="14"/>
      <c r="P170" s="14"/>
    </row>
    <row r="171" spans="1:16" s="3" customFormat="1" x14ac:dyDescent="0.25">
      <c r="A171" s="10"/>
      <c r="B171" s="2"/>
      <c r="C171" s="2"/>
      <c r="E171" s="11"/>
      <c r="H171" s="56"/>
      <c r="N171" s="14"/>
      <c r="O171" s="14"/>
      <c r="P171" s="14"/>
    </row>
    <row r="172" spans="1:16" s="3" customFormat="1" x14ac:dyDescent="0.25">
      <c r="A172" s="10"/>
      <c r="B172" s="2"/>
      <c r="C172" s="2"/>
      <c r="E172" s="11"/>
      <c r="H172" s="56"/>
      <c r="N172" s="14"/>
      <c r="O172" s="14"/>
      <c r="P172" s="14"/>
    </row>
    <row r="173" spans="1:16" s="3" customFormat="1" x14ac:dyDescent="0.25">
      <c r="A173" s="10"/>
      <c r="B173" s="2"/>
      <c r="C173" s="2"/>
      <c r="E173" s="11"/>
      <c r="H173" s="56"/>
      <c r="N173" s="14"/>
      <c r="O173" s="14"/>
      <c r="P173" s="14"/>
    </row>
    <row r="174" spans="1:16" s="3" customFormat="1" x14ac:dyDescent="0.25">
      <c r="A174" s="10"/>
      <c r="B174" s="2"/>
      <c r="C174" s="2"/>
      <c r="E174" s="11"/>
      <c r="H174" s="56"/>
      <c r="N174" s="14"/>
      <c r="O174" s="14"/>
      <c r="P174" s="14"/>
    </row>
    <row r="175" spans="1:16" s="3" customFormat="1" x14ac:dyDescent="0.25">
      <c r="A175" s="10"/>
      <c r="B175" s="2"/>
      <c r="C175" s="2"/>
      <c r="E175" s="11"/>
      <c r="H175" s="56"/>
      <c r="N175" s="14"/>
      <c r="O175" s="14"/>
      <c r="P175" s="14"/>
    </row>
    <row r="176" spans="1:16" s="3" customFormat="1" x14ac:dyDescent="0.25">
      <c r="A176" s="10"/>
      <c r="B176" s="2"/>
      <c r="C176" s="2"/>
      <c r="E176" s="11"/>
      <c r="H176" s="56"/>
      <c r="N176" s="14"/>
      <c r="O176" s="14"/>
      <c r="P176" s="14"/>
    </row>
    <row r="177" spans="1:16" s="3" customFormat="1" x14ac:dyDescent="0.25">
      <c r="A177" s="10"/>
      <c r="B177" s="2"/>
      <c r="C177" s="2"/>
      <c r="E177" s="11"/>
      <c r="H177" s="56"/>
      <c r="N177" s="14"/>
      <c r="O177" s="14"/>
      <c r="P177" s="14"/>
    </row>
  </sheetData>
  <mergeCells count="2">
    <mergeCell ref="A157:L157"/>
    <mergeCell ref="O157:P157"/>
  </mergeCells>
  <conditionalFormatting sqref="C3:C156">
    <cfRule type="duplicateValues" dxfId="911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3"/>
  <sheetViews>
    <sheetView topLeftCell="A62" workbookViewId="0">
      <selection activeCell="G69" sqref="G6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402661</v>
      </c>
      <c r="B3" s="99" t="s">
        <v>2689</v>
      </c>
      <c r="C3" s="90" t="s">
        <v>2690</v>
      </c>
      <c r="D3" s="102" t="s">
        <v>57</v>
      </c>
      <c r="E3" s="91">
        <v>44545</v>
      </c>
      <c r="F3" s="102" t="s">
        <v>59</v>
      </c>
      <c r="G3" s="91">
        <v>44548</v>
      </c>
      <c r="H3" s="90" t="s">
        <v>1619</v>
      </c>
      <c r="I3" s="90">
        <v>54</v>
      </c>
      <c r="J3" s="90">
        <v>25</v>
      </c>
      <c r="K3" s="90">
        <v>51</v>
      </c>
      <c r="L3" s="90">
        <v>15</v>
      </c>
      <c r="M3" s="90">
        <v>17.212499999999999</v>
      </c>
      <c r="N3" s="104">
        <v>17.212499999999999</v>
      </c>
      <c r="O3" s="57">
        <v>7000</v>
      </c>
      <c r="P3" s="58">
        <f t="shared" ref="P3:P66" si="0">N3*O3</f>
        <v>120487.49999999999</v>
      </c>
    </row>
    <row r="4" spans="1:16" ht="26.25" customHeight="1" x14ac:dyDescent="0.2">
      <c r="A4" s="100"/>
      <c r="B4" s="100"/>
      <c r="C4" s="90" t="s">
        <v>2691</v>
      </c>
      <c r="D4" s="102" t="s">
        <v>57</v>
      </c>
      <c r="E4" s="91">
        <v>44545</v>
      </c>
      <c r="F4" s="102" t="s">
        <v>59</v>
      </c>
      <c r="G4" s="91">
        <v>44548</v>
      </c>
      <c r="H4" s="90" t="s">
        <v>1619</v>
      </c>
      <c r="I4" s="90">
        <v>62</v>
      </c>
      <c r="J4" s="90">
        <v>45</v>
      </c>
      <c r="K4" s="90">
        <v>11</v>
      </c>
      <c r="L4" s="90">
        <v>8</v>
      </c>
      <c r="M4" s="90">
        <v>7.6725000000000003</v>
      </c>
      <c r="N4" s="104">
        <v>8</v>
      </c>
      <c r="O4" s="57">
        <v>7000</v>
      </c>
      <c r="P4" s="58">
        <f t="shared" si="0"/>
        <v>56000</v>
      </c>
    </row>
    <row r="5" spans="1:16" ht="26.25" customHeight="1" x14ac:dyDescent="0.2">
      <c r="A5" s="100"/>
      <c r="B5" s="100"/>
      <c r="C5" s="90" t="s">
        <v>2692</v>
      </c>
      <c r="D5" s="102" t="s">
        <v>57</v>
      </c>
      <c r="E5" s="91">
        <v>44545</v>
      </c>
      <c r="F5" s="102" t="s">
        <v>59</v>
      </c>
      <c r="G5" s="91">
        <v>44548</v>
      </c>
      <c r="H5" s="90" t="s">
        <v>1619</v>
      </c>
      <c r="I5" s="90">
        <v>55</v>
      </c>
      <c r="J5" s="90">
        <v>33</v>
      </c>
      <c r="K5" s="90">
        <v>21</v>
      </c>
      <c r="L5" s="90">
        <v>13</v>
      </c>
      <c r="M5" s="90">
        <v>9.5287500000000005</v>
      </c>
      <c r="N5" s="104">
        <v>13</v>
      </c>
      <c r="O5" s="57">
        <v>7000</v>
      </c>
      <c r="P5" s="58">
        <f t="shared" si="0"/>
        <v>91000</v>
      </c>
    </row>
    <row r="6" spans="1:16" ht="26.25" customHeight="1" x14ac:dyDescent="0.2">
      <c r="A6" s="100"/>
      <c r="B6" s="100"/>
      <c r="C6" s="65" t="s">
        <v>2693</v>
      </c>
      <c r="D6" s="70" t="s">
        <v>57</v>
      </c>
      <c r="E6" s="12">
        <v>44545</v>
      </c>
      <c r="F6" s="68" t="s">
        <v>59</v>
      </c>
      <c r="G6" s="12">
        <v>44548</v>
      </c>
      <c r="H6" s="69" t="s">
        <v>1619</v>
      </c>
      <c r="I6" s="15">
        <v>85</v>
      </c>
      <c r="J6" s="15">
        <v>64</v>
      </c>
      <c r="K6" s="15">
        <v>24</v>
      </c>
      <c r="L6" s="15">
        <v>16</v>
      </c>
      <c r="M6" s="73">
        <v>32.64</v>
      </c>
      <c r="N6" s="104">
        <v>32.64</v>
      </c>
      <c r="O6" s="57">
        <v>7000</v>
      </c>
      <c r="P6" s="58">
        <f t="shared" si="0"/>
        <v>228480</v>
      </c>
    </row>
    <row r="7" spans="1:16" ht="26.25" customHeight="1" x14ac:dyDescent="0.2">
      <c r="A7" s="100"/>
      <c r="B7" s="100"/>
      <c r="C7" s="65" t="s">
        <v>2694</v>
      </c>
      <c r="D7" s="70" t="s">
        <v>57</v>
      </c>
      <c r="E7" s="12">
        <v>44545</v>
      </c>
      <c r="F7" s="68" t="s">
        <v>59</v>
      </c>
      <c r="G7" s="12">
        <v>44548</v>
      </c>
      <c r="H7" s="69" t="s">
        <v>1619</v>
      </c>
      <c r="I7" s="15">
        <v>78</v>
      </c>
      <c r="J7" s="15">
        <v>63</v>
      </c>
      <c r="K7" s="15">
        <v>32</v>
      </c>
      <c r="L7" s="15">
        <v>10</v>
      </c>
      <c r="M7" s="73">
        <v>39.311999999999998</v>
      </c>
      <c r="N7" s="104">
        <v>40</v>
      </c>
      <c r="O7" s="57">
        <v>7000</v>
      </c>
      <c r="P7" s="58">
        <f t="shared" si="0"/>
        <v>280000</v>
      </c>
    </row>
    <row r="8" spans="1:16" ht="26.25" customHeight="1" x14ac:dyDescent="0.2">
      <c r="A8" s="100"/>
      <c r="B8" s="100"/>
      <c r="C8" s="65" t="s">
        <v>2695</v>
      </c>
      <c r="D8" s="70" t="s">
        <v>57</v>
      </c>
      <c r="E8" s="12">
        <v>44545</v>
      </c>
      <c r="F8" s="68" t="s">
        <v>59</v>
      </c>
      <c r="G8" s="12">
        <v>44548</v>
      </c>
      <c r="H8" s="69" t="s">
        <v>1619</v>
      </c>
      <c r="I8" s="15">
        <v>87</v>
      </c>
      <c r="J8" s="15">
        <v>53</v>
      </c>
      <c r="K8" s="15">
        <v>15</v>
      </c>
      <c r="L8" s="15">
        <v>9</v>
      </c>
      <c r="M8" s="73">
        <v>17.291250000000002</v>
      </c>
      <c r="N8" s="104">
        <v>17.291250000000002</v>
      </c>
      <c r="O8" s="57">
        <v>7000</v>
      </c>
      <c r="P8" s="58">
        <f t="shared" si="0"/>
        <v>121038.75000000001</v>
      </c>
    </row>
    <row r="9" spans="1:16" ht="26.25" customHeight="1" x14ac:dyDescent="0.2">
      <c r="A9" s="100"/>
      <c r="B9" s="100"/>
      <c r="C9" s="65" t="s">
        <v>2696</v>
      </c>
      <c r="D9" s="70" t="s">
        <v>57</v>
      </c>
      <c r="E9" s="12">
        <v>44545</v>
      </c>
      <c r="F9" s="68" t="s">
        <v>59</v>
      </c>
      <c r="G9" s="12">
        <v>44548</v>
      </c>
      <c r="H9" s="69" t="s">
        <v>1619</v>
      </c>
      <c r="I9" s="15">
        <v>40</v>
      </c>
      <c r="J9" s="15">
        <v>33</v>
      </c>
      <c r="K9" s="15">
        <v>21</v>
      </c>
      <c r="L9" s="15">
        <v>2</v>
      </c>
      <c r="M9" s="73">
        <v>6.93</v>
      </c>
      <c r="N9" s="104">
        <v>6.93</v>
      </c>
      <c r="O9" s="57">
        <v>7000</v>
      </c>
      <c r="P9" s="58">
        <f t="shared" si="0"/>
        <v>48510</v>
      </c>
    </row>
    <row r="10" spans="1:16" ht="26.25" customHeight="1" x14ac:dyDescent="0.2">
      <c r="A10" s="100"/>
      <c r="B10" s="100"/>
      <c r="C10" s="65" t="s">
        <v>2697</v>
      </c>
      <c r="D10" s="70" t="s">
        <v>57</v>
      </c>
      <c r="E10" s="12">
        <v>44545</v>
      </c>
      <c r="F10" s="68" t="s">
        <v>59</v>
      </c>
      <c r="G10" s="12">
        <v>44548</v>
      </c>
      <c r="H10" s="69" t="s">
        <v>1619</v>
      </c>
      <c r="I10" s="15">
        <v>82</v>
      </c>
      <c r="J10" s="15">
        <v>69</v>
      </c>
      <c r="K10" s="15">
        <v>35</v>
      </c>
      <c r="L10" s="15">
        <v>24</v>
      </c>
      <c r="M10" s="73">
        <v>49.5075</v>
      </c>
      <c r="N10" s="104">
        <v>49.5075</v>
      </c>
      <c r="O10" s="57">
        <v>7000</v>
      </c>
      <c r="P10" s="58">
        <f t="shared" si="0"/>
        <v>346552.5</v>
      </c>
    </row>
    <row r="11" spans="1:16" ht="26.25" customHeight="1" x14ac:dyDescent="0.2">
      <c r="A11" s="100"/>
      <c r="B11" s="100"/>
      <c r="C11" s="65" t="s">
        <v>2698</v>
      </c>
      <c r="D11" s="70" t="s">
        <v>57</v>
      </c>
      <c r="E11" s="12">
        <v>44545</v>
      </c>
      <c r="F11" s="68" t="s">
        <v>59</v>
      </c>
      <c r="G11" s="12">
        <v>44548</v>
      </c>
      <c r="H11" s="69" t="s">
        <v>1619</v>
      </c>
      <c r="I11" s="15">
        <v>70</v>
      </c>
      <c r="J11" s="15">
        <v>61</v>
      </c>
      <c r="K11" s="15">
        <v>26</v>
      </c>
      <c r="L11" s="15">
        <v>12</v>
      </c>
      <c r="M11" s="73">
        <v>27.754999999999999</v>
      </c>
      <c r="N11" s="104">
        <v>27.754999999999999</v>
      </c>
      <c r="O11" s="57">
        <v>7000</v>
      </c>
      <c r="P11" s="58">
        <f t="shared" si="0"/>
        <v>194285</v>
      </c>
    </row>
    <row r="12" spans="1:16" ht="26.25" customHeight="1" x14ac:dyDescent="0.2">
      <c r="A12" s="100"/>
      <c r="B12" s="100"/>
      <c r="C12" s="65" t="s">
        <v>2699</v>
      </c>
      <c r="D12" s="70" t="s">
        <v>57</v>
      </c>
      <c r="E12" s="12">
        <v>44545</v>
      </c>
      <c r="F12" s="68" t="s">
        <v>59</v>
      </c>
      <c r="G12" s="12">
        <v>44548</v>
      </c>
      <c r="H12" s="69" t="s">
        <v>1619</v>
      </c>
      <c r="I12" s="15">
        <v>46</v>
      </c>
      <c r="J12" s="15">
        <v>42</v>
      </c>
      <c r="K12" s="15">
        <v>13</v>
      </c>
      <c r="L12" s="15">
        <v>6</v>
      </c>
      <c r="M12" s="73">
        <v>6.2789999999999999</v>
      </c>
      <c r="N12" s="104">
        <v>6.2789999999999999</v>
      </c>
      <c r="O12" s="57">
        <v>7000</v>
      </c>
      <c r="P12" s="58">
        <f t="shared" si="0"/>
        <v>43953</v>
      </c>
    </row>
    <row r="13" spans="1:16" ht="26.25" customHeight="1" x14ac:dyDescent="0.2">
      <c r="A13" s="100"/>
      <c r="B13" s="100"/>
      <c r="C13" s="65" t="s">
        <v>2700</v>
      </c>
      <c r="D13" s="70" t="s">
        <v>57</v>
      </c>
      <c r="E13" s="12">
        <v>44545</v>
      </c>
      <c r="F13" s="68" t="s">
        <v>59</v>
      </c>
      <c r="G13" s="12">
        <v>44548</v>
      </c>
      <c r="H13" s="69" t="s">
        <v>1619</v>
      </c>
      <c r="I13" s="15">
        <v>70</v>
      </c>
      <c r="J13" s="15">
        <v>65</v>
      </c>
      <c r="K13" s="15">
        <v>14</v>
      </c>
      <c r="L13" s="15">
        <v>4</v>
      </c>
      <c r="M13" s="73">
        <v>15.925000000000001</v>
      </c>
      <c r="N13" s="104">
        <v>15.925000000000001</v>
      </c>
      <c r="O13" s="57">
        <v>7000</v>
      </c>
      <c r="P13" s="58">
        <f t="shared" si="0"/>
        <v>111475</v>
      </c>
    </row>
    <row r="14" spans="1:16" ht="26.25" customHeight="1" x14ac:dyDescent="0.2">
      <c r="A14" s="100"/>
      <c r="B14" s="100"/>
      <c r="C14" s="65" t="s">
        <v>2701</v>
      </c>
      <c r="D14" s="70" t="s">
        <v>57</v>
      </c>
      <c r="E14" s="12">
        <v>44545</v>
      </c>
      <c r="F14" s="68" t="s">
        <v>59</v>
      </c>
      <c r="G14" s="12">
        <v>44548</v>
      </c>
      <c r="H14" s="69" t="s">
        <v>1619</v>
      </c>
      <c r="I14" s="15">
        <v>73</v>
      </c>
      <c r="J14" s="15">
        <v>54</v>
      </c>
      <c r="K14" s="15">
        <v>14</v>
      </c>
      <c r="L14" s="15">
        <v>4</v>
      </c>
      <c r="M14" s="73">
        <v>13.797000000000001</v>
      </c>
      <c r="N14" s="104">
        <v>13.797000000000001</v>
      </c>
      <c r="O14" s="57">
        <v>7000</v>
      </c>
      <c r="P14" s="58">
        <f t="shared" si="0"/>
        <v>96579</v>
      </c>
    </row>
    <row r="15" spans="1:16" ht="26.25" customHeight="1" x14ac:dyDescent="0.2">
      <c r="A15" s="100"/>
      <c r="B15" s="100"/>
      <c r="C15" s="65" t="s">
        <v>2702</v>
      </c>
      <c r="D15" s="70" t="s">
        <v>57</v>
      </c>
      <c r="E15" s="12">
        <v>44545</v>
      </c>
      <c r="F15" s="68" t="s">
        <v>59</v>
      </c>
      <c r="G15" s="12">
        <v>44548</v>
      </c>
      <c r="H15" s="69" t="s">
        <v>1619</v>
      </c>
      <c r="I15" s="15">
        <v>96</v>
      </c>
      <c r="J15" s="15">
        <v>65</v>
      </c>
      <c r="K15" s="15">
        <v>34</v>
      </c>
      <c r="L15" s="15">
        <v>32</v>
      </c>
      <c r="M15" s="73">
        <v>53.04</v>
      </c>
      <c r="N15" s="104">
        <v>53.04</v>
      </c>
      <c r="O15" s="57">
        <v>7000</v>
      </c>
      <c r="P15" s="58">
        <f t="shared" si="0"/>
        <v>371280</v>
      </c>
    </row>
    <row r="16" spans="1:16" ht="26.25" customHeight="1" x14ac:dyDescent="0.2">
      <c r="A16" s="100"/>
      <c r="B16" s="100"/>
      <c r="C16" s="65" t="s">
        <v>2703</v>
      </c>
      <c r="D16" s="70" t="s">
        <v>57</v>
      </c>
      <c r="E16" s="12">
        <v>44545</v>
      </c>
      <c r="F16" s="68" t="s">
        <v>59</v>
      </c>
      <c r="G16" s="12">
        <v>44548</v>
      </c>
      <c r="H16" s="69" t="s">
        <v>1619</v>
      </c>
      <c r="I16" s="15">
        <v>113</v>
      </c>
      <c r="J16" s="15">
        <v>73</v>
      </c>
      <c r="K16" s="15">
        <v>54</v>
      </c>
      <c r="L16" s="15">
        <v>50</v>
      </c>
      <c r="M16" s="73">
        <v>111.36150000000001</v>
      </c>
      <c r="N16" s="104">
        <v>112</v>
      </c>
      <c r="O16" s="57">
        <v>7000</v>
      </c>
      <c r="P16" s="58">
        <f t="shared" si="0"/>
        <v>784000</v>
      </c>
    </row>
    <row r="17" spans="1:16" ht="26.25" customHeight="1" x14ac:dyDescent="0.2">
      <c r="A17" s="100"/>
      <c r="B17" s="100"/>
      <c r="C17" s="65" t="s">
        <v>2704</v>
      </c>
      <c r="D17" s="70" t="s">
        <v>57</v>
      </c>
      <c r="E17" s="12">
        <v>44545</v>
      </c>
      <c r="F17" s="68" t="s">
        <v>59</v>
      </c>
      <c r="G17" s="12">
        <v>44548</v>
      </c>
      <c r="H17" s="69" t="s">
        <v>1619</v>
      </c>
      <c r="I17" s="15">
        <v>90</v>
      </c>
      <c r="J17" s="15">
        <v>59</v>
      </c>
      <c r="K17" s="15">
        <v>33</v>
      </c>
      <c r="L17" s="15">
        <v>11</v>
      </c>
      <c r="M17" s="73">
        <v>43.807499999999997</v>
      </c>
      <c r="N17" s="104">
        <v>43.807499999999997</v>
      </c>
      <c r="O17" s="57">
        <v>7000</v>
      </c>
      <c r="P17" s="58">
        <f t="shared" si="0"/>
        <v>306652.5</v>
      </c>
    </row>
    <row r="18" spans="1:16" ht="26.25" customHeight="1" x14ac:dyDescent="0.2">
      <c r="A18" s="100"/>
      <c r="B18" s="100"/>
      <c r="C18" s="65" t="s">
        <v>2705</v>
      </c>
      <c r="D18" s="70" t="s">
        <v>57</v>
      </c>
      <c r="E18" s="12">
        <v>44545</v>
      </c>
      <c r="F18" s="68" t="s">
        <v>59</v>
      </c>
      <c r="G18" s="12">
        <v>44548</v>
      </c>
      <c r="H18" s="69" t="s">
        <v>1619</v>
      </c>
      <c r="I18" s="15">
        <v>58</v>
      </c>
      <c r="J18" s="15">
        <v>43</v>
      </c>
      <c r="K18" s="15">
        <v>21</v>
      </c>
      <c r="L18" s="15">
        <v>8</v>
      </c>
      <c r="M18" s="73">
        <v>13.093500000000001</v>
      </c>
      <c r="N18" s="104">
        <v>13.093500000000001</v>
      </c>
      <c r="O18" s="57">
        <v>7000</v>
      </c>
      <c r="P18" s="58">
        <f t="shared" si="0"/>
        <v>91654.5</v>
      </c>
    </row>
    <row r="19" spans="1:16" ht="26.25" customHeight="1" x14ac:dyDescent="0.2">
      <c r="A19" s="100"/>
      <c r="B19" s="100"/>
      <c r="C19" s="65" t="s">
        <v>2706</v>
      </c>
      <c r="D19" s="70" t="s">
        <v>57</v>
      </c>
      <c r="E19" s="12">
        <v>44545</v>
      </c>
      <c r="F19" s="68" t="s">
        <v>59</v>
      </c>
      <c r="G19" s="12">
        <v>44548</v>
      </c>
      <c r="H19" s="69" t="s">
        <v>1619</v>
      </c>
      <c r="I19" s="15">
        <v>88</v>
      </c>
      <c r="J19" s="15">
        <v>56</v>
      </c>
      <c r="K19" s="15">
        <v>24</v>
      </c>
      <c r="L19" s="15">
        <v>23</v>
      </c>
      <c r="M19" s="73">
        <v>29.568000000000001</v>
      </c>
      <c r="N19" s="104">
        <v>29.568000000000001</v>
      </c>
      <c r="O19" s="57">
        <v>7000</v>
      </c>
      <c r="P19" s="58">
        <f t="shared" si="0"/>
        <v>206976</v>
      </c>
    </row>
    <row r="20" spans="1:16" ht="26.25" customHeight="1" x14ac:dyDescent="0.2">
      <c r="A20" s="100"/>
      <c r="B20" s="100"/>
      <c r="C20" s="65" t="s">
        <v>2707</v>
      </c>
      <c r="D20" s="70" t="s">
        <v>57</v>
      </c>
      <c r="E20" s="12">
        <v>44545</v>
      </c>
      <c r="F20" s="68" t="s">
        <v>59</v>
      </c>
      <c r="G20" s="12">
        <v>44548</v>
      </c>
      <c r="H20" s="69" t="s">
        <v>1619</v>
      </c>
      <c r="I20" s="15">
        <v>71</v>
      </c>
      <c r="J20" s="15">
        <v>58</v>
      </c>
      <c r="K20" s="15">
        <v>21</v>
      </c>
      <c r="L20" s="15">
        <v>19</v>
      </c>
      <c r="M20" s="73">
        <v>21.619499999999999</v>
      </c>
      <c r="N20" s="104">
        <v>21.619499999999999</v>
      </c>
      <c r="O20" s="57">
        <v>7000</v>
      </c>
      <c r="P20" s="58">
        <f t="shared" si="0"/>
        <v>151336.5</v>
      </c>
    </row>
    <row r="21" spans="1:16" ht="26.25" customHeight="1" x14ac:dyDescent="0.2">
      <c r="A21" s="100"/>
      <c r="B21" s="100"/>
      <c r="C21" s="65" t="s">
        <v>2708</v>
      </c>
      <c r="D21" s="70" t="s">
        <v>57</v>
      </c>
      <c r="E21" s="12">
        <v>44545</v>
      </c>
      <c r="F21" s="68" t="s">
        <v>59</v>
      </c>
      <c r="G21" s="12">
        <v>44548</v>
      </c>
      <c r="H21" s="69" t="s">
        <v>1619</v>
      </c>
      <c r="I21" s="15">
        <v>81</v>
      </c>
      <c r="J21" s="15">
        <v>55</v>
      </c>
      <c r="K21" s="15">
        <v>25</v>
      </c>
      <c r="L21" s="15">
        <v>12</v>
      </c>
      <c r="M21" s="73">
        <v>27.84375</v>
      </c>
      <c r="N21" s="104">
        <v>27.84375</v>
      </c>
      <c r="O21" s="57">
        <v>7000</v>
      </c>
      <c r="P21" s="58">
        <f t="shared" si="0"/>
        <v>194906.25</v>
      </c>
    </row>
    <row r="22" spans="1:16" ht="26.25" customHeight="1" x14ac:dyDescent="0.2">
      <c r="A22" s="100"/>
      <c r="B22" s="100"/>
      <c r="C22" s="65" t="s">
        <v>2709</v>
      </c>
      <c r="D22" s="70" t="s">
        <v>57</v>
      </c>
      <c r="E22" s="12">
        <v>44545</v>
      </c>
      <c r="F22" s="68" t="s">
        <v>59</v>
      </c>
      <c r="G22" s="12">
        <v>44548</v>
      </c>
      <c r="H22" s="69" t="s">
        <v>1619</v>
      </c>
      <c r="I22" s="15">
        <v>67</v>
      </c>
      <c r="J22" s="15">
        <v>61</v>
      </c>
      <c r="K22" s="15">
        <v>12</v>
      </c>
      <c r="L22" s="15">
        <v>5</v>
      </c>
      <c r="M22" s="73">
        <v>12.260999999999999</v>
      </c>
      <c r="N22" s="104">
        <v>12.260999999999999</v>
      </c>
      <c r="O22" s="57">
        <v>7000</v>
      </c>
      <c r="P22" s="58">
        <f t="shared" si="0"/>
        <v>85827</v>
      </c>
    </row>
    <row r="23" spans="1:16" ht="26.25" customHeight="1" x14ac:dyDescent="0.2">
      <c r="A23" s="100"/>
      <c r="B23" s="100"/>
      <c r="C23" s="65" t="s">
        <v>2710</v>
      </c>
      <c r="D23" s="70" t="s">
        <v>57</v>
      </c>
      <c r="E23" s="12">
        <v>44545</v>
      </c>
      <c r="F23" s="68" t="s">
        <v>59</v>
      </c>
      <c r="G23" s="12">
        <v>44548</v>
      </c>
      <c r="H23" s="69" t="s">
        <v>1619</v>
      </c>
      <c r="I23" s="15">
        <v>50</v>
      </c>
      <c r="J23" s="15">
        <v>46</v>
      </c>
      <c r="K23" s="15">
        <v>53</v>
      </c>
      <c r="L23" s="15">
        <v>22</v>
      </c>
      <c r="M23" s="73">
        <v>30.475000000000001</v>
      </c>
      <c r="N23" s="104">
        <v>31</v>
      </c>
      <c r="O23" s="57">
        <v>7000</v>
      </c>
      <c r="P23" s="58">
        <f t="shared" si="0"/>
        <v>217000</v>
      </c>
    </row>
    <row r="24" spans="1:16" ht="26.25" customHeight="1" x14ac:dyDescent="0.2">
      <c r="A24" s="100"/>
      <c r="B24" s="100"/>
      <c r="C24" s="65" t="s">
        <v>2711</v>
      </c>
      <c r="D24" s="70" t="s">
        <v>57</v>
      </c>
      <c r="E24" s="12">
        <v>44545</v>
      </c>
      <c r="F24" s="68" t="s">
        <v>59</v>
      </c>
      <c r="G24" s="12">
        <v>44548</v>
      </c>
      <c r="H24" s="69" t="s">
        <v>1619</v>
      </c>
      <c r="I24" s="15">
        <v>70</v>
      </c>
      <c r="J24" s="15">
        <v>66</v>
      </c>
      <c r="K24" s="15">
        <v>24</v>
      </c>
      <c r="L24" s="15">
        <v>3</v>
      </c>
      <c r="M24" s="73">
        <v>27.72</v>
      </c>
      <c r="N24" s="104">
        <v>27.72</v>
      </c>
      <c r="O24" s="57">
        <v>7000</v>
      </c>
      <c r="P24" s="58">
        <f t="shared" si="0"/>
        <v>194040</v>
      </c>
    </row>
    <row r="25" spans="1:16" ht="26.25" customHeight="1" x14ac:dyDescent="0.2">
      <c r="A25" s="100"/>
      <c r="B25" s="100"/>
      <c r="C25" s="65" t="s">
        <v>2712</v>
      </c>
      <c r="D25" s="70" t="s">
        <v>57</v>
      </c>
      <c r="E25" s="12">
        <v>44545</v>
      </c>
      <c r="F25" s="68" t="s">
        <v>59</v>
      </c>
      <c r="G25" s="12">
        <v>44548</v>
      </c>
      <c r="H25" s="69" t="s">
        <v>1619</v>
      </c>
      <c r="I25" s="15">
        <v>54</v>
      </c>
      <c r="J25" s="15">
        <v>50</v>
      </c>
      <c r="K25" s="15">
        <v>12</v>
      </c>
      <c r="L25" s="15">
        <v>3</v>
      </c>
      <c r="M25" s="73">
        <v>8.1</v>
      </c>
      <c r="N25" s="104">
        <v>8.1</v>
      </c>
      <c r="O25" s="57">
        <v>7000</v>
      </c>
      <c r="P25" s="58">
        <f t="shared" si="0"/>
        <v>56700</v>
      </c>
    </row>
    <row r="26" spans="1:16" ht="26.25" customHeight="1" x14ac:dyDescent="0.2">
      <c r="A26" s="100"/>
      <c r="B26" s="100"/>
      <c r="C26" s="65" t="s">
        <v>2713</v>
      </c>
      <c r="D26" s="70" t="s">
        <v>57</v>
      </c>
      <c r="E26" s="12">
        <v>44545</v>
      </c>
      <c r="F26" s="68" t="s">
        <v>59</v>
      </c>
      <c r="G26" s="12">
        <v>44548</v>
      </c>
      <c r="H26" s="69" t="s">
        <v>1619</v>
      </c>
      <c r="I26" s="15">
        <v>87</v>
      </c>
      <c r="J26" s="15">
        <v>74</v>
      </c>
      <c r="K26" s="15">
        <v>21</v>
      </c>
      <c r="L26" s="15">
        <v>13</v>
      </c>
      <c r="M26" s="73">
        <v>33.799500000000002</v>
      </c>
      <c r="N26" s="104">
        <v>33.799500000000002</v>
      </c>
      <c r="O26" s="57">
        <v>7000</v>
      </c>
      <c r="P26" s="58">
        <f t="shared" si="0"/>
        <v>236596.5</v>
      </c>
    </row>
    <row r="27" spans="1:16" ht="26.25" customHeight="1" x14ac:dyDescent="0.2">
      <c r="A27" s="100"/>
      <c r="B27" s="100"/>
      <c r="C27" s="65" t="s">
        <v>2714</v>
      </c>
      <c r="D27" s="70" t="s">
        <v>57</v>
      </c>
      <c r="E27" s="12">
        <v>44545</v>
      </c>
      <c r="F27" s="68" t="s">
        <v>59</v>
      </c>
      <c r="G27" s="12">
        <v>44548</v>
      </c>
      <c r="H27" s="69" t="s">
        <v>1619</v>
      </c>
      <c r="I27" s="15">
        <v>58</v>
      </c>
      <c r="J27" s="15">
        <v>45</v>
      </c>
      <c r="K27" s="15">
        <v>13</v>
      </c>
      <c r="L27" s="15">
        <v>2</v>
      </c>
      <c r="M27" s="73">
        <v>8.4824999999999999</v>
      </c>
      <c r="N27" s="104">
        <v>9</v>
      </c>
      <c r="O27" s="57">
        <v>7000</v>
      </c>
      <c r="P27" s="58">
        <f t="shared" si="0"/>
        <v>63000</v>
      </c>
    </row>
    <row r="28" spans="1:16" ht="26.25" customHeight="1" x14ac:dyDescent="0.2">
      <c r="A28" s="100"/>
      <c r="B28" s="100"/>
      <c r="C28" s="65" t="s">
        <v>2715</v>
      </c>
      <c r="D28" s="70" t="s">
        <v>57</v>
      </c>
      <c r="E28" s="12">
        <v>44545</v>
      </c>
      <c r="F28" s="68" t="s">
        <v>59</v>
      </c>
      <c r="G28" s="12">
        <v>44548</v>
      </c>
      <c r="H28" s="69" t="s">
        <v>1619</v>
      </c>
      <c r="I28" s="15">
        <v>36</v>
      </c>
      <c r="J28" s="15">
        <v>36</v>
      </c>
      <c r="K28" s="15">
        <v>10</v>
      </c>
      <c r="L28" s="15">
        <v>1</v>
      </c>
      <c r="M28" s="73">
        <v>3.24</v>
      </c>
      <c r="N28" s="104">
        <v>3.24</v>
      </c>
      <c r="O28" s="57">
        <v>7000</v>
      </c>
      <c r="P28" s="58">
        <f t="shared" si="0"/>
        <v>22680</v>
      </c>
    </row>
    <row r="29" spans="1:16" ht="26.25" customHeight="1" x14ac:dyDescent="0.2">
      <c r="A29" s="100"/>
      <c r="B29" s="100"/>
      <c r="C29" s="65" t="s">
        <v>2716</v>
      </c>
      <c r="D29" s="70" t="s">
        <v>57</v>
      </c>
      <c r="E29" s="12">
        <v>44545</v>
      </c>
      <c r="F29" s="68" t="s">
        <v>59</v>
      </c>
      <c r="G29" s="12">
        <v>44548</v>
      </c>
      <c r="H29" s="69" t="s">
        <v>1619</v>
      </c>
      <c r="I29" s="15">
        <v>78</v>
      </c>
      <c r="J29" s="15">
        <v>34</v>
      </c>
      <c r="K29" s="15">
        <v>12</v>
      </c>
      <c r="L29" s="15">
        <v>1</v>
      </c>
      <c r="M29" s="73">
        <v>7.9560000000000004</v>
      </c>
      <c r="N29" s="104">
        <v>7.9560000000000004</v>
      </c>
      <c r="O29" s="57">
        <v>7000</v>
      </c>
      <c r="P29" s="58">
        <f t="shared" si="0"/>
        <v>55692</v>
      </c>
    </row>
    <row r="30" spans="1:16" ht="26.25" customHeight="1" x14ac:dyDescent="0.2">
      <c r="A30" s="100"/>
      <c r="B30" s="100"/>
      <c r="C30" s="65" t="s">
        <v>2717</v>
      </c>
      <c r="D30" s="70" t="s">
        <v>57</v>
      </c>
      <c r="E30" s="12">
        <v>44545</v>
      </c>
      <c r="F30" s="68" t="s">
        <v>59</v>
      </c>
      <c r="G30" s="12">
        <v>44548</v>
      </c>
      <c r="H30" s="69" t="s">
        <v>1619</v>
      </c>
      <c r="I30" s="15">
        <v>70</v>
      </c>
      <c r="J30" s="15">
        <v>51</v>
      </c>
      <c r="K30" s="15">
        <v>22</v>
      </c>
      <c r="L30" s="15">
        <v>5</v>
      </c>
      <c r="M30" s="73">
        <v>19.635000000000002</v>
      </c>
      <c r="N30" s="104">
        <v>19.635000000000002</v>
      </c>
      <c r="O30" s="57">
        <v>7000</v>
      </c>
      <c r="P30" s="58">
        <f t="shared" si="0"/>
        <v>137445</v>
      </c>
    </row>
    <row r="31" spans="1:16" ht="26.25" customHeight="1" x14ac:dyDescent="0.2">
      <c r="A31" s="100"/>
      <c r="B31" s="100"/>
      <c r="C31" s="65" t="s">
        <v>2718</v>
      </c>
      <c r="D31" s="70" t="s">
        <v>57</v>
      </c>
      <c r="E31" s="12">
        <v>44545</v>
      </c>
      <c r="F31" s="68" t="s">
        <v>59</v>
      </c>
      <c r="G31" s="12">
        <v>44548</v>
      </c>
      <c r="H31" s="69" t="s">
        <v>1619</v>
      </c>
      <c r="I31" s="15">
        <v>63</v>
      </c>
      <c r="J31" s="15">
        <v>53</v>
      </c>
      <c r="K31" s="15">
        <v>12</v>
      </c>
      <c r="L31" s="15">
        <v>7</v>
      </c>
      <c r="M31" s="73">
        <v>10.016999999999999</v>
      </c>
      <c r="N31" s="104">
        <v>10.016999999999999</v>
      </c>
      <c r="O31" s="57">
        <v>7000</v>
      </c>
      <c r="P31" s="58">
        <f t="shared" si="0"/>
        <v>70119</v>
      </c>
    </row>
    <row r="32" spans="1:16" ht="26.25" customHeight="1" x14ac:dyDescent="0.2">
      <c r="A32" s="100"/>
      <c r="B32" s="100"/>
      <c r="C32" s="65" t="s">
        <v>2719</v>
      </c>
      <c r="D32" s="70" t="s">
        <v>57</v>
      </c>
      <c r="E32" s="12">
        <v>44545</v>
      </c>
      <c r="F32" s="68" t="s">
        <v>59</v>
      </c>
      <c r="G32" s="12">
        <v>44548</v>
      </c>
      <c r="H32" s="69" t="s">
        <v>1619</v>
      </c>
      <c r="I32" s="15">
        <v>100</v>
      </c>
      <c r="J32" s="15">
        <v>60</v>
      </c>
      <c r="K32" s="15">
        <v>51</v>
      </c>
      <c r="L32" s="15">
        <v>11</v>
      </c>
      <c r="M32" s="73">
        <v>76.5</v>
      </c>
      <c r="N32" s="104">
        <v>78</v>
      </c>
      <c r="O32" s="57">
        <v>7000</v>
      </c>
      <c r="P32" s="58">
        <f t="shared" si="0"/>
        <v>546000</v>
      </c>
    </row>
    <row r="33" spans="1:16" ht="26.25" customHeight="1" x14ac:dyDescent="0.2">
      <c r="A33" s="100"/>
      <c r="B33" s="100"/>
      <c r="C33" s="65" t="s">
        <v>2720</v>
      </c>
      <c r="D33" s="70" t="s">
        <v>57</v>
      </c>
      <c r="E33" s="12">
        <v>44545</v>
      </c>
      <c r="F33" s="68" t="s">
        <v>59</v>
      </c>
      <c r="G33" s="12">
        <v>44548</v>
      </c>
      <c r="H33" s="69" t="s">
        <v>1619</v>
      </c>
      <c r="I33" s="15">
        <v>110</v>
      </c>
      <c r="J33" s="15">
        <v>58</v>
      </c>
      <c r="K33" s="15">
        <v>19</v>
      </c>
      <c r="L33" s="15">
        <v>32</v>
      </c>
      <c r="M33" s="73">
        <v>30.305</v>
      </c>
      <c r="N33" s="104">
        <v>33</v>
      </c>
      <c r="O33" s="57">
        <v>7000</v>
      </c>
      <c r="P33" s="58">
        <f t="shared" si="0"/>
        <v>231000</v>
      </c>
    </row>
    <row r="34" spans="1:16" ht="26.25" customHeight="1" x14ac:dyDescent="0.2">
      <c r="A34" s="100"/>
      <c r="B34" s="100"/>
      <c r="C34" s="65" t="s">
        <v>2721</v>
      </c>
      <c r="D34" s="70" t="s">
        <v>57</v>
      </c>
      <c r="E34" s="12">
        <v>44545</v>
      </c>
      <c r="F34" s="68" t="s">
        <v>59</v>
      </c>
      <c r="G34" s="12">
        <v>44548</v>
      </c>
      <c r="H34" s="69" t="s">
        <v>1619</v>
      </c>
      <c r="I34" s="15">
        <v>80</v>
      </c>
      <c r="J34" s="15">
        <v>54</v>
      </c>
      <c r="K34" s="15">
        <v>21</v>
      </c>
      <c r="L34" s="15">
        <v>13</v>
      </c>
      <c r="M34" s="73">
        <v>22.68</v>
      </c>
      <c r="N34" s="104">
        <v>22.68</v>
      </c>
      <c r="O34" s="57">
        <v>7000</v>
      </c>
      <c r="P34" s="58">
        <f t="shared" si="0"/>
        <v>158760</v>
      </c>
    </row>
    <row r="35" spans="1:16" ht="26.25" customHeight="1" x14ac:dyDescent="0.2">
      <c r="A35" s="100"/>
      <c r="B35" s="100"/>
      <c r="C35" s="65" t="s">
        <v>2722</v>
      </c>
      <c r="D35" s="70" t="s">
        <v>57</v>
      </c>
      <c r="E35" s="12">
        <v>44545</v>
      </c>
      <c r="F35" s="68" t="s">
        <v>59</v>
      </c>
      <c r="G35" s="12">
        <v>44548</v>
      </c>
      <c r="H35" s="69" t="s">
        <v>1619</v>
      </c>
      <c r="I35" s="15">
        <v>85</v>
      </c>
      <c r="J35" s="15">
        <v>60</v>
      </c>
      <c r="K35" s="15">
        <v>15</v>
      </c>
      <c r="L35" s="15">
        <v>18</v>
      </c>
      <c r="M35" s="73">
        <v>19.125</v>
      </c>
      <c r="N35" s="104">
        <v>19.125</v>
      </c>
      <c r="O35" s="57">
        <v>7000</v>
      </c>
      <c r="P35" s="58">
        <f t="shared" si="0"/>
        <v>133875</v>
      </c>
    </row>
    <row r="36" spans="1:16" ht="26.25" customHeight="1" x14ac:dyDescent="0.2">
      <c r="A36" s="100"/>
      <c r="B36" s="100"/>
      <c r="C36" s="65" t="s">
        <v>2723</v>
      </c>
      <c r="D36" s="70" t="s">
        <v>57</v>
      </c>
      <c r="E36" s="12">
        <v>44545</v>
      </c>
      <c r="F36" s="68" t="s">
        <v>59</v>
      </c>
      <c r="G36" s="12">
        <v>44548</v>
      </c>
      <c r="H36" s="69" t="s">
        <v>1619</v>
      </c>
      <c r="I36" s="15">
        <v>64</v>
      </c>
      <c r="J36" s="15">
        <v>44</v>
      </c>
      <c r="K36" s="15">
        <v>10</v>
      </c>
      <c r="L36" s="15">
        <v>1</v>
      </c>
      <c r="M36" s="73">
        <v>7.04</v>
      </c>
      <c r="N36" s="104">
        <v>7.04</v>
      </c>
      <c r="O36" s="57">
        <v>7000</v>
      </c>
      <c r="P36" s="58">
        <f t="shared" si="0"/>
        <v>49280</v>
      </c>
    </row>
    <row r="37" spans="1:16" ht="26.25" customHeight="1" x14ac:dyDescent="0.2">
      <c r="A37" s="100"/>
      <c r="B37" s="100"/>
      <c r="C37" s="65" t="s">
        <v>2724</v>
      </c>
      <c r="D37" s="70" t="s">
        <v>57</v>
      </c>
      <c r="E37" s="12">
        <v>44545</v>
      </c>
      <c r="F37" s="68" t="s">
        <v>59</v>
      </c>
      <c r="G37" s="12">
        <v>44548</v>
      </c>
      <c r="H37" s="69" t="s">
        <v>1619</v>
      </c>
      <c r="I37" s="15">
        <v>124</v>
      </c>
      <c r="J37" s="15">
        <v>37</v>
      </c>
      <c r="K37" s="15">
        <v>46</v>
      </c>
      <c r="L37" s="15">
        <v>32</v>
      </c>
      <c r="M37" s="73">
        <v>52.762</v>
      </c>
      <c r="N37" s="104">
        <v>52.762</v>
      </c>
      <c r="O37" s="57">
        <v>7000</v>
      </c>
      <c r="P37" s="58">
        <f t="shared" si="0"/>
        <v>369334</v>
      </c>
    </row>
    <row r="38" spans="1:16" ht="26.25" customHeight="1" x14ac:dyDescent="0.2">
      <c r="A38" s="100"/>
      <c r="B38" s="100"/>
      <c r="C38" s="65" t="s">
        <v>2725</v>
      </c>
      <c r="D38" s="70" t="s">
        <v>57</v>
      </c>
      <c r="E38" s="12">
        <v>44545</v>
      </c>
      <c r="F38" s="68" t="s">
        <v>59</v>
      </c>
      <c r="G38" s="12">
        <v>44548</v>
      </c>
      <c r="H38" s="69" t="s">
        <v>1619</v>
      </c>
      <c r="I38" s="15">
        <v>78</v>
      </c>
      <c r="J38" s="15">
        <v>54</v>
      </c>
      <c r="K38" s="15">
        <v>8</v>
      </c>
      <c r="L38" s="15">
        <v>6</v>
      </c>
      <c r="M38" s="73">
        <v>8.4239999999999995</v>
      </c>
      <c r="N38" s="104">
        <v>9</v>
      </c>
      <c r="O38" s="57">
        <v>7000</v>
      </c>
      <c r="P38" s="58">
        <f t="shared" si="0"/>
        <v>63000</v>
      </c>
    </row>
    <row r="39" spans="1:16" ht="26.25" customHeight="1" x14ac:dyDescent="0.2">
      <c r="A39" s="100"/>
      <c r="B39" s="100"/>
      <c r="C39" s="65" t="s">
        <v>2726</v>
      </c>
      <c r="D39" s="70" t="s">
        <v>57</v>
      </c>
      <c r="E39" s="12">
        <v>44545</v>
      </c>
      <c r="F39" s="68" t="s">
        <v>59</v>
      </c>
      <c r="G39" s="12">
        <v>44548</v>
      </c>
      <c r="H39" s="69" t="s">
        <v>1619</v>
      </c>
      <c r="I39" s="15">
        <v>84</v>
      </c>
      <c r="J39" s="15">
        <v>65</v>
      </c>
      <c r="K39" s="15">
        <v>24</v>
      </c>
      <c r="L39" s="15">
        <v>20</v>
      </c>
      <c r="M39" s="73">
        <v>32.76</v>
      </c>
      <c r="N39" s="104">
        <v>32.76</v>
      </c>
      <c r="O39" s="57">
        <v>7000</v>
      </c>
      <c r="P39" s="58">
        <f t="shared" si="0"/>
        <v>229320</v>
      </c>
    </row>
    <row r="40" spans="1:16" ht="26.25" customHeight="1" x14ac:dyDescent="0.2">
      <c r="A40" s="100"/>
      <c r="B40" s="100"/>
      <c r="C40" s="65" t="s">
        <v>2727</v>
      </c>
      <c r="D40" s="70" t="s">
        <v>57</v>
      </c>
      <c r="E40" s="12">
        <v>44545</v>
      </c>
      <c r="F40" s="68" t="s">
        <v>59</v>
      </c>
      <c r="G40" s="12">
        <v>44548</v>
      </c>
      <c r="H40" s="69" t="s">
        <v>1619</v>
      </c>
      <c r="I40" s="15">
        <v>112</v>
      </c>
      <c r="J40" s="15">
        <v>62</v>
      </c>
      <c r="K40" s="15">
        <v>35</v>
      </c>
      <c r="L40" s="15">
        <v>30</v>
      </c>
      <c r="M40" s="73">
        <v>60.76</v>
      </c>
      <c r="N40" s="104">
        <v>60.76</v>
      </c>
      <c r="O40" s="57">
        <v>7000</v>
      </c>
      <c r="P40" s="58">
        <f t="shared" si="0"/>
        <v>425320</v>
      </c>
    </row>
    <row r="41" spans="1:16" ht="26.25" customHeight="1" x14ac:dyDescent="0.2">
      <c r="A41" s="100"/>
      <c r="B41" s="100"/>
      <c r="C41" s="65" t="s">
        <v>2728</v>
      </c>
      <c r="D41" s="70" t="s">
        <v>57</v>
      </c>
      <c r="E41" s="12">
        <v>44545</v>
      </c>
      <c r="F41" s="68" t="s">
        <v>59</v>
      </c>
      <c r="G41" s="12">
        <v>44548</v>
      </c>
      <c r="H41" s="69" t="s">
        <v>1619</v>
      </c>
      <c r="I41" s="15">
        <v>61</v>
      </c>
      <c r="J41" s="15">
        <v>31</v>
      </c>
      <c r="K41" s="15">
        <v>31</v>
      </c>
      <c r="L41" s="15">
        <v>9</v>
      </c>
      <c r="M41" s="73">
        <v>14.655250000000001</v>
      </c>
      <c r="N41" s="104">
        <v>14.655250000000001</v>
      </c>
      <c r="O41" s="57">
        <v>7000</v>
      </c>
      <c r="P41" s="58">
        <f t="shared" si="0"/>
        <v>102586.75</v>
      </c>
    </row>
    <row r="42" spans="1:16" ht="26.25" customHeight="1" x14ac:dyDescent="0.2">
      <c r="A42" s="100"/>
      <c r="B42" s="100"/>
      <c r="C42" s="65" t="s">
        <v>2729</v>
      </c>
      <c r="D42" s="70" t="s">
        <v>57</v>
      </c>
      <c r="E42" s="12">
        <v>44545</v>
      </c>
      <c r="F42" s="68" t="s">
        <v>59</v>
      </c>
      <c r="G42" s="12">
        <v>44548</v>
      </c>
      <c r="H42" s="69" t="s">
        <v>1619</v>
      </c>
      <c r="I42" s="15">
        <v>78</v>
      </c>
      <c r="J42" s="15">
        <v>50</v>
      </c>
      <c r="K42" s="15">
        <v>18</v>
      </c>
      <c r="L42" s="15">
        <v>8</v>
      </c>
      <c r="M42" s="73">
        <v>17.55</v>
      </c>
      <c r="N42" s="104">
        <v>17.55</v>
      </c>
      <c r="O42" s="57">
        <v>7000</v>
      </c>
      <c r="P42" s="58">
        <f t="shared" si="0"/>
        <v>122850</v>
      </c>
    </row>
    <row r="43" spans="1:16" ht="26.25" customHeight="1" x14ac:dyDescent="0.2">
      <c r="A43" s="100"/>
      <c r="B43" s="100"/>
      <c r="C43" s="65" t="s">
        <v>2730</v>
      </c>
      <c r="D43" s="70" t="s">
        <v>57</v>
      </c>
      <c r="E43" s="12">
        <v>44545</v>
      </c>
      <c r="F43" s="68" t="s">
        <v>59</v>
      </c>
      <c r="G43" s="12">
        <v>44548</v>
      </c>
      <c r="H43" s="69" t="s">
        <v>1619</v>
      </c>
      <c r="I43" s="15">
        <v>67</v>
      </c>
      <c r="J43" s="15">
        <v>65</v>
      </c>
      <c r="K43" s="15">
        <v>13</v>
      </c>
      <c r="L43" s="15">
        <v>6</v>
      </c>
      <c r="M43" s="73">
        <v>14.15375</v>
      </c>
      <c r="N43" s="104">
        <v>14.15375</v>
      </c>
      <c r="O43" s="57">
        <v>7000</v>
      </c>
      <c r="P43" s="58">
        <f t="shared" si="0"/>
        <v>99076.25</v>
      </c>
    </row>
    <row r="44" spans="1:16" ht="26.25" customHeight="1" x14ac:dyDescent="0.2">
      <c r="A44" s="100"/>
      <c r="B44" s="100"/>
      <c r="C44" s="65" t="s">
        <v>2731</v>
      </c>
      <c r="D44" s="70" t="s">
        <v>57</v>
      </c>
      <c r="E44" s="12">
        <v>44545</v>
      </c>
      <c r="F44" s="68" t="s">
        <v>59</v>
      </c>
      <c r="G44" s="12">
        <v>44548</v>
      </c>
      <c r="H44" s="69" t="s">
        <v>1619</v>
      </c>
      <c r="I44" s="15">
        <v>87</v>
      </c>
      <c r="J44" s="15">
        <v>54</v>
      </c>
      <c r="K44" s="15">
        <v>14</v>
      </c>
      <c r="L44" s="15">
        <v>10</v>
      </c>
      <c r="M44" s="73">
        <v>16.443000000000001</v>
      </c>
      <c r="N44" s="104">
        <v>17</v>
      </c>
      <c r="O44" s="57">
        <v>7000</v>
      </c>
      <c r="P44" s="58">
        <f t="shared" si="0"/>
        <v>119000</v>
      </c>
    </row>
    <row r="45" spans="1:16" ht="26.25" customHeight="1" x14ac:dyDescent="0.2">
      <c r="A45" s="100"/>
      <c r="B45" s="100"/>
      <c r="C45" s="65" t="s">
        <v>2732</v>
      </c>
      <c r="D45" s="70" t="s">
        <v>57</v>
      </c>
      <c r="E45" s="12">
        <v>44545</v>
      </c>
      <c r="F45" s="68" t="s">
        <v>59</v>
      </c>
      <c r="G45" s="12">
        <v>44548</v>
      </c>
      <c r="H45" s="69" t="s">
        <v>1619</v>
      </c>
      <c r="I45" s="15">
        <v>80</v>
      </c>
      <c r="J45" s="15">
        <v>57</v>
      </c>
      <c r="K45" s="15">
        <v>23</v>
      </c>
      <c r="L45" s="15">
        <v>15</v>
      </c>
      <c r="M45" s="73">
        <v>26.22</v>
      </c>
      <c r="N45" s="104">
        <v>26.22</v>
      </c>
      <c r="O45" s="57">
        <v>7000</v>
      </c>
      <c r="P45" s="58">
        <f t="shared" si="0"/>
        <v>183540</v>
      </c>
    </row>
    <row r="46" spans="1:16" ht="26.25" customHeight="1" x14ac:dyDescent="0.2">
      <c r="A46" s="100"/>
      <c r="B46" s="100"/>
      <c r="C46" s="65" t="s">
        <v>2733</v>
      </c>
      <c r="D46" s="70" t="s">
        <v>57</v>
      </c>
      <c r="E46" s="12">
        <v>44545</v>
      </c>
      <c r="F46" s="68" t="s">
        <v>59</v>
      </c>
      <c r="G46" s="12">
        <v>44548</v>
      </c>
      <c r="H46" s="69" t="s">
        <v>1619</v>
      </c>
      <c r="I46" s="15">
        <v>60</v>
      </c>
      <c r="J46" s="15">
        <v>58</v>
      </c>
      <c r="K46" s="15">
        <v>20</v>
      </c>
      <c r="L46" s="15">
        <v>7</v>
      </c>
      <c r="M46" s="73">
        <v>17.399999999999999</v>
      </c>
      <c r="N46" s="104">
        <v>18</v>
      </c>
      <c r="O46" s="57">
        <v>7000</v>
      </c>
      <c r="P46" s="58">
        <f t="shared" si="0"/>
        <v>126000</v>
      </c>
    </row>
    <row r="47" spans="1:16" ht="26.25" customHeight="1" x14ac:dyDescent="0.2">
      <c r="A47" s="100"/>
      <c r="B47" s="100"/>
      <c r="C47" s="65" t="s">
        <v>2734</v>
      </c>
      <c r="D47" s="70" t="s">
        <v>57</v>
      </c>
      <c r="E47" s="12">
        <v>44545</v>
      </c>
      <c r="F47" s="68" t="s">
        <v>59</v>
      </c>
      <c r="G47" s="12">
        <v>44548</v>
      </c>
      <c r="H47" s="69" t="s">
        <v>1619</v>
      </c>
      <c r="I47" s="15">
        <v>84</v>
      </c>
      <c r="J47" s="15">
        <v>54</v>
      </c>
      <c r="K47" s="15">
        <v>25</v>
      </c>
      <c r="L47" s="15">
        <v>23</v>
      </c>
      <c r="M47" s="73">
        <v>28.35</v>
      </c>
      <c r="N47" s="104">
        <v>29</v>
      </c>
      <c r="O47" s="57">
        <v>7000</v>
      </c>
      <c r="P47" s="58">
        <f t="shared" si="0"/>
        <v>203000</v>
      </c>
    </row>
    <row r="48" spans="1:16" ht="26.25" customHeight="1" x14ac:dyDescent="0.2">
      <c r="A48" s="100"/>
      <c r="B48" s="100"/>
      <c r="C48" s="65" t="s">
        <v>2735</v>
      </c>
      <c r="D48" s="70" t="s">
        <v>57</v>
      </c>
      <c r="E48" s="12">
        <v>44545</v>
      </c>
      <c r="F48" s="68" t="s">
        <v>59</v>
      </c>
      <c r="G48" s="12">
        <v>44548</v>
      </c>
      <c r="H48" s="69" t="s">
        <v>1619</v>
      </c>
      <c r="I48" s="15">
        <v>40</v>
      </c>
      <c r="J48" s="15">
        <v>29</v>
      </c>
      <c r="K48" s="15">
        <v>21</v>
      </c>
      <c r="L48" s="15">
        <v>7</v>
      </c>
      <c r="M48" s="73">
        <v>6.09</v>
      </c>
      <c r="N48" s="104">
        <v>7</v>
      </c>
      <c r="O48" s="57">
        <v>7000</v>
      </c>
      <c r="P48" s="58">
        <f t="shared" si="0"/>
        <v>49000</v>
      </c>
    </row>
    <row r="49" spans="1:16" ht="26.25" customHeight="1" x14ac:dyDescent="0.2">
      <c r="A49" s="100"/>
      <c r="B49" s="100"/>
      <c r="C49" s="65" t="s">
        <v>2736</v>
      </c>
      <c r="D49" s="70" t="s">
        <v>57</v>
      </c>
      <c r="E49" s="12">
        <v>44545</v>
      </c>
      <c r="F49" s="68" t="s">
        <v>59</v>
      </c>
      <c r="G49" s="12">
        <v>44548</v>
      </c>
      <c r="H49" s="69" t="s">
        <v>1619</v>
      </c>
      <c r="I49" s="15">
        <v>67</v>
      </c>
      <c r="J49" s="15">
        <v>54</v>
      </c>
      <c r="K49" s="15">
        <v>12</v>
      </c>
      <c r="L49" s="15">
        <v>10</v>
      </c>
      <c r="M49" s="73">
        <v>10.853999999999999</v>
      </c>
      <c r="N49" s="104">
        <v>10.853999999999999</v>
      </c>
      <c r="O49" s="57">
        <v>7000</v>
      </c>
      <c r="P49" s="58">
        <f t="shared" si="0"/>
        <v>75978</v>
      </c>
    </row>
    <row r="50" spans="1:16" ht="26.25" customHeight="1" x14ac:dyDescent="0.2">
      <c r="A50" s="100"/>
      <c r="B50" s="100"/>
      <c r="C50" s="65" t="s">
        <v>2737</v>
      </c>
      <c r="D50" s="70" t="s">
        <v>57</v>
      </c>
      <c r="E50" s="12">
        <v>44545</v>
      </c>
      <c r="F50" s="68" t="s">
        <v>59</v>
      </c>
      <c r="G50" s="12">
        <v>44548</v>
      </c>
      <c r="H50" s="69" t="s">
        <v>1619</v>
      </c>
      <c r="I50" s="15">
        <v>68</v>
      </c>
      <c r="J50" s="15">
        <v>56</v>
      </c>
      <c r="K50" s="15">
        <v>13</v>
      </c>
      <c r="L50" s="15">
        <v>8</v>
      </c>
      <c r="M50" s="73">
        <v>12.375999999999999</v>
      </c>
      <c r="N50" s="104">
        <v>13</v>
      </c>
      <c r="O50" s="57">
        <v>7000</v>
      </c>
      <c r="P50" s="58">
        <f t="shared" si="0"/>
        <v>91000</v>
      </c>
    </row>
    <row r="51" spans="1:16" ht="26.25" customHeight="1" x14ac:dyDescent="0.2">
      <c r="A51" s="100"/>
      <c r="B51" s="100"/>
      <c r="C51" s="65" t="s">
        <v>2738</v>
      </c>
      <c r="D51" s="70" t="s">
        <v>57</v>
      </c>
      <c r="E51" s="12">
        <v>44545</v>
      </c>
      <c r="F51" s="68" t="s">
        <v>59</v>
      </c>
      <c r="G51" s="12">
        <v>44548</v>
      </c>
      <c r="H51" s="69" t="s">
        <v>1619</v>
      </c>
      <c r="I51" s="15">
        <v>92</v>
      </c>
      <c r="J51" s="15">
        <v>63</v>
      </c>
      <c r="K51" s="15">
        <v>21</v>
      </c>
      <c r="L51" s="15">
        <v>17</v>
      </c>
      <c r="M51" s="73">
        <v>30.428999999999998</v>
      </c>
      <c r="N51" s="104">
        <v>31</v>
      </c>
      <c r="O51" s="57">
        <v>7000</v>
      </c>
      <c r="P51" s="58">
        <f t="shared" si="0"/>
        <v>217000</v>
      </c>
    </row>
    <row r="52" spans="1:16" ht="26.25" customHeight="1" x14ac:dyDescent="0.2">
      <c r="A52" s="100"/>
      <c r="B52" s="100"/>
      <c r="C52" s="65" t="s">
        <v>2739</v>
      </c>
      <c r="D52" s="70" t="s">
        <v>57</v>
      </c>
      <c r="E52" s="12">
        <v>44545</v>
      </c>
      <c r="F52" s="68" t="s">
        <v>59</v>
      </c>
      <c r="G52" s="12">
        <v>44548</v>
      </c>
      <c r="H52" s="69" t="s">
        <v>1619</v>
      </c>
      <c r="I52" s="15">
        <v>71</v>
      </c>
      <c r="J52" s="15">
        <v>45</v>
      </c>
      <c r="K52" s="15">
        <v>17</v>
      </c>
      <c r="L52" s="15">
        <v>13</v>
      </c>
      <c r="M52" s="73">
        <v>13.578749999999999</v>
      </c>
      <c r="N52" s="104">
        <v>13.578749999999999</v>
      </c>
      <c r="O52" s="57">
        <v>7000</v>
      </c>
      <c r="P52" s="58">
        <f t="shared" si="0"/>
        <v>95051.25</v>
      </c>
    </row>
    <row r="53" spans="1:16" ht="26.25" customHeight="1" x14ac:dyDescent="0.2">
      <c r="A53" s="100"/>
      <c r="B53" s="100"/>
      <c r="C53" s="65" t="s">
        <v>2740</v>
      </c>
      <c r="D53" s="70" t="s">
        <v>57</v>
      </c>
      <c r="E53" s="12">
        <v>44545</v>
      </c>
      <c r="F53" s="68" t="s">
        <v>59</v>
      </c>
      <c r="G53" s="12">
        <v>44548</v>
      </c>
      <c r="H53" s="69" t="s">
        <v>1619</v>
      </c>
      <c r="I53" s="15">
        <v>52</v>
      </c>
      <c r="J53" s="15">
        <v>42</v>
      </c>
      <c r="K53" s="15">
        <v>32</v>
      </c>
      <c r="L53" s="15">
        <v>19</v>
      </c>
      <c r="M53" s="73">
        <v>17.472000000000001</v>
      </c>
      <c r="N53" s="104">
        <v>20</v>
      </c>
      <c r="O53" s="57">
        <v>7000</v>
      </c>
      <c r="P53" s="58">
        <f t="shared" si="0"/>
        <v>140000</v>
      </c>
    </row>
    <row r="54" spans="1:16" ht="26.25" customHeight="1" x14ac:dyDescent="0.2">
      <c r="A54" s="100"/>
      <c r="B54" s="100"/>
      <c r="C54" s="65" t="s">
        <v>2741</v>
      </c>
      <c r="D54" s="70" t="s">
        <v>57</v>
      </c>
      <c r="E54" s="12">
        <v>44545</v>
      </c>
      <c r="F54" s="68" t="s">
        <v>59</v>
      </c>
      <c r="G54" s="12">
        <v>44548</v>
      </c>
      <c r="H54" s="69" t="s">
        <v>1619</v>
      </c>
      <c r="I54" s="15">
        <v>89</v>
      </c>
      <c r="J54" s="15">
        <v>58</v>
      </c>
      <c r="K54" s="15">
        <v>26</v>
      </c>
      <c r="L54" s="15">
        <v>32</v>
      </c>
      <c r="M54" s="73">
        <v>33.552999999999997</v>
      </c>
      <c r="N54" s="104">
        <v>33.552999999999997</v>
      </c>
      <c r="O54" s="57">
        <v>7000</v>
      </c>
      <c r="P54" s="58">
        <f t="shared" si="0"/>
        <v>234870.99999999997</v>
      </c>
    </row>
    <row r="55" spans="1:16" ht="26.25" customHeight="1" x14ac:dyDescent="0.2">
      <c r="A55" s="100"/>
      <c r="B55" s="100"/>
      <c r="C55" s="65" t="s">
        <v>2742</v>
      </c>
      <c r="D55" s="70" t="s">
        <v>57</v>
      </c>
      <c r="E55" s="12">
        <v>44545</v>
      </c>
      <c r="F55" s="68" t="s">
        <v>59</v>
      </c>
      <c r="G55" s="12">
        <v>44548</v>
      </c>
      <c r="H55" s="69" t="s">
        <v>1619</v>
      </c>
      <c r="I55" s="15">
        <v>50</v>
      </c>
      <c r="J55" s="15">
        <v>52</v>
      </c>
      <c r="K55" s="15">
        <v>24</v>
      </c>
      <c r="L55" s="15">
        <v>10</v>
      </c>
      <c r="M55" s="73">
        <v>15.6</v>
      </c>
      <c r="N55" s="104">
        <v>15.6</v>
      </c>
      <c r="O55" s="57">
        <v>7000</v>
      </c>
      <c r="P55" s="58">
        <f t="shared" si="0"/>
        <v>109200</v>
      </c>
    </row>
    <row r="56" spans="1:16" ht="26.25" customHeight="1" x14ac:dyDescent="0.2">
      <c r="A56" s="100"/>
      <c r="B56" s="100"/>
      <c r="C56" s="65" t="s">
        <v>2743</v>
      </c>
      <c r="D56" s="70" t="s">
        <v>57</v>
      </c>
      <c r="E56" s="12">
        <v>44545</v>
      </c>
      <c r="F56" s="68" t="s">
        <v>59</v>
      </c>
      <c r="G56" s="12">
        <v>44548</v>
      </c>
      <c r="H56" s="69" t="s">
        <v>1619</v>
      </c>
      <c r="I56" s="15">
        <v>80</v>
      </c>
      <c r="J56" s="15">
        <v>58</v>
      </c>
      <c r="K56" s="15">
        <v>13</v>
      </c>
      <c r="L56" s="15">
        <v>23</v>
      </c>
      <c r="M56" s="73">
        <v>15.08</v>
      </c>
      <c r="N56" s="104">
        <v>23</v>
      </c>
      <c r="O56" s="57">
        <v>7000</v>
      </c>
      <c r="P56" s="58">
        <f t="shared" si="0"/>
        <v>161000</v>
      </c>
    </row>
    <row r="57" spans="1:16" ht="26.25" customHeight="1" x14ac:dyDescent="0.2">
      <c r="A57" s="100"/>
      <c r="B57" s="100"/>
      <c r="C57" s="65" t="s">
        <v>2744</v>
      </c>
      <c r="D57" s="70" t="s">
        <v>57</v>
      </c>
      <c r="E57" s="12">
        <v>44545</v>
      </c>
      <c r="F57" s="68" t="s">
        <v>59</v>
      </c>
      <c r="G57" s="12">
        <v>44548</v>
      </c>
      <c r="H57" s="69" t="s">
        <v>1619</v>
      </c>
      <c r="I57" s="15">
        <v>65</v>
      </c>
      <c r="J57" s="15">
        <v>61</v>
      </c>
      <c r="K57" s="15">
        <v>12</v>
      </c>
      <c r="L57" s="15">
        <v>3</v>
      </c>
      <c r="M57" s="73">
        <v>11.895</v>
      </c>
      <c r="N57" s="104">
        <v>11.895</v>
      </c>
      <c r="O57" s="57">
        <v>7000</v>
      </c>
      <c r="P57" s="58">
        <f t="shared" si="0"/>
        <v>83265</v>
      </c>
    </row>
    <row r="58" spans="1:16" ht="26.25" customHeight="1" x14ac:dyDescent="0.2">
      <c r="A58" s="100"/>
      <c r="B58" s="100"/>
      <c r="C58" s="65" t="s">
        <v>2745</v>
      </c>
      <c r="D58" s="70" t="s">
        <v>57</v>
      </c>
      <c r="E58" s="12">
        <v>44545</v>
      </c>
      <c r="F58" s="68" t="s">
        <v>59</v>
      </c>
      <c r="G58" s="12">
        <v>44548</v>
      </c>
      <c r="H58" s="69" t="s">
        <v>1619</v>
      </c>
      <c r="I58" s="15">
        <v>80</v>
      </c>
      <c r="J58" s="15">
        <v>60</v>
      </c>
      <c r="K58" s="15">
        <v>21</v>
      </c>
      <c r="L58" s="15">
        <v>19</v>
      </c>
      <c r="M58" s="73">
        <v>25.2</v>
      </c>
      <c r="N58" s="104">
        <v>25.2</v>
      </c>
      <c r="O58" s="57">
        <v>7000</v>
      </c>
      <c r="P58" s="58">
        <f t="shared" si="0"/>
        <v>176400</v>
      </c>
    </row>
    <row r="59" spans="1:16" ht="26.25" customHeight="1" x14ac:dyDescent="0.2">
      <c r="A59" s="100"/>
      <c r="B59" s="100"/>
      <c r="C59" s="65" t="s">
        <v>2746</v>
      </c>
      <c r="D59" s="70" t="s">
        <v>57</v>
      </c>
      <c r="E59" s="12">
        <v>44545</v>
      </c>
      <c r="F59" s="68" t="s">
        <v>59</v>
      </c>
      <c r="G59" s="12">
        <v>44548</v>
      </c>
      <c r="H59" s="69" t="s">
        <v>1619</v>
      </c>
      <c r="I59" s="15">
        <v>74</v>
      </c>
      <c r="J59" s="15">
        <v>26</v>
      </c>
      <c r="K59" s="15">
        <v>12</v>
      </c>
      <c r="L59" s="15">
        <v>6</v>
      </c>
      <c r="M59" s="73">
        <v>5.7720000000000002</v>
      </c>
      <c r="N59" s="104">
        <v>6</v>
      </c>
      <c r="O59" s="57">
        <v>7000</v>
      </c>
      <c r="P59" s="58">
        <f t="shared" si="0"/>
        <v>42000</v>
      </c>
    </row>
    <row r="60" spans="1:16" ht="26.25" customHeight="1" x14ac:dyDescent="0.2">
      <c r="A60" s="100"/>
      <c r="B60" s="100"/>
      <c r="C60" s="65" t="s">
        <v>2747</v>
      </c>
      <c r="D60" s="70" t="s">
        <v>57</v>
      </c>
      <c r="E60" s="12">
        <v>44545</v>
      </c>
      <c r="F60" s="68" t="s">
        <v>59</v>
      </c>
      <c r="G60" s="12">
        <v>44548</v>
      </c>
      <c r="H60" s="69" t="s">
        <v>1619</v>
      </c>
      <c r="I60" s="15">
        <v>112</v>
      </c>
      <c r="J60" s="15">
        <v>50</v>
      </c>
      <c r="K60" s="15">
        <v>11</v>
      </c>
      <c r="L60" s="15">
        <v>13</v>
      </c>
      <c r="M60" s="73">
        <v>15.4</v>
      </c>
      <c r="N60" s="104">
        <v>16</v>
      </c>
      <c r="O60" s="57">
        <v>7000</v>
      </c>
      <c r="P60" s="58">
        <f t="shared" si="0"/>
        <v>112000</v>
      </c>
    </row>
    <row r="61" spans="1:16" ht="26.25" customHeight="1" x14ac:dyDescent="0.2">
      <c r="A61" s="100"/>
      <c r="B61" s="100"/>
      <c r="C61" s="65" t="s">
        <v>2748</v>
      </c>
      <c r="D61" s="70" t="s">
        <v>57</v>
      </c>
      <c r="E61" s="12">
        <v>44545</v>
      </c>
      <c r="F61" s="68" t="s">
        <v>59</v>
      </c>
      <c r="G61" s="12">
        <v>44548</v>
      </c>
      <c r="H61" s="69" t="s">
        <v>1619</v>
      </c>
      <c r="I61" s="15">
        <v>45</v>
      </c>
      <c r="J61" s="15">
        <v>32</v>
      </c>
      <c r="K61" s="15">
        <v>12</v>
      </c>
      <c r="L61" s="15">
        <v>2</v>
      </c>
      <c r="M61" s="73">
        <v>4.32</v>
      </c>
      <c r="N61" s="104">
        <v>5</v>
      </c>
      <c r="O61" s="57">
        <v>7000</v>
      </c>
      <c r="P61" s="58">
        <f t="shared" si="0"/>
        <v>35000</v>
      </c>
    </row>
    <row r="62" spans="1:16" ht="26.25" customHeight="1" x14ac:dyDescent="0.2">
      <c r="A62" s="100"/>
      <c r="B62" s="100"/>
      <c r="C62" s="65" t="s">
        <v>2749</v>
      </c>
      <c r="D62" s="70" t="s">
        <v>57</v>
      </c>
      <c r="E62" s="12">
        <v>44545</v>
      </c>
      <c r="F62" s="68" t="s">
        <v>59</v>
      </c>
      <c r="G62" s="12">
        <v>44548</v>
      </c>
      <c r="H62" s="69" t="s">
        <v>1619</v>
      </c>
      <c r="I62" s="15">
        <v>95</v>
      </c>
      <c r="J62" s="15">
        <v>65</v>
      </c>
      <c r="K62" s="15">
        <v>25</v>
      </c>
      <c r="L62" s="15">
        <v>27</v>
      </c>
      <c r="M62" s="73">
        <v>38.59375</v>
      </c>
      <c r="N62" s="104">
        <v>38.59375</v>
      </c>
      <c r="O62" s="57">
        <v>7000</v>
      </c>
      <c r="P62" s="58">
        <f t="shared" si="0"/>
        <v>270156.25</v>
      </c>
    </row>
    <row r="63" spans="1:16" ht="26.25" customHeight="1" x14ac:dyDescent="0.2">
      <c r="A63" s="100"/>
      <c r="B63" s="100"/>
      <c r="C63" s="65" t="s">
        <v>2750</v>
      </c>
      <c r="D63" s="70" t="s">
        <v>57</v>
      </c>
      <c r="E63" s="12">
        <v>44545</v>
      </c>
      <c r="F63" s="68" t="s">
        <v>59</v>
      </c>
      <c r="G63" s="12">
        <v>44548</v>
      </c>
      <c r="H63" s="69" t="s">
        <v>1619</v>
      </c>
      <c r="I63" s="15">
        <v>71</v>
      </c>
      <c r="J63" s="15">
        <v>55</v>
      </c>
      <c r="K63" s="15">
        <v>22</v>
      </c>
      <c r="L63" s="15">
        <v>9</v>
      </c>
      <c r="M63" s="73">
        <v>21.477499999999999</v>
      </c>
      <c r="N63" s="104">
        <v>22</v>
      </c>
      <c r="O63" s="57">
        <v>7000</v>
      </c>
      <c r="P63" s="58">
        <f t="shared" si="0"/>
        <v>154000</v>
      </c>
    </row>
    <row r="64" spans="1:16" ht="26.25" customHeight="1" x14ac:dyDescent="0.2">
      <c r="A64" s="100"/>
      <c r="B64" s="100"/>
      <c r="C64" s="65" t="s">
        <v>2751</v>
      </c>
      <c r="D64" s="70" t="s">
        <v>57</v>
      </c>
      <c r="E64" s="12">
        <v>44545</v>
      </c>
      <c r="F64" s="68" t="s">
        <v>59</v>
      </c>
      <c r="G64" s="12">
        <v>44548</v>
      </c>
      <c r="H64" s="69" t="s">
        <v>1619</v>
      </c>
      <c r="I64" s="15">
        <v>55</v>
      </c>
      <c r="J64" s="15">
        <v>50</v>
      </c>
      <c r="K64" s="15">
        <v>17</v>
      </c>
      <c r="L64" s="15">
        <v>7</v>
      </c>
      <c r="M64" s="73">
        <v>11.6875</v>
      </c>
      <c r="N64" s="104">
        <v>11.6875</v>
      </c>
      <c r="O64" s="57">
        <v>7000</v>
      </c>
      <c r="P64" s="58">
        <f t="shared" si="0"/>
        <v>81812.5</v>
      </c>
    </row>
    <row r="65" spans="1:16" ht="26.25" customHeight="1" x14ac:dyDescent="0.2">
      <c r="A65" s="100"/>
      <c r="B65" s="100"/>
      <c r="C65" s="65" t="s">
        <v>2752</v>
      </c>
      <c r="D65" s="70" t="s">
        <v>57</v>
      </c>
      <c r="E65" s="12">
        <v>44545</v>
      </c>
      <c r="F65" s="68" t="s">
        <v>59</v>
      </c>
      <c r="G65" s="12">
        <v>44548</v>
      </c>
      <c r="H65" s="69" t="s">
        <v>1619</v>
      </c>
      <c r="I65" s="15">
        <v>87</v>
      </c>
      <c r="J65" s="15">
        <v>55</v>
      </c>
      <c r="K65" s="15">
        <v>23</v>
      </c>
      <c r="L65" s="15">
        <v>12</v>
      </c>
      <c r="M65" s="73">
        <v>27.513750000000002</v>
      </c>
      <c r="N65" s="104">
        <v>27.513750000000002</v>
      </c>
      <c r="O65" s="57">
        <v>7000</v>
      </c>
      <c r="P65" s="58">
        <f t="shared" si="0"/>
        <v>192596.25</v>
      </c>
    </row>
    <row r="66" spans="1:16" ht="26.25" customHeight="1" x14ac:dyDescent="0.2">
      <c r="A66" s="100"/>
      <c r="B66" s="100"/>
      <c r="C66" s="65" t="s">
        <v>2753</v>
      </c>
      <c r="D66" s="70" t="s">
        <v>57</v>
      </c>
      <c r="E66" s="12">
        <v>44545</v>
      </c>
      <c r="F66" s="68" t="s">
        <v>59</v>
      </c>
      <c r="G66" s="12">
        <v>44548</v>
      </c>
      <c r="H66" s="69" t="s">
        <v>1619</v>
      </c>
      <c r="I66" s="15">
        <v>34</v>
      </c>
      <c r="J66" s="15">
        <v>13</v>
      </c>
      <c r="K66" s="15">
        <v>12</v>
      </c>
      <c r="L66" s="15">
        <v>1</v>
      </c>
      <c r="M66" s="73">
        <v>1.3260000000000001</v>
      </c>
      <c r="N66" s="104">
        <v>2</v>
      </c>
      <c r="O66" s="57">
        <v>7000</v>
      </c>
      <c r="P66" s="58">
        <f t="shared" si="0"/>
        <v>14000</v>
      </c>
    </row>
    <row r="67" spans="1:16" ht="26.25" customHeight="1" x14ac:dyDescent="0.2">
      <c r="A67" s="100"/>
      <c r="B67" s="100"/>
      <c r="C67" s="65" t="s">
        <v>2754</v>
      </c>
      <c r="D67" s="70" t="s">
        <v>57</v>
      </c>
      <c r="E67" s="12">
        <v>44545</v>
      </c>
      <c r="F67" s="68" t="s">
        <v>59</v>
      </c>
      <c r="G67" s="12">
        <v>44548</v>
      </c>
      <c r="H67" s="69" t="s">
        <v>1619</v>
      </c>
      <c r="I67" s="15">
        <v>103</v>
      </c>
      <c r="J67" s="15">
        <v>54</v>
      </c>
      <c r="K67" s="15">
        <v>31</v>
      </c>
      <c r="L67" s="15">
        <v>13</v>
      </c>
      <c r="M67" s="73">
        <v>43.105499999999999</v>
      </c>
      <c r="N67" s="104">
        <v>43.105499999999999</v>
      </c>
      <c r="O67" s="57">
        <v>7000</v>
      </c>
      <c r="P67" s="58">
        <f t="shared" ref="P67:P72" si="1">N67*O67</f>
        <v>301738.5</v>
      </c>
    </row>
    <row r="68" spans="1:16" ht="26.25" customHeight="1" x14ac:dyDescent="0.2">
      <c r="A68" s="100"/>
      <c r="B68" s="100"/>
      <c r="C68" s="65" t="s">
        <v>2755</v>
      </c>
      <c r="D68" s="70" t="s">
        <v>57</v>
      </c>
      <c r="E68" s="12">
        <v>44545</v>
      </c>
      <c r="F68" s="68" t="s">
        <v>59</v>
      </c>
      <c r="G68" s="12">
        <v>44548</v>
      </c>
      <c r="H68" s="69" t="s">
        <v>1619</v>
      </c>
      <c r="I68" s="15">
        <v>60</v>
      </c>
      <c r="J68" s="15">
        <v>47</v>
      </c>
      <c r="K68" s="15">
        <v>53</v>
      </c>
      <c r="L68" s="15">
        <v>15</v>
      </c>
      <c r="M68" s="73">
        <v>37.365000000000002</v>
      </c>
      <c r="N68" s="104">
        <v>38</v>
      </c>
      <c r="O68" s="57">
        <v>7000</v>
      </c>
      <c r="P68" s="58">
        <f t="shared" si="1"/>
        <v>266000</v>
      </c>
    </row>
    <row r="69" spans="1:16" ht="26.25" customHeight="1" x14ac:dyDescent="0.2">
      <c r="A69" s="100"/>
      <c r="B69" s="100"/>
      <c r="C69" s="65" t="s">
        <v>2756</v>
      </c>
      <c r="D69" s="70" t="s">
        <v>57</v>
      </c>
      <c r="E69" s="12">
        <v>44545</v>
      </c>
      <c r="F69" s="68" t="s">
        <v>59</v>
      </c>
      <c r="G69" s="12">
        <v>44548</v>
      </c>
      <c r="H69" s="69" t="s">
        <v>1619</v>
      </c>
      <c r="I69" s="15">
        <v>34</v>
      </c>
      <c r="J69" s="15">
        <v>29</v>
      </c>
      <c r="K69" s="15">
        <v>31</v>
      </c>
      <c r="L69" s="15">
        <v>3</v>
      </c>
      <c r="M69" s="73">
        <v>7.6414999999999997</v>
      </c>
      <c r="N69" s="104">
        <v>7.6414999999999997</v>
      </c>
      <c r="O69" s="57">
        <v>7000</v>
      </c>
      <c r="P69" s="58">
        <f t="shared" si="1"/>
        <v>53490.5</v>
      </c>
    </row>
    <row r="70" spans="1:16" ht="26.25" customHeight="1" x14ac:dyDescent="0.2">
      <c r="A70" s="100"/>
      <c r="B70" s="100"/>
      <c r="C70" s="65" t="s">
        <v>2757</v>
      </c>
      <c r="D70" s="70" t="s">
        <v>57</v>
      </c>
      <c r="E70" s="12">
        <v>44545</v>
      </c>
      <c r="F70" s="68" t="s">
        <v>59</v>
      </c>
      <c r="G70" s="12">
        <v>44548</v>
      </c>
      <c r="H70" s="69" t="s">
        <v>1619</v>
      </c>
      <c r="I70" s="15">
        <v>70</v>
      </c>
      <c r="J70" s="15">
        <v>45</v>
      </c>
      <c r="K70" s="15">
        <v>25</v>
      </c>
      <c r="L70" s="15">
        <v>16</v>
      </c>
      <c r="M70" s="73">
        <v>19.6875</v>
      </c>
      <c r="N70" s="104">
        <v>19.6875</v>
      </c>
      <c r="O70" s="57">
        <v>7000</v>
      </c>
      <c r="P70" s="58">
        <f t="shared" si="1"/>
        <v>137812.5</v>
      </c>
    </row>
    <row r="71" spans="1:16" ht="26.25" customHeight="1" x14ac:dyDescent="0.2">
      <c r="A71" s="100"/>
      <c r="B71" s="101"/>
      <c r="C71" s="65" t="s">
        <v>2758</v>
      </c>
      <c r="D71" s="70" t="s">
        <v>57</v>
      </c>
      <c r="E71" s="12">
        <v>44545</v>
      </c>
      <c r="F71" s="68" t="s">
        <v>59</v>
      </c>
      <c r="G71" s="12">
        <v>44548</v>
      </c>
      <c r="H71" s="69" t="s">
        <v>1619</v>
      </c>
      <c r="I71" s="15">
        <v>98</v>
      </c>
      <c r="J71" s="15">
        <v>56</v>
      </c>
      <c r="K71" s="15">
        <v>30</v>
      </c>
      <c r="L71" s="15">
        <v>26</v>
      </c>
      <c r="M71" s="73">
        <v>41.16</v>
      </c>
      <c r="N71" s="104">
        <v>41.16</v>
      </c>
      <c r="O71" s="57">
        <v>7000</v>
      </c>
      <c r="P71" s="58">
        <f t="shared" si="1"/>
        <v>288120</v>
      </c>
    </row>
    <row r="72" spans="1:16" ht="26.25" customHeight="1" x14ac:dyDescent="0.2">
      <c r="A72" s="100"/>
      <c r="B72" s="100" t="s">
        <v>2759</v>
      </c>
      <c r="C72" s="65" t="s">
        <v>2760</v>
      </c>
      <c r="D72" s="70" t="s">
        <v>57</v>
      </c>
      <c r="E72" s="12">
        <v>44545</v>
      </c>
      <c r="F72" s="68" t="s">
        <v>59</v>
      </c>
      <c r="G72" s="12">
        <v>44548</v>
      </c>
      <c r="H72" s="69" t="s">
        <v>1619</v>
      </c>
      <c r="I72" s="15">
        <v>70</v>
      </c>
      <c r="J72" s="15">
        <v>55</v>
      </c>
      <c r="K72" s="15">
        <v>15</v>
      </c>
      <c r="L72" s="15">
        <v>8</v>
      </c>
      <c r="M72" s="73">
        <v>14.4375</v>
      </c>
      <c r="N72" s="104">
        <v>15</v>
      </c>
      <c r="O72" s="57">
        <v>7000</v>
      </c>
      <c r="P72" s="58">
        <f t="shared" si="1"/>
        <v>105000</v>
      </c>
    </row>
    <row r="73" spans="1:16" ht="22.5" customHeight="1" x14ac:dyDescent="0.2">
      <c r="A73" s="159" t="s">
        <v>30</v>
      </c>
      <c r="B73" s="160"/>
      <c r="C73" s="160"/>
      <c r="D73" s="160"/>
      <c r="E73" s="160"/>
      <c r="F73" s="160"/>
      <c r="G73" s="160"/>
      <c r="H73" s="160"/>
      <c r="I73" s="160"/>
      <c r="J73" s="160"/>
      <c r="K73" s="160"/>
      <c r="L73" s="161"/>
      <c r="M73" s="71">
        <f>SUBTOTAL(109,Table22457891011234567891011121314151617181920212223242526272829303132333435373839404142434445[KG VOLUME])</f>
        <v>1632.6134999999995</v>
      </c>
      <c r="N73" s="61">
        <f>SUM(N3:N72)</f>
        <v>1661.8142499999999</v>
      </c>
      <c r="O73" s="162">
        <f>SUM(P3:P72)</f>
        <v>11632699.75</v>
      </c>
      <c r="P73" s="163"/>
    </row>
    <row r="74" spans="1:16" ht="18" customHeight="1" x14ac:dyDescent="0.2">
      <c r="A74" s="78"/>
      <c r="B74" s="49" t="s">
        <v>42</v>
      </c>
      <c r="C74" s="48"/>
      <c r="D74" s="50" t="s">
        <v>43</v>
      </c>
      <c r="E74" s="78"/>
      <c r="F74" s="78"/>
      <c r="G74" s="78"/>
      <c r="H74" s="78"/>
      <c r="I74" s="78"/>
      <c r="J74" s="78"/>
      <c r="K74" s="78"/>
      <c r="L74" s="78"/>
      <c r="M74" s="79"/>
      <c r="N74" s="80" t="s">
        <v>52</v>
      </c>
      <c r="O74" s="81"/>
      <c r="P74" s="81">
        <v>0</v>
      </c>
    </row>
    <row r="75" spans="1:16" ht="18" customHeight="1" thickBot="1" x14ac:dyDescent="0.25">
      <c r="A75" s="78"/>
      <c r="B75" s="49"/>
      <c r="C75" s="48"/>
      <c r="D75" s="50"/>
      <c r="E75" s="78"/>
      <c r="F75" s="78"/>
      <c r="G75" s="78"/>
      <c r="H75" s="78"/>
      <c r="I75" s="78"/>
      <c r="J75" s="78"/>
      <c r="K75" s="78"/>
      <c r="L75" s="78"/>
      <c r="M75" s="79"/>
      <c r="N75" s="82" t="s">
        <v>53</v>
      </c>
      <c r="O75" s="83"/>
      <c r="P75" s="83">
        <f>O73-P74</f>
        <v>11632699.75</v>
      </c>
    </row>
    <row r="76" spans="1:16" ht="18" customHeight="1" x14ac:dyDescent="0.2">
      <c r="A76" s="10"/>
      <c r="H76" s="56"/>
      <c r="N76" s="55" t="s">
        <v>31</v>
      </c>
      <c r="P76" s="62">
        <f>P75*1%</f>
        <v>116326.9975</v>
      </c>
    </row>
    <row r="77" spans="1:16" ht="18" customHeight="1" thickBot="1" x14ac:dyDescent="0.25">
      <c r="A77" s="10"/>
      <c r="H77" s="56"/>
      <c r="N77" s="55" t="s">
        <v>54</v>
      </c>
      <c r="P77" s="64">
        <f>P75*2%</f>
        <v>232653.995</v>
      </c>
    </row>
    <row r="78" spans="1:16" ht="18" customHeight="1" x14ac:dyDescent="0.2">
      <c r="A78" s="10"/>
      <c r="H78" s="56"/>
      <c r="N78" s="59" t="s">
        <v>32</v>
      </c>
      <c r="O78" s="60"/>
      <c r="P78" s="63">
        <f>P75+P76-P77</f>
        <v>11516372.752500001</v>
      </c>
    </row>
    <row r="80" spans="1:16" x14ac:dyDescent="0.2">
      <c r="A80" s="10"/>
      <c r="H80" s="56"/>
      <c r="P80" s="64"/>
    </row>
    <row r="81" spans="1:16" x14ac:dyDescent="0.2">
      <c r="A81" s="10"/>
      <c r="H81" s="56"/>
      <c r="O81" s="51"/>
      <c r="P81" s="64"/>
    </row>
    <row r="82" spans="1:16" s="3" customFormat="1" x14ac:dyDescent="0.25">
      <c r="A82" s="10"/>
      <c r="B82" s="2"/>
      <c r="C82" s="2"/>
      <c r="E82" s="11"/>
      <c r="H82" s="56"/>
      <c r="N82" s="14"/>
      <c r="O82" s="14"/>
      <c r="P82" s="14"/>
    </row>
    <row r="83" spans="1:16" s="3" customFormat="1" x14ac:dyDescent="0.25">
      <c r="A83" s="10"/>
      <c r="B83" s="2"/>
      <c r="C83" s="2"/>
      <c r="E83" s="11"/>
      <c r="H83" s="56"/>
      <c r="N83" s="14"/>
      <c r="O83" s="14"/>
      <c r="P83" s="14"/>
    </row>
    <row r="84" spans="1:16" s="3" customFormat="1" x14ac:dyDescent="0.25">
      <c r="A84" s="10"/>
      <c r="B84" s="2"/>
      <c r="C84" s="2"/>
      <c r="E84" s="11"/>
      <c r="H84" s="56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6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6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6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6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6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6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6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6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6"/>
      <c r="N93" s="14"/>
      <c r="O93" s="14"/>
      <c r="P93" s="14"/>
    </row>
  </sheetData>
  <mergeCells count="2">
    <mergeCell ref="A73:L73"/>
    <mergeCell ref="O73:P73"/>
  </mergeCells>
  <conditionalFormatting sqref="C3:C72">
    <cfRule type="duplicateValues" dxfId="895" priority="7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topLeftCell="A31" workbookViewId="0">
      <selection activeCell="M20" sqref="M2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9.25" customHeight="1" x14ac:dyDescent="0.2">
      <c r="A3" s="99">
        <v>406119</v>
      </c>
      <c r="B3" s="99" t="s">
        <v>2761</v>
      </c>
      <c r="C3" s="90" t="s">
        <v>2762</v>
      </c>
      <c r="D3" s="102" t="s">
        <v>57</v>
      </c>
      <c r="E3" s="91">
        <v>44546</v>
      </c>
      <c r="F3" s="102" t="s">
        <v>58</v>
      </c>
      <c r="G3" s="91">
        <v>44550</v>
      </c>
      <c r="H3" s="90" t="s">
        <v>1619</v>
      </c>
      <c r="I3" s="90">
        <v>95</v>
      </c>
      <c r="J3" s="90">
        <v>43</v>
      </c>
      <c r="K3" s="90">
        <v>40</v>
      </c>
      <c r="L3" s="90">
        <v>11</v>
      </c>
      <c r="M3" s="90">
        <v>40.85</v>
      </c>
      <c r="N3" s="104">
        <v>40.85</v>
      </c>
      <c r="O3" s="57">
        <v>7000</v>
      </c>
      <c r="P3" s="58">
        <f t="shared" ref="P3:P26" si="0">N3*O3</f>
        <v>285950</v>
      </c>
    </row>
    <row r="4" spans="1:16" ht="29.25" customHeight="1" x14ac:dyDescent="0.2">
      <c r="A4" s="100"/>
      <c r="B4" s="100"/>
      <c r="C4" s="90" t="s">
        <v>2763</v>
      </c>
      <c r="D4" s="102" t="s">
        <v>57</v>
      </c>
      <c r="E4" s="91">
        <v>44546</v>
      </c>
      <c r="F4" s="102" t="s">
        <v>58</v>
      </c>
      <c r="G4" s="91">
        <v>44550</v>
      </c>
      <c r="H4" s="90" t="s">
        <v>1619</v>
      </c>
      <c r="I4" s="90">
        <v>55</v>
      </c>
      <c r="J4" s="90">
        <v>30</v>
      </c>
      <c r="K4" s="90">
        <v>25</v>
      </c>
      <c r="L4" s="90">
        <v>5</v>
      </c>
      <c r="M4" s="90">
        <v>10.3125</v>
      </c>
      <c r="N4" s="104">
        <v>11</v>
      </c>
      <c r="O4" s="57">
        <v>7000</v>
      </c>
      <c r="P4" s="58">
        <f t="shared" si="0"/>
        <v>77000</v>
      </c>
    </row>
    <row r="5" spans="1:16" ht="29.25" customHeight="1" x14ac:dyDescent="0.2">
      <c r="A5" s="100"/>
      <c r="B5" s="100"/>
      <c r="C5" s="90" t="s">
        <v>2764</v>
      </c>
      <c r="D5" s="102" t="s">
        <v>57</v>
      </c>
      <c r="E5" s="91">
        <v>44546</v>
      </c>
      <c r="F5" s="102" t="s">
        <v>58</v>
      </c>
      <c r="G5" s="91">
        <v>44550</v>
      </c>
      <c r="H5" s="90" t="s">
        <v>1619</v>
      </c>
      <c r="I5" s="90">
        <v>83</v>
      </c>
      <c r="J5" s="90">
        <v>37</v>
      </c>
      <c r="K5" s="90">
        <v>30</v>
      </c>
      <c r="L5" s="90">
        <v>15</v>
      </c>
      <c r="M5" s="90">
        <v>23.032499999999999</v>
      </c>
      <c r="N5" s="104">
        <v>23.032499999999999</v>
      </c>
      <c r="O5" s="57">
        <v>7000</v>
      </c>
      <c r="P5" s="58">
        <f t="shared" si="0"/>
        <v>161227.5</v>
      </c>
    </row>
    <row r="6" spans="1:16" ht="29.25" customHeight="1" x14ac:dyDescent="0.2">
      <c r="A6" s="100"/>
      <c r="B6" s="100"/>
      <c r="C6" s="65" t="s">
        <v>2765</v>
      </c>
      <c r="D6" s="70" t="s">
        <v>57</v>
      </c>
      <c r="E6" s="12">
        <v>44546</v>
      </c>
      <c r="F6" s="68" t="s">
        <v>58</v>
      </c>
      <c r="G6" s="12">
        <v>44550</v>
      </c>
      <c r="H6" s="69" t="s">
        <v>1619</v>
      </c>
      <c r="I6" s="15">
        <v>60</v>
      </c>
      <c r="J6" s="15">
        <v>41</v>
      </c>
      <c r="K6" s="15">
        <v>17</v>
      </c>
      <c r="L6" s="15">
        <v>3</v>
      </c>
      <c r="M6" s="73">
        <v>10.455</v>
      </c>
      <c r="N6" s="104">
        <v>11</v>
      </c>
      <c r="O6" s="57">
        <v>7000</v>
      </c>
      <c r="P6" s="58">
        <f t="shared" si="0"/>
        <v>77000</v>
      </c>
    </row>
    <row r="7" spans="1:16" ht="29.25" customHeight="1" x14ac:dyDescent="0.2">
      <c r="A7" s="100"/>
      <c r="B7" s="100"/>
      <c r="C7" s="65" t="s">
        <v>2766</v>
      </c>
      <c r="D7" s="70" t="s">
        <v>57</v>
      </c>
      <c r="E7" s="12">
        <v>44546</v>
      </c>
      <c r="F7" s="68" t="s">
        <v>58</v>
      </c>
      <c r="G7" s="12">
        <v>44550</v>
      </c>
      <c r="H7" s="69" t="s">
        <v>1619</v>
      </c>
      <c r="I7" s="15">
        <v>92</v>
      </c>
      <c r="J7" s="15">
        <v>60</v>
      </c>
      <c r="K7" s="15">
        <v>10</v>
      </c>
      <c r="L7" s="15">
        <v>6</v>
      </c>
      <c r="M7" s="73">
        <v>13.8</v>
      </c>
      <c r="N7" s="104">
        <v>13.8</v>
      </c>
      <c r="O7" s="57">
        <v>7000</v>
      </c>
      <c r="P7" s="58">
        <f t="shared" si="0"/>
        <v>96600</v>
      </c>
    </row>
    <row r="8" spans="1:16" ht="29.25" customHeight="1" x14ac:dyDescent="0.2">
      <c r="A8" s="100"/>
      <c r="B8" s="100"/>
      <c r="C8" s="65" t="s">
        <v>2767</v>
      </c>
      <c r="D8" s="70" t="s">
        <v>57</v>
      </c>
      <c r="E8" s="12">
        <v>44546</v>
      </c>
      <c r="F8" s="68" t="s">
        <v>58</v>
      </c>
      <c r="G8" s="12">
        <v>44550</v>
      </c>
      <c r="H8" s="69" t="s">
        <v>1619</v>
      </c>
      <c r="I8" s="15">
        <v>91</v>
      </c>
      <c r="J8" s="15">
        <v>50</v>
      </c>
      <c r="K8" s="15">
        <v>23</v>
      </c>
      <c r="L8" s="15">
        <v>4</v>
      </c>
      <c r="M8" s="73">
        <v>26.162500000000001</v>
      </c>
      <c r="N8" s="104">
        <v>26.162500000000001</v>
      </c>
      <c r="O8" s="57">
        <v>7000</v>
      </c>
      <c r="P8" s="58">
        <f t="shared" si="0"/>
        <v>183137.5</v>
      </c>
    </row>
    <row r="9" spans="1:16" ht="29.25" customHeight="1" x14ac:dyDescent="0.2">
      <c r="A9" s="100"/>
      <c r="B9" s="100"/>
      <c r="C9" s="65" t="s">
        <v>2768</v>
      </c>
      <c r="D9" s="70" t="s">
        <v>57</v>
      </c>
      <c r="E9" s="12">
        <v>44546</v>
      </c>
      <c r="F9" s="68" t="s">
        <v>58</v>
      </c>
      <c r="G9" s="12">
        <v>44550</v>
      </c>
      <c r="H9" s="69" t="s">
        <v>1619</v>
      </c>
      <c r="I9" s="15">
        <v>30</v>
      </c>
      <c r="J9" s="15">
        <v>52</v>
      </c>
      <c r="K9" s="15">
        <v>23</v>
      </c>
      <c r="L9" s="15">
        <v>7</v>
      </c>
      <c r="M9" s="73">
        <v>8.9700000000000006</v>
      </c>
      <c r="N9" s="104">
        <v>8.9700000000000006</v>
      </c>
      <c r="O9" s="57">
        <v>7000</v>
      </c>
      <c r="P9" s="58">
        <f t="shared" si="0"/>
        <v>62790.000000000007</v>
      </c>
    </row>
    <row r="10" spans="1:16" ht="29.25" customHeight="1" x14ac:dyDescent="0.2">
      <c r="A10" s="100"/>
      <c r="B10" s="100"/>
      <c r="C10" s="65" t="s">
        <v>2769</v>
      </c>
      <c r="D10" s="70" t="s">
        <v>57</v>
      </c>
      <c r="E10" s="12">
        <v>44546</v>
      </c>
      <c r="F10" s="68" t="s">
        <v>58</v>
      </c>
      <c r="G10" s="12">
        <v>44550</v>
      </c>
      <c r="H10" s="69" t="s">
        <v>1619</v>
      </c>
      <c r="I10" s="15">
        <v>51</v>
      </c>
      <c r="J10" s="15">
        <v>51</v>
      </c>
      <c r="K10" s="15">
        <v>15</v>
      </c>
      <c r="L10" s="15">
        <v>4</v>
      </c>
      <c r="M10" s="73">
        <v>9.7537500000000001</v>
      </c>
      <c r="N10" s="104">
        <v>9.7537500000000001</v>
      </c>
      <c r="O10" s="57">
        <v>7000</v>
      </c>
      <c r="P10" s="58">
        <f t="shared" si="0"/>
        <v>68276.25</v>
      </c>
    </row>
    <row r="11" spans="1:16" ht="29.25" customHeight="1" x14ac:dyDescent="0.2">
      <c r="A11" s="100"/>
      <c r="B11" s="100"/>
      <c r="C11" s="65" t="s">
        <v>2770</v>
      </c>
      <c r="D11" s="70" t="s">
        <v>57</v>
      </c>
      <c r="E11" s="12">
        <v>44546</v>
      </c>
      <c r="F11" s="68" t="s">
        <v>58</v>
      </c>
      <c r="G11" s="12">
        <v>44550</v>
      </c>
      <c r="H11" s="69" t="s">
        <v>1619</v>
      </c>
      <c r="I11" s="15">
        <v>50</v>
      </c>
      <c r="J11" s="15">
        <v>40</v>
      </c>
      <c r="K11" s="15">
        <v>10</v>
      </c>
      <c r="L11" s="15">
        <v>1</v>
      </c>
      <c r="M11" s="73">
        <v>5</v>
      </c>
      <c r="N11" s="104">
        <v>5</v>
      </c>
      <c r="O11" s="57">
        <v>7000</v>
      </c>
      <c r="P11" s="58">
        <f t="shared" si="0"/>
        <v>35000</v>
      </c>
    </row>
    <row r="12" spans="1:16" ht="29.25" customHeight="1" x14ac:dyDescent="0.2">
      <c r="A12" s="100"/>
      <c r="B12" s="100"/>
      <c r="C12" s="65" t="s">
        <v>2771</v>
      </c>
      <c r="D12" s="70" t="s">
        <v>57</v>
      </c>
      <c r="E12" s="12">
        <v>44546</v>
      </c>
      <c r="F12" s="68" t="s">
        <v>58</v>
      </c>
      <c r="G12" s="12">
        <v>44550</v>
      </c>
      <c r="H12" s="69" t="s">
        <v>1619</v>
      </c>
      <c r="I12" s="15">
        <v>30</v>
      </c>
      <c r="J12" s="15">
        <v>40</v>
      </c>
      <c r="K12" s="15">
        <v>10</v>
      </c>
      <c r="L12" s="15">
        <v>1</v>
      </c>
      <c r="M12" s="73">
        <v>3</v>
      </c>
      <c r="N12" s="104">
        <v>3</v>
      </c>
      <c r="O12" s="57">
        <v>7000</v>
      </c>
      <c r="P12" s="58">
        <f t="shared" si="0"/>
        <v>21000</v>
      </c>
    </row>
    <row r="13" spans="1:16" ht="29.25" customHeight="1" x14ac:dyDescent="0.2">
      <c r="A13" s="100"/>
      <c r="B13" s="100"/>
      <c r="C13" s="65" t="s">
        <v>2772</v>
      </c>
      <c r="D13" s="70" t="s">
        <v>57</v>
      </c>
      <c r="E13" s="12">
        <v>44546</v>
      </c>
      <c r="F13" s="68" t="s">
        <v>58</v>
      </c>
      <c r="G13" s="12">
        <v>44550</v>
      </c>
      <c r="H13" s="69" t="s">
        <v>1619</v>
      </c>
      <c r="I13" s="15">
        <v>50</v>
      </c>
      <c r="J13" s="15">
        <v>41</v>
      </c>
      <c r="K13" s="15">
        <v>17</v>
      </c>
      <c r="L13" s="15">
        <v>4</v>
      </c>
      <c r="M13" s="73">
        <v>8.7125000000000004</v>
      </c>
      <c r="N13" s="104">
        <v>8.7125000000000004</v>
      </c>
      <c r="O13" s="57">
        <v>7000</v>
      </c>
      <c r="P13" s="58">
        <f t="shared" si="0"/>
        <v>60987.5</v>
      </c>
    </row>
    <row r="14" spans="1:16" ht="29.25" customHeight="1" x14ac:dyDescent="0.2">
      <c r="A14" s="100"/>
      <c r="B14" s="100"/>
      <c r="C14" s="65" t="s">
        <v>2773</v>
      </c>
      <c r="D14" s="70" t="s">
        <v>57</v>
      </c>
      <c r="E14" s="12">
        <v>44546</v>
      </c>
      <c r="F14" s="68" t="s">
        <v>58</v>
      </c>
      <c r="G14" s="12">
        <v>44550</v>
      </c>
      <c r="H14" s="69" t="s">
        <v>1619</v>
      </c>
      <c r="I14" s="15">
        <v>80</v>
      </c>
      <c r="J14" s="15">
        <v>61</v>
      </c>
      <c r="K14" s="15">
        <v>11</v>
      </c>
      <c r="L14" s="15">
        <v>16</v>
      </c>
      <c r="M14" s="73">
        <v>13.42</v>
      </c>
      <c r="N14" s="104">
        <v>17</v>
      </c>
      <c r="O14" s="57">
        <v>7000</v>
      </c>
      <c r="P14" s="58">
        <f t="shared" si="0"/>
        <v>119000</v>
      </c>
    </row>
    <row r="15" spans="1:16" ht="29.25" customHeight="1" x14ac:dyDescent="0.2">
      <c r="A15" s="100"/>
      <c r="B15" s="100"/>
      <c r="C15" s="65" t="s">
        <v>2774</v>
      </c>
      <c r="D15" s="70" t="s">
        <v>57</v>
      </c>
      <c r="E15" s="12">
        <v>44546</v>
      </c>
      <c r="F15" s="68" t="s">
        <v>58</v>
      </c>
      <c r="G15" s="12">
        <v>44550</v>
      </c>
      <c r="H15" s="69" t="s">
        <v>1619</v>
      </c>
      <c r="I15" s="15">
        <v>90</v>
      </c>
      <c r="J15" s="15">
        <v>62</v>
      </c>
      <c r="K15" s="15">
        <v>20</v>
      </c>
      <c r="L15" s="15">
        <v>21</v>
      </c>
      <c r="M15" s="73">
        <v>27.9</v>
      </c>
      <c r="N15" s="104">
        <v>27.9</v>
      </c>
      <c r="O15" s="57">
        <v>7000</v>
      </c>
      <c r="P15" s="58">
        <f t="shared" si="0"/>
        <v>195300</v>
      </c>
    </row>
    <row r="16" spans="1:16" ht="29.25" customHeight="1" x14ac:dyDescent="0.2">
      <c r="A16" s="100"/>
      <c r="B16" s="100"/>
      <c r="C16" s="65" t="s">
        <v>2775</v>
      </c>
      <c r="D16" s="70" t="s">
        <v>57</v>
      </c>
      <c r="E16" s="12">
        <v>44546</v>
      </c>
      <c r="F16" s="68" t="s">
        <v>58</v>
      </c>
      <c r="G16" s="12">
        <v>44550</v>
      </c>
      <c r="H16" s="69" t="s">
        <v>1619</v>
      </c>
      <c r="I16" s="15">
        <v>90</v>
      </c>
      <c r="J16" s="15">
        <v>60</v>
      </c>
      <c r="K16" s="15">
        <v>16</v>
      </c>
      <c r="L16" s="15">
        <v>7</v>
      </c>
      <c r="M16" s="73">
        <v>21.6</v>
      </c>
      <c r="N16" s="104">
        <v>21.6</v>
      </c>
      <c r="O16" s="57">
        <v>7000</v>
      </c>
      <c r="P16" s="58">
        <f t="shared" si="0"/>
        <v>151200</v>
      </c>
    </row>
    <row r="17" spans="1:16" ht="29.25" customHeight="1" x14ac:dyDescent="0.2">
      <c r="A17" s="100"/>
      <c r="B17" s="100"/>
      <c r="C17" s="65" t="s">
        <v>2776</v>
      </c>
      <c r="D17" s="70" t="s">
        <v>57</v>
      </c>
      <c r="E17" s="12">
        <v>44546</v>
      </c>
      <c r="F17" s="68" t="s">
        <v>58</v>
      </c>
      <c r="G17" s="12">
        <v>44550</v>
      </c>
      <c r="H17" s="69" t="s">
        <v>1619</v>
      </c>
      <c r="I17" s="15">
        <v>81</v>
      </c>
      <c r="J17" s="15">
        <v>54</v>
      </c>
      <c r="K17" s="15">
        <v>11</v>
      </c>
      <c r="L17" s="15">
        <v>3</v>
      </c>
      <c r="M17" s="73">
        <v>12.028499999999999</v>
      </c>
      <c r="N17" s="104">
        <v>12.028499999999999</v>
      </c>
      <c r="O17" s="57">
        <v>7000</v>
      </c>
      <c r="P17" s="58">
        <f t="shared" si="0"/>
        <v>84199.5</v>
      </c>
    </row>
    <row r="18" spans="1:16" ht="29.25" customHeight="1" x14ac:dyDescent="0.2">
      <c r="A18" s="100"/>
      <c r="B18" s="100"/>
      <c r="C18" s="65" t="s">
        <v>2777</v>
      </c>
      <c r="D18" s="70" t="s">
        <v>57</v>
      </c>
      <c r="E18" s="12">
        <v>44546</v>
      </c>
      <c r="F18" s="68" t="s">
        <v>58</v>
      </c>
      <c r="G18" s="12">
        <v>44550</v>
      </c>
      <c r="H18" s="69" t="s">
        <v>1619</v>
      </c>
      <c r="I18" s="15">
        <v>153</v>
      </c>
      <c r="J18" s="15">
        <v>10</v>
      </c>
      <c r="K18" s="15">
        <v>10</v>
      </c>
      <c r="L18" s="15">
        <v>2</v>
      </c>
      <c r="M18" s="73">
        <v>3.8250000000000002</v>
      </c>
      <c r="N18" s="104">
        <v>3.8250000000000002</v>
      </c>
      <c r="O18" s="57">
        <v>7000</v>
      </c>
      <c r="P18" s="58">
        <f t="shared" si="0"/>
        <v>26775</v>
      </c>
    </row>
    <row r="19" spans="1:16" ht="29.25" customHeight="1" x14ac:dyDescent="0.2">
      <c r="A19" s="100"/>
      <c r="B19" s="100"/>
      <c r="C19" s="65" t="s">
        <v>2778</v>
      </c>
      <c r="D19" s="70" t="s">
        <v>57</v>
      </c>
      <c r="E19" s="12">
        <v>44546</v>
      </c>
      <c r="F19" s="68" t="s">
        <v>58</v>
      </c>
      <c r="G19" s="12">
        <v>44550</v>
      </c>
      <c r="H19" s="69" t="s">
        <v>1619</v>
      </c>
      <c r="I19" s="15">
        <v>70</v>
      </c>
      <c r="J19" s="15">
        <v>20</v>
      </c>
      <c r="K19" s="15">
        <v>13</v>
      </c>
      <c r="L19" s="15">
        <v>3</v>
      </c>
      <c r="M19" s="73">
        <v>4.55</v>
      </c>
      <c r="N19" s="104">
        <v>4.55</v>
      </c>
      <c r="O19" s="57">
        <v>7000</v>
      </c>
      <c r="P19" s="58">
        <f t="shared" si="0"/>
        <v>31850</v>
      </c>
    </row>
    <row r="20" spans="1:16" ht="29.25" customHeight="1" x14ac:dyDescent="0.2">
      <c r="A20" s="100"/>
      <c r="B20" s="100"/>
      <c r="C20" s="65" t="s">
        <v>2779</v>
      </c>
      <c r="D20" s="70" t="s">
        <v>57</v>
      </c>
      <c r="E20" s="12">
        <v>44546</v>
      </c>
      <c r="F20" s="68" t="s">
        <v>58</v>
      </c>
      <c r="G20" s="12">
        <v>44550</v>
      </c>
      <c r="H20" s="69" t="s">
        <v>1619</v>
      </c>
      <c r="I20" s="15">
        <v>80</v>
      </c>
      <c r="J20" s="15">
        <v>60</v>
      </c>
      <c r="K20" s="15">
        <v>16</v>
      </c>
      <c r="L20" s="15">
        <v>10</v>
      </c>
      <c r="M20" s="73">
        <v>19.2</v>
      </c>
      <c r="N20" s="104">
        <v>19.2</v>
      </c>
      <c r="O20" s="57">
        <v>7000</v>
      </c>
      <c r="P20" s="58">
        <f t="shared" si="0"/>
        <v>134400</v>
      </c>
    </row>
    <row r="21" spans="1:16" ht="29.25" customHeight="1" x14ac:dyDescent="0.2">
      <c r="A21" s="100"/>
      <c r="B21" s="100"/>
      <c r="C21" s="65" t="s">
        <v>2780</v>
      </c>
      <c r="D21" s="70" t="s">
        <v>57</v>
      </c>
      <c r="E21" s="12">
        <v>44546</v>
      </c>
      <c r="F21" s="68" t="s">
        <v>58</v>
      </c>
      <c r="G21" s="12">
        <v>44550</v>
      </c>
      <c r="H21" s="69" t="s">
        <v>1619</v>
      </c>
      <c r="I21" s="15">
        <v>40</v>
      </c>
      <c r="J21" s="15">
        <v>33</v>
      </c>
      <c r="K21" s="15">
        <v>18</v>
      </c>
      <c r="L21" s="15">
        <v>3</v>
      </c>
      <c r="M21" s="73">
        <v>5.94</v>
      </c>
      <c r="N21" s="104">
        <v>5.94</v>
      </c>
      <c r="O21" s="57">
        <v>7000</v>
      </c>
      <c r="P21" s="58">
        <f t="shared" si="0"/>
        <v>41580</v>
      </c>
    </row>
    <row r="22" spans="1:16" ht="29.25" customHeight="1" x14ac:dyDescent="0.2">
      <c r="A22" s="100"/>
      <c r="B22" s="100"/>
      <c r="C22" s="65" t="s">
        <v>2781</v>
      </c>
      <c r="D22" s="70" t="s">
        <v>57</v>
      </c>
      <c r="E22" s="12">
        <v>44546</v>
      </c>
      <c r="F22" s="68" t="s">
        <v>58</v>
      </c>
      <c r="G22" s="12">
        <v>44550</v>
      </c>
      <c r="H22" s="69" t="s">
        <v>1619</v>
      </c>
      <c r="I22" s="15">
        <v>160</v>
      </c>
      <c r="J22" s="15">
        <v>31</v>
      </c>
      <c r="K22" s="15">
        <v>12</v>
      </c>
      <c r="L22" s="15">
        <v>25</v>
      </c>
      <c r="M22" s="73">
        <v>14.88</v>
      </c>
      <c r="N22" s="104">
        <v>25</v>
      </c>
      <c r="O22" s="57">
        <v>7000</v>
      </c>
      <c r="P22" s="58">
        <f t="shared" si="0"/>
        <v>175000</v>
      </c>
    </row>
    <row r="23" spans="1:16" ht="29.25" customHeight="1" x14ac:dyDescent="0.2">
      <c r="A23" s="100"/>
      <c r="B23" s="100"/>
      <c r="C23" s="65" t="s">
        <v>2782</v>
      </c>
      <c r="D23" s="70" t="s">
        <v>57</v>
      </c>
      <c r="E23" s="12">
        <v>44546</v>
      </c>
      <c r="F23" s="68" t="s">
        <v>58</v>
      </c>
      <c r="G23" s="12">
        <v>44550</v>
      </c>
      <c r="H23" s="69" t="s">
        <v>1619</v>
      </c>
      <c r="I23" s="15">
        <v>100</v>
      </c>
      <c r="J23" s="15">
        <v>52</v>
      </c>
      <c r="K23" s="15">
        <v>23</v>
      </c>
      <c r="L23" s="15">
        <v>26</v>
      </c>
      <c r="M23" s="73">
        <v>29.9</v>
      </c>
      <c r="N23" s="104">
        <v>29.9</v>
      </c>
      <c r="O23" s="57">
        <v>7000</v>
      </c>
      <c r="P23" s="58">
        <f t="shared" si="0"/>
        <v>209300</v>
      </c>
    </row>
    <row r="24" spans="1:16" ht="29.25" customHeight="1" x14ac:dyDescent="0.2">
      <c r="A24" s="100"/>
      <c r="B24" s="101"/>
      <c r="C24" s="65" t="s">
        <v>2783</v>
      </c>
      <c r="D24" s="70" t="s">
        <v>57</v>
      </c>
      <c r="E24" s="12">
        <v>44546</v>
      </c>
      <c r="F24" s="68" t="s">
        <v>58</v>
      </c>
      <c r="G24" s="12">
        <v>44550</v>
      </c>
      <c r="H24" s="69" t="s">
        <v>1619</v>
      </c>
      <c r="I24" s="15">
        <v>63</v>
      </c>
      <c r="J24" s="15">
        <v>63</v>
      </c>
      <c r="K24" s="15">
        <v>40</v>
      </c>
      <c r="L24" s="15">
        <v>45</v>
      </c>
      <c r="M24" s="73">
        <v>39.69</v>
      </c>
      <c r="N24" s="104">
        <v>45</v>
      </c>
      <c r="O24" s="57">
        <v>7000</v>
      </c>
      <c r="P24" s="58">
        <f t="shared" si="0"/>
        <v>315000</v>
      </c>
    </row>
    <row r="25" spans="1:16" ht="29.25" customHeight="1" x14ac:dyDescent="0.2">
      <c r="A25" s="100"/>
      <c r="B25" s="100" t="s">
        <v>2784</v>
      </c>
      <c r="C25" s="65" t="s">
        <v>2785</v>
      </c>
      <c r="D25" s="70" t="s">
        <v>57</v>
      </c>
      <c r="E25" s="12">
        <v>44546</v>
      </c>
      <c r="F25" s="68" t="s">
        <v>58</v>
      </c>
      <c r="G25" s="12">
        <v>44550</v>
      </c>
      <c r="H25" s="69" t="s">
        <v>1619</v>
      </c>
      <c r="I25" s="15">
        <v>40</v>
      </c>
      <c r="J25" s="15">
        <v>45</v>
      </c>
      <c r="K25" s="15">
        <v>45</v>
      </c>
      <c r="L25" s="15">
        <v>15</v>
      </c>
      <c r="M25" s="73">
        <v>20.25</v>
      </c>
      <c r="N25" s="104">
        <v>20.25</v>
      </c>
      <c r="O25" s="57">
        <v>7000</v>
      </c>
      <c r="P25" s="58">
        <f t="shared" si="0"/>
        <v>141750</v>
      </c>
    </row>
    <row r="26" spans="1:16" ht="29.25" customHeight="1" x14ac:dyDescent="0.2">
      <c r="A26" s="100"/>
      <c r="B26" s="100"/>
      <c r="C26" s="65" t="s">
        <v>2786</v>
      </c>
      <c r="D26" s="70" t="s">
        <v>57</v>
      </c>
      <c r="E26" s="12">
        <v>44546</v>
      </c>
      <c r="F26" s="68" t="s">
        <v>58</v>
      </c>
      <c r="G26" s="12">
        <v>44550</v>
      </c>
      <c r="H26" s="69" t="s">
        <v>1619</v>
      </c>
      <c r="I26" s="15">
        <v>30</v>
      </c>
      <c r="J26" s="15">
        <v>33</v>
      </c>
      <c r="K26" s="15">
        <v>10</v>
      </c>
      <c r="L26" s="15">
        <v>3</v>
      </c>
      <c r="M26" s="73">
        <v>2.4750000000000001</v>
      </c>
      <c r="N26" s="104">
        <v>4</v>
      </c>
      <c r="O26" s="57">
        <v>7000</v>
      </c>
      <c r="P26" s="58">
        <f t="shared" si="0"/>
        <v>28000</v>
      </c>
    </row>
    <row r="27" spans="1:16" ht="22.5" customHeight="1" x14ac:dyDescent="0.2">
      <c r="A27" s="159" t="s">
        <v>30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M27" s="71">
        <f>SUBTOTAL(109,Table2245789101123456789101112131415161718192021222324252627282930313233343537383940414243444546[KG VOLUME])</f>
        <v>375.70724999999999</v>
      </c>
      <c r="N27" s="61">
        <f>SUM(N3:N26)</f>
        <v>397.47474999999997</v>
      </c>
      <c r="O27" s="162">
        <f>SUM(P3:P26)</f>
        <v>2782323.25</v>
      </c>
      <c r="P27" s="163"/>
    </row>
    <row r="28" spans="1:16" ht="18" customHeight="1" x14ac:dyDescent="0.2">
      <c r="A28" s="78"/>
      <c r="B28" s="49" t="s">
        <v>42</v>
      </c>
      <c r="C28" s="48"/>
      <c r="D28" s="50" t="s">
        <v>43</v>
      </c>
      <c r="E28" s="78"/>
      <c r="F28" s="78"/>
      <c r="G28" s="78"/>
      <c r="H28" s="78"/>
      <c r="I28" s="78"/>
      <c r="J28" s="78"/>
      <c r="K28" s="78"/>
      <c r="L28" s="78"/>
      <c r="M28" s="79"/>
      <c r="N28" s="80" t="s">
        <v>52</v>
      </c>
      <c r="O28" s="81"/>
      <c r="P28" s="81">
        <v>0</v>
      </c>
    </row>
    <row r="29" spans="1:16" ht="18" customHeight="1" thickBot="1" x14ac:dyDescent="0.25">
      <c r="A29" s="78"/>
      <c r="B29" s="49"/>
      <c r="C29" s="48"/>
      <c r="D29" s="50"/>
      <c r="E29" s="78"/>
      <c r="F29" s="78"/>
      <c r="G29" s="78"/>
      <c r="H29" s="78"/>
      <c r="I29" s="78"/>
      <c r="J29" s="78"/>
      <c r="K29" s="78"/>
      <c r="L29" s="78"/>
      <c r="M29" s="79"/>
      <c r="N29" s="82" t="s">
        <v>53</v>
      </c>
      <c r="O29" s="83"/>
      <c r="P29" s="83">
        <f>O27-P28</f>
        <v>2782323.25</v>
      </c>
    </row>
    <row r="30" spans="1:16" ht="18" customHeight="1" x14ac:dyDescent="0.2">
      <c r="A30" s="10"/>
      <c r="H30" s="56"/>
      <c r="N30" s="55" t="s">
        <v>31</v>
      </c>
      <c r="P30" s="62">
        <f>P29*1%</f>
        <v>27823.232500000002</v>
      </c>
    </row>
    <row r="31" spans="1:16" ht="18" customHeight="1" thickBot="1" x14ac:dyDescent="0.25">
      <c r="A31" s="10"/>
      <c r="H31" s="56"/>
      <c r="N31" s="55" t="s">
        <v>54</v>
      </c>
      <c r="P31" s="64">
        <f>P29*2%</f>
        <v>55646.465000000004</v>
      </c>
    </row>
    <row r="32" spans="1:16" ht="18" customHeight="1" x14ac:dyDescent="0.2">
      <c r="A32" s="10"/>
      <c r="H32" s="56"/>
      <c r="N32" s="59" t="s">
        <v>32</v>
      </c>
      <c r="O32" s="60"/>
      <c r="P32" s="63">
        <f>P29+P30-P31</f>
        <v>2754500.0175000001</v>
      </c>
    </row>
    <row r="34" spans="1:16" x14ac:dyDescent="0.2">
      <c r="A34" s="10"/>
      <c r="H34" s="56"/>
      <c r="P34" s="64"/>
    </row>
    <row r="35" spans="1:16" x14ac:dyDescent="0.2">
      <c r="A35" s="10"/>
      <c r="H35" s="56"/>
      <c r="O35" s="51"/>
      <c r="P35" s="6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</sheetData>
  <mergeCells count="2">
    <mergeCell ref="A27:L27"/>
    <mergeCell ref="O27:P27"/>
  </mergeCells>
  <conditionalFormatting sqref="C3:C26">
    <cfRule type="duplicateValues" dxfId="879" priority="7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4"/>
  <sheetViews>
    <sheetView topLeftCell="A229" workbookViewId="0">
      <selection activeCell="J239" sqref="J238:J23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402663</v>
      </c>
      <c r="B3" s="99" t="s">
        <v>2787</v>
      </c>
      <c r="C3" s="90" t="s">
        <v>2788</v>
      </c>
      <c r="D3" s="102" t="s">
        <v>57</v>
      </c>
      <c r="E3" s="91">
        <v>44546</v>
      </c>
      <c r="F3" s="102" t="s">
        <v>58</v>
      </c>
      <c r="G3" s="91">
        <v>44550</v>
      </c>
      <c r="H3" s="90" t="s">
        <v>2130</v>
      </c>
      <c r="I3" s="90">
        <v>105</v>
      </c>
      <c r="J3" s="90">
        <v>57</v>
      </c>
      <c r="K3" s="90">
        <v>27</v>
      </c>
      <c r="L3" s="90">
        <v>36</v>
      </c>
      <c r="M3" s="92">
        <v>40.39875</v>
      </c>
      <c r="N3" s="104">
        <v>41</v>
      </c>
      <c r="O3" s="57">
        <v>7000</v>
      </c>
      <c r="P3" s="58">
        <f t="shared" ref="P3:P66" si="0">N3*O3</f>
        <v>287000</v>
      </c>
    </row>
    <row r="4" spans="1:16" ht="26.25" customHeight="1" x14ac:dyDescent="0.2">
      <c r="A4" s="100"/>
      <c r="B4" s="100"/>
      <c r="C4" s="90" t="s">
        <v>2789</v>
      </c>
      <c r="D4" s="102" t="s">
        <v>57</v>
      </c>
      <c r="E4" s="91">
        <v>44546</v>
      </c>
      <c r="F4" s="102" t="s">
        <v>58</v>
      </c>
      <c r="G4" s="91">
        <v>44550</v>
      </c>
      <c r="H4" s="90" t="s">
        <v>2130</v>
      </c>
      <c r="I4" s="90">
        <v>81</v>
      </c>
      <c r="J4" s="90">
        <v>63</v>
      </c>
      <c r="K4" s="90">
        <v>21</v>
      </c>
      <c r="L4" s="90">
        <v>23</v>
      </c>
      <c r="M4" s="92">
        <v>26.790749999999999</v>
      </c>
      <c r="N4" s="104">
        <v>26.790749999999999</v>
      </c>
      <c r="O4" s="57">
        <v>7000</v>
      </c>
      <c r="P4" s="58">
        <f t="shared" si="0"/>
        <v>187535.25</v>
      </c>
    </row>
    <row r="5" spans="1:16" ht="26.25" customHeight="1" x14ac:dyDescent="0.2">
      <c r="A5" s="100"/>
      <c r="B5" s="100"/>
      <c r="C5" s="65" t="s">
        <v>2790</v>
      </c>
      <c r="D5" s="70" t="s">
        <v>57</v>
      </c>
      <c r="E5" s="12">
        <v>44546</v>
      </c>
      <c r="F5" s="68" t="s">
        <v>58</v>
      </c>
      <c r="G5" s="12">
        <v>44550</v>
      </c>
      <c r="H5" s="69" t="s">
        <v>2130</v>
      </c>
      <c r="I5" s="15">
        <v>97</v>
      </c>
      <c r="J5" s="15">
        <v>58</v>
      </c>
      <c r="K5" s="15">
        <v>33</v>
      </c>
      <c r="L5" s="15">
        <v>26</v>
      </c>
      <c r="M5" s="73">
        <v>46.414499999999997</v>
      </c>
      <c r="N5" s="104">
        <v>47</v>
      </c>
      <c r="O5" s="57">
        <v>7000</v>
      </c>
      <c r="P5" s="58">
        <f t="shared" si="0"/>
        <v>329000</v>
      </c>
    </row>
    <row r="6" spans="1:16" ht="26.25" customHeight="1" x14ac:dyDescent="0.2">
      <c r="A6" s="100"/>
      <c r="B6" s="100"/>
      <c r="C6" s="65" t="s">
        <v>2791</v>
      </c>
      <c r="D6" s="70" t="s">
        <v>57</v>
      </c>
      <c r="E6" s="12">
        <v>44546</v>
      </c>
      <c r="F6" s="68" t="s">
        <v>58</v>
      </c>
      <c r="G6" s="12">
        <v>44550</v>
      </c>
      <c r="H6" s="69" t="s">
        <v>2130</v>
      </c>
      <c r="I6" s="15">
        <v>106</v>
      </c>
      <c r="J6" s="15">
        <v>67</v>
      </c>
      <c r="K6" s="15">
        <v>35</v>
      </c>
      <c r="L6" s="15">
        <v>13</v>
      </c>
      <c r="M6" s="73">
        <v>62.142499999999998</v>
      </c>
      <c r="N6" s="104">
        <v>62.142499999999998</v>
      </c>
      <c r="O6" s="57">
        <v>7000</v>
      </c>
      <c r="P6" s="58">
        <f t="shared" si="0"/>
        <v>434997.5</v>
      </c>
    </row>
    <row r="7" spans="1:16" ht="26.25" customHeight="1" x14ac:dyDescent="0.2">
      <c r="A7" s="100"/>
      <c r="B7" s="100"/>
      <c r="C7" s="65" t="s">
        <v>2792</v>
      </c>
      <c r="D7" s="70" t="s">
        <v>57</v>
      </c>
      <c r="E7" s="12">
        <v>44546</v>
      </c>
      <c r="F7" s="68" t="s">
        <v>58</v>
      </c>
      <c r="G7" s="12">
        <v>44550</v>
      </c>
      <c r="H7" s="69" t="s">
        <v>2130</v>
      </c>
      <c r="I7" s="15">
        <v>55</v>
      </c>
      <c r="J7" s="15">
        <v>45</v>
      </c>
      <c r="K7" s="15">
        <v>41</v>
      </c>
      <c r="L7" s="15">
        <v>2</v>
      </c>
      <c r="M7" s="73">
        <v>25.368749999999999</v>
      </c>
      <c r="N7" s="104">
        <v>26</v>
      </c>
      <c r="O7" s="57">
        <v>7000</v>
      </c>
      <c r="P7" s="58">
        <f t="shared" si="0"/>
        <v>182000</v>
      </c>
    </row>
    <row r="8" spans="1:16" ht="26.25" customHeight="1" x14ac:dyDescent="0.2">
      <c r="A8" s="100"/>
      <c r="B8" s="100"/>
      <c r="C8" s="65" t="s">
        <v>2793</v>
      </c>
      <c r="D8" s="70" t="s">
        <v>57</v>
      </c>
      <c r="E8" s="12">
        <v>44546</v>
      </c>
      <c r="F8" s="68" t="s">
        <v>58</v>
      </c>
      <c r="G8" s="12">
        <v>44550</v>
      </c>
      <c r="H8" s="69" t="s">
        <v>2130</v>
      </c>
      <c r="I8" s="15">
        <v>36</v>
      </c>
      <c r="J8" s="15">
        <v>25</v>
      </c>
      <c r="K8" s="15">
        <v>23</v>
      </c>
      <c r="L8" s="15">
        <v>5</v>
      </c>
      <c r="M8" s="73">
        <v>5.1749999999999998</v>
      </c>
      <c r="N8" s="104">
        <v>5.1749999999999998</v>
      </c>
      <c r="O8" s="57">
        <v>7000</v>
      </c>
      <c r="P8" s="58">
        <f t="shared" si="0"/>
        <v>36225</v>
      </c>
    </row>
    <row r="9" spans="1:16" ht="26.25" customHeight="1" x14ac:dyDescent="0.2">
      <c r="A9" s="100"/>
      <c r="B9" s="100"/>
      <c r="C9" s="65" t="s">
        <v>2794</v>
      </c>
      <c r="D9" s="70" t="s">
        <v>57</v>
      </c>
      <c r="E9" s="12">
        <v>44546</v>
      </c>
      <c r="F9" s="68" t="s">
        <v>58</v>
      </c>
      <c r="G9" s="12">
        <v>44550</v>
      </c>
      <c r="H9" s="69" t="s">
        <v>2130</v>
      </c>
      <c r="I9" s="15">
        <v>44</v>
      </c>
      <c r="J9" s="15">
        <v>21</v>
      </c>
      <c r="K9" s="15">
        <v>22</v>
      </c>
      <c r="L9" s="15">
        <v>3</v>
      </c>
      <c r="M9" s="73">
        <v>5.0819999999999999</v>
      </c>
      <c r="N9" s="104">
        <v>5.0819999999999999</v>
      </c>
      <c r="O9" s="57">
        <v>7000</v>
      </c>
      <c r="P9" s="58">
        <f t="shared" si="0"/>
        <v>35574</v>
      </c>
    </row>
    <row r="10" spans="1:16" ht="26.25" customHeight="1" x14ac:dyDescent="0.2">
      <c r="A10" s="100"/>
      <c r="B10" s="100"/>
      <c r="C10" s="65" t="s">
        <v>2795</v>
      </c>
      <c r="D10" s="70" t="s">
        <v>57</v>
      </c>
      <c r="E10" s="12">
        <v>44546</v>
      </c>
      <c r="F10" s="68" t="s">
        <v>58</v>
      </c>
      <c r="G10" s="12">
        <v>44550</v>
      </c>
      <c r="H10" s="69" t="s">
        <v>2130</v>
      </c>
      <c r="I10" s="15">
        <v>92</v>
      </c>
      <c r="J10" s="15">
        <v>46</v>
      </c>
      <c r="K10" s="15">
        <v>23</v>
      </c>
      <c r="L10" s="15">
        <v>18</v>
      </c>
      <c r="M10" s="73">
        <v>24.334</v>
      </c>
      <c r="N10" s="104">
        <v>25</v>
      </c>
      <c r="O10" s="57">
        <v>7000</v>
      </c>
      <c r="P10" s="58">
        <f t="shared" si="0"/>
        <v>175000</v>
      </c>
    </row>
    <row r="11" spans="1:16" ht="26.25" customHeight="1" x14ac:dyDescent="0.2">
      <c r="A11" s="100"/>
      <c r="B11" s="100"/>
      <c r="C11" s="65" t="s">
        <v>2796</v>
      </c>
      <c r="D11" s="70" t="s">
        <v>57</v>
      </c>
      <c r="E11" s="12">
        <v>44546</v>
      </c>
      <c r="F11" s="68" t="s">
        <v>58</v>
      </c>
      <c r="G11" s="12">
        <v>44550</v>
      </c>
      <c r="H11" s="69" t="s">
        <v>2130</v>
      </c>
      <c r="I11" s="15">
        <v>50</v>
      </c>
      <c r="J11" s="15">
        <v>30</v>
      </c>
      <c r="K11" s="15">
        <v>45</v>
      </c>
      <c r="L11" s="15">
        <v>14</v>
      </c>
      <c r="M11" s="73">
        <v>16.875</v>
      </c>
      <c r="N11" s="104">
        <v>16.875</v>
      </c>
      <c r="O11" s="57">
        <v>7000</v>
      </c>
      <c r="P11" s="58">
        <f t="shared" si="0"/>
        <v>118125</v>
      </c>
    </row>
    <row r="12" spans="1:16" ht="26.25" customHeight="1" x14ac:dyDescent="0.2">
      <c r="A12" s="100"/>
      <c r="B12" s="100"/>
      <c r="C12" s="65" t="s">
        <v>2797</v>
      </c>
      <c r="D12" s="70" t="s">
        <v>57</v>
      </c>
      <c r="E12" s="12">
        <v>44546</v>
      </c>
      <c r="F12" s="68" t="s">
        <v>58</v>
      </c>
      <c r="G12" s="12">
        <v>44550</v>
      </c>
      <c r="H12" s="69" t="s">
        <v>2130</v>
      </c>
      <c r="I12" s="15">
        <v>51</v>
      </c>
      <c r="J12" s="15">
        <v>21</v>
      </c>
      <c r="K12" s="15">
        <v>13</v>
      </c>
      <c r="L12" s="15">
        <v>6</v>
      </c>
      <c r="M12" s="73">
        <v>3.48075</v>
      </c>
      <c r="N12" s="104">
        <v>7</v>
      </c>
      <c r="O12" s="57">
        <v>7000</v>
      </c>
      <c r="P12" s="58">
        <f t="shared" si="0"/>
        <v>49000</v>
      </c>
    </row>
    <row r="13" spans="1:16" ht="26.25" customHeight="1" x14ac:dyDescent="0.2">
      <c r="A13" s="100"/>
      <c r="B13" s="100"/>
      <c r="C13" s="65" t="s">
        <v>2798</v>
      </c>
      <c r="D13" s="70" t="s">
        <v>57</v>
      </c>
      <c r="E13" s="12">
        <v>44546</v>
      </c>
      <c r="F13" s="68" t="s">
        <v>58</v>
      </c>
      <c r="G13" s="12">
        <v>44550</v>
      </c>
      <c r="H13" s="69" t="s">
        <v>2130</v>
      </c>
      <c r="I13" s="15">
        <v>70</v>
      </c>
      <c r="J13" s="15">
        <v>55</v>
      </c>
      <c r="K13" s="15">
        <v>13</v>
      </c>
      <c r="L13" s="15">
        <v>4</v>
      </c>
      <c r="M13" s="73">
        <v>12.512499999999999</v>
      </c>
      <c r="N13" s="104">
        <v>12.512499999999999</v>
      </c>
      <c r="O13" s="57">
        <v>7000</v>
      </c>
      <c r="P13" s="58">
        <f t="shared" si="0"/>
        <v>87587.5</v>
      </c>
    </row>
    <row r="14" spans="1:16" ht="26.25" customHeight="1" x14ac:dyDescent="0.2">
      <c r="A14" s="100"/>
      <c r="B14" s="100"/>
      <c r="C14" s="65" t="s">
        <v>2799</v>
      </c>
      <c r="D14" s="70" t="s">
        <v>57</v>
      </c>
      <c r="E14" s="12">
        <v>44546</v>
      </c>
      <c r="F14" s="68" t="s">
        <v>58</v>
      </c>
      <c r="G14" s="12">
        <v>44550</v>
      </c>
      <c r="H14" s="69" t="s">
        <v>2130</v>
      </c>
      <c r="I14" s="15">
        <v>87</v>
      </c>
      <c r="J14" s="15">
        <v>45</v>
      </c>
      <c r="K14" s="15">
        <v>21</v>
      </c>
      <c r="L14" s="15">
        <v>5</v>
      </c>
      <c r="M14" s="73">
        <v>20.553750000000001</v>
      </c>
      <c r="N14" s="104">
        <v>20.553750000000001</v>
      </c>
      <c r="O14" s="57">
        <v>7000</v>
      </c>
      <c r="P14" s="58">
        <f t="shared" si="0"/>
        <v>143876.25</v>
      </c>
    </row>
    <row r="15" spans="1:16" ht="26.25" customHeight="1" x14ac:dyDescent="0.2">
      <c r="A15" s="100"/>
      <c r="B15" s="100"/>
      <c r="C15" s="65" t="s">
        <v>2800</v>
      </c>
      <c r="D15" s="70" t="s">
        <v>57</v>
      </c>
      <c r="E15" s="12">
        <v>44546</v>
      </c>
      <c r="F15" s="68" t="s">
        <v>58</v>
      </c>
      <c r="G15" s="12">
        <v>44550</v>
      </c>
      <c r="H15" s="69" t="s">
        <v>2130</v>
      </c>
      <c r="I15" s="15">
        <v>85</v>
      </c>
      <c r="J15" s="15">
        <v>54</v>
      </c>
      <c r="K15" s="15">
        <v>12</v>
      </c>
      <c r="L15" s="15">
        <v>1</v>
      </c>
      <c r="M15" s="73">
        <v>13.77</v>
      </c>
      <c r="N15" s="104">
        <v>13.77</v>
      </c>
      <c r="O15" s="57">
        <v>7000</v>
      </c>
      <c r="P15" s="58">
        <f t="shared" si="0"/>
        <v>96390</v>
      </c>
    </row>
    <row r="16" spans="1:16" ht="26.25" customHeight="1" x14ac:dyDescent="0.2">
      <c r="A16" s="100"/>
      <c r="B16" s="100"/>
      <c r="C16" s="65" t="s">
        <v>2801</v>
      </c>
      <c r="D16" s="70" t="s">
        <v>57</v>
      </c>
      <c r="E16" s="12">
        <v>44546</v>
      </c>
      <c r="F16" s="68" t="s">
        <v>58</v>
      </c>
      <c r="G16" s="12">
        <v>44550</v>
      </c>
      <c r="H16" s="69" t="s">
        <v>2130</v>
      </c>
      <c r="I16" s="15">
        <v>73</v>
      </c>
      <c r="J16" s="15">
        <v>25</v>
      </c>
      <c r="K16" s="15">
        <v>12</v>
      </c>
      <c r="L16" s="15">
        <v>4</v>
      </c>
      <c r="M16" s="73">
        <v>5.4749999999999996</v>
      </c>
      <c r="N16" s="104">
        <v>6</v>
      </c>
      <c r="O16" s="57">
        <v>7000</v>
      </c>
      <c r="P16" s="58">
        <f t="shared" si="0"/>
        <v>42000</v>
      </c>
    </row>
    <row r="17" spans="1:16" ht="26.25" customHeight="1" x14ac:dyDescent="0.2">
      <c r="A17" s="100"/>
      <c r="B17" s="101"/>
      <c r="C17" s="65" t="s">
        <v>2802</v>
      </c>
      <c r="D17" s="70" t="s">
        <v>57</v>
      </c>
      <c r="E17" s="12">
        <v>44546</v>
      </c>
      <c r="F17" s="68" t="s">
        <v>58</v>
      </c>
      <c r="G17" s="12">
        <v>44550</v>
      </c>
      <c r="H17" s="69" t="s">
        <v>2130</v>
      </c>
      <c r="I17" s="15">
        <v>61</v>
      </c>
      <c r="J17" s="15">
        <v>26</v>
      </c>
      <c r="K17" s="15">
        <v>26</v>
      </c>
      <c r="L17" s="15">
        <v>3</v>
      </c>
      <c r="M17" s="73">
        <v>10.308999999999999</v>
      </c>
      <c r="N17" s="104">
        <v>11</v>
      </c>
      <c r="O17" s="57">
        <v>7000</v>
      </c>
      <c r="P17" s="58">
        <f t="shared" si="0"/>
        <v>77000</v>
      </c>
    </row>
    <row r="18" spans="1:16" ht="26.25" customHeight="1" x14ac:dyDescent="0.2">
      <c r="A18" s="100"/>
      <c r="B18" s="100" t="s">
        <v>2803</v>
      </c>
      <c r="C18" s="65" t="s">
        <v>2804</v>
      </c>
      <c r="D18" s="70" t="s">
        <v>57</v>
      </c>
      <c r="E18" s="12">
        <v>44546</v>
      </c>
      <c r="F18" s="68" t="s">
        <v>58</v>
      </c>
      <c r="G18" s="12">
        <v>44550</v>
      </c>
      <c r="H18" s="69" t="s">
        <v>2130</v>
      </c>
      <c r="I18" s="15">
        <v>70</v>
      </c>
      <c r="J18" s="15">
        <v>66</v>
      </c>
      <c r="K18" s="15">
        <v>25</v>
      </c>
      <c r="L18" s="15">
        <v>22</v>
      </c>
      <c r="M18" s="73">
        <v>28.875</v>
      </c>
      <c r="N18" s="104">
        <v>28.875</v>
      </c>
      <c r="O18" s="57">
        <v>7000</v>
      </c>
      <c r="P18" s="58">
        <f t="shared" si="0"/>
        <v>202125</v>
      </c>
    </row>
    <row r="19" spans="1:16" ht="26.25" customHeight="1" x14ac:dyDescent="0.2">
      <c r="A19" s="100"/>
      <c r="B19" s="100"/>
      <c r="C19" s="65" t="s">
        <v>2805</v>
      </c>
      <c r="D19" s="70" t="s">
        <v>57</v>
      </c>
      <c r="E19" s="12">
        <v>44546</v>
      </c>
      <c r="F19" s="68" t="s">
        <v>58</v>
      </c>
      <c r="G19" s="12">
        <v>44550</v>
      </c>
      <c r="H19" s="69" t="s">
        <v>2130</v>
      </c>
      <c r="I19" s="15">
        <v>80</v>
      </c>
      <c r="J19" s="15">
        <v>55</v>
      </c>
      <c r="K19" s="15">
        <v>30</v>
      </c>
      <c r="L19" s="15">
        <v>15</v>
      </c>
      <c r="M19" s="73">
        <v>33</v>
      </c>
      <c r="N19" s="104">
        <v>33</v>
      </c>
      <c r="O19" s="57">
        <v>7000</v>
      </c>
      <c r="P19" s="58">
        <f t="shared" si="0"/>
        <v>231000</v>
      </c>
    </row>
    <row r="20" spans="1:16" ht="26.25" customHeight="1" x14ac:dyDescent="0.2">
      <c r="A20" s="100"/>
      <c r="B20" s="100"/>
      <c r="C20" s="65" t="s">
        <v>2806</v>
      </c>
      <c r="D20" s="70" t="s">
        <v>57</v>
      </c>
      <c r="E20" s="12">
        <v>44546</v>
      </c>
      <c r="F20" s="68" t="s">
        <v>58</v>
      </c>
      <c r="G20" s="12">
        <v>44550</v>
      </c>
      <c r="H20" s="69" t="s">
        <v>2130</v>
      </c>
      <c r="I20" s="15">
        <v>90</v>
      </c>
      <c r="J20" s="15">
        <v>51</v>
      </c>
      <c r="K20" s="15">
        <v>24</v>
      </c>
      <c r="L20" s="15">
        <v>29</v>
      </c>
      <c r="M20" s="73">
        <v>27.54</v>
      </c>
      <c r="N20" s="104">
        <v>29</v>
      </c>
      <c r="O20" s="57">
        <v>7000</v>
      </c>
      <c r="P20" s="58">
        <f t="shared" si="0"/>
        <v>203000</v>
      </c>
    </row>
    <row r="21" spans="1:16" ht="26.25" customHeight="1" x14ac:dyDescent="0.2">
      <c r="A21" s="100"/>
      <c r="B21" s="100"/>
      <c r="C21" s="65" t="s">
        <v>2807</v>
      </c>
      <c r="D21" s="70" t="s">
        <v>57</v>
      </c>
      <c r="E21" s="12">
        <v>44546</v>
      </c>
      <c r="F21" s="68" t="s">
        <v>58</v>
      </c>
      <c r="G21" s="12">
        <v>44550</v>
      </c>
      <c r="H21" s="69" t="s">
        <v>2130</v>
      </c>
      <c r="I21" s="15">
        <v>81</v>
      </c>
      <c r="J21" s="15">
        <v>55</v>
      </c>
      <c r="K21" s="15">
        <v>24</v>
      </c>
      <c r="L21" s="15">
        <v>17</v>
      </c>
      <c r="M21" s="73">
        <v>26.73</v>
      </c>
      <c r="N21" s="104">
        <v>26.73</v>
      </c>
      <c r="O21" s="57">
        <v>7000</v>
      </c>
      <c r="P21" s="58">
        <f t="shared" si="0"/>
        <v>187110</v>
      </c>
    </row>
    <row r="22" spans="1:16" ht="26.25" customHeight="1" x14ac:dyDescent="0.2">
      <c r="A22" s="100"/>
      <c r="B22" s="100"/>
      <c r="C22" s="65" t="s">
        <v>2808</v>
      </c>
      <c r="D22" s="70" t="s">
        <v>57</v>
      </c>
      <c r="E22" s="12">
        <v>44546</v>
      </c>
      <c r="F22" s="68" t="s">
        <v>58</v>
      </c>
      <c r="G22" s="12">
        <v>44550</v>
      </c>
      <c r="H22" s="69" t="s">
        <v>2130</v>
      </c>
      <c r="I22" s="15">
        <v>100</v>
      </c>
      <c r="J22" s="15">
        <v>58</v>
      </c>
      <c r="K22" s="15">
        <v>31</v>
      </c>
      <c r="L22" s="15">
        <v>31</v>
      </c>
      <c r="M22" s="73">
        <v>44.95</v>
      </c>
      <c r="N22" s="104">
        <v>44.95</v>
      </c>
      <c r="O22" s="57">
        <v>7000</v>
      </c>
      <c r="P22" s="58">
        <f t="shared" si="0"/>
        <v>314650</v>
      </c>
    </row>
    <row r="23" spans="1:16" ht="26.25" customHeight="1" x14ac:dyDescent="0.2">
      <c r="A23" s="100"/>
      <c r="B23" s="100"/>
      <c r="C23" s="65" t="s">
        <v>2809</v>
      </c>
      <c r="D23" s="70" t="s">
        <v>57</v>
      </c>
      <c r="E23" s="12">
        <v>44546</v>
      </c>
      <c r="F23" s="68" t="s">
        <v>58</v>
      </c>
      <c r="G23" s="12">
        <v>44550</v>
      </c>
      <c r="H23" s="69" t="s">
        <v>2130</v>
      </c>
      <c r="I23" s="15">
        <v>96</v>
      </c>
      <c r="J23" s="15">
        <v>51</v>
      </c>
      <c r="K23" s="15">
        <v>30</v>
      </c>
      <c r="L23" s="15">
        <v>28</v>
      </c>
      <c r="M23" s="73">
        <v>36.72</v>
      </c>
      <c r="N23" s="104">
        <v>36.72</v>
      </c>
      <c r="O23" s="57">
        <v>7000</v>
      </c>
      <c r="P23" s="58">
        <f t="shared" si="0"/>
        <v>257040</v>
      </c>
    </row>
    <row r="24" spans="1:16" ht="26.25" customHeight="1" x14ac:dyDescent="0.2">
      <c r="A24" s="100"/>
      <c r="B24" s="100"/>
      <c r="C24" s="65" t="s">
        <v>2810</v>
      </c>
      <c r="D24" s="70" t="s">
        <v>57</v>
      </c>
      <c r="E24" s="12">
        <v>44546</v>
      </c>
      <c r="F24" s="68" t="s">
        <v>58</v>
      </c>
      <c r="G24" s="12">
        <v>44550</v>
      </c>
      <c r="H24" s="69" t="s">
        <v>2130</v>
      </c>
      <c r="I24" s="15">
        <v>103</v>
      </c>
      <c r="J24" s="15">
        <v>58</v>
      </c>
      <c r="K24" s="15">
        <v>23</v>
      </c>
      <c r="L24" s="15">
        <v>17</v>
      </c>
      <c r="M24" s="73">
        <v>34.350499999999997</v>
      </c>
      <c r="N24" s="104">
        <v>35</v>
      </c>
      <c r="O24" s="57">
        <v>7000</v>
      </c>
      <c r="P24" s="58">
        <f t="shared" si="0"/>
        <v>245000</v>
      </c>
    </row>
    <row r="25" spans="1:16" ht="26.25" customHeight="1" x14ac:dyDescent="0.2">
      <c r="A25" s="100"/>
      <c r="B25" s="100"/>
      <c r="C25" s="65" t="s">
        <v>2811</v>
      </c>
      <c r="D25" s="70" t="s">
        <v>57</v>
      </c>
      <c r="E25" s="12">
        <v>44546</v>
      </c>
      <c r="F25" s="68" t="s">
        <v>58</v>
      </c>
      <c r="G25" s="12">
        <v>44550</v>
      </c>
      <c r="H25" s="69" t="s">
        <v>2130</v>
      </c>
      <c r="I25" s="15">
        <v>87</v>
      </c>
      <c r="J25" s="15">
        <v>62</v>
      </c>
      <c r="K25" s="15">
        <v>23</v>
      </c>
      <c r="L25" s="15">
        <v>19</v>
      </c>
      <c r="M25" s="73">
        <v>31.015499999999999</v>
      </c>
      <c r="N25" s="104">
        <v>31.015499999999999</v>
      </c>
      <c r="O25" s="57">
        <v>7000</v>
      </c>
      <c r="P25" s="58">
        <f t="shared" si="0"/>
        <v>217108.5</v>
      </c>
    </row>
    <row r="26" spans="1:16" ht="26.25" customHeight="1" x14ac:dyDescent="0.2">
      <c r="A26" s="100"/>
      <c r="B26" s="100"/>
      <c r="C26" s="65" t="s">
        <v>2812</v>
      </c>
      <c r="D26" s="70" t="s">
        <v>57</v>
      </c>
      <c r="E26" s="12">
        <v>44546</v>
      </c>
      <c r="F26" s="68" t="s">
        <v>58</v>
      </c>
      <c r="G26" s="12">
        <v>44550</v>
      </c>
      <c r="H26" s="69" t="s">
        <v>2130</v>
      </c>
      <c r="I26" s="15">
        <v>108</v>
      </c>
      <c r="J26" s="15">
        <v>58</v>
      </c>
      <c r="K26" s="15">
        <v>36</v>
      </c>
      <c r="L26" s="15">
        <v>24</v>
      </c>
      <c r="M26" s="73">
        <v>56.375999999999998</v>
      </c>
      <c r="N26" s="104">
        <v>57</v>
      </c>
      <c r="O26" s="57">
        <v>7000</v>
      </c>
      <c r="P26" s="58">
        <f t="shared" si="0"/>
        <v>399000</v>
      </c>
    </row>
    <row r="27" spans="1:16" ht="26.25" customHeight="1" x14ac:dyDescent="0.2">
      <c r="A27" s="100"/>
      <c r="B27" s="100"/>
      <c r="C27" s="65" t="s">
        <v>2813</v>
      </c>
      <c r="D27" s="70" t="s">
        <v>57</v>
      </c>
      <c r="E27" s="12">
        <v>44546</v>
      </c>
      <c r="F27" s="68" t="s">
        <v>58</v>
      </c>
      <c r="G27" s="12">
        <v>44550</v>
      </c>
      <c r="H27" s="69" t="s">
        <v>2130</v>
      </c>
      <c r="I27" s="15">
        <v>87</v>
      </c>
      <c r="J27" s="15">
        <v>56</v>
      </c>
      <c r="K27" s="15">
        <v>23</v>
      </c>
      <c r="L27" s="15">
        <v>15</v>
      </c>
      <c r="M27" s="73">
        <v>28.013999999999999</v>
      </c>
      <c r="N27" s="104">
        <v>28.013999999999999</v>
      </c>
      <c r="O27" s="57">
        <v>7000</v>
      </c>
      <c r="P27" s="58">
        <f t="shared" si="0"/>
        <v>196098</v>
      </c>
    </row>
    <row r="28" spans="1:16" ht="26.25" customHeight="1" x14ac:dyDescent="0.2">
      <c r="A28" s="100"/>
      <c r="B28" s="100"/>
      <c r="C28" s="65" t="s">
        <v>2814</v>
      </c>
      <c r="D28" s="70" t="s">
        <v>57</v>
      </c>
      <c r="E28" s="12">
        <v>44546</v>
      </c>
      <c r="F28" s="68" t="s">
        <v>58</v>
      </c>
      <c r="G28" s="12">
        <v>44550</v>
      </c>
      <c r="H28" s="69" t="s">
        <v>2130</v>
      </c>
      <c r="I28" s="15">
        <v>86</v>
      </c>
      <c r="J28" s="15">
        <v>55</v>
      </c>
      <c r="K28" s="15">
        <v>24</v>
      </c>
      <c r="L28" s="15">
        <v>26</v>
      </c>
      <c r="M28" s="73">
        <v>28.38</v>
      </c>
      <c r="N28" s="104">
        <v>29</v>
      </c>
      <c r="O28" s="57">
        <v>7000</v>
      </c>
      <c r="P28" s="58">
        <f t="shared" si="0"/>
        <v>203000</v>
      </c>
    </row>
    <row r="29" spans="1:16" ht="26.25" customHeight="1" x14ac:dyDescent="0.2">
      <c r="A29" s="100"/>
      <c r="B29" s="100"/>
      <c r="C29" s="65" t="s">
        <v>2815</v>
      </c>
      <c r="D29" s="70" t="s">
        <v>57</v>
      </c>
      <c r="E29" s="12">
        <v>44546</v>
      </c>
      <c r="F29" s="68" t="s">
        <v>58</v>
      </c>
      <c r="G29" s="12">
        <v>44550</v>
      </c>
      <c r="H29" s="69" t="s">
        <v>2130</v>
      </c>
      <c r="I29" s="15">
        <v>91</v>
      </c>
      <c r="J29" s="15">
        <v>55</v>
      </c>
      <c r="K29" s="15">
        <v>28</v>
      </c>
      <c r="L29" s="15">
        <v>32</v>
      </c>
      <c r="M29" s="73">
        <v>35.034999999999997</v>
      </c>
      <c r="N29" s="104">
        <v>35.034999999999997</v>
      </c>
      <c r="O29" s="57">
        <v>7000</v>
      </c>
      <c r="P29" s="58">
        <f t="shared" si="0"/>
        <v>245244.99999999997</v>
      </c>
    </row>
    <row r="30" spans="1:16" ht="26.25" customHeight="1" x14ac:dyDescent="0.2">
      <c r="A30" s="100"/>
      <c r="B30" s="100"/>
      <c r="C30" s="65" t="s">
        <v>2816</v>
      </c>
      <c r="D30" s="70" t="s">
        <v>57</v>
      </c>
      <c r="E30" s="12">
        <v>44546</v>
      </c>
      <c r="F30" s="68" t="s">
        <v>58</v>
      </c>
      <c r="G30" s="12">
        <v>44550</v>
      </c>
      <c r="H30" s="69" t="s">
        <v>2130</v>
      </c>
      <c r="I30" s="15">
        <v>90</v>
      </c>
      <c r="J30" s="15">
        <v>56</v>
      </c>
      <c r="K30" s="15">
        <v>22</v>
      </c>
      <c r="L30" s="15">
        <v>20</v>
      </c>
      <c r="M30" s="73">
        <v>27.72</v>
      </c>
      <c r="N30" s="104">
        <v>27.72</v>
      </c>
      <c r="O30" s="57">
        <v>7000</v>
      </c>
      <c r="P30" s="58">
        <f t="shared" si="0"/>
        <v>194040</v>
      </c>
    </row>
    <row r="31" spans="1:16" ht="26.25" customHeight="1" x14ac:dyDescent="0.2">
      <c r="A31" s="100"/>
      <c r="B31" s="100"/>
      <c r="C31" s="65" t="s">
        <v>2817</v>
      </c>
      <c r="D31" s="70" t="s">
        <v>57</v>
      </c>
      <c r="E31" s="12">
        <v>44546</v>
      </c>
      <c r="F31" s="68" t="s">
        <v>58</v>
      </c>
      <c r="G31" s="12">
        <v>44550</v>
      </c>
      <c r="H31" s="69" t="s">
        <v>2130</v>
      </c>
      <c r="I31" s="15">
        <v>98</v>
      </c>
      <c r="J31" s="15">
        <v>50</v>
      </c>
      <c r="K31" s="15">
        <v>32</v>
      </c>
      <c r="L31" s="15">
        <v>26</v>
      </c>
      <c r="M31" s="73">
        <v>39.200000000000003</v>
      </c>
      <c r="N31" s="104">
        <v>39.200000000000003</v>
      </c>
      <c r="O31" s="57">
        <v>7000</v>
      </c>
      <c r="P31" s="58">
        <f t="shared" si="0"/>
        <v>274400</v>
      </c>
    </row>
    <row r="32" spans="1:16" ht="26.25" customHeight="1" x14ac:dyDescent="0.2">
      <c r="A32" s="100"/>
      <c r="B32" s="100"/>
      <c r="C32" s="65" t="s">
        <v>2818</v>
      </c>
      <c r="D32" s="70" t="s">
        <v>57</v>
      </c>
      <c r="E32" s="12">
        <v>44546</v>
      </c>
      <c r="F32" s="68" t="s">
        <v>58</v>
      </c>
      <c r="G32" s="12">
        <v>44550</v>
      </c>
      <c r="H32" s="69" t="s">
        <v>2130</v>
      </c>
      <c r="I32" s="15">
        <v>99</v>
      </c>
      <c r="J32" s="15">
        <v>51</v>
      </c>
      <c r="K32" s="15">
        <v>24</v>
      </c>
      <c r="L32" s="15">
        <v>26</v>
      </c>
      <c r="M32" s="73">
        <v>30.294</v>
      </c>
      <c r="N32" s="104">
        <v>30.294</v>
      </c>
      <c r="O32" s="57">
        <v>7000</v>
      </c>
      <c r="P32" s="58">
        <f t="shared" si="0"/>
        <v>212058</v>
      </c>
    </row>
    <row r="33" spans="1:16" ht="26.25" customHeight="1" x14ac:dyDescent="0.2">
      <c r="A33" s="100"/>
      <c r="B33" s="100"/>
      <c r="C33" s="65" t="s">
        <v>2819</v>
      </c>
      <c r="D33" s="70" t="s">
        <v>57</v>
      </c>
      <c r="E33" s="12">
        <v>44546</v>
      </c>
      <c r="F33" s="68" t="s">
        <v>58</v>
      </c>
      <c r="G33" s="12">
        <v>44550</v>
      </c>
      <c r="H33" s="69" t="s">
        <v>2130</v>
      </c>
      <c r="I33" s="15">
        <v>125</v>
      </c>
      <c r="J33" s="15">
        <v>65</v>
      </c>
      <c r="K33" s="15">
        <v>55</v>
      </c>
      <c r="L33" s="15">
        <v>33</v>
      </c>
      <c r="M33" s="73">
        <v>111.71875</v>
      </c>
      <c r="N33" s="104">
        <v>111.71875</v>
      </c>
      <c r="O33" s="57">
        <v>7000</v>
      </c>
      <c r="P33" s="58">
        <f t="shared" si="0"/>
        <v>782031.25</v>
      </c>
    </row>
    <row r="34" spans="1:16" ht="26.25" customHeight="1" x14ac:dyDescent="0.2">
      <c r="A34" s="100"/>
      <c r="B34" s="100"/>
      <c r="C34" s="65" t="s">
        <v>2820</v>
      </c>
      <c r="D34" s="70" t="s">
        <v>57</v>
      </c>
      <c r="E34" s="12">
        <v>44546</v>
      </c>
      <c r="F34" s="68" t="s">
        <v>58</v>
      </c>
      <c r="G34" s="12">
        <v>44550</v>
      </c>
      <c r="H34" s="69" t="s">
        <v>2130</v>
      </c>
      <c r="I34" s="15">
        <v>42</v>
      </c>
      <c r="J34" s="15">
        <v>32</v>
      </c>
      <c r="K34" s="15">
        <v>94</v>
      </c>
      <c r="L34" s="15">
        <v>19</v>
      </c>
      <c r="M34" s="73">
        <v>31.584</v>
      </c>
      <c r="N34" s="104">
        <v>31.584</v>
      </c>
      <c r="O34" s="57">
        <v>7000</v>
      </c>
      <c r="P34" s="58">
        <f t="shared" si="0"/>
        <v>221088</v>
      </c>
    </row>
    <row r="35" spans="1:16" ht="26.25" customHeight="1" x14ac:dyDescent="0.2">
      <c r="A35" s="100"/>
      <c r="B35" s="100"/>
      <c r="C35" s="65" t="s">
        <v>2821</v>
      </c>
      <c r="D35" s="70" t="s">
        <v>57</v>
      </c>
      <c r="E35" s="12">
        <v>44546</v>
      </c>
      <c r="F35" s="68" t="s">
        <v>58</v>
      </c>
      <c r="G35" s="12">
        <v>44550</v>
      </c>
      <c r="H35" s="69" t="s">
        <v>2130</v>
      </c>
      <c r="I35" s="15">
        <v>70</v>
      </c>
      <c r="J35" s="15">
        <v>60</v>
      </c>
      <c r="K35" s="15">
        <v>23</v>
      </c>
      <c r="L35" s="15">
        <v>46</v>
      </c>
      <c r="M35" s="73">
        <v>24.15</v>
      </c>
      <c r="N35" s="104">
        <v>46</v>
      </c>
      <c r="O35" s="57">
        <v>7000</v>
      </c>
      <c r="P35" s="58">
        <f t="shared" si="0"/>
        <v>322000</v>
      </c>
    </row>
    <row r="36" spans="1:16" ht="26.25" customHeight="1" x14ac:dyDescent="0.2">
      <c r="A36" s="100"/>
      <c r="B36" s="100"/>
      <c r="C36" s="65" t="s">
        <v>2822</v>
      </c>
      <c r="D36" s="70" t="s">
        <v>57</v>
      </c>
      <c r="E36" s="12">
        <v>44546</v>
      </c>
      <c r="F36" s="68" t="s">
        <v>58</v>
      </c>
      <c r="G36" s="12">
        <v>44550</v>
      </c>
      <c r="H36" s="69" t="s">
        <v>2130</v>
      </c>
      <c r="I36" s="15">
        <v>47</v>
      </c>
      <c r="J36" s="15">
        <v>24</v>
      </c>
      <c r="K36" s="15">
        <v>21</v>
      </c>
      <c r="L36" s="15">
        <v>34</v>
      </c>
      <c r="M36" s="73">
        <v>5.9219999999999997</v>
      </c>
      <c r="N36" s="104">
        <v>34</v>
      </c>
      <c r="O36" s="57">
        <v>7000</v>
      </c>
      <c r="P36" s="58">
        <f t="shared" si="0"/>
        <v>238000</v>
      </c>
    </row>
    <row r="37" spans="1:16" ht="26.25" customHeight="1" x14ac:dyDescent="0.2">
      <c r="A37" s="100"/>
      <c r="B37" s="100"/>
      <c r="C37" s="65" t="s">
        <v>2823</v>
      </c>
      <c r="D37" s="70" t="s">
        <v>57</v>
      </c>
      <c r="E37" s="12">
        <v>44546</v>
      </c>
      <c r="F37" s="68" t="s">
        <v>58</v>
      </c>
      <c r="G37" s="12">
        <v>44550</v>
      </c>
      <c r="H37" s="69" t="s">
        <v>2130</v>
      </c>
      <c r="I37" s="15">
        <v>33</v>
      </c>
      <c r="J37" s="15">
        <v>32</v>
      </c>
      <c r="K37" s="15">
        <v>21</v>
      </c>
      <c r="L37" s="15">
        <v>23</v>
      </c>
      <c r="M37" s="73">
        <v>5.5439999999999996</v>
      </c>
      <c r="N37" s="104">
        <v>23</v>
      </c>
      <c r="O37" s="57">
        <v>7000</v>
      </c>
      <c r="P37" s="58">
        <f t="shared" si="0"/>
        <v>161000</v>
      </c>
    </row>
    <row r="38" spans="1:16" ht="26.25" customHeight="1" x14ac:dyDescent="0.2">
      <c r="A38" s="100"/>
      <c r="B38" s="100"/>
      <c r="C38" s="65" t="s">
        <v>2824</v>
      </c>
      <c r="D38" s="70" t="s">
        <v>57</v>
      </c>
      <c r="E38" s="12">
        <v>44546</v>
      </c>
      <c r="F38" s="68" t="s">
        <v>58</v>
      </c>
      <c r="G38" s="12">
        <v>44550</v>
      </c>
      <c r="H38" s="69" t="s">
        <v>2130</v>
      </c>
      <c r="I38" s="15">
        <v>92</v>
      </c>
      <c r="J38" s="15">
        <v>66</v>
      </c>
      <c r="K38" s="15">
        <v>27</v>
      </c>
      <c r="L38" s="15">
        <v>27</v>
      </c>
      <c r="M38" s="73">
        <v>40.985999999999997</v>
      </c>
      <c r="N38" s="104">
        <v>40.985999999999997</v>
      </c>
      <c r="O38" s="57">
        <v>7000</v>
      </c>
      <c r="P38" s="58">
        <f t="shared" si="0"/>
        <v>286902</v>
      </c>
    </row>
    <row r="39" spans="1:16" ht="26.25" customHeight="1" x14ac:dyDescent="0.2">
      <c r="A39" s="100"/>
      <c r="B39" s="100"/>
      <c r="C39" s="65" t="s">
        <v>2825</v>
      </c>
      <c r="D39" s="70" t="s">
        <v>57</v>
      </c>
      <c r="E39" s="12">
        <v>44546</v>
      </c>
      <c r="F39" s="68" t="s">
        <v>58</v>
      </c>
      <c r="G39" s="12">
        <v>44550</v>
      </c>
      <c r="H39" s="69" t="s">
        <v>2130</v>
      </c>
      <c r="I39" s="15">
        <v>100</v>
      </c>
      <c r="J39" s="15">
        <v>66</v>
      </c>
      <c r="K39" s="15">
        <v>25</v>
      </c>
      <c r="L39" s="15">
        <v>20</v>
      </c>
      <c r="M39" s="73">
        <v>41.25</v>
      </c>
      <c r="N39" s="104">
        <v>41.25</v>
      </c>
      <c r="O39" s="57">
        <v>7000</v>
      </c>
      <c r="P39" s="58">
        <f t="shared" si="0"/>
        <v>288750</v>
      </c>
    </row>
    <row r="40" spans="1:16" ht="26.25" customHeight="1" x14ac:dyDescent="0.2">
      <c r="A40" s="100"/>
      <c r="B40" s="100"/>
      <c r="C40" s="65" t="s">
        <v>2826</v>
      </c>
      <c r="D40" s="70" t="s">
        <v>57</v>
      </c>
      <c r="E40" s="12">
        <v>44546</v>
      </c>
      <c r="F40" s="68" t="s">
        <v>58</v>
      </c>
      <c r="G40" s="12">
        <v>44550</v>
      </c>
      <c r="H40" s="69" t="s">
        <v>2130</v>
      </c>
      <c r="I40" s="15">
        <v>72</v>
      </c>
      <c r="J40" s="15">
        <v>50</v>
      </c>
      <c r="K40" s="15">
        <v>20</v>
      </c>
      <c r="L40" s="15">
        <v>12</v>
      </c>
      <c r="M40" s="73">
        <v>18</v>
      </c>
      <c r="N40" s="104">
        <v>18</v>
      </c>
      <c r="O40" s="57">
        <v>7000</v>
      </c>
      <c r="P40" s="58">
        <f t="shared" si="0"/>
        <v>126000</v>
      </c>
    </row>
    <row r="41" spans="1:16" ht="26.25" customHeight="1" x14ac:dyDescent="0.2">
      <c r="A41" s="100"/>
      <c r="B41" s="100"/>
      <c r="C41" s="65" t="s">
        <v>2827</v>
      </c>
      <c r="D41" s="70" t="s">
        <v>57</v>
      </c>
      <c r="E41" s="12">
        <v>44546</v>
      </c>
      <c r="F41" s="68" t="s">
        <v>58</v>
      </c>
      <c r="G41" s="12">
        <v>44550</v>
      </c>
      <c r="H41" s="69" t="s">
        <v>2130</v>
      </c>
      <c r="I41" s="15">
        <v>63</v>
      </c>
      <c r="J41" s="15">
        <v>44</v>
      </c>
      <c r="K41" s="15">
        <v>21</v>
      </c>
      <c r="L41" s="15">
        <v>6</v>
      </c>
      <c r="M41" s="73">
        <v>14.553000000000001</v>
      </c>
      <c r="N41" s="104">
        <v>14.553000000000001</v>
      </c>
      <c r="O41" s="57">
        <v>7000</v>
      </c>
      <c r="P41" s="58">
        <f t="shared" si="0"/>
        <v>101871</v>
      </c>
    </row>
    <row r="42" spans="1:16" ht="26.25" customHeight="1" x14ac:dyDescent="0.2">
      <c r="A42" s="100"/>
      <c r="B42" s="100"/>
      <c r="C42" s="65" t="s">
        <v>2828</v>
      </c>
      <c r="D42" s="70" t="s">
        <v>57</v>
      </c>
      <c r="E42" s="12">
        <v>44546</v>
      </c>
      <c r="F42" s="68" t="s">
        <v>58</v>
      </c>
      <c r="G42" s="12">
        <v>44550</v>
      </c>
      <c r="H42" s="69" t="s">
        <v>2130</v>
      </c>
      <c r="I42" s="15">
        <v>91</v>
      </c>
      <c r="J42" s="15">
        <v>60</v>
      </c>
      <c r="K42" s="15">
        <v>25</v>
      </c>
      <c r="L42" s="15">
        <v>16</v>
      </c>
      <c r="M42" s="73">
        <v>34.125</v>
      </c>
      <c r="N42" s="104">
        <v>34.125</v>
      </c>
      <c r="O42" s="57">
        <v>7000</v>
      </c>
      <c r="P42" s="58">
        <f t="shared" si="0"/>
        <v>238875</v>
      </c>
    </row>
    <row r="43" spans="1:16" ht="26.25" customHeight="1" x14ac:dyDescent="0.2">
      <c r="A43" s="100"/>
      <c r="B43" s="100"/>
      <c r="C43" s="65" t="s">
        <v>2829</v>
      </c>
      <c r="D43" s="70" t="s">
        <v>57</v>
      </c>
      <c r="E43" s="12">
        <v>44546</v>
      </c>
      <c r="F43" s="68" t="s">
        <v>58</v>
      </c>
      <c r="G43" s="12">
        <v>44550</v>
      </c>
      <c r="H43" s="69" t="s">
        <v>2130</v>
      </c>
      <c r="I43" s="15">
        <v>91</v>
      </c>
      <c r="J43" s="15">
        <v>55</v>
      </c>
      <c r="K43" s="15">
        <v>35</v>
      </c>
      <c r="L43" s="15">
        <v>19</v>
      </c>
      <c r="M43" s="73">
        <v>43.793750000000003</v>
      </c>
      <c r="N43" s="104">
        <v>43.793750000000003</v>
      </c>
      <c r="O43" s="57">
        <v>7000</v>
      </c>
      <c r="P43" s="58">
        <f t="shared" si="0"/>
        <v>306556.25</v>
      </c>
    </row>
    <row r="44" spans="1:16" ht="26.25" customHeight="1" x14ac:dyDescent="0.2">
      <c r="A44" s="100"/>
      <c r="B44" s="100"/>
      <c r="C44" s="65" t="s">
        <v>2830</v>
      </c>
      <c r="D44" s="70" t="s">
        <v>57</v>
      </c>
      <c r="E44" s="12">
        <v>44546</v>
      </c>
      <c r="F44" s="68" t="s">
        <v>58</v>
      </c>
      <c r="G44" s="12">
        <v>44550</v>
      </c>
      <c r="H44" s="69" t="s">
        <v>2130</v>
      </c>
      <c r="I44" s="15">
        <v>100</v>
      </c>
      <c r="J44" s="15">
        <v>60</v>
      </c>
      <c r="K44" s="15">
        <v>30</v>
      </c>
      <c r="L44" s="15">
        <v>11</v>
      </c>
      <c r="M44" s="73">
        <v>45</v>
      </c>
      <c r="N44" s="104">
        <v>45</v>
      </c>
      <c r="O44" s="57">
        <v>7000</v>
      </c>
      <c r="P44" s="58">
        <f t="shared" si="0"/>
        <v>315000</v>
      </c>
    </row>
    <row r="45" spans="1:16" ht="26.25" customHeight="1" x14ac:dyDescent="0.2">
      <c r="A45" s="100"/>
      <c r="B45" s="100"/>
      <c r="C45" s="65" t="s">
        <v>2831</v>
      </c>
      <c r="D45" s="70" t="s">
        <v>57</v>
      </c>
      <c r="E45" s="12">
        <v>44546</v>
      </c>
      <c r="F45" s="68" t="s">
        <v>58</v>
      </c>
      <c r="G45" s="12">
        <v>44550</v>
      </c>
      <c r="H45" s="69" t="s">
        <v>2130</v>
      </c>
      <c r="I45" s="15">
        <v>61</v>
      </c>
      <c r="J45" s="15">
        <v>41</v>
      </c>
      <c r="K45" s="15">
        <v>21</v>
      </c>
      <c r="L45" s="15">
        <v>1</v>
      </c>
      <c r="M45" s="73">
        <v>13.13025</v>
      </c>
      <c r="N45" s="104">
        <v>13.13025</v>
      </c>
      <c r="O45" s="57">
        <v>7000</v>
      </c>
      <c r="P45" s="58">
        <f t="shared" si="0"/>
        <v>91911.75</v>
      </c>
    </row>
    <row r="46" spans="1:16" ht="26.25" customHeight="1" x14ac:dyDescent="0.2">
      <c r="A46" s="100"/>
      <c r="B46" s="100"/>
      <c r="C46" s="65" t="s">
        <v>2832</v>
      </c>
      <c r="D46" s="70" t="s">
        <v>57</v>
      </c>
      <c r="E46" s="12">
        <v>44546</v>
      </c>
      <c r="F46" s="68" t="s">
        <v>58</v>
      </c>
      <c r="G46" s="12">
        <v>44550</v>
      </c>
      <c r="H46" s="69" t="s">
        <v>2130</v>
      </c>
      <c r="I46" s="15">
        <v>90</v>
      </c>
      <c r="J46" s="15">
        <v>52</v>
      </c>
      <c r="K46" s="15">
        <v>30</v>
      </c>
      <c r="L46" s="15">
        <v>11</v>
      </c>
      <c r="M46" s="73">
        <v>35.1</v>
      </c>
      <c r="N46" s="104">
        <v>35.1</v>
      </c>
      <c r="O46" s="57">
        <v>7000</v>
      </c>
      <c r="P46" s="58">
        <f t="shared" si="0"/>
        <v>245700</v>
      </c>
    </row>
    <row r="47" spans="1:16" ht="26.25" customHeight="1" x14ac:dyDescent="0.2">
      <c r="A47" s="100"/>
      <c r="B47" s="100"/>
      <c r="C47" s="65" t="s">
        <v>2833</v>
      </c>
      <c r="D47" s="70" t="s">
        <v>57</v>
      </c>
      <c r="E47" s="12">
        <v>44546</v>
      </c>
      <c r="F47" s="68" t="s">
        <v>58</v>
      </c>
      <c r="G47" s="12">
        <v>44550</v>
      </c>
      <c r="H47" s="69" t="s">
        <v>2130</v>
      </c>
      <c r="I47" s="15">
        <v>81</v>
      </c>
      <c r="J47" s="15">
        <v>70</v>
      </c>
      <c r="K47" s="15">
        <v>20</v>
      </c>
      <c r="L47" s="15">
        <v>26</v>
      </c>
      <c r="M47" s="73">
        <v>28.35</v>
      </c>
      <c r="N47" s="104">
        <v>29</v>
      </c>
      <c r="O47" s="57">
        <v>7000</v>
      </c>
      <c r="P47" s="58">
        <f t="shared" si="0"/>
        <v>203000</v>
      </c>
    </row>
    <row r="48" spans="1:16" ht="26.25" customHeight="1" x14ac:dyDescent="0.2">
      <c r="A48" s="100"/>
      <c r="B48" s="100"/>
      <c r="C48" s="65" t="s">
        <v>2834</v>
      </c>
      <c r="D48" s="70" t="s">
        <v>57</v>
      </c>
      <c r="E48" s="12">
        <v>44546</v>
      </c>
      <c r="F48" s="68" t="s">
        <v>58</v>
      </c>
      <c r="G48" s="12">
        <v>44550</v>
      </c>
      <c r="H48" s="69" t="s">
        <v>2130</v>
      </c>
      <c r="I48" s="15">
        <v>70</v>
      </c>
      <c r="J48" s="15">
        <v>60</v>
      </c>
      <c r="K48" s="15">
        <v>20</v>
      </c>
      <c r="L48" s="15">
        <v>9</v>
      </c>
      <c r="M48" s="73">
        <v>21</v>
      </c>
      <c r="N48" s="104">
        <v>21</v>
      </c>
      <c r="O48" s="57">
        <v>7000</v>
      </c>
      <c r="P48" s="58">
        <f t="shared" si="0"/>
        <v>147000</v>
      </c>
    </row>
    <row r="49" spans="1:16" ht="26.25" customHeight="1" x14ac:dyDescent="0.2">
      <c r="A49" s="100"/>
      <c r="B49" s="100"/>
      <c r="C49" s="65" t="s">
        <v>2835</v>
      </c>
      <c r="D49" s="70" t="s">
        <v>57</v>
      </c>
      <c r="E49" s="12">
        <v>44546</v>
      </c>
      <c r="F49" s="68" t="s">
        <v>58</v>
      </c>
      <c r="G49" s="12">
        <v>44550</v>
      </c>
      <c r="H49" s="69" t="s">
        <v>2130</v>
      </c>
      <c r="I49" s="15">
        <v>66</v>
      </c>
      <c r="J49" s="15">
        <v>60</v>
      </c>
      <c r="K49" s="15">
        <v>15</v>
      </c>
      <c r="L49" s="15">
        <v>6</v>
      </c>
      <c r="M49" s="73">
        <v>14.85</v>
      </c>
      <c r="N49" s="104">
        <v>14.85</v>
      </c>
      <c r="O49" s="57">
        <v>7000</v>
      </c>
      <c r="P49" s="58">
        <f t="shared" si="0"/>
        <v>103950</v>
      </c>
    </row>
    <row r="50" spans="1:16" ht="26.25" customHeight="1" x14ac:dyDescent="0.2">
      <c r="A50" s="100"/>
      <c r="B50" s="100"/>
      <c r="C50" s="65" t="s">
        <v>2836</v>
      </c>
      <c r="D50" s="70" t="s">
        <v>57</v>
      </c>
      <c r="E50" s="12">
        <v>44546</v>
      </c>
      <c r="F50" s="68" t="s">
        <v>58</v>
      </c>
      <c r="G50" s="12">
        <v>44550</v>
      </c>
      <c r="H50" s="69" t="s">
        <v>2130</v>
      </c>
      <c r="I50" s="15">
        <v>70</v>
      </c>
      <c r="J50" s="15">
        <v>60</v>
      </c>
      <c r="K50" s="15">
        <v>11</v>
      </c>
      <c r="L50" s="15">
        <v>9</v>
      </c>
      <c r="M50" s="73">
        <v>11.55</v>
      </c>
      <c r="N50" s="104">
        <v>11.55</v>
      </c>
      <c r="O50" s="57">
        <v>7000</v>
      </c>
      <c r="P50" s="58">
        <f t="shared" si="0"/>
        <v>80850</v>
      </c>
    </row>
    <row r="51" spans="1:16" ht="26.25" customHeight="1" x14ac:dyDescent="0.2">
      <c r="A51" s="100"/>
      <c r="B51" s="100"/>
      <c r="C51" s="65" t="s">
        <v>2837</v>
      </c>
      <c r="D51" s="70" t="s">
        <v>57</v>
      </c>
      <c r="E51" s="12">
        <v>44546</v>
      </c>
      <c r="F51" s="68" t="s">
        <v>58</v>
      </c>
      <c r="G51" s="12">
        <v>44550</v>
      </c>
      <c r="H51" s="69" t="s">
        <v>2130</v>
      </c>
      <c r="I51" s="15">
        <v>85</v>
      </c>
      <c r="J51" s="15">
        <v>65</v>
      </c>
      <c r="K51" s="15">
        <v>21</v>
      </c>
      <c r="L51" s="15">
        <v>20</v>
      </c>
      <c r="M51" s="73">
        <v>29.006250000000001</v>
      </c>
      <c r="N51" s="104">
        <v>29.006250000000001</v>
      </c>
      <c r="O51" s="57">
        <v>7000</v>
      </c>
      <c r="P51" s="58">
        <f t="shared" si="0"/>
        <v>203043.75</v>
      </c>
    </row>
    <row r="52" spans="1:16" ht="26.25" customHeight="1" x14ac:dyDescent="0.2">
      <c r="A52" s="100"/>
      <c r="B52" s="100"/>
      <c r="C52" s="65" t="s">
        <v>2838</v>
      </c>
      <c r="D52" s="70" t="s">
        <v>57</v>
      </c>
      <c r="E52" s="12">
        <v>44546</v>
      </c>
      <c r="F52" s="68" t="s">
        <v>58</v>
      </c>
      <c r="G52" s="12">
        <v>44550</v>
      </c>
      <c r="H52" s="69" t="s">
        <v>2130</v>
      </c>
      <c r="I52" s="15">
        <v>83</v>
      </c>
      <c r="J52" s="15">
        <v>59</v>
      </c>
      <c r="K52" s="15">
        <v>25</v>
      </c>
      <c r="L52" s="15">
        <v>19</v>
      </c>
      <c r="M52" s="73">
        <v>30.606249999999999</v>
      </c>
      <c r="N52" s="104">
        <v>30.606249999999999</v>
      </c>
      <c r="O52" s="57">
        <v>7000</v>
      </c>
      <c r="P52" s="58">
        <f t="shared" si="0"/>
        <v>214243.75</v>
      </c>
    </row>
    <row r="53" spans="1:16" ht="26.25" customHeight="1" x14ac:dyDescent="0.2">
      <c r="A53" s="100"/>
      <c r="B53" s="100"/>
      <c r="C53" s="65" t="s">
        <v>2839</v>
      </c>
      <c r="D53" s="70" t="s">
        <v>57</v>
      </c>
      <c r="E53" s="12">
        <v>44546</v>
      </c>
      <c r="F53" s="68" t="s">
        <v>58</v>
      </c>
      <c r="G53" s="12">
        <v>44550</v>
      </c>
      <c r="H53" s="69" t="s">
        <v>2130</v>
      </c>
      <c r="I53" s="15">
        <v>67</v>
      </c>
      <c r="J53" s="15">
        <v>55</v>
      </c>
      <c r="K53" s="15">
        <v>21</v>
      </c>
      <c r="L53" s="15">
        <v>4</v>
      </c>
      <c r="M53" s="73">
        <v>19.346250000000001</v>
      </c>
      <c r="N53" s="104">
        <v>20</v>
      </c>
      <c r="O53" s="57">
        <v>7000</v>
      </c>
      <c r="P53" s="58">
        <f t="shared" si="0"/>
        <v>140000</v>
      </c>
    </row>
    <row r="54" spans="1:16" ht="26.25" customHeight="1" x14ac:dyDescent="0.2">
      <c r="A54" s="100"/>
      <c r="B54" s="100"/>
      <c r="C54" s="65" t="s">
        <v>2840</v>
      </c>
      <c r="D54" s="70" t="s">
        <v>57</v>
      </c>
      <c r="E54" s="12">
        <v>44546</v>
      </c>
      <c r="F54" s="68" t="s">
        <v>58</v>
      </c>
      <c r="G54" s="12">
        <v>44550</v>
      </c>
      <c r="H54" s="69" t="s">
        <v>2130</v>
      </c>
      <c r="I54" s="15">
        <v>80</v>
      </c>
      <c r="J54" s="15">
        <v>55</v>
      </c>
      <c r="K54" s="15">
        <v>21</v>
      </c>
      <c r="L54" s="15">
        <v>12</v>
      </c>
      <c r="M54" s="73">
        <v>23.1</v>
      </c>
      <c r="N54" s="104">
        <v>23.1</v>
      </c>
      <c r="O54" s="57">
        <v>7000</v>
      </c>
      <c r="P54" s="58">
        <f t="shared" si="0"/>
        <v>161700</v>
      </c>
    </row>
    <row r="55" spans="1:16" ht="26.25" customHeight="1" x14ac:dyDescent="0.2">
      <c r="A55" s="100"/>
      <c r="B55" s="100"/>
      <c r="C55" s="65" t="s">
        <v>2841</v>
      </c>
      <c r="D55" s="70" t="s">
        <v>57</v>
      </c>
      <c r="E55" s="12">
        <v>44546</v>
      </c>
      <c r="F55" s="68" t="s">
        <v>58</v>
      </c>
      <c r="G55" s="12">
        <v>44550</v>
      </c>
      <c r="H55" s="69" t="s">
        <v>2130</v>
      </c>
      <c r="I55" s="15">
        <v>79</v>
      </c>
      <c r="J55" s="15">
        <v>60</v>
      </c>
      <c r="K55" s="15">
        <v>23</v>
      </c>
      <c r="L55" s="15">
        <v>10</v>
      </c>
      <c r="M55" s="73">
        <v>27.254999999999999</v>
      </c>
      <c r="N55" s="104">
        <v>27.254999999999999</v>
      </c>
      <c r="O55" s="57">
        <v>7000</v>
      </c>
      <c r="P55" s="58">
        <f t="shared" si="0"/>
        <v>190785</v>
      </c>
    </row>
    <row r="56" spans="1:16" ht="26.25" customHeight="1" x14ac:dyDescent="0.2">
      <c r="A56" s="100"/>
      <c r="B56" s="100"/>
      <c r="C56" s="65" t="s">
        <v>2842</v>
      </c>
      <c r="D56" s="70" t="s">
        <v>57</v>
      </c>
      <c r="E56" s="12">
        <v>44546</v>
      </c>
      <c r="F56" s="68" t="s">
        <v>58</v>
      </c>
      <c r="G56" s="12">
        <v>44550</v>
      </c>
      <c r="H56" s="69" t="s">
        <v>2130</v>
      </c>
      <c r="I56" s="15">
        <v>60</v>
      </c>
      <c r="J56" s="15">
        <v>55</v>
      </c>
      <c r="K56" s="15">
        <v>21</v>
      </c>
      <c r="L56" s="15">
        <v>4</v>
      </c>
      <c r="M56" s="73">
        <v>17.324999999999999</v>
      </c>
      <c r="N56" s="104">
        <v>18</v>
      </c>
      <c r="O56" s="57">
        <v>7000</v>
      </c>
      <c r="P56" s="58">
        <f t="shared" si="0"/>
        <v>126000</v>
      </c>
    </row>
    <row r="57" spans="1:16" ht="26.25" customHeight="1" x14ac:dyDescent="0.2">
      <c r="A57" s="100"/>
      <c r="B57" s="100"/>
      <c r="C57" s="65" t="s">
        <v>2843</v>
      </c>
      <c r="D57" s="70" t="s">
        <v>57</v>
      </c>
      <c r="E57" s="12">
        <v>44546</v>
      </c>
      <c r="F57" s="68" t="s">
        <v>58</v>
      </c>
      <c r="G57" s="12">
        <v>44550</v>
      </c>
      <c r="H57" s="69" t="s">
        <v>2130</v>
      </c>
      <c r="I57" s="15">
        <v>105</v>
      </c>
      <c r="J57" s="15">
        <v>56</v>
      </c>
      <c r="K57" s="15">
        <v>25</v>
      </c>
      <c r="L57" s="15">
        <v>29</v>
      </c>
      <c r="M57" s="73">
        <v>36.75</v>
      </c>
      <c r="N57" s="104">
        <v>36.75</v>
      </c>
      <c r="O57" s="57">
        <v>7000</v>
      </c>
      <c r="P57" s="58">
        <f t="shared" si="0"/>
        <v>257250</v>
      </c>
    </row>
    <row r="58" spans="1:16" ht="26.25" customHeight="1" x14ac:dyDescent="0.2">
      <c r="A58" s="100"/>
      <c r="B58" s="100"/>
      <c r="C58" s="65" t="s">
        <v>2844</v>
      </c>
      <c r="D58" s="70" t="s">
        <v>57</v>
      </c>
      <c r="E58" s="12">
        <v>44546</v>
      </c>
      <c r="F58" s="68" t="s">
        <v>58</v>
      </c>
      <c r="G58" s="12">
        <v>44550</v>
      </c>
      <c r="H58" s="69" t="s">
        <v>2130</v>
      </c>
      <c r="I58" s="15">
        <v>60</v>
      </c>
      <c r="J58" s="15">
        <v>44</v>
      </c>
      <c r="K58" s="15">
        <v>24</v>
      </c>
      <c r="L58" s="15">
        <v>5</v>
      </c>
      <c r="M58" s="73">
        <v>15.84</v>
      </c>
      <c r="N58" s="104">
        <v>15.84</v>
      </c>
      <c r="O58" s="57">
        <v>7000</v>
      </c>
      <c r="P58" s="58">
        <f t="shared" si="0"/>
        <v>110880</v>
      </c>
    </row>
    <row r="59" spans="1:16" ht="26.25" customHeight="1" x14ac:dyDescent="0.2">
      <c r="A59" s="100"/>
      <c r="B59" s="100"/>
      <c r="C59" s="65" t="s">
        <v>2845</v>
      </c>
      <c r="D59" s="70" t="s">
        <v>57</v>
      </c>
      <c r="E59" s="12">
        <v>44546</v>
      </c>
      <c r="F59" s="68" t="s">
        <v>58</v>
      </c>
      <c r="G59" s="12">
        <v>44550</v>
      </c>
      <c r="H59" s="69" t="s">
        <v>2130</v>
      </c>
      <c r="I59" s="15">
        <v>60</v>
      </c>
      <c r="J59" s="15">
        <v>52</v>
      </c>
      <c r="K59" s="15">
        <v>23</v>
      </c>
      <c r="L59" s="15">
        <v>8</v>
      </c>
      <c r="M59" s="73">
        <v>17.940000000000001</v>
      </c>
      <c r="N59" s="104">
        <v>17.940000000000001</v>
      </c>
      <c r="O59" s="57">
        <v>7000</v>
      </c>
      <c r="P59" s="58">
        <f t="shared" si="0"/>
        <v>125580.00000000001</v>
      </c>
    </row>
    <row r="60" spans="1:16" ht="26.25" customHeight="1" x14ac:dyDescent="0.2">
      <c r="A60" s="100"/>
      <c r="B60" s="100"/>
      <c r="C60" s="65" t="s">
        <v>2846</v>
      </c>
      <c r="D60" s="70" t="s">
        <v>57</v>
      </c>
      <c r="E60" s="12">
        <v>44546</v>
      </c>
      <c r="F60" s="68" t="s">
        <v>58</v>
      </c>
      <c r="G60" s="12">
        <v>44550</v>
      </c>
      <c r="H60" s="69" t="s">
        <v>2130</v>
      </c>
      <c r="I60" s="15">
        <v>86</v>
      </c>
      <c r="J60" s="15">
        <v>50</v>
      </c>
      <c r="K60" s="15">
        <v>23</v>
      </c>
      <c r="L60" s="15">
        <v>9</v>
      </c>
      <c r="M60" s="73">
        <v>24.725000000000001</v>
      </c>
      <c r="N60" s="104">
        <v>24.725000000000001</v>
      </c>
      <c r="O60" s="57">
        <v>7000</v>
      </c>
      <c r="P60" s="58">
        <f t="shared" si="0"/>
        <v>173075</v>
      </c>
    </row>
    <row r="61" spans="1:16" ht="26.25" customHeight="1" x14ac:dyDescent="0.2">
      <c r="A61" s="100"/>
      <c r="B61" s="100"/>
      <c r="C61" s="65" t="s">
        <v>2847</v>
      </c>
      <c r="D61" s="70" t="s">
        <v>57</v>
      </c>
      <c r="E61" s="12">
        <v>44546</v>
      </c>
      <c r="F61" s="68" t="s">
        <v>58</v>
      </c>
      <c r="G61" s="12">
        <v>44550</v>
      </c>
      <c r="H61" s="69" t="s">
        <v>2130</v>
      </c>
      <c r="I61" s="15">
        <v>71</v>
      </c>
      <c r="J61" s="15">
        <v>50</v>
      </c>
      <c r="K61" s="15">
        <v>10</v>
      </c>
      <c r="L61" s="15">
        <v>8</v>
      </c>
      <c r="M61" s="73">
        <v>8.875</v>
      </c>
      <c r="N61" s="104">
        <v>8.875</v>
      </c>
      <c r="O61" s="57">
        <v>7000</v>
      </c>
      <c r="P61" s="58">
        <f t="shared" si="0"/>
        <v>62125</v>
      </c>
    </row>
    <row r="62" spans="1:16" ht="26.25" customHeight="1" x14ac:dyDescent="0.2">
      <c r="A62" s="100"/>
      <c r="B62" s="100"/>
      <c r="C62" s="65" t="s">
        <v>2848</v>
      </c>
      <c r="D62" s="70" t="s">
        <v>57</v>
      </c>
      <c r="E62" s="12">
        <v>44546</v>
      </c>
      <c r="F62" s="68" t="s">
        <v>58</v>
      </c>
      <c r="G62" s="12">
        <v>44550</v>
      </c>
      <c r="H62" s="69" t="s">
        <v>2130</v>
      </c>
      <c r="I62" s="15">
        <v>90</v>
      </c>
      <c r="J62" s="15">
        <v>60</v>
      </c>
      <c r="K62" s="15">
        <v>23</v>
      </c>
      <c r="L62" s="15">
        <v>23</v>
      </c>
      <c r="M62" s="73">
        <v>31.05</v>
      </c>
      <c r="N62" s="104">
        <v>31.05</v>
      </c>
      <c r="O62" s="57">
        <v>7000</v>
      </c>
      <c r="P62" s="58">
        <f t="shared" si="0"/>
        <v>217350</v>
      </c>
    </row>
    <row r="63" spans="1:16" ht="26.25" customHeight="1" x14ac:dyDescent="0.2">
      <c r="A63" s="100"/>
      <c r="B63" s="100"/>
      <c r="C63" s="65" t="s">
        <v>2849</v>
      </c>
      <c r="D63" s="70" t="s">
        <v>57</v>
      </c>
      <c r="E63" s="12">
        <v>44546</v>
      </c>
      <c r="F63" s="68" t="s">
        <v>58</v>
      </c>
      <c r="G63" s="12">
        <v>44550</v>
      </c>
      <c r="H63" s="69" t="s">
        <v>2130</v>
      </c>
      <c r="I63" s="15">
        <v>110</v>
      </c>
      <c r="J63" s="15">
        <v>55</v>
      </c>
      <c r="K63" s="15">
        <v>23</v>
      </c>
      <c r="L63" s="15">
        <v>3</v>
      </c>
      <c r="M63" s="73">
        <v>34.787500000000001</v>
      </c>
      <c r="N63" s="104">
        <v>34.787500000000001</v>
      </c>
      <c r="O63" s="57">
        <v>7000</v>
      </c>
      <c r="P63" s="58">
        <f t="shared" si="0"/>
        <v>243512.5</v>
      </c>
    </row>
    <row r="64" spans="1:16" ht="26.25" customHeight="1" x14ac:dyDescent="0.2">
      <c r="A64" s="100"/>
      <c r="B64" s="100"/>
      <c r="C64" s="65" t="s">
        <v>2850</v>
      </c>
      <c r="D64" s="70" t="s">
        <v>57</v>
      </c>
      <c r="E64" s="12">
        <v>44546</v>
      </c>
      <c r="F64" s="68" t="s">
        <v>58</v>
      </c>
      <c r="G64" s="12">
        <v>44550</v>
      </c>
      <c r="H64" s="69" t="s">
        <v>2130</v>
      </c>
      <c r="I64" s="15">
        <v>80</v>
      </c>
      <c r="J64" s="15">
        <v>60</v>
      </c>
      <c r="K64" s="15">
        <v>21</v>
      </c>
      <c r="L64" s="15">
        <v>9</v>
      </c>
      <c r="M64" s="73">
        <v>25.2</v>
      </c>
      <c r="N64" s="104">
        <v>25.2</v>
      </c>
      <c r="O64" s="57">
        <v>7000</v>
      </c>
      <c r="P64" s="58">
        <f t="shared" si="0"/>
        <v>176400</v>
      </c>
    </row>
    <row r="65" spans="1:16" ht="26.25" customHeight="1" x14ac:dyDescent="0.2">
      <c r="A65" s="100"/>
      <c r="B65" s="100"/>
      <c r="C65" s="65" t="s">
        <v>2851</v>
      </c>
      <c r="D65" s="70" t="s">
        <v>57</v>
      </c>
      <c r="E65" s="12">
        <v>44546</v>
      </c>
      <c r="F65" s="68" t="s">
        <v>58</v>
      </c>
      <c r="G65" s="12">
        <v>44550</v>
      </c>
      <c r="H65" s="69" t="s">
        <v>2130</v>
      </c>
      <c r="I65" s="15">
        <v>65</v>
      </c>
      <c r="J65" s="15">
        <v>56</v>
      </c>
      <c r="K65" s="15">
        <v>14</v>
      </c>
      <c r="L65" s="15">
        <v>7</v>
      </c>
      <c r="M65" s="73">
        <v>12.74</v>
      </c>
      <c r="N65" s="104">
        <v>12.74</v>
      </c>
      <c r="O65" s="57">
        <v>7000</v>
      </c>
      <c r="P65" s="58">
        <f t="shared" si="0"/>
        <v>89180</v>
      </c>
    </row>
    <row r="66" spans="1:16" ht="26.25" customHeight="1" x14ac:dyDescent="0.2">
      <c r="A66" s="100"/>
      <c r="B66" s="100"/>
      <c r="C66" s="65" t="s">
        <v>2852</v>
      </c>
      <c r="D66" s="70" t="s">
        <v>57</v>
      </c>
      <c r="E66" s="12">
        <v>44546</v>
      </c>
      <c r="F66" s="68" t="s">
        <v>58</v>
      </c>
      <c r="G66" s="12">
        <v>44550</v>
      </c>
      <c r="H66" s="69" t="s">
        <v>2130</v>
      </c>
      <c r="I66" s="15">
        <v>45</v>
      </c>
      <c r="J66" s="15">
        <v>35</v>
      </c>
      <c r="K66" s="15">
        <v>16</v>
      </c>
      <c r="L66" s="15">
        <v>4</v>
      </c>
      <c r="M66" s="73">
        <v>6.3</v>
      </c>
      <c r="N66" s="104">
        <v>7</v>
      </c>
      <c r="O66" s="57">
        <v>7000</v>
      </c>
      <c r="P66" s="58">
        <f t="shared" si="0"/>
        <v>49000</v>
      </c>
    </row>
    <row r="67" spans="1:16" ht="26.25" customHeight="1" x14ac:dyDescent="0.2">
      <c r="A67" s="100"/>
      <c r="B67" s="100"/>
      <c r="C67" s="65" t="s">
        <v>2853</v>
      </c>
      <c r="D67" s="70" t="s">
        <v>57</v>
      </c>
      <c r="E67" s="12">
        <v>44546</v>
      </c>
      <c r="F67" s="68" t="s">
        <v>58</v>
      </c>
      <c r="G67" s="12">
        <v>44550</v>
      </c>
      <c r="H67" s="69" t="s">
        <v>2130</v>
      </c>
      <c r="I67" s="15">
        <v>100</v>
      </c>
      <c r="J67" s="15">
        <v>50</v>
      </c>
      <c r="K67" s="15">
        <v>40</v>
      </c>
      <c r="L67" s="15">
        <v>15</v>
      </c>
      <c r="M67" s="73">
        <v>50</v>
      </c>
      <c r="N67" s="104">
        <v>50</v>
      </c>
      <c r="O67" s="57">
        <v>7000</v>
      </c>
      <c r="P67" s="58">
        <f t="shared" ref="P67:P130" si="1">N67*O67</f>
        <v>350000</v>
      </c>
    </row>
    <row r="68" spans="1:16" ht="26.25" customHeight="1" x14ac:dyDescent="0.2">
      <c r="A68" s="100"/>
      <c r="B68" s="100"/>
      <c r="C68" s="65" t="s">
        <v>2854</v>
      </c>
      <c r="D68" s="70" t="s">
        <v>57</v>
      </c>
      <c r="E68" s="12">
        <v>44546</v>
      </c>
      <c r="F68" s="68" t="s">
        <v>58</v>
      </c>
      <c r="G68" s="12">
        <v>44550</v>
      </c>
      <c r="H68" s="69" t="s">
        <v>2130</v>
      </c>
      <c r="I68" s="15">
        <v>91</v>
      </c>
      <c r="J68" s="15">
        <v>60</v>
      </c>
      <c r="K68" s="15">
        <v>34</v>
      </c>
      <c r="L68" s="15">
        <v>27</v>
      </c>
      <c r="M68" s="73">
        <v>46.41</v>
      </c>
      <c r="N68" s="104">
        <v>47</v>
      </c>
      <c r="O68" s="57">
        <v>7000</v>
      </c>
      <c r="P68" s="58">
        <f t="shared" si="1"/>
        <v>329000</v>
      </c>
    </row>
    <row r="69" spans="1:16" ht="26.25" customHeight="1" x14ac:dyDescent="0.2">
      <c r="A69" s="100"/>
      <c r="B69" s="100"/>
      <c r="C69" s="65" t="s">
        <v>2855</v>
      </c>
      <c r="D69" s="70" t="s">
        <v>57</v>
      </c>
      <c r="E69" s="12">
        <v>44546</v>
      </c>
      <c r="F69" s="68" t="s">
        <v>58</v>
      </c>
      <c r="G69" s="12">
        <v>44550</v>
      </c>
      <c r="H69" s="69" t="s">
        <v>2130</v>
      </c>
      <c r="I69" s="15">
        <v>60</v>
      </c>
      <c r="J69" s="15">
        <v>57</v>
      </c>
      <c r="K69" s="15">
        <v>10</v>
      </c>
      <c r="L69" s="15">
        <v>5</v>
      </c>
      <c r="M69" s="73">
        <v>8.5500000000000007</v>
      </c>
      <c r="N69" s="104">
        <v>8.5500000000000007</v>
      </c>
      <c r="O69" s="57">
        <v>7000</v>
      </c>
      <c r="P69" s="58">
        <f t="shared" si="1"/>
        <v>59850.000000000007</v>
      </c>
    </row>
    <row r="70" spans="1:16" ht="26.25" customHeight="1" x14ac:dyDescent="0.2">
      <c r="A70" s="100"/>
      <c r="B70" s="100"/>
      <c r="C70" s="65" t="s">
        <v>2856</v>
      </c>
      <c r="D70" s="70" t="s">
        <v>57</v>
      </c>
      <c r="E70" s="12">
        <v>44546</v>
      </c>
      <c r="F70" s="68" t="s">
        <v>58</v>
      </c>
      <c r="G70" s="12">
        <v>44550</v>
      </c>
      <c r="H70" s="69" t="s">
        <v>2130</v>
      </c>
      <c r="I70" s="15">
        <v>60</v>
      </c>
      <c r="J70" s="15">
        <v>52</v>
      </c>
      <c r="K70" s="15">
        <v>10</v>
      </c>
      <c r="L70" s="15">
        <v>4</v>
      </c>
      <c r="M70" s="73">
        <v>7.8</v>
      </c>
      <c r="N70" s="104">
        <v>7.8</v>
      </c>
      <c r="O70" s="57">
        <v>7000</v>
      </c>
      <c r="P70" s="58">
        <f t="shared" si="1"/>
        <v>54600</v>
      </c>
    </row>
    <row r="71" spans="1:16" ht="26.25" customHeight="1" x14ac:dyDescent="0.2">
      <c r="A71" s="100"/>
      <c r="B71" s="100"/>
      <c r="C71" s="65" t="s">
        <v>2857</v>
      </c>
      <c r="D71" s="70" t="s">
        <v>57</v>
      </c>
      <c r="E71" s="12">
        <v>44546</v>
      </c>
      <c r="F71" s="68" t="s">
        <v>58</v>
      </c>
      <c r="G71" s="12">
        <v>44550</v>
      </c>
      <c r="H71" s="69" t="s">
        <v>2130</v>
      </c>
      <c r="I71" s="15">
        <v>85</v>
      </c>
      <c r="J71" s="15">
        <v>56</v>
      </c>
      <c r="K71" s="15">
        <v>25</v>
      </c>
      <c r="L71" s="15">
        <v>25</v>
      </c>
      <c r="M71" s="73">
        <v>29.75</v>
      </c>
      <c r="N71" s="104">
        <v>29.75</v>
      </c>
      <c r="O71" s="57">
        <v>7000</v>
      </c>
      <c r="P71" s="58">
        <f t="shared" si="1"/>
        <v>208250</v>
      </c>
    </row>
    <row r="72" spans="1:16" ht="26.25" customHeight="1" x14ac:dyDescent="0.2">
      <c r="A72" s="100"/>
      <c r="B72" s="100"/>
      <c r="C72" s="65" t="s">
        <v>2858</v>
      </c>
      <c r="D72" s="70" t="s">
        <v>57</v>
      </c>
      <c r="E72" s="12">
        <v>44546</v>
      </c>
      <c r="F72" s="68" t="s">
        <v>58</v>
      </c>
      <c r="G72" s="12">
        <v>44550</v>
      </c>
      <c r="H72" s="69" t="s">
        <v>2130</v>
      </c>
      <c r="I72" s="15">
        <v>66</v>
      </c>
      <c r="J72" s="15">
        <v>55</v>
      </c>
      <c r="K72" s="15">
        <v>21</v>
      </c>
      <c r="L72" s="15">
        <v>13</v>
      </c>
      <c r="M72" s="73">
        <v>19.057500000000001</v>
      </c>
      <c r="N72" s="104">
        <v>19.057500000000001</v>
      </c>
      <c r="O72" s="57">
        <v>7000</v>
      </c>
      <c r="P72" s="58">
        <f t="shared" si="1"/>
        <v>133402.5</v>
      </c>
    </row>
    <row r="73" spans="1:16" ht="26.25" customHeight="1" x14ac:dyDescent="0.2">
      <c r="A73" s="100"/>
      <c r="B73" s="100"/>
      <c r="C73" s="65" t="s">
        <v>2859</v>
      </c>
      <c r="D73" s="70" t="s">
        <v>57</v>
      </c>
      <c r="E73" s="12">
        <v>44546</v>
      </c>
      <c r="F73" s="68" t="s">
        <v>58</v>
      </c>
      <c r="G73" s="12">
        <v>44550</v>
      </c>
      <c r="H73" s="69" t="s">
        <v>2130</v>
      </c>
      <c r="I73" s="15">
        <v>41</v>
      </c>
      <c r="J73" s="15">
        <v>38</v>
      </c>
      <c r="K73" s="15">
        <v>28</v>
      </c>
      <c r="L73" s="15">
        <v>5</v>
      </c>
      <c r="M73" s="73">
        <v>10.906000000000001</v>
      </c>
      <c r="N73" s="104">
        <v>10.906000000000001</v>
      </c>
      <c r="O73" s="57">
        <v>7000</v>
      </c>
      <c r="P73" s="58">
        <f t="shared" si="1"/>
        <v>76342</v>
      </c>
    </row>
    <row r="74" spans="1:16" ht="26.25" customHeight="1" x14ac:dyDescent="0.2">
      <c r="A74" s="100"/>
      <c r="B74" s="100"/>
      <c r="C74" s="65" t="s">
        <v>2860</v>
      </c>
      <c r="D74" s="70" t="s">
        <v>57</v>
      </c>
      <c r="E74" s="12">
        <v>44546</v>
      </c>
      <c r="F74" s="68" t="s">
        <v>58</v>
      </c>
      <c r="G74" s="12">
        <v>44550</v>
      </c>
      <c r="H74" s="69" t="s">
        <v>2130</v>
      </c>
      <c r="I74" s="15">
        <v>85</v>
      </c>
      <c r="J74" s="15">
        <v>57</v>
      </c>
      <c r="K74" s="15">
        <v>45</v>
      </c>
      <c r="L74" s="15">
        <v>7</v>
      </c>
      <c r="M74" s="73">
        <v>54.506250000000001</v>
      </c>
      <c r="N74" s="104">
        <v>54.506250000000001</v>
      </c>
      <c r="O74" s="57">
        <v>7000</v>
      </c>
      <c r="P74" s="58">
        <f t="shared" si="1"/>
        <v>381543.75</v>
      </c>
    </row>
    <row r="75" spans="1:16" ht="26.25" customHeight="1" x14ac:dyDescent="0.2">
      <c r="A75" s="100"/>
      <c r="B75" s="100"/>
      <c r="C75" s="65" t="s">
        <v>2861</v>
      </c>
      <c r="D75" s="70" t="s">
        <v>57</v>
      </c>
      <c r="E75" s="12">
        <v>44546</v>
      </c>
      <c r="F75" s="68" t="s">
        <v>58</v>
      </c>
      <c r="G75" s="12">
        <v>44550</v>
      </c>
      <c r="H75" s="69" t="s">
        <v>2130</v>
      </c>
      <c r="I75" s="15">
        <v>51</v>
      </c>
      <c r="J75" s="15">
        <v>37</v>
      </c>
      <c r="K75" s="15">
        <v>28</v>
      </c>
      <c r="L75" s="15">
        <v>6</v>
      </c>
      <c r="M75" s="73">
        <v>13.209</v>
      </c>
      <c r="N75" s="104">
        <v>13.209</v>
      </c>
      <c r="O75" s="57">
        <v>7000</v>
      </c>
      <c r="P75" s="58">
        <f t="shared" si="1"/>
        <v>92463</v>
      </c>
    </row>
    <row r="76" spans="1:16" ht="26.25" customHeight="1" x14ac:dyDescent="0.2">
      <c r="A76" s="100"/>
      <c r="B76" s="100"/>
      <c r="C76" s="65" t="s">
        <v>2862</v>
      </c>
      <c r="D76" s="70" t="s">
        <v>57</v>
      </c>
      <c r="E76" s="12">
        <v>44546</v>
      </c>
      <c r="F76" s="68" t="s">
        <v>58</v>
      </c>
      <c r="G76" s="12">
        <v>44550</v>
      </c>
      <c r="H76" s="69" t="s">
        <v>2130</v>
      </c>
      <c r="I76" s="15">
        <v>70</v>
      </c>
      <c r="J76" s="15">
        <v>51</v>
      </c>
      <c r="K76" s="15">
        <v>6</v>
      </c>
      <c r="L76" s="15">
        <v>4</v>
      </c>
      <c r="M76" s="73">
        <v>5.3550000000000004</v>
      </c>
      <c r="N76" s="104">
        <v>6</v>
      </c>
      <c r="O76" s="57">
        <v>7000</v>
      </c>
      <c r="P76" s="58">
        <f t="shared" si="1"/>
        <v>42000</v>
      </c>
    </row>
    <row r="77" spans="1:16" ht="26.25" customHeight="1" x14ac:dyDescent="0.2">
      <c r="A77" s="100"/>
      <c r="B77" s="100"/>
      <c r="C77" s="65" t="s">
        <v>2863</v>
      </c>
      <c r="D77" s="70" t="s">
        <v>57</v>
      </c>
      <c r="E77" s="12">
        <v>44546</v>
      </c>
      <c r="F77" s="68" t="s">
        <v>58</v>
      </c>
      <c r="G77" s="12">
        <v>44550</v>
      </c>
      <c r="H77" s="69" t="s">
        <v>2130</v>
      </c>
      <c r="I77" s="15">
        <v>45</v>
      </c>
      <c r="J77" s="15">
        <v>42</v>
      </c>
      <c r="K77" s="15">
        <v>35</v>
      </c>
      <c r="L77" s="15">
        <v>12</v>
      </c>
      <c r="M77" s="73">
        <v>16.537500000000001</v>
      </c>
      <c r="N77" s="104">
        <v>16.537500000000001</v>
      </c>
      <c r="O77" s="57">
        <v>7000</v>
      </c>
      <c r="P77" s="58">
        <f t="shared" si="1"/>
        <v>115762.50000000001</v>
      </c>
    </row>
    <row r="78" spans="1:16" ht="26.25" customHeight="1" x14ac:dyDescent="0.2">
      <c r="A78" s="100"/>
      <c r="B78" s="100"/>
      <c r="C78" s="65" t="s">
        <v>2864</v>
      </c>
      <c r="D78" s="70" t="s">
        <v>57</v>
      </c>
      <c r="E78" s="12">
        <v>44546</v>
      </c>
      <c r="F78" s="68" t="s">
        <v>58</v>
      </c>
      <c r="G78" s="12">
        <v>44550</v>
      </c>
      <c r="H78" s="69" t="s">
        <v>2130</v>
      </c>
      <c r="I78" s="15">
        <v>122</v>
      </c>
      <c r="J78" s="15">
        <v>80</v>
      </c>
      <c r="K78" s="15">
        <v>4</v>
      </c>
      <c r="L78" s="15">
        <v>11</v>
      </c>
      <c r="M78" s="73">
        <v>9.76</v>
      </c>
      <c r="N78" s="104">
        <v>11</v>
      </c>
      <c r="O78" s="57">
        <v>7000</v>
      </c>
      <c r="P78" s="58">
        <f t="shared" si="1"/>
        <v>77000</v>
      </c>
    </row>
    <row r="79" spans="1:16" ht="26.25" customHeight="1" x14ac:dyDescent="0.2">
      <c r="A79" s="100"/>
      <c r="B79" s="100"/>
      <c r="C79" s="65" t="s">
        <v>2865</v>
      </c>
      <c r="D79" s="70" t="s">
        <v>57</v>
      </c>
      <c r="E79" s="12">
        <v>44546</v>
      </c>
      <c r="F79" s="68" t="s">
        <v>58</v>
      </c>
      <c r="G79" s="12">
        <v>44550</v>
      </c>
      <c r="H79" s="69" t="s">
        <v>2130</v>
      </c>
      <c r="I79" s="15">
        <v>58</v>
      </c>
      <c r="J79" s="15">
        <v>45</v>
      </c>
      <c r="K79" s="15">
        <v>33</v>
      </c>
      <c r="L79" s="15">
        <v>19</v>
      </c>
      <c r="M79" s="73">
        <v>21.532499999999999</v>
      </c>
      <c r="N79" s="104">
        <v>21.532499999999999</v>
      </c>
      <c r="O79" s="57">
        <v>7000</v>
      </c>
      <c r="P79" s="58">
        <f t="shared" si="1"/>
        <v>150727.5</v>
      </c>
    </row>
    <row r="80" spans="1:16" ht="26.25" customHeight="1" x14ac:dyDescent="0.2">
      <c r="A80" s="100"/>
      <c r="B80" s="100"/>
      <c r="C80" s="65" t="s">
        <v>2866</v>
      </c>
      <c r="D80" s="70" t="s">
        <v>57</v>
      </c>
      <c r="E80" s="12">
        <v>44546</v>
      </c>
      <c r="F80" s="68" t="s">
        <v>58</v>
      </c>
      <c r="G80" s="12">
        <v>44550</v>
      </c>
      <c r="H80" s="69" t="s">
        <v>2130</v>
      </c>
      <c r="I80" s="15">
        <v>80</v>
      </c>
      <c r="J80" s="15">
        <v>60</v>
      </c>
      <c r="K80" s="15">
        <v>20</v>
      </c>
      <c r="L80" s="15">
        <v>9</v>
      </c>
      <c r="M80" s="73">
        <v>24</v>
      </c>
      <c r="N80" s="104">
        <v>24</v>
      </c>
      <c r="O80" s="57">
        <v>7000</v>
      </c>
      <c r="P80" s="58">
        <f t="shared" si="1"/>
        <v>168000</v>
      </c>
    </row>
    <row r="81" spans="1:16" ht="26.25" customHeight="1" x14ac:dyDescent="0.2">
      <c r="A81" s="100"/>
      <c r="B81" s="100"/>
      <c r="C81" s="65" t="s">
        <v>2867</v>
      </c>
      <c r="D81" s="70" t="s">
        <v>57</v>
      </c>
      <c r="E81" s="12">
        <v>44546</v>
      </c>
      <c r="F81" s="68" t="s">
        <v>58</v>
      </c>
      <c r="G81" s="12">
        <v>44550</v>
      </c>
      <c r="H81" s="69" t="s">
        <v>2130</v>
      </c>
      <c r="I81" s="15">
        <v>51</v>
      </c>
      <c r="J81" s="15">
        <v>42</v>
      </c>
      <c r="K81" s="15">
        <v>45</v>
      </c>
      <c r="L81" s="15">
        <v>20</v>
      </c>
      <c r="M81" s="73">
        <v>24.0975</v>
      </c>
      <c r="N81" s="104">
        <v>24.0975</v>
      </c>
      <c r="O81" s="57">
        <v>7000</v>
      </c>
      <c r="P81" s="58">
        <f t="shared" si="1"/>
        <v>168682.5</v>
      </c>
    </row>
    <row r="82" spans="1:16" ht="26.25" customHeight="1" x14ac:dyDescent="0.2">
      <c r="A82" s="100"/>
      <c r="B82" s="100"/>
      <c r="C82" s="65" t="s">
        <v>2868</v>
      </c>
      <c r="D82" s="70" t="s">
        <v>57</v>
      </c>
      <c r="E82" s="12">
        <v>44546</v>
      </c>
      <c r="F82" s="68" t="s">
        <v>58</v>
      </c>
      <c r="G82" s="12">
        <v>44550</v>
      </c>
      <c r="H82" s="69" t="s">
        <v>2130</v>
      </c>
      <c r="I82" s="15">
        <v>82</v>
      </c>
      <c r="J82" s="15">
        <v>65</v>
      </c>
      <c r="K82" s="15">
        <v>25</v>
      </c>
      <c r="L82" s="15">
        <v>15</v>
      </c>
      <c r="M82" s="73">
        <v>33.3125</v>
      </c>
      <c r="N82" s="104">
        <v>34</v>
      </c>
      <c r="O82" s="57">
        <v>7000</v>
      </c>
      <c r="P82" s="58">
        <f t="shared" si="1"/>
        <v>238000</v>
      </c>
    </row>
    <row r="83" spans="1:16" ht="26.25" customHeight="1" x14ac:dyDescent="0.2">
      <c r="A83" s="100"/>
      <c r="B83" s="100"/>
      <c r="C83" s="65" t="s">
        <v>2869</v>
      </c>
      <c r="D83" s="70" t="s">
        <v>57</v>
      </c>
      <c r="E83" s="12">
        <v>44546</v>
      </c>
      <c r="F83" s="68" t="s">
        <v>58</v>
      </c>
      <c r="G83" s="12">
        <v>44550</v>
      </c>
      <c r="H83" s="69" t="s">
        <v>2130</v>
      </c>
      <c r="I83" s="15">
        <v>80</v>
      </c>
      <c r="J83" s="15">
        <v>50</v>
      </c>
      <c r="K83" s="15">
        <v>15</v>
      </c>
      <c r="L83" s="15">
        <v>9</v>
      </c>
      <c r="M83" s="73">
        <v>15</v>
      </c>
      <c r="N83" s="104">
        <v>15</v>
      </c>
      <c r="O83" s="57">
        <v>7000</v>
      </c>
      <c r="P83" s="58">
        <f t="shared" si="1"/>
        <v>105000</v>
      </c>
    </row>
    <row r="84" spans="1:16" ht="26.25" customHeight="1" x14ac:dyDescent="0.2">
      <c r="A84" s="100"/>
      <c r="B84" s="100"/>
      <c r="C84" s="65" t="s">
        <v>2870</v>
      </c>
      <c r="D84" s="70" t="s">
        <v>57</v>
      </c>
      <c r="E84" s="12">
        <v>44546</v>
      </c>
      <c r="F84" s="68" t="s">
        <v>58</v>
      </c>
      <c r="G84" s="12">
        <v>44550</v>
      </c>
      <c r="H84" s="69" t="s">
        <v>2130</v>
      </c>
      <c r="I84" s="15">
        <v>60</v>
      </c>
      <c r="J84" s="15">
        <v>56</v>
      </c>
      <c r="K84" s="15">
        <v>10</v>
      </c>
      <c r="L84" s="15">
        <v>4</v>
      </c>
      <c r="M84" s="73">
        <v>8.4</v>
      </c>
      <c r="N84" s="104">
        <v>9</v>
      </c>
      <c r="O84" s="57">
        <v>7000</v>
      </c>
      <c r="P84" s="58">
        <f t="shared" si="1"/>
        <v>63000</v>
      </c>
    </row>
    <row r="85" spans="1:16" ht="26.25" customHeight="1" x14ac:dyDescent="0.2">
      <c r="A85" s="100"/>
      <c r="B85" s="100"/>
      <c r="C85" s="65" t="s">
        <v>2871</v>
      </c>
      <c r="D85" s="70" t="s">
        <v>57</v>
      </c>
      <c r="E85" s="12">
        <v>44546</v>
      </c>
      <c r="F85" s="68" t="s">
        <v>58</v>
      </c>
      <c r="G85" s="12">
        <v>44550</v>
      </c>
      <c r="H85" s="69" t="s">
        <v>2130</v>
      </c>
      <c r="I85" s="15">
        <v>91</v>
      </c>
      <c r="J85" s="15">
        <v>65</v>
      </c>
      <c r="K85" s="15">
        <v>15</v>
      </c>
      <c r="L85" s="15">
        <v>12</v>
      </c>
      <c r="M85" s="73">
        <v>22.181249999999999</v>
      </c>
      <c r="N85" s="104">
        <v>22.181249999999999</v>
      </c>
      <c r="O85" s="57">
        <v>7000</v>
      </c>
      <c r="P85" s="58">
        <f t="shared" si="1"/>
        <v>155268.75</v>
      </c>
    </row>
    <row r="86" spans="1:16" ht="26.25" customHeight="1" x14ac:dyDescent="0.2">
      <c r="A86" s="100"/>
      <c r="B86" s="100"/>
      <c r="C86" s="65" t="s">
        <v>2872</v>
      </c>
      <c r="D86" s="70" t="s">
        <v>57</v>
      </c>
      <c r="E86" s="12">
        <v>44546</v>
      </c>
      <c r="F86" s="68" t="s">
        <v>58</v>
      </c>
      <c r="G86" s="12">
        <v>44550</v>
      </c>
      <c r="H86" s="69" t="s">
        <v>2130</v>
      </c>
      <c r="I86" s="15">
        <v>87</v>
      </c>
      <c r="J86" s="15">
        <v>55</v>
      </c>
      <c r="K86" s="15">
        <v>24</v>
      </c>
      <c r="L86" s="15">
        <v>10</v>
      </c>
      <c r="M86" s="73">
        <v>28.71</v>
      </c>
      <c r="N86" s="104">
        <v>28.71</v>
      </c>
      <c r="O86" s="57">
        <v>7000</v>
      </c>
      <c r="P86" s="58">
        <f t="shared" si="1"/>
        <v>200970</v>
      </c>
    </row>
    <row r="87" spans="1:16" ht="26.25" customHeight="1" x14ac:dyDescent="0.2">
      <c r="A87" s="100"/>
      <c r="B87" s="100"/>
      <c r="C87" s="65" t="s">
        <v>2873</v>
      </c>
      <c r="D87" s="70" t="s">
        <v>57</v>
      </c>
      <c r="E87" s="12">
        <v>44546</v>
      </c>
      <c r="F87" s="68" t="s">
        <v>58</v>
      </c>
      <c r="G87" s="12">
        <v>44550</v>
      </c>
      <c r="H87" s="69" t="s">
        <v>2130</v>
      </c>
      <c r="I87" s="15">
        <v>81</v>
      </c>
      <c r="J87" s="15">
        <v>58</v>
      </c>
      <c r="K87" s="15">
        <v>20</v>
      </c>
      <c r="L87" s="15">
        <v>23</v>
      </c>
      <c r="M87" s="73">
        <v>23.49</v>
      </c>
      <c r="N87" s="104">
        <v>24</v>
      </c>
      <c r="O87" s="57">
        <v>7000</v>
      </c>
      <c r="P87" s="58">
        <f t="shared" si="1"/>
        <v>168000</v>
      </c>
    </row>
    <row r="88" spans="1:16" ht="26.25" customHeight="1" x14ac:dyDescent="0.2">
      <c r="A88" s="100"/>
      <c r="B88" s="100"/>
      <c r="C88" s="65" t="s">
        <v>2874</v>
      </c>
      <c r="D88" s="70" t="s">
        <v>57</v>
      </c>
      <c r="E88" s="12">
        <v>44546</v>
      </c>
      <c r="F88" s="68" t="s">
        <v>58</v>
      </c>
      <c r="G88" s="12">
        <v>44550</v>
      </c>
      <c r="H88" s="69" t="s">
        <v>2130</v>
      </c>
      <c r="I88" s="15">
        <v>60</v>
      </c>
      <c r="J88" s="15">
        <v>60</v>
      </c>
      <c r="K88" s="15">
        <v>21</v>
      </c>
      <c r="L88" s="15">
        <v>11</v>
      </c>
      <c r="M88" s="73">
        <v>18.899999999999999</v>
      </c>
      <c r="N88" s="104">
        <v>18.899999999999999</v>
      </c>
      <c r="O88" s="57">
        <v>7000</v>
      </c>
      <c r="P88" s="58">
        <f t="shared" si="1"/>
        <v>132300</v>
      </c>
    </row>
    <row r="89" spans="1:16" ht="26.25" customHeight="1" x14ac:dyDescent="0.2">
      <c r="A89" s="100"/>
      <c r="B89" s="100"/>
      <c r="C89" s="65" t="s">
        <v>2875</v>
      </c>
      <c r="D89" s="70" t="s">
        <v>57</v>
      </c>
      <c r="E89" s="12">
        <v>44546</v>
      </c>
      <c r="F89" s="68" t="s">
        <v>58</v>
      </c>
      <c r="G89" s="12">
        <v>44550</v>
      </c>
      <c r="H89" s="69" t="s">
        <v>2130</v>
      </c>
      <c r="I89" s="15">
        <v>99</v>
      </c>
      <c r="J89" s="15">
        <v>37</v>
      </c>
      <c r="K89" s="15">
        <v>8</v>
      </c>
      <c r="L89" s="15">
        <v>4</v>
      </c>
      <c r="M89" s="73">
        <v>7.3259999999999996</v>
      </c>
      <c r="N89" s="104">
        <v>8</v>
      </c>
      <c r="O89" s="57">
        <v>7000</v>
      </c>
      <c r="P89" s="58">
        <f t="shared" si="1"/>
        <v>56000</v>
      </c>
    </row>
    <row r="90" spans="1:16" ht="26.25" customHeight="1" x14ac:dyDescent="0.2">
      <c r="A90" s="100"/>
      <c r="B90" s="100"/>
      <c r="C90" s="65" t="s">
        <v>2876</v>
      </c>
      <c r="D90" s="70" t="s">
        <v>57</v>
      </c>
      <c r="E90" s="12">
        <v>44546</v>
      </c>
      <c r="F90" s="68" t="s">
        <v>58</v>
      </c>
      <c r="G90" s="12">
        <v>44550</v>
      </c>
      <c r="H90" s="69" t="s">
        <v>2130</v>
      </c>
      <c r="I90" s="15">
        <v>83</v>
      </c>
      <c r="J90" s="15">
        <v>36</v>
      </c>
      <c r="K90" s="15">
        <v>25</v>
      </c>
      <c r="L90" s="15">
        <v>13</v>
      </c>
      <c r="M90" s="73">
        <v>18.675000000000001</v>
      </c>
      <c r="N90" s="104">
        <v>18.675000000000001</v>
      </c>
      <c r="O90" s="57">
        <v>7000</v>
      </c>
      <c r="P90" s="58">
        <f t="shared" si="1"/>
        <v>130725</v>
      </c>
    </row>
    <row r="91" spans="1:16" ht="26.25" customHeight="1" x14ac:dyDescent="0.2">
      <c r="A91" s="100"/>
      <c r="B91" s="100"/>
      <c r="C91" s="65" t="s">
        <v>2877</v>
      </c>
      <c r="D91" s="70" t="s">
        <v>57</v>
      </c>
      <c r="E91" s="12">
        <v>44546</v>
      </c>
      <c r="F91" s="68" t="s">
        <v>58</v>
      </c>
      <c r="G91" s="12">
        <v>44550</v>
      </c>
      <c r="H91" s="69" t="s">
        <v>2130</v>
      </c>
      <c r="I91" s="15">
        <v>92</v>
      </c>
      <c r="J91" s="15">
        <v>35</v>
      </c>
      <c r="K91" s="15">
        <v>56</v>
      </c>
      <c r="L91" s="15">
        <v>22</v>
      </c>
      <c r="M91" s="73">
        <v>45.08</v>
      </c>
      <c r="N91" s="104">
        <v>45.08</v>
      </c>
      <c r="O91" s="57">
        <v>7000</v>
      </c>
      <c r="P91" s="58">
        <f t="shared" si="1"/>
        <v>315560</v>
      </c>
    </row>
    <row r="92" spans="1:16" ht="26.25" customHeight="1" x14ac:dyDescent="0.2">
      <c r="A92" s="100"/>
      <c r="B92" s="100"/>
      <c r="C92" s="65" t="s">
        <v>2878</v>
      </c>
      <c r="D92" s="70" t="s">
        <v>57</v>
      </c>
      <c r="E92" s="12">
        <v>44546</v>
      </c>
      <c r="F92" s="68" t="s">
        <v>58</v>
      </c>
      <c r="G92" s="12">
        <v>44550</v>
      </c>
      <c r="H92" s="69" t="s">
        <v>2130</v>
      </c>
      <c r="I92" s="15">
        <v>50</v>
      </c>
      <c r="J92" s="15">
        <v>35</v>
      </c>
      <c r="K92" s="15">
        <v>24</v>
      </c>
      <c r="L92" s="15">
        <v>10</v>
      </c>
      <c r="M92" s="73">
        <v>10.5</v>
      </c>
      <c r="N92" s="104">
        <v>12</v>
      </c>
      <c r="O92" s="57">
        <v>7000</v>
      </c>
      <c r="P92" s="58">
        <f t="shared" si="1"/>
        <v>84000</v>
      </c>
    </row>
    <row r="93" spans="1:16" ht="26.25" customHeight="1" x14ac:dyDescent="0.2">
      <c r="A93" s="100"/>
      <c r="B93" s="100"/>
      <c r="C93" s="65" t="s">
        <v>2879</v>
      </c>
      <c r="D93" s="70" t="s">
        <v>57</v>
      </c>
      <c r="E93" s="12">
        <v>44546</v>
      </c>
      <c r="F93" s="68" t="s">
        <v>58</v>
      </c>
      <c r="G93" s="12">
        <v>44550</v>
      </c>
      <c r="H93" s="69" t="s">
        <v>2130</v>
      </c>
      <c r="I93" s="15">
        <v>40</v>
      </c>
      <c r="J93" s="15">
        <v>38</v>
      </c>
      <c r="K93" s="15">
        <v>22</v>
      </c>
      <c r="L93" s="15">
        <v>11</v>
      </c>
      <c r="M93" s="73">
        <v>8.36</v>
      </c>
      <c r="N93" s="104">
        <v>12</v>
      </c>
      <c r="O93" s="57">
        <v>7000</v>
      </c>
      <c r="P93" s="58">
        <f t="shared" si="1"/>
        <v>84000</v>
      </c>
    </row>
    <row r="94" spans="1:16" ht="26.25" customHeight="1" x14ac:dyDescent="0.2">
      <c r="A94" s="100"/>
      <c r="B94" s="100"/>
      <c r="C94" s="65" t="s">
        <v>2880</v>
      </c>
      <c r="D94" s="70" t="s">
        <v>57</v>
      </c>
      <c r="E94" s="12">
        <v>44546</v>
      </c>
      <c r="F94" s="68" t="s">
        <v>58</v>
      </c>
      <c r="G94" s="12">
        <v>44550</v>
      </c>
      <c r="H94" s="69" t="s">
        <v>2130</v>
      </c>
      <c r="I94" s="15">
        <v>60</v>
      </c>
      <c r="J94" s="15">
        <v>24</v>
      </c>
      <c r="K94" s="15">
        <v>15</v>
      </c>
      <c r="L94" s="15">
        <v>6</v>
      </c>
      <c r="M94" s="73">
        <v>5.4</v>
      </c>
      <c r="N94" s="104">
        <v>7</v>
      </c>
      <c r="O94" s="57">
        <v>7000</v>
      </c>
      <c r="P94" s="58">
        <f t="shared" si="1"/>
        <v>49000</v>
      </c>
    </row>
    <row r="95" spans="1:16" ht="26.25" customHeight="1" x14ac:dyDescent="0.2">
      <c r="A95" s="100"/>
      <c r="B95" s="100"/>
      <c r="C95" s="65" t="s">
        <v>2881</v>
      </c>
      <c r="D95" s="70" t="s">
        <v>57</v>
      </c>
      <c r="E95" s="12">
        <v>44546</v>
      </c>
      <c r="F95" s="68" t="s">
        <v>58</v>
      </c>
      <c r="G95" s="12">
        <v>44550</v>
      </c>
      <c r="H95" s="69" t="s">
        <v>2130</v>
      </c>
      <c r="I95" s="15">
        <v>60</v>
      </c>
      <c r="J95" s="15">
        <v>24</v>
      </c>
      <c r="K95" s="15">
        <v>15</v>
      </c>
      <c r="L95" s="15">
        <v>6</v>
      </c>
      <c r="M95" s="73">
        <v>5.4</v>
      </c>
      <c r="N95" s="104">
        <v>7</v>
      </c>
      <c r="O95" s="57">
        <v>7000</v>
      </c>
      <c r="P95" s="58">
        <f t="shared" si="1"/>
        <v>49000</v>
      </c>
    </row>
    <row r="96" spans="1:16" ht="26.25" customHeight="1" x14ac:dyDescent="0.2">
      <c r="A96" s="100"/>
      <c r="B96" s="100"/>
      <c r="C96" s="65" t="s">
        <v>2882</v>
      </c>
      <c r="D96" s="70" t="s">
        <v>57</v>
      </c>
      <c r="E96" s="12">
        <v>44546</v>
      </c>
      <c r="F96" s="68" t="s">
        <v>58</v>
      </c>
      <c r="G96" s="12">
        <v>44550</v>
      </c>
      <c r="H96" s="69" t="s">
        <v>2130</v>
      </c>
      <c r="I96" s="15">
        <v>72</v>
      </c>
      <c r="J96" s="15">
        <v>51</v>
      </c>
      <c r="K96" s="15">
        <v>13</v>
      </c>
      <c r="L96" s="15">
        <v>14</v>
      </c>
      <c r="M96" s="73">
        <v>11.933999999999999</v>
      </c>
      <c r="N96" s="104">
        <v>14</v>
      </c>
      <c r="O96" s="57">
        <v>7000</v>
      </c>
      <c r="P96" s="58">
        <f t="shared" si="1"/>
        <v>98000</v>
      </c>
    </row>
    <row r="97" spans="1:16" ht="26.25" customHeight="1" x14ac:dyDescent="0.2">
      <c r="A97" s="100"/>
      <c r="B97" s="100"/>
      <c r="C97" s="65" t="s">
        <v>2883</v>
      </c>
      <c r="D97" s="70" t="s">
        <v>57</v>
      </c>
      <c r="E97" s="12">
        <v>44546</v>
      </c>
      <c r="F97" s="68" t="s">
        <v>58</v>
      </c>
      <c r="G97" s="12">
        <v>44550</v>
      </c>
      <c r="H97" s="69" t="s">
        <v>2130</v>
      </c>
      <c r="I97" s="15">
        <v>100</v>
      </c>
      <c r="J97" s="15">
        <v>57</v>
      </c>
      <c r="K97" s="15">
        <v>25</v>
      </c>
      <c r="L97" s="15">
        <v>25</v>
      </c>
      <c r="M97" s="73">
        <v>35.625</v>
      </c>
      <c r="N97" s="104">
        <v>35.625</v>
      </c>
      <c r="O97" s="57">
        <v>7000</v>
      </c>
      <c r="P97" s="58">
        <f t="shared" si="1"/>
        <v>249375</v>
      </c>
    </row>
    <row r="98" spans="1:16" ht="26.25" customHeight="1" x14ac:dyDescent="0.2">
      <c r="A98" s="100"/>
      <c r="B98" s="100"/>
      <c r="C98" s="65" t="s">
        <v>2884</v>
      </c>
      <c r="D98" s="70" t="s">
        <v>57</v>
      </c>
      <c r="E98" s="12">
        <v>44546</v>
      </c>
      <c r="F98" s="68" t="s">
        <v>58</v>
      </c>
      <c r="G98" s="12">
        <v>44550</v>
      </c>
      <c r="H98" s="69" t="s">
        <v>2130</v>
      </c>
      <c r="I98" s="15">
        <v>35</v>
      </c>
      <c r="J98" s="15">
        <v>27</v>
      </c>
      <c r="K98" s="15">
        <v>28</v>
      </c>
      <c r="L98" s="15">
        <v>3</v>
      </c>
      <c r="M98" s="73">
        <v>6.6150000000000002</v>
      </c>
      <c r="N98" s="104">
        <v>6.6150000000000002</v>
      </c>
      <c r="O98" s="57">
        <v>7000</v>
      </c>
      <c r="P98" s="58">
        <f t="shared" si="1"/>
        <v>46305</v>
      </c>
    </row>
    <row r="99" spans="1:16" ht="26.25" customHeight="1" x14ac:dyDescent="0.2">
      <c r="A99" s="100"/>
      <c r="B99" s="100"/>
      <c r="C99" s="65" t="s">
        <v>2885</v>
      </c>
      <c r="D99" s="70" t="s">
        <v>57</v>
      </c>
      <c r="E99" s="12">
        <v>44546</v>
      </c>
      <c r="F99" s="68" t="s">
        <v>58</v>
      </c>
      <c r="G99" s="12">
        <v>44550</v>
      </c>
      <c r="H99" s="69" t="s">
        <v>2130</v>
      </c>
      <c r="I99" s="15">
        <v>20</v>
      </c>
      <c r="J99" s="15">
        <v>19</v>
      </c>
      <c r="K99" s="15">
        <v>19</v>
      </c>
      <c r="L99" s="15">
        <v>1</v>
      </c>
      <c r="M99" s="73">
        <v>1.8049999999999999</v>
      </c>
      <c r="N99" s="104">
        <v>1.8049999999999999</v>
      </c>
      <c r="O99" s="57">
        <v>7000</v>
      </c>
      <c r="P99" s="58">
        <f t="shared" si="1"/>
        <v>12635</v>
      </c>
    </row>
    <row r="100" spans="1:16" ht="26.25" customHeight="1" x14ac:dyDescent="0.2">
      <c r="A100" s="100"/>
      <c r="B100" s="100"/>
      <c r="C100" s="65" t="s">
        <v>2886</v>
      </c>
      <c r="D100" s="70" t="s">
        <v>57</v>
      </c>
      <c r="E100" s="12">
        <v>44546</v>
      </c>
      <c r="F100" s="68" t="s">
        <v>58</v>
      </c>
      <c r="G100" s="12">
        <v>44550</v>
      </c>
      <c r="H100" s="69" t="s">
        <v>2130</v>
      </c>
      <c r="I100" s="15">
        <v>45</v>
      </c>
      <c r="J100" s="15">
        <v>25</v>
      </c>
      <c r="K100" s="15">
        <v>15</v>
      </c>
      <c r="L100" s="15">
        <v>5</v>
      </c>
      <c r="M100" s="73">
        <v>4.21875</v>
      </c>
      <c r="N100" s="104">
        <v>5</v>
      </c>
      <c r="O100" s="57">
        <v>7000</v>
      </c>
      <c r="P100" s="58">
        <f t="shared" si="1"/>
        <v>35000</v>
      </c>
    </row>
    <row r="101" spans="1:16" ht="26.25" customHeight="1" x14ac:dyDescent="0.2">
      <c r="A101" s="100"/>
      <c r="B101" s="100"/>
      <c r="C101" s="65" t="s">
        <v>2887</v>
      </c>
      <c r="D101" s="70" t="s">
        <v>57</v>
      </c>
      <c r="E101" s="12">
        <v>44546</v>
      </c>
      <c r="F101" s="68" t="s">
        <v>58</v>
      </c>
      <c r="G101" s="12">
        <v>44550</v>
      </c>
      <c r="H101" s="69" t="s">
        <v>2130</v>
      </c>
      <c r="I101" s="15">
        <v>50</v>
      </c>
      <c r="J101" s="15">
        <v>23</v>
      </c>
      <c r="K101" s="15">
        <v>44</v>
      </c>
      <c r="L101" s="15">
        <v>10</v>
      </c>
      <c r="M101" s="73">
        <v>12.65</v>
      </c>
      <c r="N101" s="104">
        <v>12.65</v>
      </c>
      <c r="O101" s="57">
        <v>7000</v>
      </c>
      <c r="P101" s="58">
        <f t="shared" si="1"/>
        <v>88550</v>
      </c>
    </row>
    <row r="102" spans="1:16" ht="26.25" customHeight="1" x14ac:dyDescent="0.2">
      <c r="A102" s="100"/>
      <c r="B102" s="100"/>
      <c r="C102" s="65" t="s">
        <v>2888</v>
      </c>
      <c r="D102" s="70" t="s">
        <v>57</v>
      </c>
      <c r="E102" s="12">
        <v>44546</v>
      </c>
      <c r="F102" s="68" t="s">
        <v>58</v>
      </c>
      <c r="G102" s="12">
        <v>44550</v>
      </c>
      <c r="H102" s="69" t="s">
        <v>2130</v>
      </c>
      <c r="I102" s="15">
        <v>66</v>
      </c>
      <c r="J102" s="15">
        <v>50</v>
      </c>
      <c r="K102" s="15">
        <v>20</v>
      </c>
      <c r="L102" s="15">
        <v>6</v>
      </c>
      <c r="M102" s="73">
        <v>16.5</v>
      </c>
      <c r="N102" s="104">
        <v>18</v>
      </c>
      <c r="O102" s="57">
        <v>7000</v>
      </c>
      <c r="P102" s="58">
        <f t="shared" si="1"/>
        <v>126000</v>
      </c>
    </row>
    <row r="103" spans="1:16" ht="26.25" customHeight="1" x14ac:dyDescent="0.2">
      <c r="A103" s="100"/>
      <c r="B103" s="100"/>
      <c r="C103" s="65" t="s">
        <v>2889</v>
      </c>
      <c r="D103" s="70" t="s">
        <v>57</v>
      </c>
      <c r="E103" s="12">
        <v>44546</v>
      </c>
      <c r="F103" s="68" t="s">
        <v>58</v>
      </c>
      <c r="G103" s="12">
        <v>44550</v>
      </c>
      <c r="H103" s="69" t="s">
        <v>2130</v>
      </c>
      <c r="I103" s="15">
        <v>61</v>
      </c>
      <c r="J103" s="15">
        <v>61</v>
      </c>
      <c r="K103" s="15">
        <v>15</v>
      </c>
      <c r="L103" s="15">
        <v>7</v>
      </c>
      <c r="M103" s="73">
        <v>13.953749999999999</v>
      </c>
      <c r="N103" s="104">
        <v>13.953749999999999</v>
      </c>
      <c r="O103" s="57">
        <v>7000</v>
      </c>
      <c r="P103" s="58">
        <f t="shared" si="1"/>
        <v>97676.25</v>
      </c>
    </row>
    <row r="104" spans="1:16" ht="26.25" customHeight="1" x14ac:dyDescent="0.2">
      <c r="A104" s="100"/>
      <c r="B104" s="100"/>
      <c r="C104" s="65" t="s">
        <v>2890</v>
      </c>
      <c r="D104" s="70" t="s">
        <v>57</v>
      </c>
      <c r="E104" s="12">
        <v>44546</v>
      </c>
      <c r="F104" s="68" t="s">
        <v>58</v>
      </c>
      <c r="G104" s="12">
        <v>44550</v>
      </c>
      <c r="H104" s="69" t="s">
        <v>2130</v>
      </c>
      <c r="I104" s="15">
        <v>65</v>
      </c>
      <c r="J104" s="15">
        <v>45</v>
      </c>
      <c r="K104" s="15">
        <v>12</v>
      </c>
      <c r="L104" s="15">
        <v>8</v>
      </c>
      <c r="M104" s="73">
        <v>8.7750000000000004</v>
      </c>
      <c r="N104" s="104">
        <v>8.7750000000000004</v>
      </c>
      <c r="O104" s="57">
        <v>7000</v>
      </c>
      <c r="P104" s="58">
        <f t="shared" si="1"/>
        <v>61425</v>
      </c>
    </row>
    <row r="105" spans="1:16" ht="26.25" customHeight="1" x14ac:dyDescent="0.2">
      <c r="A105" s="100"/>
      <c r="B105" s="100"/>
      <c r="C105" s="65" t="s">
        <v>2891</v>
      </c>
      <c r="D105" s="70" t="s">
        <v>57</v>
      </c>
      <c r="E105" s="12">
        <v>44546</v>
      </c>
      <c r="F105" s="68" t="s">
        <v>58</v>
      </c>
      <c r="G105" s="12">
        <v>44550</v>
      </c>
      <c r="H105" s="69" t="s">
        <v>2130</v>
      </c>
      <c r="I105" s="15">
        <v>60</v>
      </c>
      <c r="J105" s="15">
        <v>44</v>
      </c>
      <c r="K105" s="15">
        <v>21</v>
      </c>
      <c r="L105" s="15">
        <v>7</v>
      </c>
      <c r="M105" s="73">
        <v>13.86</v>
      </c>
      <c r="N105" s="104">
        <v>13.86</v>
      </c>
      <c r="O105" s="57">
        <v>7000</v>
      </c>
      <c r="P105" s="58">
        <f t="shared" si="1"/>
        <v>97020</v>
      </c>
    </row>
    <row r="106" spans="1:16" ht="26.25" customHeight="1" x14ac:dyDescent="0.2">
      <c r="A106" s="100"/>
      <c r="B106" s="100"/>
      <c r="C106" s="65" t="s">
        <v>2892</v>
      </c>
      <c r="D106" s="70" t="s">
        <v>57</v>
      </c>
      <c r="E106" s="12">
        <v>44546</v>
      </c>
      <c r="F106" s="68" t="s">
        <v>58</v>
      </c>
      <c r="G106" s="12">
        <v>44550</v>
      </c>
      <c r="H106" s="69" t="s">
        <v>2130</v>
      </c>
      <c r="I106" s="15">
        <v>45</v>
      </c>
      <c r="J106" s="15">
        <v>36</v>
      </c>
      <c r="K106" s="15">
        <v>12</v>
      </c>
      <c r="L106" s="15">
        <v>2</v>
      </c>
      <c r="M106" s="73">
        <v>4.8600000000000003</v>
      </c>
      <c r="N106" s="104">
        <v>4.8600000000000003</v>
      </c>
      <c r="O106" s="57">
        <v>7000</v>
      </c>
      <c r="P106" s="58">
        <f t="shared" si="1"/>
        <v>34020</v>
      </c>
    </row>
    <row r="107" spans="1:16" ht="26.25" customHeight="1" x14ac:dyDescent="0.2">
      <c r="A107" s="100"/>
      <c r="B107" s="100"/>
      <c r="C107" s="65" t="s">
        <v>2893</v>
      </c>
      <c r="D107" s="70" t="s">
        <v>57</v>
      </c>
      <c r="E107" s="12">
        <v>44546</v>
      </c>
      <c r="F107" s="68" t="s">
        <v>58</v>
      </c>
      <c r="G107" s="12">
        <v>44550</v>
      </c>
      <c r="H107" s="69" t="s">
        <v>2130</v>
      </c>
      <c r="I107" s="15">
        <v>62</v>
      </c>
      <c r="J107" s="15">
        <v>54</v>
      </c>
      <c r="K107" s="15">
        <v>14</v>
      </c>
      <c r="L107" s="15">
        <v>6</v>
      </c>
      <c r="M107" s="73">
        <v>11.718</v>
      </c>
      <c r="N107" s="104">
        <v>11.718</v>
      </c>
      <c r="O107" s="57">
        <v>7000</v>
      </c>
      <c r="P107" s="58">
        <f t="shared" si="1"/>
        <v>82026</v>
      </c>
    </row>
    <row r="108" spans="1:16" ht="26.25" customHeight="1" x14ac:dyDescent="0.2">
      <c r="A108" s="100"/>
      <c r="B108" s="100"/>
      <c r="C108" s="65" t="s">
        <v>2894</v>
      </c>
      <c r="D108" s="70" t="s">
        <v>57</v>
      </c>
      <c r="E108" s="12">
        <v>44546</v>
      </c>
      <c r="F108" s="68" t="s">
        <v>58</v>
      </c>
      <c r="G108" s="12">
        <v>44550</v>
      </c>
      <c r="H108" s="69" t="s">
        <v>2130</v>
      </c>
      <c r="I108" s="15">
        <v>50</v>
      </c>
      <c r="J108" s="15">
        <v>35</v>
      </c>
      <c r="K108" s="15">
        <v>12</v>
      </c>
      <c r="L108" s="15">
        <v>10</v>
      </c>
      <c r="M108" s="73">
        <v>5.25</v>
      </c>
      <c r="N108" s="104">
        <v>10</v>
      </c>
      <c r="O108" s="57">
        <v>7000</v>
      </c>
      <c r="P108" s="58">
        <f t="shared" si="1"/>
        <v>70000</v>
      </c>
    </row>
    <row r="109" spans="1:16" ht="26.25" customHeight="1" x14ac:dyDescent="0.2">
      <c r="A109" s="100"/>
      <c r="B109" s="100"/>
      <c r="C109" s="65" t="s">
        <v>2895</v>
      </c>
      <c r="D109" s="70" t="s">
        <v>57</v>
      </c>
      <c r="E109" s="12">
        <v>44546</v>
      </c>
      <c r="F109" s="68" t="s">
        <v>58</v>
      </c>
      <c r="G109" s="12">
        <v>44550</v>
      </c>
      <c r="H109" s="69" t="s">
        <v>2130</v>
      </c>
      <c r="I109" s="15">
        <v>100</v>
      </c>
      <c r="J109" s="15">
        <v>35</v>
      </c>
      <c r="K109" s="15">
        <v>15</v>
      </c>
      <c r="L109" s="15">
        <v>1</v>
      </c>
      <c r="M109" s="73">
        <v>13.125</v>
      </c>
      <c r="N109" s="104">
        <v>13.125</v>
      </c>
      <c r="O109" s="57">
        <v>7000</v>
      </c>
      <c r="P109" s="58">
        <f t="shared" si="1"/>
        <v>91875</v>
      </c>
    </row>
    <row r="110" spans="1:16" ht="26.25" customHeight="1" x14ac:dyDescent="0.2">
      <c r="A110" s="100"/>
      <c r="B110" s="100"/>
      <c r="C110" s="65" t="s">
        <v>2896</v>
      </c>
      <c r="D110" s="70" t="s">
        <v>57</v>
      </c>
      <c r="E110" s="12">
        <v>44546</v>
      </c>
      <c r="F110" s="68" t="s">
        <v>58</v>
      </c>
      <c r="G110" s="12">
        <v>44550</v>
      </c>
      <c r="H110" s="69" t="s">
        <v>2130</v>
      </c>
      <c r="I110" s="15">
        <v>75</v>
      </c>
      <c r="J110" s="15">
        <v>55</v>
      </c>
      <c r="K110" s="15">
        <v>14</v>
      </c>
      <c r="L110" s="15">
        <v>15</v>
      </c>
      <c r="M110" s="73">
        <v>14.4375</v>
      </c>
      <c r="N110" s="104">
        <v>16</v>
      </c>
      <c r="O110" s="57">
        <v>7000</v>
      </c>
      <c r="P110" s="58">
        <f t="shared" si="1"/>
        <v>112000</v>
      </c>
    </row>
    <row r="111" spans="1:16" ht="26.25" customHeight="1" x14ac:dyDescent="0.2">
      <c r="A111" s="100"/>
      <c r="B111" s="100"/>
      <c r="C111" s="65" t="s">
        <v>2897</v>
      </c>
      <c r="D111" s="70" t="s">
        <v>57</v>
      </c>
      <c r="E111" s="12">
        <v>44546</v>
      </c>
      <c r="F111" s="68" t="s">
        <v>58</v>
      </c>
      <c r="G111" s="12">
        <v>44550</v>
      </c>
      <c r="H111" s="69" t="s">
        <v>2130</v>
      </c>
      <c r="I111" s="15">
        <v>69</v>
      </c>
      <c r="J111" s="15">
        <v>58</v>
      </c>
      <c r="K111" s="15">
        <v>10</v>
      </c>
      <c r="L111" s="15">
        <v>9</v>
      </c>
      <c r="M111" s="73">
        <v>10.005000000000001</v>
      </c>
      <c r="N111" s="104">
        <v>10.005000000000001</v>
      </c>
      <c r="O111" s="57">
        <v>7000</v>
      </c>
      <c r="P111" s="58">
        <f t="shared" si="1"/>
        <v>70035</v>
      </c>
    </row>
    <row r="112" spans="1:16" ht="26.25" customHeight="1" x14ac:dyDescent="0.2">
      <c r="A112" s="100"/>
      <c r="B112" s="100"/>
      <c r="C112" s="65" t="s">
        <v>2898</v>
      </c>
      <c r="D112" s="70" t="s">
        <v>57</v>
      </c>
      <c r="E112" s="12">
        <v>44546</v>
      </c>
      <c r="F112" s="68" t="s">
        <v>58</v>
      </c>
      <c r="G112" s="12">
        <v>44550</v>
      </c>
      <c r="H112" s="69" t="s">
        <v>2130</v>
      </c>
      <c r="I112" s="15">
        <v>60</v>
      </c>
      <c r="J112" s="15">
        <v>55</v>
      </c>
      <c r="K112" s="15">
        <v>12</v>
      </c>
      <c r="L112" s="15">
        <v>5</v>
      </c>
      <c r="M112" s="73">
        <v>9.9</v>
      </c>
      <c r="N112" s="104">
        <v>9.9</v>
      </c>
      <c r="O112" s="57">
        <v>7000</v>
      </c>
      <c r="P112" s="58">
        <f t="shared" si="1"/>
        <v>69300</v>
      </c>
    </row>
    <row r="113" spans="1:16" ht="26.25" customHeight="1" x14ac:dyDescent="0.2">
      <c r="A113" s="100"/>
      <c r="B113" s="100"/>
      <c r="C113" s="65" t="s">
        <v>2899</v>
      </c>
      <c r="D113" s="70" t="s">
        <v>57</v>
      </c>
      <c r="E113" s="12">
        <v>44546</v>
      </c>
      <c r="F113" s="68" t="s">
        <v>58</v>
      </c>
      <c r="G113" s="12">
        <v>44550</v>
      </c>
      <c r="H113" s="69" t="s">
        <v>2130</v>
      </c>
      <c r="I113" s="15">
        <v>50</v>
      </c>
      <c r="J113" s="15">
        <v>35</v>
      </c>
      <c r="K113" s="15">
        <v>15</v>
      </c>
      <c r="L113" s="15">
        <v>4</v>
      </c>
      <c r="M113" s="73">
        <v>6.5625</v>
      </c>
      <c r="N113" s="104">
        <v>6.5625</v>
      </c>
      <c r="O113" s="57">
        <v>7000</v>
      </c>
      <c r="P113" s="58">
        <f t="shared" si="1"/>
        <v>45937.5</v>
      </c>
    </row>
    <row r="114" spans="1:16" ht="26.25" customHeight="1" x14ac:dyDescent="0.2">
      <c r="A114" s="100"/>
      <c r="B114" s="100"/>
      <c r="C114" s="65" t="s">
        <v>2900</v>
      </c>
      <c r="D114" s="70" t="s">
        <v>57</v>
      </c>
      <c r="E114" s="12">
        <v>44546</v>
      </c>
      <c r="F114" s="68" t="s">
        <v>58</v>
      </c>
      <c r="G114" s="12">
        <v>44550</v>
      </c>
      <c r="H114" s="69" t="s">
        <v>2130</v>
      </c>
      <c r="I114" s="15">
        <v>80</v>
      </c>
      <c r="J114" s="15">
        <v>50</v>
      </c>
      <c r="K114" s="15">
        <v>11</v>
      </c>
      <c r="L114" s="15">
        <v>10</v>
      </c>
      <c r="M114" s="73">
        <v>11</v>
      </c>
      <c r="N114" s="104">
        <v>11</v>
      </c>
      <c r="O114" s="57">
        <v>7000</v>
      </c>
      <c r="P114" s="58">
        <f t="shared" si="1"/>
        <v>77000</v>
      </c>
    </row>
    <row r="115" spans="1:16" ht="26.25" customHeight="1" x14ac:dyDescent="0.2">
      <c r="A115" s="100"/>
      <c r="B115" s="100"/>
      <c r="C115" s="65" t="s">
        <v>2901</v>
      </c>
      <c r="D115" s="70" t="s">
        <v>57</v>
      </c>
      <c r="E115" s="12">
        <v>44546</v>
      </c>
      <c r="F115" s="68" t="s">
        <v>58</v>
      </c>
      <c r="G115" s="12">
        <v>44550</v>
      </c>
      <c r="H115" s="69" t="s">
        <v>2130</v>
      </c>
      <c r="I115" s="15">
        <v>77</v>
      </c>
      <c r="J115" s="15">
        <v>60</v>
      </c>
      <c r="K115" s="15">
        <v>15</v>
      </c>
      <c r="L115" s="15">
        <v>14</v>
      </c>
      <c r="M115" s="73">
        <v>17.324999999999999</v>
      </c>
      <c r="N115" s="104">
        <v>18</v>
      </c>
      <c r="O115" s="57">
        <v>7000</v>
      </c>
      <c r="P115" s="58">
        <f t="shared" si="1"/>
        <v>126000</v>
      </c>
    </row>
    <row r="116" spans="1:16" ht="26.25" customHeight="1" x14ac:dyDescent="0.2">
      <c r="A116" s="100"/>
      <c r="B116" s="100"/>
      <c r="C116" s="65" t="s">
        <v>2902</v>
      </c>
      <c r="D116" s="70" t="s">
        <v>57</v>
      </c>
      <c r="E116" s="12">
        <v>44546</v>
      </c>
      <c r="F116" s="68" t="s">
        <v>58</v>
      </c>
      <c r="G116" s="12">
        <v>44550</v>
      </c>
      <c r="H116" s="69" t="s">
        <v>2130</v>
      </c>
      <c r="I116" s="15">
        <v>90</v>
      </c>
      <c r="J116" s="15">
        <v>57</v>
      </c>
      <c r="K116" s="15">
        <v>24</v>
      </c>
      <c r="L116" s="15">
        <v>13</v>
      </c>
      <c r="M116" s="73">
        <v>30.78</v>
      </c>
      <c r="N116" s="104">
        <v>30.78</v>
      </c>
      <c r="O116" s="57">
        <v>7000</v>
      </c>
      <c r="P116" s="58">
        <f t="shared" si="1"/>
        <v>215460</v>
      </c>
    </row>
    <row r="117" spans="1:16" ht="26.25" customHeight="1" x14ac:dyDescent="0.2">
      <c r="A117" s="100"/>
      <c r="B117" s="100"/>
      <c r="C117" s="65" t="s">
        <v>2903</v>
      </c>
      <c r="D117" s="70" t="s">
        <v>57</v>
      </c>
      <c r="E117" s="12">
        <v>44546</v>
      </c>
      <c r="F117" s="68" t="s">
        <v>58</v>
      </c>
      <c r="G117" s="12">
        <v>44550</v>
      </c>
      <c r="H117" s="69" t="s">
        <v>2130</v>
      </c>
      <c r="I117" s="15">
        <v>85</v>
      </c>
      <c r="J117" s="15">
        <v>55</v>
      </c>
      <c r="K117" s="15">
        <v>24</v>
      </c>
      <c r="L117" s="15">
        <v>13</v>
      </c>
      <c r="M117" s="73">
        <v>28.05</v>
      </c>
      <c r="N117" s="104">
        <v>28.05</v>
      </c>
      <c r="O117" s="57">
        <v>7000</v>
      </c>
      <c r="P117" s="58">
        <f t="shared" si="1"/>
        <v>196350</v>
      </c>
    </row>
    <row r="118" spans="1:16" ht="26.25" customHeight="1" x14ac:dyDescent="0.2">
      <c r="A118" s="100"/>
      <c r="B118" s="100"/>
      <c r="C118" s="65" t="s">
        <v>2904</v>
      </c>
      <c r="D118" s="70" t="s">
        <v>57</v>
      </c>
      <c r="E118" s="12">
        <v>44546</v>
      </c>
      <c r="F118" s="68" t="s">
        <v>58</v>
      </c>
      <c r="G118" s="12">
        <v>44550</v>
      </c>
      <c r="H118" s="69" t="s">
        <v>2130</v>
      </c>
      <c r="I118" s="15">
        <v>70</v>
      </c>
      <c r="J118" s="15">
        <v>50</v>
      </c>
      <c r="K118" s="15">
        <v>15</v>
      </c>
      <c r="L118" s="15">
        <v>6</v>
      </c>
      <c r="M118" s="73">
        <v>13.125</v>
      </c>
      <c r="N118" s="104">
        <v>13.125</v>
      </c>
      <c r="O118" s="57">
        <v>7000</v>
      </c>
      <c r="P118" s="58">
        <f t="shared" si="1"/>
        <v>91875</v>
      </c>
    </row>
    <row r="119" spans="1:16" ht="26.25" customHeight="1" x14ac:dyDescent="0.2">
      <c r="A119" s="100"/>
      <c r="B119" s="100"/>
      <c r="C119" s="65" t="s">
        <v>2905</v>
      </c>
      <c r="D119" s="70" t="s">
        <v>57</v>
      </c>
      <c r="E119" s="12">
        <v>44546</v>
      </c>
      <c r="F119" s="68" t="s">
        <v>58</v>
      </c>
      <c r="G119" s="12">
        <v>44550</v>
      </c>
      <c r="H119" s="69" t="s">
        <v>2130</v>
      </c>
      <c r="I119" s="15">
        <v>42</v>
      </c>
      <c r="J119" s="15">
        <v>35</v>
      </c>
      <c r="K119" s="15">
        <v>14</v>
      </c>
      <c r="L119" s="15">
        <v>3</v>
      </c>
      <c r="M119" s="73">
        <v>5.1449999999999996</v>
      </c>
      <c r="N119" s="104">
        <v>5.1449999999999996</v>
      </c>
      <c r="O119" s="57">
        <v>7000</v>
      </c>
      <c r="P119" s="58">
        <f t="shared" si="1"/>
        <v>36015</v>
      </c>
    </row>
    <row r="120" spans="1:16" ht="26.25" customHeight="1" x14ac:dyDescent="0.2">
      <c r="A120" s="100"/>
      <c r="B120" s="100"/>
      <c r="C120" s="65" t="s">
        <v>2906</v>
      </c>
      <c r="D120" s="70" t="s">
        <v>57</v>
      </c>
      <c r="E120" s="12">
        <v>44546</v>
      </c>
      <c r="F120" s="68" t="s">
        <v>58</v>
      </c>
      <c r="G120" s="12">
        <v>44550</v>
      </c>
      <c r="H120" s="69" t="s">
        <v>2130</v>
      </c>
      <c r="I120" s="15">
        <v>30</v>
      </c>
      <c r="J120" s="15">
        <v>30</v>
      </c>
      <c r="K120" s="15">
        <v>26</v>
      </c>
      <c r="L120" s="15">
        <v>7</v>
      </c>
      <c r="M120" s="73">
        <v>5.85</v>
      </c>
      <c r="N120" s="104">
        <v>7</v>
      </c>
      <c r="O120" s="57">
        <v>7000</v>
      </c>
      <c r="P120" s="58">
        <f t="shared" si="1"/>
        <v>49000</v>
      </c>
    </row>
    <row r="121" spans="1:16" ht="26.25" customHeight="1" x14ac:dyDescent="0.2">
      <c r="A121" s="100"/>
      <c r="B121" s="100"/>
      <c r="C121" s="65" t="s">
        <v>2907</v>
      </c>
      <c r="D121" s="70" t="s">
        <v>57</v>
      </c>
      <c r="E121" s="12">
        <v>44546</v>
      </c>
      <c r="F121" s="68" t="s">
        <v>58</v>
      </c>
      <c r="G121" s="12">
        <v>44550</v>
      </c>
      <c r="H121" s="69" t="s">
        <v>2130</v>
      </c>
      <c r="I121" s="15">
        <v>80</v>
      </c>
      <c r="J121" s="15">
        <v>31</v>
      </c>
      <c r="K121" s="15">
        <v>62</v>
      </c>
      <c r="L121" s="15">
        <v>25</v>
      </c>
      <c r="M121" s="73">
        <v>38.44</v>
      </c>
      <c r="N121" s="104">
        <v>39</v>
      </c>
      <c r="O121" s="57">
        <v>7000</v>
      </c>
      <c r="P121" s="58">
        <f t="shared" si="1"/>
        <v>273000</v>
      </c>
    </row>
    <row r="122" spans="1:16" ht="26.25" customHeight="1" x14ac:dyDescent="0.2">
      <c r="A122" s="100"/>
      <c r="B122" s="100"/>
      <c r="C122" s="65" t="s">
        <v>2908</v>
      </c>
      <c r="D122" s="70" t="s">
        <v>57</v>
      </c>
      <c r="E122" s="12">
        <v>44546</v>
      </c>
      <c r="F122" s="68" t="s">
        <v>58</v>
      </c>
      <c r="G122" s="12">
        <v>44550</v>
      </c>
      <c r="H122" s="69" t="s">
        <v>2130</v>
      </c>
      <c r="I122" s="15">
        <v>37</v>
      </c>
      <c r="J122" s="15">
        <v>31</v>
      </c>
      <c r="K122" s="15">
        <v>12</v>
      </c>
      <c r="L122" s="15">
        <v>4</v>
      </c>
      <c r="M122" s="73">
        <v>3.4409999999999998</v>
      </c>
      <c r="N122" s="104">
        <v>5</v>
      </c>
      <c r="O122" s="57">
        <v>7000</v>
      </c>
      <c r="P122" s="58">
        <f t="shared" si="1"/>
        <v>35000</v>
      </c>
    </row>
    <row r="123" spans="1:16" ht="26.25" customHeight="1" x14ac:dyDescent="0.2">
      <c r="A123" s="100"/>
      <c r="B123" s="100"/>
      <c r="C123" s="65" t="s">
        <v>2909</v>
      </c>
      <c r="D123" s="70" t="s">
        <v>57</v>
      </c>
      <c r="E123" s="12">
        <v>44546</v>
      </c>
      <c r="F123" s="68" t="s">
        <v>58</v>
      </c>
      <c r="G123" s="12">
        <v>44550</v>
      </c>
      <c r="H123" s="69" t="s">
        <v>2130</v>
      </c>
      <c r="I123" s="15">
        <v>90</v>
      </c>
      <c r="J123" s="15">
        <v>55</v>
      </c>
      <c r="K123" s="15">
        <v>22</v>
      </c>
      <c r="L123" s="15">
        <v>10</v>
      </c>
      <c r="M123" s="73">
        <v>27.225000000000001</v>
      </c>
      <c r="N123" s="104">
        <v>27.225000000000001</v>
      </c>
      <c r="O123" s="57">
        <v>7000</v>
      </c>
      <c r="P123" s="58">
        <f t="shared" si="1"/>
        <v>190575</v>
      </c>
    </row>
    <row r="124" spans="1:16" ht="26.25" customHeight="1" x14ac:dyDescent="0.2">
      <c r="A124" s="100"/>
      <c r="B124" s="100"/>
      <c r="C124" s="65" t="s">
        <v>2910</v>
      </c>
      <c r="D124" s="70" t="s">
        <v>57</v>
      </c>
      <c r="E124" s="12">
        <v>44546</v>
      </c>
      <c r="F124" s="68" t="s">
        <v>58</v>
      </c>
      <c r="G124" s="12">
        <v>44550</v>
      </c>
      <c r="H124" s="69" t="s">
        <v>2130</v>
      </c>
      <c r="I124" s="15">
        <v>53</v>
      </c>
      <c r="J124" s="15">
        <v>40</v>
      </c>
      <c r="K124" s="15">
        <v>21</v>
      </c>
      <c r="L124" s="15">
        <v>10</v>
      </c>
      <c r="M124" s="73">
        <v>11.13</v>
      </c>
      <c r="N124" s="104">
        <v>11.13</v>
      </c>
      <c r="O124" s="57">
        <v>7000</v>
      </c>
      <c r="P124" s="58">
        <f t="shared" si="1"/>
        <v>77910</v>
      </c>
    </row>
    <row r="125" spans="1:16" ht="26.25" customHeight="1" x14ac:dyDescent="0.2">
      <c r="A125" s="100"/>
      <c r="B125" s="100"/>
      <c r="C125" s="65" t="s">
        <v>2911</v>
      </c>
      <c r="D125" s="70" t="s">
        <v>57</v>
      </c>
      <c r="E125" s="12">
        <v>44546</v>
      </c>
      <c r="F125" s="68" t="s">
        <v>58</v>
      </c>
      <c r="G125" s="12">
        <v>44550</v>
      </c>
      <c r="H125" s="69" t="s">
        <v>2130</v>
      </c>
      <c r="I125" s="15">
        <v>54</v>
      </c>
      <c r="J125" s="15">
        <v>42</v>
      </c>
      <c r="K125" s="15">
        <v>13</v>
      </c>
      <c r="L125" s="15">
        <v>9</v>
      </c>
      <c r="M125" s="73">
        <v>7.3710000000000004</v>
      </c>
      <c r="N125" s="104">
        <v>10</v>
      </c>
      <c r="O125" s="57">
        <v>7000</v>
      </c>
      <c r="P125" s="58">
        <f t="shared" si="1"/>
        <v>70000</v>
      </c>
    </row>
    <row r="126" spans="1:16" ht="26.25" customHeight="1" x14ac:dyDescent="0.2">
      <c r="A126" s="100"/>
      <c r="B126" s="100"/>
      <c r="C126" s="65" t="s">
        <v>2912</v>
      </c>
      <c r="D126" s="70" t="s">
        <v>57</v>
      </c>
      <c r="E126" s="12">
        <v>44546</v>
      </c>
      <c r="F126" s="68" t="s">
        <v>58</v>
      </c>
      <c r="G126" s="12">
        <v>44550</v>
      </c>
      <c r="H126" s="69" t="s">
        <v>2130</v>
      </c>
      <c r="I126" s="15">
        <v>65</v>
      </c>
      <c r="J126" s="15">
        <v>65</v>
      </c>
      <c r="K126" s="15">
        <v>12</v>
      </c>
      <c r="L126" s="15">
        <v>1</v>
      </c>
      <c r="M126" s="73">
        <v>12.675000000000001</v>
      </c>
      <c r="N126" s="104">
        <v>12.675000000000001</v>
      </c>
      <c r="O126" s="57">
        <v>7000</v>
      </c>
      <c r="P126" s="58">
        <f t="shared" si="1"/>
        <v>88725</v>
      </c>
    </row>
    <row r="127" spans="1:16" ht="26.25" customHeight="1" x14ac:dyDescent="0.2">
      <c r="A127" s="100"/>
      <c r="B127" s="100"/>
      <c r="C127" s="65" t="s">
        <v>2913</v>
      </c>
      <c r="D127" s="70" t="s">
        <v>57</v>
      </c>
      <c r="E127" s="12">
        <v>44546</v>
      </c>
      <c r="F127" s="68" t="s">
        <v>58</v>
      </c>
      <c r="G127" s="12">
        <v>44550</v>
      </c>
      <c r="H127" s="69" t="s">
        <v>2130</v>
      </c>
      <c r="I127" s="15">
        <v>41</v>
      </c>
      <c r="J127" s="15">
        <v>35</v>
      </c>
      <c r="K127" s="15">
        <v>14</v>
      </c>
      <c r="L127" s="15">
        <v>4</v>
      </c>
      <c r="M127" s="73">
        <v>5.0225</v>
      </c>
      <c r="N127" s="104">
        <v>5.0225</v>
      </c>
      <c r="O127" s="57">
        <v>7000</v>
      </c>
      <c r="P127" s="58">
        <f t="shared" si="1"/>
        <v>35157.5</v>
      </c>
    </row>
    <row r="128" spans="1:16" ht="26.25" customHeight="1" x14ac:dyDescent="0.2">
      <c r="A128" s="100"/>
      <c r="B128" s="100"/>
      <c r="C128" s="65" t="s">
        <v>2914</v>
      </c>
      <c r="D128" s="70" t="s">
        <v>57</v>
      </c>
      <c r="E128" s="12">
        <v>44546</v>
      </c>
      <c r="F128" s="68" t="s">
        <v>58</v>
      </c>
      <c r="G128" s="12">
        <v>44550</v>
      </c>
      <c r="H128" s="69" t="s">
        <v>2130</v>
      </c>
      <c r="I128" s="15">
        <v>82</v>
      </c>
      <c r="J128" s="15">
        <v>56</v>
      </c>
      <c r="K128" s="15">
        <v>25</v>
      </c>
      <c r="L128" s="15">
        <v>13</v>
      </c>
      <c r="M128" s="73">
        <v>28.7</v>
      </c>
      <c r="N128" s="104">
        <v>28.7</v>
      </c>
      <c r="O128" s="57">
        <v>7000</v>
      </c>
      <c r="P128" s="58">
        <f t="shared" si="1"/>
        <v>200900</v>
      </c>
    </row>
    <row r="129" spans="1:16" ht="26.25" customHeight="1" x14ac:dyDescent="0.2">
      <c r="A129" s="100"/>
      <c r="B129" s="100"/>
      <c r="C129" s="65" t="s">
        <v>2915</v>
      </c>
      <c r="D129" s="70" t="s">
        <v>57</v>
      </c>
      <c r="E129" s="12">
        <v>44546</v>
      </c>
      <c r="F129" s="68" t="s">
        <v>58</v>
      </c>
      <c r="G129" s="12">
        <v>44550</v>
      </c>
      <c r="H129" s="69" t="s">
        <v>2130</v>
      </c>
      <c r="I129" s="15">
        <v>62</v>
      </c>
      <c r="J129" s="15">
        <v>65</v>
      </c>
      <c r="K129" s="15">
        <v>16</v>
      </c>
      <c r="L129" s="15">
        <v>5</v>
      </c>
      <c r="M129" s="73">
        <v>16.12</v>
      </c>
      <c r="N129" s="104">
        <v>16.12</v>
      </c>
      <c r="O129" s="57">
        <v>7000</v>
      </c>
      <c r="P129" s="58">
        <f t="shared" si="1"/>
        <v>112840</v>
      </c>
    </row>
    <row r="130" spans="1:16" ht="26.25" customHeight="1" x14ac:dyDescent="0.2">
      <c r="A130" s="100"/>
      <c r="B130" s="100"/>
      <c r="C130" s="65" t="s">
        <v>2916</v>
      </c>
      <c r="D130" s="70" t="s">
        <v>57</v>
      </c>
      <c r="E130" s="12">
        <v>44546</v>
      </c>
      <c r="F130" s="68" t="s">
        <v>58</v>
      </c>
      <c r="G130" s="12">
        <v>44550</v>
      </c>
      <c r="H130" s="69" t="s">
        <v>2130</v>
      </c>
      <c r="I130" s="15">
        <v>50</v>
      </c>
      <c r="J130" s="15">
        <v>42</v>
      </c>
      <c r="K130" s="15">
        <v>15</v>
      </c>
      <c r="L130" s="15">
        <v>6</v>
      </c>
      <c r="M130" s="73">
        <v>7.875</v>
      </c>
      <c r="N130" s="104">
        <v>7.875</v>
      </c>
      <c r="O130" s="57">
        <v>7000</v>
      </c>
      <c r="P130" s="58">
        <f t="shared" si="1"/>
        <v>55125</v>
      </c>
    </row>
    <row r="131" spans="1:16" ht="26.25" customHeight="1" x14ac:dyDescent="0.2">
      <c r="A131" s="100"/>
      <c r="B131" s="100"/>
      <c r="C131" s="65" t="s">
        <v>2917</v>
      </c>
      <c r="D131" s="70" t="s">
        <v>57</v>
      </c>
      <c r="E131" s="12">
        <v>44546</v>
      </c>
      <c r="F131" s="68" t="s">
        <v>58</v>
      </c>
      <c r="G131" s="12">
        <v>44550</v>
      </c>
      <c r="H131" s="69" t="s">
        <v>2130</v>
      </c>
      <c r="I131" s="15">
        <v>91</v>
      </c>
      <c r="J131" s="15">
        <v>13</v>
      </c>
      <c r="K131" s="15">
        <v>11</v>
      </c>
      <c r="L131" s="15">
        <v>3</v>
      </c>
      <c r="M131" s="73">
        <v>3.25325</v>
      </c>
      <c r="N131" s="104">
        <v>3.25325</v>
      </c>
      <c r="O131" s="57">
        <v>7000</v>
      </c>
      <c r="P131" s="58">
        <f t="shared" ref="P131:P194" si="2">N131*O131</f>
        <v>22772.75</v>
      </c>
    </row>
    <row r="132" spans="1:16" ht="26.25" customHeight="1" x14ac:dyDescent="0.2">
      <c r="A132" s="100"/>
      <c r="B132" s="100"/>
      <c r="C132" s="65" t="s">
        <v>2918</v>
      </c>
      <c r="D132" s="70" t="s">
        <v>57</v>
      </c>
      <c r="E132" s="12">
        <v>44546</v>
      </c>
      <c r="F132" s="68" t="s">
        <v>58</v>
      </c>
      <c r="G132" s="12">
        <v>44550</v>
      </c>
      <c r="H132" s="69" t="s">
        <v>2130</v>
      </c>
      <c r="I132" s="15">
        <v>45</v>
      </c>
      <c r="J132" s="15">
        <v>35</v>
      </c>
      <c r="K132" s="15">
        <v>15</v>
      </c>
      <c r="L132" s="15">
        <v>2</v>
      </c>
      <c r="M132" s="73">
        <v>5.90625</v>
      </c>
      <c r="N132" s="104">
        <v>5.90625</v>
      </c>
      <c r="O132" s="57">
        <v>7000</v>
      </c>
      <c r="P132" s="58">
        <f t="shared" si="2"/>
        <v>41343.75</v>
      </c>
    </row>
    <row r="133" spans="1:16" ht="26.25" customHeight="1" x14ac:dyDescent="0.2">
      <c r="A133" s="100"/>
      <c r="B133" s="100"/>
      <c r="C133" s="65" t="s">
        <v>2919</v>
      </c>
      <c r="D133" s="70" t="s">
        <v>57</v>
      </c>
      <c r="E133" s="12">
        <v>44546</v>
      </c>
      <c r="F133" s="68" t="s">
        <v>58</v>
      </c>
      <c r="G133" s="12">
        <v>44550</v>
      </c>
      <c r="H133" s="69" t="s">
        <v>2130</v>
      </c>
      <c r="I133" s="15">
        <v>50</v>
      </c>
      <c r="J133" s="15">
        <v>50</v>
      </c>
      <c r="K133" s="15">
        <v>4</v>
      </c>
      <c r="L133" s="15">
        <v>2</v>
      </c>
      <c r="M133" s="73">
        <v>2.5</v>
      </c>
      <c r="N133" s="104">
        <v>4</v>
      </c>
      <c r="O133" s="57">
        <v>7000</v>
      </c>
      <c r="P133" s="58">
        <f t="shared" si="2"/>
        <v>28000</v>
      </c>
    </row>
    <row r="134" spans="1:16" ht="26.25" customHeight="1" x14ac:dyDescent="0.2">
      <c r="A134" s="100"/>
      <c r="B134" s="100"/>
      <c r="C134" s="65" t="s">
        <v>2920</v>
      </c>
      <c r="D134" s="70" t="s">
        <v>57</v>
      </c>
      <c r="E134" s="12">
        <v>44546</v>
      </c>
      <c r="F134" s="68" t="s">
        <v>58</v>
      </c>
      <c r="G134" s="12">
        <v>44550</v>
      </c>
      <c r="H134" s="69" t="s">
        <v>2130</v>
      </c>
      <c r="I134" s="15">
        <v>90</v>
      </c>
      <c r="J134" s="15">
        <v>52</v>
      </c>
      <c r="K134" s="15">
        <v>10</v>
      </c>
      <c r="L134" s="15">
        <v>1</v>
      </c>
      <c r="M134" s="73">
        <v>11.7</v>
      </c>
      <c r="N134" s="104">
        <v>11.7</v>
      </c>
      <c r="O134" s="57">
        <v>7000</v>
      </c>
      <c r="P134" s="58">
        <f t="shared" si="2"/>
        <v>81900</v>
      </c>
    </row>
    <row r="135" spans="1:16" ht="26.25" customHeight="1" x14ac:dyDescent="0.2">
      <c r="A135" s="100"/>
      <c r="B135" s="100"/>
      <c r="C135" s="65" t="s">
        <v>2921</v>
      </c>
      <c r="D135" s="70" t="s">
        <v>57</v>
      </c>
      <c r="E135" s="12">
        <v>44546</v>
      </c>
      <c r="F135" s="68" t="s">
        <v>58</v>
      </c>
      <c r="G135" s="12">
        <v>44550</v>
      </c>
      <c r="H135" s="69" t="s">
        <v>2130</v>
      </c>
      <c r="I135" s="15">
        <v>65</v>
      </c>
      <c r="J135" s="15">
        <v>52</v>
      </c>
      <c r="K135" s="15">
        <v>14</v>
      </c>
      <c r="L135" s="15">
        <v>14</v>
      </c>
      <c r="M135" s="73">
        <v>11.83</v>
      </c>
      <c r="N135" s="104">
        <v>14</v>
      </c>
      <c r="O135" s="57">
        <v>7000</v>
      </c>
      <c r="P135" s="58">
        <f t="shared" si="2"/>
        <v>98000</v>
      </c>
    </row>
    <row r="136" spans="1:16" ht="26.25" customHeight="1" x14ac:dyDescent="0.2">
      <c r="A136" s="100"/>
      <c r="B136" s="100"/>
      <c r="C136" s="65" t="s">
        <v>2922</v>
      </c>
      <c r="D136" s="70" t="s">
        <v>57</v>
      </c>
      <c r="E136" s="12">
        <v>44546</v>
      </c>
      <c r="F136" s="68" t="s">
        <v>58</v>
      </c>
      <c r="G136" s="12">
        <v>44550</v>
      </c>
      <c r="H136" s="69" t="s">
        <v>2130</v>
      </c>
      <c r="I136" s="15">
        <v>77</v>
      </c>
      <c r="J136" s="15">
        <v>34</v>
      </c>
      <c r="K136" s="15">
        <v>15</v>
      </c>
      <c r="L136" s="15">
        <v>2</v>
      </c>
      <c r="M136" s="73">
        <v>9.8175000000000008</v>
      </c>
      <c r="N136" s="104">
        <v>9.8175000000000008</v>
      </c>
      <c r="O136" s="57">
        <v>7000</v>
      </c>
      <c r="P136" s="58">
        <f t="shared" si="2"/>
        <v>68722.5</v>
      </c>
    </row>
    <row r="137" spans="1:16" ht="26.25" customHeight="1" x14ac:dyDescent="0.2">
      <c r="A137" s="100"/>
      <c r="B137" s="100"/>
      <c r="C137" s="65" t="s">
        <v>2923</v>
      </c>
      <c r="D137" s="70" t="s">
        <v>57</v>
      </c>
      <c r="E137" s="12">
        <v>44546</v>
      </c>
      <c r="F137" s="68" t="s">
        <v>58</v>
      </c>
      <c r="G137" s="12">
        <v>44550</v>
      </c>
      <c r="H137" s="69" t="s">
        <v>2130</v>
      </c>
      <c r="I137" s="15">
        <v>76</v>
      </c>
      <c r="J137" s="15">
        <v>60</v>
      </c>
      <c r="K137" s="15">
        <v>32</v>
      </c>
      <c r="L137" s="15">
        <v>11</v>
      </c>
      <c r="M137" s="73">
        <v>36.479999999999997</v>
      </c>
      <c r="N137" s="104">
        <v>37</v>
      </c>
      <c r="O137" s="57">
        <v>7000</v>
      </c>
      <c r="P137" s="58">
        <f t="shared" si="2"/>
        <v>259000</v>
      </c>
    </row>
    <row r="138" spans="1:16" ht="26.25" customHeight="1" x14ac:dyDescent="0.2">
      <c r="A138" s="100"/>
      <c r="B138" s="100"/>
      <c r="C138" s="65" t="s">
        <v>2924</v>
      </c>
      <c r="D138" s="70" t="s">
        <v>57</v>
      </c>
      <c r="E138" s="12">
        <v>44546</v>
      </c>
      <c r="F138" s="68" t="s">
        <v>58</v>
      </c>
      <c r="G138" s="12">
        <v>44550</v>
      </c>
      <c r="H138" s="69" t="s">
        <v>2130</v>
      </c>
      <c r="I138" s="15">
        <v>86</v>
      </c>
      <c r="J138" s="15">
        <v>61</v>
      </c>
      <c r="K138" s="15">
        <v>14</v>
      </c>
      <c r="L138" s="15">
        <v>13</v>
      </c>
      <c r="M138" s="73">
        <v>18.361000000000001</v>
      </c>
      <c r="N138" s="104">
        <v>19</v>
      </c>
      <c r="O138" s="57">
        <v>7000</v>
      </c>
      <c r="P138" s="58">
        <f t="shared" si="2"/>
        <v>133000</v>
      </c>
    </row>
    <row r="139" spans="1:16" ht="26.25" customHeight="1" x14ac:dyDescent="0.2">
      <c r="A139" s="100"/>
      <c r="B139" s="100"/>
      <c r="C139" s="65" t="s">
        <v>2925</v>
      </c>
      <c r="D139" s="70" t="s">
        <v>57</v>
      </c>
      <c r="E139" s="12">
        <v>44546</v>
      </c>
      <c r="F139" s="68" t="s">
        <v>58</v>
      </c>
      <c r="G139" s="12">
        <v>44550</v>
      </c>
      <c r="H139" s="69" t="s">
        <v>2130</v>
      </c>
      <c r="I139" s="15">
        <v>72</v>
      </c>
      <c r="J139" s="15">
        <v>62</v>
      </c>
      <c r="K139" s="15">
        <v>25</v>
      </c>
      <c r="L139" s="15">
        <v>10</v>
      </c>
      <c r="M139" s="73">
        <v>27.9</v>
      </c>
      <c r="N139" s="104">
        <v>27.9</v>
      </c>
      <c r="O139" s="57">
        <v>7000</v>
      </c>
      <c r="P139" s="58">
        <f t="shared" si="2"/>
        <v>195300</v>
      </c>
    </row>
    <row r="140" spans="1:16" ht="26.25" customHeight="1" x14ac:dyDescent="0.2">
      <c r="A140" s="100"/>
      <c r="B140" s="100"/>
      <c r="C140" s="65" t="s">
        <v>2926</v>
      </c>
      <c r="D140" s="70" t="s">
        <v>57</v>
      </c>
      <c r="E140" s="12">
        <v>44546</v>
      </c>
      <c r="F140" s="68" t="s">
        <v>58</v>
      </c>
      <c r="G140" s="12">
        <v>44550</v>
      </c>
      <c r="H140" s="69" t="s">
        <v>2130</v>
      </c>
      <c r="I140" s="15">
        <v>125</v>
      </c>
      <c r="J140" s="15">
        <v>8</v>
      </c>
      <c r="K140" s="15">
        <v>8</v>
      </c>
      <c r="L140" s="15">
        <v>2</v>
      </c>
      <c r="M140" s="73">
        <v>2</v>
      </c>
      <c r="N140" s="104">
        <v>2</v>
      </c>
      <c r="O140" s="57">
        <v>7000</v>
      </c>
      <c r="P140" s="58">
        <f t="shared" si="2"/>
        <v>14000</v>
      </c>
    </row>
    <row r="141" spans="1:16" ht="26.25" customHeight="1" x14ac:dyDescent="0.2">
      <c r="A141" s="100"/>
      <c r="B141" s="100"/>
      <c r="C141" s="65" t="s">
        <v>2927</v>
      </c>
      <c r="D141" s="70" t="s">
        <v>57</v>
      </c>
      <c r="E141" s="12">
        <v>44546</v>
      </c>
      <c r="F141" s="68" t="s">
        <v>58</v>
      </c>
      <c r="G141" s="12">
        <v>44550</v>
      </c>
      <c r="H141" s="69" t="s">
        <v>2130</v>
      </c>
      <c r="I141" s="15">
        <v>100</v>
      </c>
      <c r="J141" s="15">
        <v>8</v>
      </c>
      <c r="K141" s="15">
        <v>5</v>
      </c>
      <c r="L141" s="15">
        <v>1</v>
      </c>
      <c r="M141" s="73">
        <v>1</v>
      </c>
      <c r="N141" s="104">
        <v>1</v>
      </c>
      <c r="O141" s="57">
        <v>7000</v>
      </c>
      <c r="P141" s="58">
        <f t="shared" si="2"/>
        <v>7000</v>
      </c>
    </row>
    <row r="142" spans="1:16" ht="26.25" customHeight="1" x14ac:dyDescent="0.2">
      <c r="A142" s="100"/>
      <c r="B142" s="100"/>
      <c r="C142" s="65" t="s">
        <v>2928</v>
      </c>
      <c r="D142" s="70" t="s">
        <v>57</v>
      </c>
      <c r="E142" s="12">
        <v>44546</v>
      </c>
      <c r="F142" s="68" t="s">
        <v>58</v>
      </c>
      <c r="G142" s="12">
        <v>44550</v>
      </c>
      <c r="H142" s="69" t="s">
        <v>2130</v>
      </c>
      <c r="I142" s="15">
        <v>100</v>
      </c>
      <c r="J142" s="15">
        <v>61</v>
      </c>
      <c r="K142" s="15">
        <v>15</v>
      </c>
      <c r="L142" s="15">
        <v>16</v>
      </c>
      <c r="M142" s="73">
        <v>22.875</v>
      </c>
      <c r="N142" s="104">
        <v>22.875</v>
      </c>
      <c r="O142" s="57">
        <v>7000</v>
      </c>
      <c r="P142" s="58">
        <f t="shared" si="2"/>
        <v>160125</v>
      </c>
    </row>
    <row r="143" spans="1:16" ht="26.25" customHeight="1" x14ac:dyDescent="0.2">
      <c r="A143" s="100"/>
      <c r="B143" s="100"/>
      <c r="C143" s="65" t="s">
        <v>2929</v>
      </c>
      <c r="D143" s="70" t="s">
        <v>57</v>
      </c>
      <c r="E143" s="12">
        <v>44546</v>
      </c>
      <c r="F143" s="68" t="s">
        <v>58</v>
      </c>
      <c r="G143" s="12">
        <v>44550</v>
      </c>
      <c r="H143" s="69" t="s">
        <v>2130</v>
      </c>
      <c r="I143" s="15">
        <v>37</v>
      </c>
      <c r="J143" s="15">
        <v>25</v>
      </c>
      <c r="K143" s="15">
        <v>12</v>
      </c>
      <c r="L143" s="15">
        <v>1</v>
      </c>
      <c r="M143" s="73">
        <v>2.7749999999999999</v>
      </c>
      <c r="N143" s="104">
        <v>2.7749999999999999</v>
      </c>
      <c r="O143" s="57">
        <v>7000</v>
      </c>
      <c r="P143" s="58">
        <f t="shared" si="2"/>
        <v>19425</v>
      </c>
    </row>
    <row r="144" spans="1:16" ht="26.25" customHeight="1" x14ac:dyDescent="0.2">
      <c r="A144" s="100"/>
      <c r="B144" s="100"/>
      <c r="C144" s="65" t="s">
        <v>2930</v>
      </c>
      <c r="D144" s="70" t="s">
        <v>57</v>
      </c>
      <c r="E144" s="12">
        <v>44546</v>
      </c>
      <c r="F144" s="68" t="s">
        <v>58</v>
      </c>
      <c r="G144" s="12">
        <v>44550</v>
      </c>
      <c r="H144" s="69" t="s">
        <v>2130</v>
      </c>
      <c r="I144" s="15">
        <v>55</v>
      </c>
      <c r="J144" s="15">
        <v>14</v>
      </c>
      <c r="K144" s="15">
        <v>12</v>
      </c>
      <c r="L144" s="15">
        <v>9</v>
      </c>
      <c r="M144" s="73">
        <v>2.31</v>
      </c>
      <c r="N144" s="104">
        <v>10</v>
      </c>
      <c r="O144" s="57">
        <v>7000</v>
      </c>
      <c r="P144" s="58">
        <f t="shared" si="2"/>
        <v>70000</v>
      </c>
    </row>
    <row r="145" spans="1:16" ht="26.25" customHeight="1" x14ac:dyDescent="0.2">
      <c r="A145" s="100"/>
      <c r="B145" s="100"/>
      <c r="C145" s="65" t="s">
        <v>2931</v>
      </c>
      <c r="D145" s="70" t="s">
        <v>57</v>
      </c>
      <c r="E145" s="12">
        <v>44546</v>
      </c>
      <c r="F145" s="68" t="s">
        <v>58</v>
      </c>
      <c r="G145" s="12">
        <v>44550</v>
      </c>
      <c r="H145" s="69" t="s">
        <v>2130</v>
      </c>
      <c r="I145" s="15">
        <v>84</v>
      </c>
      <c r="J145" s="15">
        <v>26</v>
      </c>
      <c r="K145" s="15">
        <v>15</v>
      </c>
      <c r="L145" s="15">
        <v>3</v>
      </c>
      <c r="M145" s="73">
        <v>8.19</v>
      </c>
      <c r="N145" s="104">
        <v>8.19</v>
      </c>
      <c r="O145" s="57">
        <v>7000</v>
      </c>
      <c r="P145" s="58">
        <f t="shared" si="2"/>
        <v>57330</v>
      </c>
    </row>
    <row r="146" spans="1:16" ht="26.25" customHeight="1" x14ac:dyDescent="0.2">
      <c r="A146" s="100"/>
      <c r="B146" s="100"/>
      <c r="C146" s="65" t="s">
        <v>2932</v>
      </c>
      <c r="D146" s="70" t="s">
        <v>57</v>
      </c>
      <c r="E146" s="12">
        <v>44546</v>
      </c>
      <c r="F146" s="68" t="s">
        <v>58</v>
      </c>
      <c r="G146" s="12">
        <v>44550</v>
      </c>
      <c r="H146" s="69" t="s">
        <v>2130</v>
      </c>
      <c r="I146" s="15">
        <v>23</v>
      </c>
      <c r="J146" s="15">
        <v>20</v>
      </c>
      <c r="K146" s="15">
        <v>17</v>
      </c>
      <c r="L146" s="15">
        <v>2</v>
      </c>
      <c r="M146" s="73">
        <v>1.9550000000000001</v>
      </c>
      <c r="N146" s="104">
        <v>2</v>
      </c>
      <c r="O146" s="57">
        <v>7000</v>
      </c>
      <c r="P146" s="58">
        <f t="shared" si="2"/>
        <v>14000</v>
      </c>
    </row>
    <row r="147" spans="1:16" ht="26.25" customHeight="1" x14ac:dyDescent="0.2">
      <c r="A147" s="100"/>
      <c r="B147" s="100"/>
      <c r="C147" s="65" t="s">
        <v>2933</v>
      </c>
      <c r="D147" s="70" t="s">
        <v>57</v>
      </c>
      <c r="E147" s="12">
        <v>44546</v>
      </c>
      <c r="F147" s="68" t="s">
        <v>58</v>
      </c>
      <c r="G147" s="12">
        <v>44550</v>
      </c>
      <c r="H147" s="69" t="s">
        <v>2130</v>
      </c>
      <c r="I147" s="15">
        <v>31</v>
      </c>
      <c r="J147" s="15">
        <v>31</v>
      </c>
      <c r="K147" s="15">
        <v>24</v>
      </c>
      <c r="L147" s="15">
        <v>1</v>
      </c>
      <c r="M147" s="73">
        <v>5.766</v>
      </c>
      <c r="N147" s="104">
        <v>5.766</v>
      </c>
      <c r="O147" s="57">
        <v>7000</v>
      </c>
      <c r="P147" s="58">
        <f t="shared" si="2"/>
        <v>40362</v>
      </c>
    </row>
    <row r="148" spans="1:16" ht="26.25" customHeight="1" x14ac:dyDescent="0.2">
      <c r="A148" s="100"/>
      <c r="B148" s="100"/>
      <c r="C148" s="65" t="s">
        <v>2934</v>
      </c>
      <c r="D148" s="70" t="s">
        <v>57</v>
      </c>
      <c r="E148" s="12">
        <v>44546</v>
      </c>
      <c r="F148" s="68" t="s">
        <v>58</v>
      </c>
      <c r="G148" s="12">
        <v>44550</v>
      </c>
      <c r="H148" s="69" t="s">
        <v>2130</v>
      </c>
      <c r="I148" s="15">
        <v>61</v>
      </c>
      <c r="J148" s="15">
        <v>31</v>
      </c>
      <c r="K148" s="15">
        <v>14</v>
      </c>
      <c r="L148" s="15">
        <v>10</v>
      </c>
      <c r="M148" s="73">
        <v>6.6185</v>
      </c>
      <c r="N148" s="104">
        <v>10</v>
      </c>
      <c r="O148" s="57">
        <v>7000</v>
      </c>
      <c r="P148" s="58">
        <f t="shared" si="2"/>
        <v>70000</v>
      </c>
    </row>
    <row r="149" spans="1:16" ht="26.25" customHeight="1" x14ac:dyDescent="0.2">
      <c r="A149" s="100"/>
      <c r="B149" s="100"/>
      <c r="C149" s="65" t="s">
        <v>2935</v>
      </c>
      <c r="D149" s="70" t="s">
        <v>57</v>
      </c>
      <c r="E149" s="12">
        <v>44546</v>
      </c>
      <c r="F149" s="68" t="s">
        <v>58</v>
      </c>
      <c r="G149" s="12">
        <v>44550</v>
      </c>
      <c r="H149" s="69" t="s">
        <v>2130</v>
      </c>
      <c r="I149" s="15">
        <v>52</v>
      </c>
      <c r="J149" s="15">
        <v>32</v>
      </c>
      <c r="K149" s="15">
        <v>15</v>
      </c>
      <c r="L149" s="15">
        <v>6</v>
      </c>
      <c r="M149" s="73">
        <v>6.24</v>
      </c>
      <c r="N149" s="104">
        <v>6.24</v>
      </c>
      <c r="O149" s="57">
        <v>7000</v>
      </c>
      <c r="P149" s="58">
        <f t="shared" si="2"/>
        <v>43680</v>
      </c>
    </row>
    <row r="150" spans="1:16" ht="26.25" customHeight="1" x14ac:dyDescent="0.2">
      <c r="A150" s="100"/>
      <c r="B150" s="100"/>
      <c r="C150" s="65" t="s">
        <v>2936</v>
      </c>
      <c r="D150" s="70" t="s">
        <v>57</v>
      </c>
      <c r="E150" s="12">
        <v>44546</v>
      </c>
      <c r="F150" s="68" t="s">
        <v>58</v>
      </c>
      <c r="G150" s="12">
        <v>44550</v>
      </c>
      <c r="H150" s="69" t="s">
        <v>2130</v>
      </c>
      <c r="I150" s="15">
        <v>76</v>
      </c>
      <c r="J150" s="15">
        <v>25</v>
      </c>
      <c r="K150" s="15">
        <v>3</v>
      </c>
      <c r="L150" s="15">
        <v>1</v>
      </c>
      <c r="M150" s="73">
        <v>1.425</v>
      </c>
      <c r="N150" s="104">
        <v>2</v>
      </c>
      <c r="O150" s="57">
        <v>7000</v>
      </c>
      <c r="P150" s="58">
        <f t="shared" si="2"/>
        <v>14000</v>
      </c>
    </row>
    <row r="151" spans="1:16" ht="26.25" customHeight="1" x14ac:dyDescent="0.2">
      <c r="A151" s="100"/>
      <c r="B151" s="100"/>
      <c r="C151" s="65" t="s">
        <v>2937</v>
      </c>
      <c r="D151" s="70" t="s">
        <v>57</v>
      </c>
      <c r="E151" s="12">
        <v>44546</v>
      </c>
      <c r="F151" s="68" t="s">
        <v>58</v>
      </c>
      <c r="G151" s="12">
        <v>44550</v>
      </c>
      <c r="H151" s="69" t="s">
        <v>2130</v>
      </c>
      <c r="I151" s="15">
        <v>116</v>
      </c>
      <c r="J151" s="15">
        <v>31</v>
      </c>
      <c r="K151" s="15">
        <v>12</v>
      </c>
      <c r="L151" s="15">
        <v>3</v>
      </c>
      <c r="M151" s="73">
        <v>10.788</v>
      </c>
      <c r="N151" s="104">
        <v>10.788</v>
      </c>
      <c r="O151" s="57">
        <v>7000</v>
      </c>
      <c r="P151" s="58">
        <f t="shared" si="2"/>
        <v>75516</v>
      </c>
    </row>
    <row r="152" spans="1:16" ht="26.25" customHeight="1" x14ac:dyDescent="0.2">
      <c r="A152" s="100"/>
      <c r="B152" s="100"/>
      <c r="C152" s="65" t="s">
        <v>2938</v>
      </c>
      <c r="D152" s="70" t="s">
        <v>57</v>
      </c>
      <c r="E152" s="12">
        <v>44546</v>
      </c>
      <c r="F152" s="68" t="s">
        <v>58</v>
      </c>
      <c r="G152" s="12">
        <v>44550</v>
      </c>
      <c r="H152" s="69" t="s">
        <v>2130</v>
      </c>
      <c r="I152" s="15">
        <v>76</v>
      </c>
      <c r="J152" s="15">
        <v>32</v>
      </c>
      <c r="K152" s="15">
        <v>22</v>
      </c>
      <c r="L152" s="15">
        <v>6</v>
      </c>
      <c r="M152" s="73">
        <v>13.375999999999999</v>
      </c>
      <c r="N152" s="104">
        <v>14</v>
      </c>
      <c r="O152" s="57">
        <v>7000</v>
      </c>
      <c r="P152" s="58">
        <f t="shared" si="2"/>
        <v>98000</v>
      </c>
    </row>
    <row r="153" spans="1:16" ht="26.25" customHeight="1" x14ac:dyDescent="0.2">
      <c r="A153" s="100"/>
      <c r="B153" s="100"/>
      <c r="C153" s="65" t="s">
        <v>2939</v>
      </c>
      <c r="D153" s="70" t="s">
        <v>57</v>
      </c>
      <c r="E153" s="12">
        <v>44546</v>
      </c>
      <c r="F153" s="68" t="s">
        <v>58</v>
      </c>
      <c r="G153" s="12">
        <v>44550</v>
      </c>
      <c r="H153" s="69" t="s">
        <v>2130</v>
      </c>
      <c r="I153" s="15">
        <v>106</v>
      </c>
      <c r="J153" s="15">
        <v>14</v>
      </c>
      <c r="K153" s="15">
        <v>14</v>
      </c>
      <c r="L153" s="15">
        <v>3</v>
      </c>
      <c r="M153" s="73">
        <v>5.194</v>
      </c>
      <c r="N153" s="104">
        <v>5.194</v>
      </c>
      <c r="O153" s="57">
        <v>7000</v>
      </c>
      <c r="P153" s="58">
        <f t="shared" si="2"/>
        <v>36358</v>
      </c>
    </row>
    <row r="154" spans="1:16" ht="26.25" customHeight="1" x14ac:dyDescent="0.2">
      <c r="A154" s="100"/>
      <c r="B154" s="100"/>
      <c r="C154" s="65" t="s">
        <v>2940</v>
      </c>
      <c r="D154" s="70" t="s">
        <v>57</v>
      </c>
      <c r="E154" s="12">
        <v>44546</v>
      </c>
      <c r="F154" s="68" t="s">
        <v>58</v>
      </c>
      <c r="G154" s="12">
        <v>44550</v>
      </c>
      <c r="H154" s="69" t="s">
        <v>2130</v>
      </c>
      <c r="I154" s="15">
        <v>75</v>
      </c>
      <c r="J154" s="15">
        <v>23</v>
      </c>
      <c r="K154" s="15">
        <v>13</v>
      </c>
      <c r="L154" s="15">
        <v>1</v>
      </c>
      <c r="M154" s="73">
        <v>5.6062500000000002</v>
      </c>
      <c r="N154" s="104">
        <v>5.6062500000000002</v>
      </c>
      <c r="O154" s="57">
        <v>7000</v>
      </c>
      <c r="P154" s="58">
        <f t="shared" si="2"/>
        <v>39243.75</v>
      </c>
    </row>
    <row r="155" spans="1:16" ht="26.25" customHeight="1" x14ac:dyDescent="0.2">
      <c r="A155" s="100"/>
      <c r="B155" s="100"/>
      <c r="C155" s="65" t="s">
        <v>2941</v>
      </c>
      <c r="D155" s="70" t="s">
        <v>57</v>
      </c>
      <c r="E155" s="12">
        <v>44546</v>
      </c>
      <c r="F155" s="68" t="s">
        <v>58</v>
      </c>
      <c r="G155" s="12">
        <v>44550</v>
      </c>
      <c r="H155" s="69" t="s">
        <v>2130</v>
      </c>
      <c r="I155" s="15">
        <v>51</v>
      </c>
      <c r="J155" s="15">
        <v>15</v>
      </c>
      <c r="K155" s="15">
        <v>15</v>
      </c>
      <c r="L155" s="15">
        <v>6</v>
      </c>
      <c r="M155" s="73">
        <v>2.8687499999999999</v>
      </c>
      <c r="N155" s="104">
        <v>6</v>
      </c>
      <c r="O155" s="57">
        <v>7000</v>
      </c>
      <c r="P155" s="58">
        <f t="shared" si="2"/>
        <v>42000</v>
      </c>
    </row>
    <row r="156" spans="1:16" ht="26.25" customHeight="1" x14ac:dyDescent="0.2">
      <c r="A156" s="100"/>
      <c r="B156" s="100"/>
      <c r="C156" s="65" t="s">
        <v>2942</v>
      </c>
      <c r="D156" s="70" t="s">
        <v>57</v>
      </c>
      <c r="E156" s="12">
        <v>44546</v>
      </c>
      <c r="F156" s="68" t="s">
        <v>58</v>
      </c>
      <c r="G156" s="12">
        <v>44550</v>
      </c>
      <c r="H156" s="69" t="s">
        <v>2130</v>
      </c>
      <c r="I156" s="15">
        <v>80</v>
      </c>
      <c r="J156" s="15">
        <v>56</v>
      </c>
      <c r="K156" s="15">
        <v>24</v>
      </c>
      <c r="L156" s="15">
        <v>14</v>
      </c>
      <c r="M156" s="73">
        <v>26.88</v>
      </c>
      <c r="N156" s="104">
        <v>26.88</v>
      </c>
      <c r="O156" s="57">
        <v>7000</v>
      </c>
      <c r="P156" s="58">
        <f t="shared" si="2"/>
        <v>188160</v>
      </c>
    </row>
    <row r="157" spans="1:16" ht="26.25" customHeight="1" x14ac:dyDescent="0.2">
      <c r="A157" s="100"/>
      <c r="B157" s="100"/>
      <c r="C157" s="65" t="s">
        <v>2943</v>
      </c>
      <c r="D157" s="70" t="s">
        <v>57</v>
      </c>
      <c r="E157" s="12">
        <v>44546</v>
      </c>
      <c r="F157" s="68" t="s">
        <v>58</v>
      </c>
      <c r="G157" s="12">
        <v>44550</v>
      </c>
      <c r="H157" s="69" t="s">
        <v>2130</v>
      </c>
      <c r="I157" s="15">
        <v>34</v>
      </c>
      <c r="J157" s="15">
        <v>25</v>
      </c>
      <c r="K157" s="15">
        <v>12</v>
      </c>
      <c r="L157" s="15">
        <v>3</v>
      </c>
      <c r="M157" s="73">
        <v>2.5499999999999998</v>
      </c>
      <c r="N157" s="104">
        <v>3</v>
      </c>
      <c r="O157" s="57">
        <v>7000</v>
      </c>
      <c r="P157" s="58">
        <f t="shared" si="2"/>
        <v>21000</v>
      </c>
    </row>
    <row r="158" spans="1:16" ht="26.25" customHeight="1" x14ac:dyDescent="0.2">
      <c r="A158" s="100"/>
      <c r="B158" s="100"/>
      <c r="C158" s="65" t="s">
        <v>2944</v>
      </c>
      <c r="D158" s="70" t="s">
        <v>57</v>
      </c>
      <c r="E158" s="12">
        <v>44546</v>
      </c>
      <c r="F158" s="68" t="s">
        <v>58</v>
      </c>
      <c r="G158" s="12">
        <v>44550</v>
      </c>
      <c r="H158" s="69" t="s">
        <v>2130</v>
      </c>
      <c r="I158" s="15">
        <v>60</v>
      </c>
      <c r="J158" s="15">
        <v>30</v>
      </c>
      <c r="K158" s="15">
        <v>28</v>
      </c>
      <c r="L158" s="15">
        <v>1</v>
      </c>
      <c r="M158" s="73">
        <v>12.6</v>
      </c>
      <c r="N158" s="104">
        <v>12.6</v>
      </c>
      <c r="O158" s="57">
        <v>7000</v>
      </c>
      <c r="P158" s="58">
        <f t="shared" si="2"/>
        <v>88200</v>
      </c>
    </row>
    <row r="159" spans="1:16" ht="26.25" customHeight="1" x14ac:dyDescent="0.2">
      <c r="A159" s="100"/>
      <c r="B159" s="100"/>
      <c r="C159" s="65" t="s">
        <v>2945</v>
      </c>
      <c r="D159" s="70" t="s">
        <v>57</v>
      </c>
      <c r="E159" s="12">
        <v>44546</v>
      </c>
      <c r="F159" s="68" t="s">
        <v>58</v>
      </c>
      <c r="G159" s="12">
        <v>44550</v>
      </c>
      <c r="H159" s="69" t="s">
        <v>2130</v>
      </c>
      <c r="I159" s="15">
        <v>81</v>
      </c>
      <c r="J159" s="15">
        <v>42</v>
      </c>
      <c r="K159" s="15">
        <v>15</v>
      </c>
      <c r="L159" s="15">
        <v>3</v>
      </c>
      <c r="M159" s="73">
        <v>12.7575</v>
      </c>
      <c r="N159" s="104">
        <v>12.7575</v>
      </c>
      <c r="O159" s="57">
        <v>7000</v>
      </c>
      <c r="P159" s="58">
        <f t="shared" si="2"/>
        <v>89302.5</v>
      </c>
    </row>
    <row r="160" spans="1:16" ht="26.25" customHeight="1" x14ac:dyDescent="0.2">
      <c r="A160" s="100"/>
      <c r="B160" s="100"/>
      <c r="C160" s="65" t="s">
        <v>2946</v>
      </c>
      <c r="D160" s="70" t="s">
        <v>57</v>
      </c>
      <c r="E160" s="12">
        <v>44546</v>
      </c>
      <c r="F160" s="68" t="s">
        <v>58</v>
      </c>
      <c r="G160" s="12">
        <v>44550</v>
      </c>
      <c r="H160" s="69" t="s">
        <v>2130</v>
      </c>
      <c r="I160" s="15">
        <v>70</v>
      </c>
      <c r="J160" s="15">
        <v>65</v>
      </c>
      <c r="K160" s="15">
        <v>24</v>
      </c>
      <c r="L160" s="15">
        <v>18</v>
      </c>
      <c r="M160" s="73">
        <v>27.3</v>
      </c>
      <c r="N160" s="104">
        <v>28</v>
      </c>
      <c r="O160" s="57">
        <v>7000</v>
      </c>
      <c r="P160" s="58">
        <f t="shared" si="2"/>
        <v>196000</v>
      </c>
    </row>
    <row r="161" spans="1:16" ht="26.25" customHeight="1" x14ac:dyDescent="0.2">
      <c r="A161" s="100"/>
      <c r="B161" s="100"/>
      <c r="C161" s="65" t="s">
        <v>2947</v>
      </c>
      <c r="D161" s="70" t="s">
        <v>57</v>
      </c>
      <c r="E161" s="12">
        <v>44546</v>
      </c>
      <c r="F161" s="68" t="s">
        <v>58</v>
      </c>
      <c r="G161" s="12">
        <v>44550</v>
      </c>
      <c r="H161" s="69" t="s">
        <v>2130</v>
      </c>
      <c r="I161" s="15">
        <v>50</v>
      </c>
      <c r="J161" s="15">
        <v>37</v>
      </c>
      <c r="K161" s="15">
        <v>17</v>
      </c>
      <c r="L161" s="15">
        <v>11</v>
      </c>
      <c r="M161" s="73">
        <v>7.8624999999999998</v>
      </c>
      <c r="N161" s="104">
        <v>11</v>
      </c>
      <c r="O161" s="57">
        <v>7000</v>
      </c>
      <c r="P161" s="58">
        <f t="shared" si="2"/>
        <v>77000</v>
      </c>
    </row>
    <row r="162" spans="1:16" ht="26.25" customHeight="1" x14ac:dyDescent="0.2">
      <c r="A162" s="100"/>
      <c r="B162" s="100"/>
      <c r="C162" s="65" t="s">
        <v>2948</v>
      </c>
      <c r="D162" s="70" t="s">
        <v>57</v>
      </c>
      <c r="E162" s="12">
        <v>44546</v>
      </c>
      <c r="F162" s="68" t="s">
        <v>58</v>
      </c>
      <c r="G162" s="12">
        <v>44550</v>
      </c>
      <c r="H162" s="69" t="s">
        <v>2130</v>
      </c>
      <c r="I162" s="15">
        <v>70</v>
      </c>
      <c r="J162" s="15">
        <v>35</v>
      </c>
      <c r="K162" s="15">
        <v>24</v>
      </c>
      <c r="L162" s="15">
        <v>4</v>
      </c>
      <c r="M162" s="73">
        <v>14.7</v>
      </c>
      <c r="N162" s="104">
        <v>14.7</v>
      </c>
      <c r="O162" s="57">
        <v>7000</v>
      </c>
      <c r="P162" s="58">
        <f t="shared" si="2"/>
        <v>102900</v>
      </c>
    </row>
    <row r="163" spans="1:16" ht="26.25" customHeight="1" x14ac:dyDescent="0.2">
      <c r="A163" s="100"/>
      <c r="B163" s="100"/>
      <c r="C163" s="65" t="s">
        <v>2949</v>
      </c>
      <c r="D163" s="70" t="s">
        <v>57</v>
      </c>
      <c r="E163" s="12">
        <v>44546</v>
      </c>
      <c r="F163" s="68" t="s">
        <v>58</v>
      </c>
      <c r="G163" s="12">
        <v>44550</v>
      </c>
      <c r="H163" s="69" t="s">
        <v>2130</v>
      </c>
      <c r="I163" s="15">
        <v>70</v>
      </c>
      <c r="J163" s="15">
        <v>60</v>
      </c>
      <c r="K163" s="15">
        <v>15</v>
      </c>
      <c r="L163" s="15">
        <v>6</v>
      </c>
      <c r="M163" s="73">
        <v>15.75</v>
      </c>
      <c r="N163" s="104">
        <v>15.75</v>
      </c>
      <c r="O163" s="57">
        <v>7000</v>
      </c>
      <c r="P163" s="58">
        <f t="shared" si="2"/>
        <v>110250</v>
      </c>
    </row>
    <row r="164" spans="1:16" ht="26.25" customHeight="1" x14ac:dyDescent="0.2">
      <c r="A164" s="100"/>
      <c r="B164" s="100"/>
      <c r="C164" s="65" t="s">
        <v>2950</v>
      </c>
      <c r="D164" s="70" t="s">
        <v>57</v>
      </c>
      <c r="E164" s="12">
        <v>44546</v>
      </c>
      <c r="F164" s="68" t="s">
        <v>58</v>
      </c>
      <c r="G164" s="12">
        <v>44550</v>
      </c>
      <c r="H164" s="69" t="s">
        <v>2130</v>
      </c>
      <c r="I164" s="15">
        <v>58</v>
      </c>
      <c r="J164" s="15">
        <v>42</v>
      </c>
      <c r="K164" s="15">
        <v>15</v>
      </c>
      <c r="L164" s="15">
        <v>6</v>
      </c>
      <c r="M164" s="73">
        <v>9.1349999999999998</v>
      </c>
      <c r="N164" s="104">
        <v>9.1349999999999998</v>
      </c>
      <c r="O164" s="57">
        <v>7000</v>
      </c>
      <c r="P164" s="58">
        <f t="shared" si="2"/>
        <v>63945</v>
      </c>
    </row>
    <row r="165" spans="1:16" ht="26.25" customHeight="1" x14ac:dyDescent="0.2">
      <c r="A165" s="100"/>
      <c r="B165" s="100"/>
      <c r="C165" s="65" t="s">
        <v>2951</v>
      </c>
      <c r="D165" s="70" t="s">
        <v>57</v>
      </c>
      <c r="E165" s="12">
        <v>44546</v>
      </c>
      <c r="F165" s="68" t="s">
        <v>58</v>
      </c>
      <c r="G165" s="12">
        <v>44550</v>
      </c>
      <c r="H165" s="69" t="s">
        <v>2130</v>
      </c>
      <c r="I165" s="15">
        <v>81</v>
      </c>
      <c r="J165" s="15">
        <v>62</v>
      </c>
      <c r="K165" s="15">
        <v>12</v>
      </c>
      <c r="L165" s="15">
        <v>18</v>
      </c>
      <c r="M165" s="73">
        <v>15.066000000000001</v>
      </c>
      <c r="N165" s="104">
        <v>18</v>
      </c>
      <c r="O165" s="57">
        <v>7000</v>
      </c>
      <c r="P165" s="58">
        <f t="shared" si="2"/>
        <v>126000</v>
      </c>
    </row>
    <row r="166" spans="1:16" ht="26.25" customHeight="1" x14ac:dyDescent="0.2">
      <c r="A166" s="100"/>
      <c r="B166" s="100"/>
      <c r="C166" s="65" t="s">
        <v>2952</v>
      </c>
      <c r="D166" s="70" t="s">
        <v>57</v>
      </c>
      <c r="E166" s="12">
        <v>44546</v>
      </c>
      <c r="F166" s="68" t="s">
        <v>58</v>
      </c>
      <c r="G166" s="12">
        <v>44550</v>
      </c>
      <c r="H166" s="69" t="s">
        <v>2130</v>
      </c>
      <c r="I166" s="15">
        <v>40</v>
      </c>
      <c r="J166" s="15">
        <v>25</v>
      </c>
      <c r="K166" s="15">
        <v>26</v>
      </c>
      <c r="L166" s="15">
        <v>1</v>
      </c>
      <c r="M166" s="73">
        <v>6.5</v>
      </c>
      <c r="N166" s="104">
        <v>8</v>
      </c>
      <c r="O166" s="57">
        <v>7000</v>
      </c>
      <c r="P166" s="58">
        <f t="shared" si="2"/>
        <v>56000</v>
      </c>
    </row>
    <row r="167" spans="1:16" ht="26.25" customHeight="1" x14ac:dyDescent="0.2">
      <c r="A167" s="100"/>
      <c r="B167" s="100"/>
      <c r="C167" s="65" t="s">
        <v>2953</v>
      </c>
      <c r="D167" s="70" t="s">
        <v>57</v>
      </c>
      <c r="E167" s="12">
        <v>44546</v>
      </c>
      <c r="F167" s="68" t="s">
        <v>58</v>
      </c>
      <c r="G167" s="12">
        <v>44550</v>
      </c>
      <c r="H167" s="69" t="s">
        <v>2130</v>
      </c>
      <c r="I167" s="15">
        <v>65</v>
      </c>
      <c r="J167" s="15">
        <v>51</v>
      </c>
      <c r="K167" s="15">
        <v>25</v>
      </c>
      <c r="L167" s="15">
        <v>5</v>
      </c>
      <c r="M167" s="73">
        <v>20.71875</v>
      </c>
      <c r="N167" s="104">
        <v>20.71875</v>
      </c>
      <c r="O167" s="57">
        <v>7000</v>
      </c>
      <c r="P167" s="58">
        <f t="shared" si="2"/>
        <v>145031.25</v>
      </c>
    </row>
    <row r="168" spans="1:16" ht="26.25" customHeight="1" x14ac:dyDescent="0.2">
      <c r="A168" s="100"/>
      <c r="B168" s="100"/>
      <c r="C168" s="65" t="s">
        <v>2954</v>
      </c>
      <c r="D168" s="70" t="s">
        <v>57</v>
      </c>
      <c r="E168" s="12">
        <v>44546</v>
      </c>
      <c r="F168" s="68" t="s">
        <v>58</v>
      </c>
      <c r="G168" s="12">
        <v>44550</v>
      </c>
      <c r="H168" s="69" t="s">
        <v>2130</v>
      </c>
      <c r="I168" s="15">
        <v>40</v>
      </c>
      <c r="J168" s="15">
        <v>25</v>
      </c>
      <c r="K168" s="15">
        <v>21</v>
      </c>
      <c r="L168" s="15">
        <v>1</v>
      </c>
      <c r="M168" s="73">
        <v>5.25</v>
      </c>
      <c r="N168" s="104">
        <v>5.25</v>
      </c>
      <c r="O168" s="57">
        <v>7000</v>
      </c>
      <c r="P168" s="58">
        <f t="shared" si="2"/>
        <v>36750</v>
      </c>
    </row>
    <row r="169" spans="1:16" ht="26.25" customHeight="1" x14ac:dyDescent="0.2">
      <c r="A169" s="100"/>
      <c r="B169" s="100"/>
      <c r="C169" s="65" t="s">
        <v>2955</v>
      </c>
      <c r="D169" s="70" t="s">
        <v>57</v>
      </c>
      <c r="E169" s="12">
        <v>44546</v>
      </c>
      <c r="F169" s="68" t="s">
        <v>58</v>
      </c>
      <c r="G169" s="12">
        <v>44550</v>
      </c>
      <c r="H169" s="69" t="s">
        <v>2130</v>
      </c>
      <c r="I169" s="15">
        <v>90</v>
      </c>
      <c r="J169" s="15">
        <v>61</v>
      </c>
      <c r="K169" s="15">
        <v>25</v>
      </c>
      <c r="L169" s="15">
        <v>12</v>
      </c>
      <c r="M169" s="73">
        <v>34.3125</v>
      </c>
      <c r="N169" s="104">
        <v>35</v>
      </c>
      <c r="O169" s="57">
        <v>7000</v>
      </c>
      <c r="P169" s="58">
        <f t="shared" si="2"/>
        <v>245000</v>
      </c>
    </row>
    <row r="170" spans="1:16" ht="26.25" customHeight="1" x14ac:dyDescent="0.2">
      <c r="A170" s="100"/>
      <c r="B170" s="100"/>
      <c r="C170" s="65" t="s">
        <v>2956</v>
      </c>
      <c r="D170" s="70" t="s">
        <v>57</v>
      </c>
      <c r="E170" s="12">
        <v>44546</v>
      </c>
      <c r="F170" s="68" t="s">
        <v>58</v>
      </c>
      <c r="G170" s="12">
        <v>44550</v>
      </c>
      <c r="H170" s="69" t="s">
        <v>2130</v>
      </c>
      <c r="I170" s="15">
        <v>50</v>
      </c>
      <c r="J170" s="15">
        <v>34</v>
      </c>
      <c r="K170" s="15">
        <v>12</v>
      </c>
      <c r="L170" s="15">
        <v>3</v>
      </c>
      <c r="M170" s="73">
        <v>5.0999999999999996</v>
      </c>
      <c r="N170" s="104">
        <v>5.0999999999999996</v>
      </c>
      <c r="O170" s="57">
        <v>7000</v>
      </c>
      <c r="P170" s="58">
        <f t="shared" si="2"/>
        <v>35700</v>
      </c>
    </row>
    <row r="171" spans="1:16" ht="26.25" customHeight="1" x14ac:dyDescent="0.2">
      <c r="A171" s="100"/>
      <c r="B171" s="100"/>
      <c r="C171" s="65" t="s">
        <v>2957</v>
      </c>
      <c r="D171" s="70" t="s">
        <v>57</v>
      </c>
      <c r="E171" s="12">
        <v>44546</v>
      </c>
      <c r="F171" s="68" t="s">
        <v>58</v>
      </c>
      <c r="G171" s="12">
        <v>44550</v>
      </c>
      <c r="H171" s="69" t="s">
        <v>2130</v>
      </c>
      <c r="I171" s="15">
        <v>100</v>
      </c>
      <c r="J171" s="15">
        <v>60</v>
      </c>
      <c r="K171" s="15">
        <v>30</v>
      </c>
      <c r="L171" s="15">
        <v>21</v>
      </c>
      <c r="M171" s="73">
        <v>45</v>
      </c>
      <c r="N171" s="104">
        <v>45</v>
      </c>
      <c r="O171" s="57">
        <v>7000</v>
      </c>
      <c r="P171" s="58">
        <f t="shared" si="2"/>
        <v>315000</v>
      </c>
    </row>
    <row r="172" spans="1:16" ht="26.25" customHeight="1" x14ac:dyDescent="0.2">
      <c r="A172" s="100"/>
      <c r="B172" s="100"/>
      <c r="C172" s="65" t="s">
        <v>2958</v>
      </c>
      <c r="D172" s="70" t="s">
        <v>57</v>
      </c>
      <c r="E172" s="12">
        <v>44546</v>
      </c>
      <c r="F172" s="68" t="s">
        <v>58</v>
      </c>
      <c r="G172" s="12">
        <v>44550</v>
      </c>
      <c r="H172" s="69" t="s">
        <v>2130</v>
      </c>
      <c r="I172" s="15">
        <v>55</v>
      </c>
      <c r="J172" s="15">
        <v>35</v>
      </c>
      <c r="K172" s="15">
        <v>14</v>
      </c>
      <c r="L172" s="15">
        <v>4</v>
      </c>
      <c r="M172" s="73">
        <v>6.7374999999999998</v>
      </c>
      <c r="N172" s="104">
        <v>6.7374999999999998</v>
      </c>
      <c r="O172" s="57">
        <v>7000</v>
      </c>
      <c r="P172" s="58">
        <f t="shared" si="2"/>
        <v>47162.5</v>
      </c>
    </row>
    <row r="173" spans="1:16" ht="26.25" customHeight="1" x14ac:dyDescent="0.2">
      <c r="A173" s="100"/>
      <c r="B173" s="100"/>
      <c r="C173" s="65" t="s">
        <v>2959</v>
      </c>
      <c r="D173" s="70" t="s">
        <v>57</v>
      </c>
      <c r="E173" s="12">
        <v>44546</v>
      </c>
      <c r="F173" s="68" t="s">
        <v>58</v>
      </c>
      <c r="G173" s="12">
        <v>44550</v>
      </c>
      <c r="H173" s="69" t="s">
        <v>2130</v>
      </c>
      <c r="I173" s="15">
        <v>60</v>
      </c>
      <c r="J173" s="15">
        <v>18</v>
      </c>
      <c r="K173" s="15">
        <v>12</v>
      </c>
      <c r="L173" s="15">
        <v>1</v>
      </c>
      <c r="M173" s="73">
        <v>3.24</v>
      </c>
      <c r="N173" s="104">
        <v>3.24</v>
      </c>
      <c r="O173" s="57">
        <v>7000</v>
      </c>
      <c r="P173" s="58">
        <f t="shared" si="2"/>
        <v>22680</v>
      </c>
    </row>
    <row r="174" spans="1:16" ht="26.25" customHeight="1" x14ac:dyDescent="0.2">
      <c r="A174" s="100"/>
      <c r="B174" s="100"/>
      <c r="C174" s="65" t="s">
        <v>2960</v>
      </c>
      <c r="D174" s="70" t="s">
        <v>57</v>
      </c>
      <c r="E174" s="12">
        <v>44546</v>
      </c>
      <c r="F174" s="68" t="s">
        <v>58</v>
      </c>
      <c r="G174" s="12">
        <v>44550</v>
      </c>
      <c r="H174" s="69" t="s">
        <v>2130</v>
      </c>
      <c r="I174" s="15">
        <v>64</v>
      </c>
      <c r="J174" s="15">
        <v>50</v>
      </c>
      <c r="K174" s="15">
        <v>12</v>
      </c>
      <c r="L174" s="15">
        <v>4</v>
      </c>
      <c r="M174" s="73">
        <v>9.6</v>
      </c>
      <c r="N174" s="104">
        <v>9.6</v>
      </c>
      <c r="O174" s="57">
        <v>7000</v>
      </c>
      <c r="P174" s="58">
        <f t="shared" si="2"/>
        <v>67200</v>
      </c>
    </row>
    <row r="175" spans="1:16" ht="26.25" customHeight="1" x14ac:dyDescent="0.2">
      <c r="A175" s="100"/>
      <c r="B175" s="100"/>
      <c r="C175" s="65" t="s">
        <v>2961</v>
      </c>
      <c r="D175" s="70" t="s">
        <v>57</v>
      </c>
      <c r="E175" s="12">
        <v>44546</v>
      </c>
      <c r="F175" s="68" t="s">
        <v>58</v>
      </c>
      <c r="G175" s="12">
        <v>44550</v>
      </c>
      <c r="H175" s="69" t="s">
        <v>2130</v>
      </c>
      <c r="I175" s="15">
        <v>51</v>
      </c>
      <c r="J175" s="15">
        <v>35</v>
      </c>
      <c r="K175" s="15">
        <v>14</v>
      </c>
      <c r="L175" s="15">
        <v>7</v>
      </c>
      <c r="M175" s="73">
        <v>6.2474999999999996</v>
      </c>
      <c r="N175" s="104">
        <v>7</v>
      </c>
      <c r="O175" s="57">
        <v>7000</v>
      </c>
      <c r="P175" s="58">
        <f t="shared" si="2"/>
        <v>49000</v>
      </c>
    </row>
    <row r="176" spans="1:16" ht="26.25" customHeight="1" x14ac:dyDescent="0.2">
      <c r="A176" s="100"/>
      <c r="B176" s="100"/>
      <c r="C176" s="65" t="s">
        <v>2962</v>
      </c>
      <c r="D176" s="70" t="s">
        <v>57</v>
      </c>
      <c r="E176" s="12">
        <v>44546</v>
      </c>
      <c r="F176" s="68" t="s">
        <v>58</v>
      </c>
      <c r="G176" s="12">
        <v>44550</v>
      </c>
      <c r="H176" s="69" t="s">
        <v>2130</v>
      </c>
      <c r="I176" s="15">
        <v>55</v>
      </c>
      <c r="J176" s="15">
        <v>41</v>
      </c>
      <c r="K176" s="15">
        <v>32</v>
      </c>
      <c r="L176" s="15">
        <v>4</v>
      </c>
      <c r="M176" s="73">
        <v>18.04</v>
      </c>
      <c r="N176" s="104">
        <v>18.04</v>
      </c>
      <c r="O176" s="57">
        <v>7000</v>
      </c>
      <c r="P176" s="58">
        <f t="shared" si="2"/>
        <v>126280</v>
      </c>
    </row>
    <row r="177" spans="1:16" ht="26.25" customHeight="1" x14ac:dyDescent="0.2">
      <c r="A177" s="100"/>
      <c r="B177" s="100"/>
      <c r="C177" s="65" t="s">
        <v>2963</v>
      </c>
      <c r="D177" s="70" t="s">
        <v>57</v>
      </c>
      <c r="E177" s="12">
        <v>44546</v>
      </c>
      <c r="F177" s="68" t="s">
        <v>58</v>
      </c>
      <c r="G177" s="12">
        <v>44550</v>
      </c>
      <c r="H177" s="69" t="s">
        <v>2130</v>
      </c>
      <c r="I177" s="15">
        <v>31</v>
      </c>
      <c r="J177" s="15">
        <v>25</v>
      </c>
      <c r="K177" s="15">
        <v>26</v>
      </c>
      <c r="L177" s="15">
        <v>1</v>
      </c>
      <c r="M177" s="73">
        <v>5.0374999999999996</v>
      </c>
      <c r="N177" s="104">
        <v>5.0374999999999996</v>
      </c>
      <c r="O177" s="57">
        <v>7000</v>
      </c>
      <c r="P177" s="58">
        <f t="shared" si="2"/>
        <v>35262.5</v>
      </c>
    </row>
    <row r="178" spans="1:16" ht="26.25" customHeight="1" x14ac:dyDescent="0.2">
      <c r="A178" s="100"/>
      <c r="B178" s="100"/>
      <c r="C178" s="65" t="s">
        <v>2964</v>
      </c>
      <c r="D178" s="70" t="s">
        <v>57</v>
      </c>
      <c r="E178" s="12">
        <v>44546</v>
      </c>
      <c r="F178" s="68" t="s">
        <v>58</v>
      </c>
      <c r="G178" s="12">
        <v>44550</v>
      </c>
      <c r="H178" s="69" t="s">
        <v>2130</v>
      </c>
      <c r="I178" s="15">
        <v>100</v>
      </c>
      <c r="J178" s="15">
        <v>57</v>
      </c>
      <c r="K178" s="15">
        <v>22</v>
      </c>
      <c r="L178" s="15">
        <v>13</v>
      </c>
      <c r="M178" s="73">
        <v>31.35</v>
      </c>
      <c r="N178" s="104">
        <v>32</v>
      </c>
      <c r="O178" s="57">
        <v>7000</v>
      </c>
      <c r="P178" s="58">
        <f t="shared" si="2"/>
        <v>224000</v>
      </c>
    </row>
    <row r="179" spans="1:16" ht="26.25" customHeight="1" x14ac:dyDescent="0.2">
      <c r="A179" s="100"/>
      <c r="B179" s="100"/>
      <c r="C179" s="65" t="s">
        <v>2965</v>
      </c>
      <c r="D179" s="70" t="s">
        <v>57</v>
      </c>
      <c r="E179" s="12">
        <v>44546</v>
      </c>
      <c r="F179" s="68" t="s">
        <v>58</v>
      </c>
      <c r="G179" s="12">
        <v>44550</v>
      </c>
      <c r="H179" s="69" t="s">
        <v>2130</v>
      </c>
      <c r="I179" s="15">
        <v>55</v>
      </c>
      <c r="J179" s="15">
        <v>32</v>
      </c>
      <c r="K179" s="15">
        <v>15</v>
      </c>
      <c r="L179" s="15">
        <v>3</v>
      </c>
      <c r="M179" s="73">
        <v>6.6</v>
      </c>
      <c r="N179" s="104">
        <v>6.6</v>
      </c>
      <c r="O179" s="57">
        <v>7000</v>
      </c>
      <c r="P179" s="58">
        <f t="shared" si="2"/>
        <v>46200</v>
      </c>
    </row>
    <row r="180" spans="1:16" ht="26.25" customHeight="1" x14ac:dyDescent="0.2">
      <c r="A180" s="100"/>
      <c r="B180" s="100"/>
      <c r="C180" s="65" t="s">
        <v>2966</v>
      </c>
      <c r="D180" s="70" t="s">
        <v>57</v>
      </c>
      <c r="E180" s="12">
        <v>44546</v>
      </c>
      <c r="F180" s="68" t="s">
        <v>58</v>
      </c>
      <c r="G180" s="12">
        <v>44550</v>
      </c>
      <c r="H180" s="69" t="s">
        <v>2130</v>
      </c>
      <c r="I180" s="15">
        <v>56</v>
      </c>
      <c r="J180" s="15">
        <v>35</v>
      </c>
      <c r="K180" s="15">
        <v>25</v>
      </c>
      <c r="L180" s="15">
        <v>5</v>
      </c>
      <c r="M180" s="73">
        <v>12.25</v>
      </c>
      <c r="N180" s="104">
        <v>12.25</v>
      </c>
      <c r="O180" s="57">
        <v>7000</v>
      </c>
      <c r="P180" s="58">
        <f t="shared" si="2"/>
        <v>85750</v>
      </c>
    </row>
    <row r="181" spans="1:16" ht="26.25" customHeight="1" x14ac:dyDescent="0.2">
      <c r="A181" s="100"/>
      <c r="B181" s="100"/>
      <c r="C181" s="65" t="s">
        <v>2967</v>
      </c>
      <c r="D181" s="70" t="s">
        <v>57</v>
      </c>
      <c r="E181" s="12">
        <v>44546</v>
      </c>
      <c r="F181" s="68" t="s">
        <v>58</v>
      </c>
      <c r="G181" s="12">
        <v>44550</v>
      </c>
      <c r="H181" s="69" t="s">
        <v>2130</v>
      </c>
      <c r="I181" s="15">
        <v>75</v>
      </c>
      <c r="J181" s="15">
        <v>55</v>
      </c>
      <c r="K181" s="15">
        <v>25</v>
      </c>
      <c r="L181" s="15">
        <v>16</v>
      </c>
      <c r="M181" s="73">
        <v>25.78125</v>
      </c>
      <c r="N181" s="104">
        <v>25.78125</v>
      </c>
      <c r="O181" s="57">
        <v>7000</v>
      </c>
      <c r="P181" s="58">
        <f t="shared" si="2"/>
        <v>180468.75</v>
      </c>
    </row>
    <row r="182" spans="1:16" ht="26.25" customHeight="1" x14ac:dyDescent="0.2">
      <c r="A182" s="100"/>
      <c r="B182" s="100"/>
      <c r="C182" s="65" t="s">
        <v>2968</v>
      </c>
      <c r="D182" s="70" t="s">
        <v>57</v>
      </c>
      <c r="E182" s="12">
        <v>44546</v>
      </c>
      <c r="F182" s="68" t="s">
        <v>58</v>
      </c>
      <c r="G182" s="12">
        <v>44550</v>
      </c>
      <c r="H182" s="69" t="s">
        <v>2130</v>
      </c>
      <c r="I182" s="15">
        <v>75</v>
      </c>
      <c r="J182" s="15">
        <v>55</v>
      </c>
      <c r="K182" s="15">
        <v>21</v>
      </c>
      <c r="L182" s="15">
        <v>7</v>
      </c>
      <c r="M182" s="73">
        <v>21.65625</v>
      </c>
      <c r="N182" s="104">
        <v>21.65625</v>
      </c>
      <c r="O182" s="57">
        <v>7000</v>
      </c>
      <c r="P182" s="58">
        <f t="shared" si="2"/>
        <v>151593.75</v>
      </c>
    </row>
    <row r="183" spans="1:16" ht="26.25" customHeight="1" x14ac:dyDescent="0.2">
      <c r="A183" s="100"/>
      <c r="B183" s="100"/>
      <c r="C183" s="65" t="s">
        <v>2969</v>
      </c>
      <c r="D183" s="70" t="s">
        <v>57</v>
      </c>
      <c r="E183" s="12">
        <v>44546</v>
      </c>
      <c r="F183" s="68" t="s">
        <v>58</v>
      </c>
      <c r="G183" s="12">
        <v>44550</v>
      </c>
      <c r="H183" s="69" t="s">
        <v>2130</v>
      </c>
      <c r="I183" s="15">
        <v>50</v>
      </c>
      <c r="J183" s="15">
        <v>35</v>
      </c>
      <c r="K183" s="15">
        <v>24</v>
      </c>
      <c r="L183" s="15">
        <v>5</v>
      </c>
      <c r="M183" s="73">
        <v>10.5</v>
      </c>
      <c r="N183" s="104">
        <v>12</v>
      </c>
      <c r="O183" s="57">
        <v>7000</v>
      </c>
      <c r="P183" s="58">
        <f t="shared" si="2"/>
        <v>84000</v>
      </c>
    </row>
    <row r="184" spans="1:16" ht="26.25" customHeight="1" x14ac:dyDescent="0.2">
      <c r="A184" s="100"/>
      <c r="B184" s="100"/>
      <c r="C184" s="65" t="s">
        <v>2970</v>
      </c>
      <c r="D184" s="70" t="s">
        <v>57</v>
      </c>
      <c r="E184" s="12">
        <v>44546</v>
      </c>
      <c r="F184" s="68" t="s">
        <v>58</v>
      </c>
      <c r="G184" s="12">
        <v>44550</v>
      </c>
      <c r="H184" s="69" t="s">
        <v>2130</v>
      </c>
      <c r="I184" s="15">
        <v>100</v>
      </c>
      <c r="J184" s="15">
        <v>58</v>
      </c>
      <c r="K184" s="15">
        <v>32</v>
      </c>
      <c r="L184" s="15">
        <v>14</v>
      </c>
      <c r="M184" s="73">
        <v>46.4</v>
      </c>
      <c r="N184" s="104">
        <v>47</v>
      </c>
      <c r="O184" s="57">
        <v>7000</v>
      </c>
      <c r="P184" s="58">
        <f t="shared" si="2"/>
        <v>329000</v>
      </c>
    </row>
    <row r="185" spans="1:16" ht="26.25" customHeight="1" x14ac:dyDescent="0.2">
      <c r="A185" s="100"/>
      <c r="B185" s="100"/>
      <c r="C185" s="65" t="s">
        <v>2971</v>
      </c>
      <c r="D185" s="70" t="s">
        <v>57</v>
      </c>
      <c r="E185" s="12">
        <v>44546</v>
      </c>
      <c r="F185" s="68" t="s">
        <v>58</v>
      </c>
      <c r="G185" s="12">
        <v>44550</v>
      </c>
      <c r="H185" s="69" t="s">
        <v>2130</v>
      </c>
      <c r="I185" s="15">
        <v>95</v>
      </c>
      <c r="J185" s="15">
        <v>51</v>
      </c>
      <c r="K185" s="15">
        <v>33</v>
      </c>
      <c r="L185" s="15">
        <v>17</v>
      </c>
      <c r="M185" s="73">
        <v>39.971249999999998</v>
      </c>
      <c r="N185" s="104">
        <v>39.971249999999998</v>
      </c>
      <c r="O185" s="57">
        <v>7000</v>
      </c>
      <c r="P185" s="58">
        <f t="shared" si="2"/>
        <v>279798.75</v>
      </c>
    </row>
    <row r="186" spans="1:16" ht="26.25" customHeight="1" x14ac:dyDescent="0.2">
      <c r="A186" s="100"/>
      <c r="B186" s="100"/>
      <c r="C186" s="65" t="s">
        <v>2972</v>
      </c>
      <c r="D186" s="70" t="s">
        <v>57</v>
      </c>
      <c r="E186" s="12">
        <v>44546</v>
      </c>
      <c r="F186" s="68" t="s">
        <v>58</v>
      </c>
      <c r="G186" s="12">
        <v>44550</v>
      </c>
      <c r="H186" s="69" t="s">
        <v>2130</v>
      </c>
      <c r="I186" s="15">
        <v>50</v>
      </c>
      <c r="J186" s="15">
        <v>35</v>
      </c>
      <c r="K186" s="15">
        <v>12</v>
      </c>
      <c r="L186" s="15">
        <v>3</v>
      </c>
      <c r="M186" s="73">
        <v>5.25</v>
      </c>
      <c r="N186" s="104">
        <v>5.25</v>
      </c>
      <c r="O186" s="57">
        <v>7000</v>
      </c>
      <c r="P186" s="58">
        <f t="shared" si="2"/>
        <v>36750</v>
      </c>
    </row>
    <row r="187" spans="1:16" ht="26.25" customHeight="1" x14ac:dyDescent="0.2">
      <c r="A187" s="100"/>
      <c r="B187" s="100"/>
      <c r="C187" s="65" t="s">
        <v>2973</v>
      </c>
      <c r="D187" s="70" t="s">
        <v>57</v>
      </c>
      <c r="E187" s="12">
        <v>44546</v>
      </c>
      <c r="F187" s="68" t="s">
        <v>58</v>
      </c>
      <c r="G187" s="12">
        <v>44550</v>
      </c>
      <c r="H187" s="69" t="s">
        <v>2130</v>
      </c>
      <c r="I187" s="15">
        <v>72</v>
      </c>
      <c r="J187" s="15">
        <v>52</v>
      </c>
      <c r="K187" s="15">
        <v>25</v>
      </c>
      <c r="L187" s="15">
        <v>3</v>
      </c>
      <c r="M187" s="73">
        <v>23.4</v>
      </c>
      <c r="N187" s="104">
        <v>24</v>
      </c>
      <c r="O187" s="57">
        <v>7000</v>
      </c>
      <c r="P187" s="58">
        <f t="shared" si="2"/>
        <v>168000</v>
      </c>
    </row>
    <row r="188" spans="1:16" ht="26.25" customHeight="1" x14ac:dyDescent="0.2">
      <c r="A188" s="100"/>
      <c r="B188" s="100"/>
      <c r="C188" s="65" t="s">
        <v>2974</v>
      </c>
      <c r="D188" s="70" t="s">
        <v>57</v>
      </c>
      <c r="E188" s="12">
        <v>44546</v>
      </c>
      <c r="F188" s="68" t="s">
        <v>58</v>
      </c>
      <c r="G188" s="12">
        <v>44550</v>
      </c>
      <c r="H188" s="69" t="s">
        <v>2130</v>
      </c>
      <c r="I188" s="15">
        <v>20</v>
      </c>
      <c r="J188" s="15">
        <v>17</v>
      </c>
      <c r="K188" s="15">
        <v>11</v>
      </c>
      <c r="L188" s="15">
        <v>1</v>
      </c>
      <c r="M188" s="73">
        <v>0.93500000000000005</v>
      </c>
      <c r="N188" s="104">
        <v>1</v>
      </c>
      <c r="O188" s="57">
        <v>7000</v>
      </c>
      <c r="P188" s="58">
        <f t="shared" si="2"/>
        <v>7000</v>
      </c>
    </row>
    <row r="189" spans="1:16" ht="26.25" customHeight="1" x14ac:dyDescent="0.2">
      <c r="A189" s="100"/>
      <c r="B189" s="100"/>
      <c r="C189" s="65" t="s">
        <v>2975</v>
      </c>
      <c r="D189" s="70" t="s">
        <v>57</v>
      </c>
      <c r="E189" s="12">
        <v>44546</v>
      </c>
      <c r="F189" s="68" t="s">
        <v>58</v>
      </c>
      <c r="G189" s="12">
        <v>44550</v>
      </c>
      <c r="H189" s="69" t="s">
        <v>2130</v>
      </c>
      <c r="I189" s="15">
        <v>35</v>
      </c>
      <c r="J189" s="15">
        <v>32</v>
      </c>
      <c r="K189" s="15">
        <v>25</v>
      </c>
      <c r="L189" s="15">
        <v>1</v>
      </c>
      <c r="M189" s="73">
        <v>7</v>
      </c>
      <c r="N189" s="104">
        <v>7</v>
      </c>
      <c r="O189" s="57">
        <v>7000</v>
      </c>
      <c r="P189" s="58">
        <f t="shared" si="2"/>
        <v>49000</v>
      </c>
    </row>
    <row r="190" spans="1:16" ht="26.25" customHeight="1" x14ac:dyDescent="0.2">
      <c r="A190" s="100"/>
      <c r="B190" s="100"/>
      <c r="C190" s="65" t="s">
        <v>2976</v>
      </c>
      <c r="D190" s="70" t="s">
        <v>57</v>
      </c>
      <c r="E190" s="12">
        <v>44546</v>
      </c>
      <c r="F190" s="68" t="s">
        <v>58</v>
      </c>
      <c r="G190" s="12">
        <v>44550</v>
      </c>
      <c r="H190" s="69" t="s">
        <v>2130</v>
      </c>
      <c r="I190" s="15">
        <v>52</v>
      </c>
      <c r="J190" s="15">
        <v>31</v>
      </c>
      <c r="K190" s="15">
        <v>21</v>
      </c>
      <c r="L190" s="15">
        <v>2</v>
      </c>
      <c r="M190" s="73">
        <v>8.4629999999999992</v>
      </c>
      <c r="N190" s="104">
        <v>9</v>
      </c>
      <c r="O190" s="57">
        <v>7000</v>
      </c>
      <c r="P190" s="58">
        <f t="shared" si="2"/>
        <v>63000</v>
      </c>
    </row>
    <row r="191" spans="1:16" ht="26.25" customHeight="1" x14ac:dyDescent="0.2">
      <c r="A191" s="100"/>
      <c r="B191" s="100"/>
      <c r="C191" s="65" t="s">
        <v>2977</v>
      </c>
      <c r="D191" s="70" t="s">
        <v>57</v>
      </c>
      <c r="E191" s="12">
        <v>44546</v>
      </c>
      <c r="F191" s="68" t="s">
        <v>58</v>
      </c>
      <c r="G191" s="12">
        <v>44550</v>
      </c>
      <c r="H191" s="69" t="s">
        <v>2130</v>
      </c>
      <c r="I191" s="15">
        <v>47</v>
      </c>
      <c r="J191" s="15">
        <v>35</v>
      </c>
      <c r="K191" s="15">
        <v>14</v>
      </c>
      <c r="L191" s="15">
        <v>5</v>
      </c>
      <c r="M191" s="73">
        <v>5.7575000000000003</v>
      </c>
      <c r="N191" s="104">
        <v>5.7575000000000003</v>
      </c>
      <c r="O191" s="57">
        <v>7000</v>
      </c>
      <c r="P191" s="58">
        <f t="shared" si="2"/>
        <v>40302.5</v>
      </c>
    </row>
    <row r="192" spans="1:16" ht="26.25" customHeight="1" x14ac:dyDescent="0.2">
      <c r="A192" s="100"/>
      <c r="B192" s="100"/>
      <c r="C192" s="65" t="s">
        <v>2978</v>
      </c>
      <c r="D192" s="70" t="s">
        <v>57</v>
      </c>
      <c r="E192" s="12">
        <v>44546</v>
      </c>
      <c r="F192" s="68" t="s">
        <v>58</v>
      </c>
      <c r="G192" s="12">
        <v>44550</v>
      </c>
      <c r="H192" s="69" t="s">
        <v>2130</v>
      </c>
      <c r="I192" s="15">
        <v>120</v>
      </c>
      <c r="J192" s="15">
        <v>4</v>
      </c>
      <c r="K192" s="15">
        <v>4</v>
      </c>
      <c r="L192" s="15">
        <v>1</v>
      </c>
      <c r="M192" s="73">
        <v>0.48</v>
      </c>
      <c r="N192" s="104">
        <v>2</v>
      </c>
      <c r="O192" s="57">
        <v>7000</v>
      </c>
      <c r="P192" s="58">
        <f t="shared" si="2"/>
        <v>14000</v>
      </c>
    </row>
    <row r="193" spans="1:16" ht="26.25" customHeight="1" x14ac:dyDescent="0.2">
      <c r="A193" s="100"/>
      <c r="B193" s="100"/>
      <c r="C193" s="65" t="s">
        <v>2979</v>
      </c>
      <c r="D193" s="70" t="s">
        <v>57</v>
      </c>
      <c r="E193" s="12">
        <v>44546</v>
      </c>
      <c r="F193" s="68" t="s">
        <v>58</v>
      </c>
      <c r="G193" s="12">
        <v>44550</v>
      </c>
      <c r="H193" s="69" t="s">
        <v>2130</v>
      </c>
      <c r="I193" s="15">
        <v>150</v>
      </c>
      <c r="J193" s="15">
        <v>7</v>
      </c>
      <c r="K193" s="15">
        <v>7</v>
      </c>
      <c r="L193" s="15">
        <v>1</v>
      </c>
      <c r="M193" s="73">
        <v>1.8374999999999999</v>
      </c>
      <c r="N193" s="104">
        <v>1.8374999999999999</v>
      </c>
      <c r="O193" s="57">
        <v>7000</v>
      </c>
      <c r="P193" s="58">
        <f t="shared" si="2"/>
        <v>12862.5</v>
      </c>
    </row>
    <row r="194" spans="1:16" ht="26.25" customHeight="1" x14ac:dyDescent="0.2">
      <c r="A194" s="100"/>
      <c r="B194" s="100"/>
      <c r="C194" s="65" t="s">
        <v>2980</v>
      </c>
      <c r="D194" s="70" t="s">
        <v>57</v>
      </c>
      <c r="E194" s="12">
        <v>44546</v>
      </c>
      <c r="F194" s="68" t="s">
        <v>58</v>
      </c>
      <c r="G194" s="12">
        <v>44550</v>
      </c>
      <c r="H194" s="69" t="s">
        <v>2130</v>
      </c>
      <c r="I194" s="15">
        <v>32</v>
      </c>
      <c r="J194" s="15">
        <v>31</v>
      </c>
      <c r="K194" s="15">
        <v>11</v>
      </c>
      <c r="L194" s="15">
        <v>1</v>
      </c>
      <c r="M194" s="73">
        <v>2.7280000000000002</v>
      </c>
      <c r="N194" s="104">
        <v>2.7280000000000002</v>
      </c>
      <c r="O194" s="57">
        <v>7000</v>
      </c>
      <c r="P194" s="58">
        <f t="shared" si="2"/>
        <v>19096</v>
      </c>
    </row>
    <row r="195" spans="1:16" ht="26.25" customHeight="1" x14ac:dyDescent="0.2">
      <c r="A195" s="100"/>
      <c r="B195" s="100"/>
      <c r="C195" s="65" t="s">
        <v>2981</v>
      </c>
      <c r="D195" s="70" t="s">
        <v>57</v>
      </c>
      <c r="E195" s="12">
        <v>44546</v>
      </c>
      <c r="F195" s="68" t="s">
        <v>58</v>
      </c>
      <c r="G195" s="12">
        <v>44550</v>
      </c>
      <c r="H195" s="69" t="s">
        <v>2130</v>
      </c>
      <c r="I195" s="15">
        <v>31</v>
      </c>
      <c r="J195" s="15">
        <v>31</v>
      </c>
      <c r="K195" s="15">
        <v>10</v>
      </c>
      <c r="L195" s="15">
        <v>2</v>
      </c>
      <c r="M195" s="73">
        <v>2.4024999999999999</v>
      </c>
      <c r="N195" s="104">
        <v>3</v>
      </c>
      <c r="O195" s="57">
        <v>7000</v>
      </c>
      <c r="P195" s="58">
        <f t="shared" ref="P195:P233" si="3">N195*O195</f>
        <v>21000</v>
      </c>
    </row>
    <row r="196" spans="1:16" ht="26.25" customHeight="1" x14ac:dyDescent="0.2">
      <c r="A196" s="100"/>
      <c r="B196" s="100"/>
      <c r="C196" s="65" t="s">
        <v>2982</v>
      </c>
      <c r="D196" s="70" t="s">
        <v>57</v>
      </c>
      <c r="E196" s="12">
        <v>44546</v>
      </c>
      <c r="F196" s="68" t="s">
        <v>58</v>
      </c>
      <c r="G196" s="12">
        <v>44550</v>
      </c>
      <c r="H196" s="69" t="s">
        <v>2130</v>
      </c>
      <c r="I196" s="15">
        <v>92</v>
      </c>
      <c r="J196" s="15">
        <v>42</v>
      </c>
      <c r="K196" s="15">
        <v>11</v>
      </c>
      <c r="L196" s="15">
        <v>1</v>
      </c>
      <c r="M196" s="73">
        <v>10.625999999999999</v>
      </c>
      <c r="N196" s="104">
        <v>10.625999999999999</v>
      </c>
      <c r="O196" s="57">
        <v>7000</v>
      </c>
      <c r="P196" s="58">
        <f t="shared" si="3"/>
        <v>74382</v>
      </c>
    </row>
    <row r="197" spans="1:16" ht="26.25" customHeight="1" x14ac:dyDescent="0.2">
      <c r="A197" s="100"/>
      <c r="B197" s="100"/>
      <c r="C197" s="65" t="s">
        <v>2983</v>
      </c>
      <c r="D197" s="70" t="s">
        <v>57</v>
      </c>
      <c r="E197" s="12">
        <v>44546</v>
      </c>
      <c r="F197" s="68" t="s">
        <v>58</v>
      </c>
      <c r="G197" s="12">
        <v>44550</v>
      </c>
      <c r="H197" s="69" t="s">
        <v>2130</v>
      </c>
      <c r="I197" s="15">
        <v>40</v>
      </c>
      <c r="J197" s="15">
        <v>26</v>
      </c>
      <c r="K197" s="15">
        <v>16</v>
      </c>
      <c r="L197" s="15">
        <v>5</v>
      </c>
      <c r="M197" s="73">
        <v>4.16</v>
      </c>
      <c r="N197" s="104">
        <v>5</v>
      </c>
      <c r="O197" s="57">
        <v>7000</v>
      </c>
      <c r="P197" s="58">
        <f t="shared" si="3"/>
        <v>35000</v>
      </c>
    </row>
    <row r="198" spans="1:16" ht="26.25" customHeight="1" x14ac:dyDescent="0.2">
      <c r="A198" s="100"/>
      <c r="B198" s="100"/>
      <c r="C198" s="65" t="s">
        <v>2984</v>
      </c>
      <c r="D198" s="70" t="s">
        <v>57</v>
      </c>
      <c r="E198" s="12">
        <v>44546</v>
      </c>
      <c r="F198" s="68" t="s">
        <v>58</v>
      </c>
      <c r="G198" s="12">
        <v>44550</v>
      </c>
      <c r="H198" s="69" t="s">
        <v>2130</v>
      </c>
      <c r="I198" s="15">
        <v>80</v>
      </c>
      <c r="J198" s="15">
        <v>21</v>
      </c>
      <c r="K198" s="15">
        <v>6</v>
      </c>
      <c r="L198" s="15">
        <v>1</v>
      </c>
      <c r="M198" s="73">
        <v>2.52</v>
      </c>
      <c r="N198" s="104">
        <v>2.52</v>
      </c>
      <c r="O198" s="57">
        <v>7000</v>
      </c>
      <c r="P198" s="58">
        <f t="shared" si="3"/>
        <v>17640</v>
      </c>
    </row>
    <row r="199" spans="1:16" ht="26.25" customHeight="1" x14ac:dyDescent="0.2">
      <c r="A199" s="100"/>
      <c r="B199" s="100"/>
      <c r="C199" s="65" t="s">
        <v>2985</v>
      </c>
      <c r="D199" s="70" t="s">
        <v>57</v>
      </c>
      <c r="E199" s="12">
        <v>44546</v>
      </c>
      <c r="F199" s="68" t="s">
        <v>58</v>
      </c>
      <c r="G199" s="12">
        <v>44550</v>
      </c>
      <c r="H199" s="69" t="s">
        <v>2130</v>
      </c>
      <c r="I199" s="15">
        <v>96</v>
      </c>
      <c r="J199" s="15">
        <v>58</v>
      </c>
      <c r="K199" s="15">
        <v>33</v>
      </c>
      <c r="L199" s="15">
        <v>28</v>
      </c>
      <c r="M199" s="73">
        <v>45.936</v>
      </c>
      <c r="N199" s="104">
        <v>45.936</v>
      </c>
      <c r="O199" s="57">
        <v>7000</v>
      </c>
      <c r="P199" s="58">
        <f t="shared" si="3"/>
        <v>321552</v>
      </c>
    </row>
    <row r="200" spans="1:16" ht="26.25" customHeight="1" x14ac:dyDescent="0.2">
      <c r="A200" s="100"/>
      <c r="B200" s="100"/>
      <c r="C200" s="65" t="s">
        <v>2986</v>
      </c>
      <c r="D200" s="70" t="s">
        <v>57</v>
      </c>
      <c r="E200" s="12">
        <v>44546</v>
      </c>
      <c r="F200" s="68" t="s">
        <v>58</v>
      </c>
      <c r="G200" s="12">
        <v>44550</v>
      </c>
      <c r="H200" s="69" t="s">
        <v>2130</v>
      </c>
      <c r="I200" s="15">
        <v>37</v>
      </c>
      <c r="J200" s="15">
        <v>33</v>
      </c>
      <c r="K200" s="15">
        <v>12</v>
      </c>
      <c r="L200" s="15">
        <v>4</v>
      </c>
      <c r="M200" s="73">
        <v>3.6629999999999998</v>
      </c>
      <c r="N200" s="104">
        <v>4</v>
      </c>
      <c r="O200" s="57">
        <v>7000</v>
      </c>
      <c r="P200" s="58">
        <f t="shared" si="3"/>
        <v>28000</v>
      </c>
    </row>
    <row r="201" spans="1:16" ht="26.25" customHeight="1" x14ac:dyDescent="0.2">
      <c r="A201" s="100"/>
      <c r="B201" s="100"/>
      <c r="C201" s="65" t="s">
        <v>2987</v>
      </c>
      <c r="D201" s="70" t="s">
        <v>57</v>
      </c>
      <c r="E201" s="12">
        <v>44546</v>
      </c>
      <c r="F201" s="68" t="s">
        <v>58</v>
      </c>
      <c r="G201" s="12">
        <v>44550</v>
      </c>
      <c r="H201" s="69" t="s">
        <v>2130</v>
      </c>
      <c r="I201" s="15">
        <v>87</v>
      </c>
      <c r="J201" s="15">
        <v>61</v>
      </c>
      <c r="K201" s="15">
        <v>21</v>
      </c>
      <c r="L201" s="15">
        <v>6</v>
      </c>
      <c r="M201" s="73">
        <v>27.861750000000001</v>
      </c>
      <c r="N201" s="104">
        <v>27.861750000000001</v>
      </c>
      <c r="O201" s="57">
        <v>7000</v>
      </c>
      <c r="P201" s="58">
        <f t="shared" si="3"/>
        <v>195032.25</v>
      </c>
    </row>
    <row r="202" spans="1:16" ht="26.25" customHeight="1" x14ac:dyDescent="0.2">
      <c r="A202" s="100"/>
      <c r="B202" s="100"/>
      <c r="C202" s="65" t="s">
        <v>2988</v>
      </c>
      <c r="D202" s="70" t="s">
        <v>57</v>
      </c>
      <c r="E202" s="12">
        <v>44546</v>
      </c>
      <c r="F202" s="68" t="s">
        <v>58</v>
      </c>
      <c r="G202" s="12">
        <v>44550</v>
      </c>
      <c r="H202" s="69" t="s">
        <v>2130</v>
      </c>
      <c r="I202" s="15">
        <v>36</v>
      </c>
      <c r="J202" s="15">
        <v>29</v>
      </c>
      <c r="K202" s="15">
        <v>25</v>
      </c>
      <c r="L202" s="15">
        <v>5</v>
      </c>
      <c r="M202" s="73">
        <v>6.5250000000000004</v>
      </c>
      <c r="N202" s="104">
        <v>6.5250000000000004</v>
      </c>
      <c r="O202" s="57">
        <v>7000</v>
      </c>
      <c r="P202" s="58">
        <f t="shared" si="3"/>
        <v>45675</v>
      </c>
    </row>
    <row r="203" spans="1:16" ht="26.25" customHeight="1" x14ac:dyDescent="0.2">
      <c r="A203" s="100"/>
      <c r="B203" s="100"/>
      <c r="C203" s="65" t="s">
        <v>2989</v>
      </c>
      <c r="D203" s="70" t="s">
        <v>57</v>
      </c>
      <c r="E203" s="12">
        <v>44546</v>
      </c>
      <c r="F203" s="68" t="s">
        <v>58</v>
      </c>
      <c r="G203" s="12">
        <v>44550</v>
      </c>
      <c r="H203" s="69" t="s">
        <v>2130</v>
      </c>
      <c r="I203" s="15">
        <v>50</v>
      </c>
      <c r="J203" s="15">
        <v>31</v>
      </c>
      <c r="K203" s="15">
        <v>12</v>
      </c>
      <c r="L203" s="15">
        <v>8</v>
      </c>
      <c r="M203" s="73">
        <v>4.6500000000000004</v>
      </c>
      <c r="N203" s="104">
        <v>8</v>
      </c>
      <c r="O203" s="57">
        <v>7000</v>
      </c>
      <c r="P203" s="58">
        <f t="shared" si="3"/>
        <v>56000</v>
      </c>
    </row>
    <row r="204" spans="1:16" ht="26.25" customHeight="1" x14ac:dyDescent="0.2">
      <c r="A204" s="100"/>
      <c r="B204" s="100"/>
      <c r="C204" s="65" t="s">
        <v>2990</v>
      </c>
      <c r="D204" s="70" t="s">
        <v>57</v>
      </c>
      <c r="E204" s="12">
        <v>44546</v>
      </c>
      <c r="F204" s="68" t="s">
        <v>58</v>
      </c>
      <c r="G204" s="12">
        <v>44550</v>
      </c>
      <c r="H204" s="69" t="s">
        <v>2130</v>
      </c>
      <c r="I204" s="15">
        <v>47</v>
      </c>
      <c r="J204" s="15">
        <v>31</v>
      </c>
      <c r="K204" s="15">
        <v>23</v>
      </c>
      <c r="L204" s="15">
        <v>12</v>
      </c>
      <c r="M204" s="73">
        <v>8.3777500000000007</v>
      </c>
      <c r="N204" s="104">
        <v>13</v>
      </c>
      <c r="O204" s="57">
        <v>7000</v>
      </c>
      <c r="P204" s="58">
        <f t="shared" si="3"/>
        <v>91000</v>
      </c>
    </row>
    <row r="205" spans="1:16" ht="26.25" customHeight="1" x14ac:dyDescent="0.2">
      <c r="A205" s="100"/>
      <c r="B205" s="100"/>
      <c r="C205" s="65" t="s">
        <v>2991</v>
      </c>
      <c r="D205" s="70" t="s">
        <v>57</v>
      </c>
      <c r="E205" s="12">
        <v>44546</v>
      </c>
      <c r="F205" s="68" t="s">
        <v>58</v>
      </c>
      <c r="G205" s="12">
        <v>44550</v>
      </c>
      <c r="H205" s="69" t="s">
        <v>2130</v>
      </c>
      <c r="I205" s="15">
        <v>45</v>
      </c>
      <c r="J205" s="15">
        <v>24</v>
      </c>
      <c r="K205" s="15">
        <v>21</v>
      </c>
      <c r="L205" s="15">
        <v>1</v>
      </c>
      <c r="M205" s="73">
        <v>5.67</v>
      </c>
      <c r="N205" s="104">
        <v>5.67</v>
      </c>
      <c r="O205" s="57">
        <v>7000</v>
      </c>
      <c r="P205" s="58">
        <f t="shared" si="3"/>
        <v>39690</v>
      </c>
    </row>
    <row r="206" spans="1:16" ht="26.25" customHeight="1" x14ac:dyDescent="0.2">
      <c r="A206" s="100"/>
      <c r="B206" s="100"/>
      <c r="C206" s="65" t="s">
        <v>2992</v>
      </c>
      <c r="D206" s="70" t="s">
        <v>57</v>
      </c>
      <c r="E206" s="12">
        <v>44546</v>
      </c>
      <c r="F206" s="68" t="s">
        <v>58</v>
      </c>
      <c r="G206" s="12">
        <v>44550</v>
      </c>
      <c r="H206" s="69" t="s">
        <v>2130</v>
      </c>
      <c r="I206" s="15">
        <v>125</v>
      </c>
      <c r="J206" s="15">
        <v>10</v>
      </c>
      <c r="K206" s="15">
        <v>8</v>
      </c>
      <c r="L206" s="15">
        <v>1</v>
      </c>
      <c r="M206" s="73">
        <v>2.5</v>
      </c>
      <c r="N206" s="104">
        <v>4</v>
      </c>
      <c r="O206" s="57">
        <v>7000</v>
      </c>
      <c r="P206" s="58">
        <f t="shared" si="3"/>
        <v>28000</v>
      </c>
    </row>
    <row r="207" spans="1:16" ht="26.25" customHeight="1" x14ac:dyDescent="0.2">
      <c r="A207" s="100"/>
      <c r="B207" s="100"/>
      <c r="C207" s="65" t="s">
        <v>2993</v>
      </c>
      <c r="D207" s="70" t="s">
        <v>57</v>
      </c>
      <c r="E207" s="12">
        <v>44546</v>
      </c>
      <c r="F207" s="68" t="s">
        <v>58</v>
      </c>
      <c r="G207" s="12">
        <v>44550</v>
      </c>
      <c r="H207" s="69" t="s">
        <v>2130</v>
      </c>
      <c r="I207" s="15">
        <v>50</v>
      </c>
      <c r="J207" s="15">
        <v>34</v>
      </c>
      <c r="K207" s="15">
        <v>15</v>
      </c>
      <c r="L207" s="15">
        <v>2</v>
      </c>
      <c r="M207" s="73">
        <v>6.375</v>
      </c>
      <c r="N207" s="104">
        <v>7</v>
      </c>
      <c r="O207" s="57">
        <v>7000</v>
      </c>
      <c r="P207" s="58">
        <f t="shared" si="3"/>
        <v>49000</v>
      </c>
    </row>
    <row r="208" spans="1:16" ht="26.25" customHeight="1" x14ac:dyDescent="0.2">
      <c r="A208" s="100"/>
      <c r="B208" s="100"/>
      <c r="C208" s="65" t="s">
        <v>2994</v>
      </c>
      <c r="D208" s="70" t="s">
        <v>57</v>
      </c>
      <c r="E208" s="12">
        <v>44546</v>
      </c>
      <c r="F208" s="68" t="s">
        <v>58</v>
      </c>
      <c r="G208" s="12">
        <v>44550</v>
      </c>
      <c r="H208" s="69" t="s">
        <v>2130</v>
      </c>
      <c r="I208" s="15">
        <v>31</v>
      </c>
      <c r="J208" s="15">
        <v>31</v>
      </c>
      <c r="K208" s="15">
        <v>8</v>
      </c>
      <c r="L208" s="15">
        <v>2</v>
      </c>
      <c r="M208" s="73">
        <v>1.9219999999999999</v>
      </c>
      <c r="N208" s="104">
        <v>2</v>
      </c>
      <c r="O208" s="57">
        <v>7000</v>
      </c>
      <c r="P208" s="58">
        <f t="shared" si="3"/>
        <v>14000</v>
      </c>
    </row>
    <row r="209" spans="1:16" ht="26.25" customHeight="1" x14ac:dyDescent="0.2">
      <c r="A209" s="100"/>
      <c r="B209" s="100"/>
      <c r="C209" s="65" t="s">
        <v>2995</v>
      </c>
      <c r="D209" s="70" t="s">
        <v>57</v>
      </c>
      <c r="E209" s="12">
        <v>44546</v>
      </c>
      <c r="F209" s="68" t="s">
        <v>58</v>
      </c>
      <c r="G209" s="12">
        <v>44550</v>
      </c>
      <c r="H209" s="69" t="s">
        <v>2130</v>
      </c>
      <c r="I209" s="15">
        <v>200</v>
      </c>
      <c r="J209" s="15">
        <v>11</v>
      </c>
      <c r="K209" s="15">
        <v>10</v>
      </c>
      <c r="L209" s="15">
        <v>1</v>
      </c>
      <c r="M209" s="73">
        <v>5.5</v>
      </c>
      <c r="N209" s="104">
        <v>7</v>
      </c>
      <c r="O209" s="57">
        <v>7000</v>
      </c>
      <c r="P209" s="58">
        <f t="shared" si="3"/>
        <v>49000</v>
      </c>
    </row>
    <row r="210" spans="1:16" ht="26.25" customHeight="1" x14ac:dyDescent="0.2">
      <c r="A210" s="100"/>
      <c r="B210" s="100"/>
      <c r="C210" s="65" t="s">
        <v>2996</v>
      </c>
      <c r="D210" s="70" t="s">
        <v>57</v>
      </c>
      <c r="E210" s="12">
        <v>44546</v>
      </c>
      <c r="F210" s="68" t="s">
        <v>58</v>
      </c>
      <c r="G210" s="12">
        <v>44550</v>
      </c>
      <c r="H210" s="69" t="s">
        <v>2130</v>
      </c>
      <c r="I210" s="15">
        <v>125</v>
      </c>
      <c r="J210" s="15">
        <v>10</v>
      </c>
      <c r="K210" s="15">
        <v>10</v>
      </c>
      <c r="L210" s="15">
        <v>1</v>
      </c>
      <c r="M210" s="73">
        <v>3.125</v>
      </c>
      <c r="N210" s="104">
        <v>3.125</v>
      </c>
      <c r="O210" s="57">
        <v>7000</v>
      </c>
      <c r="P210" s="58">
        <f t="shared" si="3"/>
        <v>21875</v>
      </c>
    </row>
    <row r="211" spans="1:16" ht="26.25" customHeight="1" x14ac:dyDescent="0.2">
      <c r="A211" s="100"/>
      <c r="B211" s="100"/>
      <c r="C211" s="65" t="s">
        <v>2997</v>
      </c>
      <c r="D211" s="70" t="s">
        <v>57</v>
      </c>
      <c r="E211" s="12">
        <v>44546</v>
      </c>
      <c r="F211" s="68" t="s">
        <v>58</v>
      </c>
      <c r="G211" s="12">
        <v>44550</v>
      </c>
      <c r="H211" s="69" t="s">
        <v>2130</v>
      </c>
      <c r="I211" s="15">
        <v>45</v>
      </c>
      <c r="J211" s="15">
        <v>26</v>
      </c>
      <c r="K211" s="15">
        <v>18</v>
      </c>
      <c r="L211" s="15">
        <v>5</v>
      </c>
      <c r="M211" s="73">
        <v>5.2649999999999997</v>
      </c>
      <c r="N211" s="104">
        <v>5.2649999999999997</v>
      </c>
      <c r="O211" s="57">
        <v>7000</v>
      </c>
      <c r="P211" s="58">
        <f t="shared" si="3"/>
        <v>36855</v>
      </c>
    </row>
    <row r="212" spans="1:16" ht="26.25" customHeight="1" x14ac:dyDescent="0.2">
      <c r="A212" s="100"/>
      <c r="B212" s="100"/>
      <c r="C212" s="65" t="s">
        <v>2998</v>
      </c>
      <c r="D212" s="70" t="s">
        <v>57</v>
      </c>
      <c r="E212" s="12">
        <v>44546</v>
      </c>
      <c r="F212" s="68" t="s">
        <v>58</v>
      </c>
      <c r="G212" s="12">
        <v>44550</v>
      </c>
      <c r="H212" s="69" t="s">
        <v>2130</v>
      </c>
      <c r="I212" s="15">
        <v>42</v>
      </c>
      <c r="J212" s="15">
        <v>31</v>
      </c>
      <c r="K212" s="15">
        <v>15</v>
      </c>
      <c r="L212" s="15">
        <v>4</v>
      </c>
      <c r="M212" s="73">
        <v>4.8825000000000003</v>
      </c>
      <c r="N212" s="104">
        <v>4.8825000000000003</v>
      </c>
      <c r="O212" s="57">
        <v>7000</v>
      </c>
      <c r="P212" s="58">
        <f t="shared" si="3"/>
        <v>34177.5</v>
      </c>
    </row>
    <row r="213" spans="1:16" ht="26.25" customHeight="1" x14ac:dyDescent="0.2">
      <c r="A213" s="100"/>
      <c r="B213" s="100"/>
      <c r="C213" s="65" t="s">
        <v>2999</v>
      </c>
      <c r="D213" s="70" t="s">
        <v>57</v>
      </c>
      <c r="E213" s="12">
        <v>44546</v>
      </c>
      <c r="F213" s="68" t="s">
        <v>58</v>
      </c>
      <c r="G213" s="12">
        <v>44550</v>
      </c>
      <c r="H213" s="69" t="s">
        <v>2130</v>
      </c>
      <c r="I213" s="15">
        <v>78</v>
      </c>
      <c r="J213" s="15">
        <v>41</v>
      </c>
      <c r="K213" s="15">
        <v>43</v>
      </c>
      <c r="L213" s="15">
        <v>21</v>
      </c>
      <c r="M213" s="73">
        <v>34.378500000000003</v>
      </c>
      <c r="N213" s="104">
        <v>35</v>
      </c>
      <c r="O213" s="57">
        <v>7000</v>
      </c>
      <c r="P213" s="58">
        <f t="shared" si="3"/>
        <v>245000</v>
      </c>
    </row>
    <row r="214" spans="1:16" ht="26.25" customHeight="1" x14ac:dyDescent="0.2">
      <c r="A214" s="100"/>
      <c r="B214" s="100"/>
      <c r="C214" s="65" t="s">
        <v>3000</v>
      </c>
      <c r="D214" s="70" t="s">
        <v>57</v>
      </c>
      <c r="E214" s="12">
        <v>44546</v>
      </c>
      <c r="F214" s="68" t="s">
        <v>58</v>
      </c>
      <c r="G214" s="12">
        <v>44550</v>
      </c>
      <c r="H214" s="69" t="s">
        <v>2130</v>
      </c>
      <c r="I214" s="15">
        <v>43</v>
      </c>
      <c r="J214" s="15">
        <v>40</v>
      </c>
      <c r="K214" s="15">
        <v>15</v>
      </c>
      <c r="L214" s="15">
        <v>5</v>
      </c>
      <c r="M214" s="73">
        <v>6.45</v>
      </c>
      <c r="N214" s="104">
        <v>7</v>
      </c>
      <c r="O214" s="57">
        <v>7000</v>
      </c>
      <c r="P214" s="58">
        <f t="shared" si="3"/>
        <v>49000</v>
      </c>
    </row>
    <row r="215" spans="1:16" ht="26.25" customHeight="1" x14ac:dyDescent="0.2">
      <c r="A215" s="100"/>
      <c r="B215" s="100"/>
      <c r="C215" s="65" t="s">
        <v>3001</v>
      </c>
      <c r="D215" s="70" t="s">
        <v>57</v>
      </c>
      <c r="E215" s="12">
        <v>44546</v>
      </c>
      <c r="F215" s="68" t="s">
        <v>58</v>
      </c>
      <c r="G215" s="12">
        <v>44550</v>
      </c>
      <c r="H215" s="69" t="s">
        <v>2130</v>
      </c>
      <c r="I215" s="15">
        <v>61</v>
      </c>
      <c r="J215" s="15">
        <v>55</v>
      </c>
      <c r="K215" s="15">
        <v>24</v>
      </c>
      <c r="L215" s="15">
        <v>8</v>
      </c>
      <c r="M215" s="73">
        <v>20.13</v>
      </c>
      <c r="N215" s="104">
        <v>20.13</v>
      </c>
      <c r="O215" s="57">
        <v>7000</v>
      </c>
      <c r="P215" s="58">
        <f t="shared" si="3"/>
        <v>140910</v>
      </c>
    </row>
    <row r="216" spans="1:16" ht="26.25" customHeight="1" x14ac:dyDescent="0.2">
      <c r="A216" s="100"/>
      <c r="B216" s="100"/>
      <c r="C216" s="65" t="s">
        <v>3002</v>
      </c>
      <c r="D216" s="70" t="s">
        <v>57</v>
      </c>
      <c r="E216" s="12">
        <v>44546</v>
      </c>
      <c r="F216" s="68" t="s">
        <v>58</v>
      </c>
      <c r="G216" s="12">
        <v>44550</v>
      </c>
      <c r="H216" s="69" t="s">
        <v>2130</v>
      </c>
      <c r="I216" s="15">
        <v>51</v>
      </c>
      <c r="J216" s="15">
        <v>41</v>
      </c>
      <c r="K216" s="15">
        <v>14</v>
      </c>
      <c r="L216" s="15">
        <v>4</v>
      </c>
      <c r="M216" s="73">
        <v>7.3185000000000002</v>
      </c>
      <c r="N216" s="104">
        <v>8</v>
      </c>
      <c r="O216" s="57">
        <v>7000</v>
      </c>
      <c r="P216" s="58">
        <f t="shared" si="3"/>
        <v>56000</v>
      </c>
    </row>
    <row r="217" spans="1:16" ht="26.25" customHeight="1" x14ac:dyDescent="0.2">
      <c r="A217" s="100"/>
      <c r="B217" s="100"/>
      <c r="C217" s="65" t="s">
        <v>3003</v>
      </c>
      <c r="D217" s="70" t="s">
        <v>57</v>
      </c>
      <c r="E217" s="12">
        <v>44546</v>
      </c>
      <c r="F217" s="68" t="s">
        <v>58</v>
      </c>
      <c r="G217" s="12">
        <v>44550</v>
      </c>
      <c r="H217" s="69" t="s">
        <v>2130</v>
      </c>
      <c r="I217" s="15">
        <v>55</v>
      </c>
      <c r="J217" s="15">
        <v>45</v>
      </c>
      <c r="K217" s="15">
        <v>14</v>
      </c>
      <c r="L217" s="15">
        <v>6</v>
      </c>
      <c r="M217" s="73">
        <v>8.6624999999999996</v>
      </c>
      <c r="N217" s="104">
        <v>8.6624999999999996</v>
      </c>
      <c r="O217" s="57">
        <v>7000</v>
      </c>
      <c r="P217" s="58">
        <f t="shared" si="3"/>
        <v>60637.5</v>
      </c>
    </row>
    <row r="218" spans="1:16" ht="26.25" customHeight="1" x14ac:dyDescent="0.2">
      <c r="A218" s="100"/>
      <c r="B218" s="100"/>
      <c r="C218" s="65" t="s">
        <v>3004</v>
      </c>
      <c r="D218" s="70" t="s">
        <v>57</v>
      </c>
      <c r="E218" s="12">
        <v>44546</v>
      </c>
      <c r="F218" s="68" t="s">
        <v>58</v>
      </c>
      <c r="G218" s="12">
        <v>44550</v>
      </c>
      <c r="H218" s="69" t="s">
        <v>2130</v>
      </c>
      <c r="I218" s="15">
        <v>106</v>
      </c>
      <c r="J218" s="15">
        <v>56</v>
      </c>
      <c r="K218" s="15">
        <v>25</v>
      </c>
      <c r="L218" s="15">
        <v>35</v>
      </c>
      <c r="M218" s="73">
        <v>37.1</v>
      </c>
      <c r="N218" s="104">
        <v>37.1</v>
      </c>
      <c r="O218" s="57">
        <v>7000</v>
      </c>
      <c r="P218" s="58">
        <f t="shared" si="3"/>
        <v>259700</v>
      </c>
    </row>
    <row r="219" spans="1:16" ht="26.25" customHeight="1" x14ac:dyDescent="0.2">
      <c r="A219" s="100"/>
      <c r="B219" s="100"/>
      <c r="C219" s="65" t="s">
        <v>3005</v>
      </c>
      <c r="D219" s="70" t="s">
        <v>57</v>
      </c>
      <c r="E219" s="12">
        <v>44546</v>
      </c>
      <c r="F219" s="68" t="s">
        <v>58</v>
      </c>
      <c r="G219" s="12">
        <v>44550</v>
      </c>
      <c r="H219" s="69" t="s">
        <v>2130</v>
      </c>
      <c r="I219" s="15">
        <v>82</v>
      </c>
      <c r="J219" s="15">
        <v>60</v>
      </c>
      <c r="K219" s="15">
        <v>16</v>
      </c>
      <c r="L219" s="15">
        <v>13</v>
      </c>
      <c r="M219" s="73">
        <v>19.68</v>
      </c>
      <c r="N219" s="104">
        <v>19.68</v>
      </c>
      <c r="O219" s="57">
        <v>7000</v>
      </c>
      <c r="P219" s="58">
        <f t="shared" si="3"/>
        <v>137760</v>
      </c>
    </row>
    <row r="220" spans="1:16" ht="26.25" customHeight="1" x14ac:dyDescent="0.2">
      <c r="A220" s="100"/>
      <c r="B220" s="100"/>
      <c r="C220" s="65" t="s">
        <v>3006</v>
      </c>
      <c r="D220" s="70" t="s">
        <v>57</v>
      </c>
      <c r="E220" s="12">
        <v>44546</v>
      </c>
      <c r="F220" s="68" t="s">
        <v>58</v>
      </c>
      <c r="G220" s="12">
        <v>44550</v>
      </c>
      <c r="H220" s="69" t="s">
        <v>2130</v>
      </c>
      <c r="I220" s="15">
        <v>49</v>
      </c>
      <c r="J220" s="15">
        <v>30</v>
      </c>
      <c r="K220" s="15">
        <v>26</v>
      </c>
      <c r="L220" s="15">
        <v>2</v>
      </c>
      <c r="M220" s="73">
        <v>9.5549999999999997</v>
      </c>
      <c r="N220" s="104">
        <v>9.5549999999999997</v>
      </c>
      <c r="O220" s="57">
        <v>7000</v>
      </c>
      <c r="P220" s="58">
        <f t="shared" si="3"/>
        <v>66885</v>
      </c>
    </row>
    <row r="221" spans="1:16" ht="26.25" customHeight="1" x14ac:dyDescent="0.2">
      <c r="A221" s="100"/>
      <c r="B221" s="100"/>
      <c r="C221" s="65" t="s">
        <v>3007</v>
      </c>
      <c r="D221" s="70" t="s">
        <v>57</v>
      </c>
      <c r="E221" s="12">
        <v>44546</v>
      </c>
      <c r="F221" s="68" t="s">
        <v>58</v>
      </c>
      <c r="G221" s="12">
        <v>44550</v>
      </c>
      <c r="H221" s="69" t="s">
        <v>2130</v>
      </c>
      <c r="I221" s="15">
        <v>40</v>
      </c>
      <c r="J221" s="15">
        <v>31</v>
      </c>
      <c r="K221" s="15">
        <v>25</v>
      </c>
      <c r="L221" s="15">
        <v>4</v>
      </c>
      <c r="M221" s="73">
        <v>7.75</v>
      </c>
      <c r="N221" s="104">
        <v>7.75</v>
      </c>
      <c r="O221" s="57">
        <v>7000</v>
      </c>
      <c r="P221" s="58">
        <f t="shared" si="3"/>
        <v>54250</v>
      </c>
    </row>
    <row r="222" spans="1:16" ht="26.25" customHeight="1" x14ac:dyDescent="0.2">
      <c r="A222" s="100"/>
      <c r="B222" s="100"/>
      <c r="C222" s="65" t="s">
        <v>3008</v>
      </c>
      <c r="D222" s="70" t="s">
        <v>57</v>
      </c>
      <c r="E222" s="12">
        <v>44546</v>
      </c>
      <c r="F222" s="68" t="s">
        <v>58</v>
      </c>
      <c r="G222" s="12">
        <v>44550</v>
      </c>
      <c r="H222" s="69" t="s">
        <v>2130</v>
      </c>
      <c r="I222" s="15">
        <v>110</v>
      </c>
      <c r="J222" s="15">
        <v>61</v>
      </c>
      <c r="K222" s="15">
        <v>22</v>
      </c>
      <c r="L222" s="15">
        <v>28</v>
      </c>
      <c r="M222" s="73">
        <v>36.905000000000001</v>
      </c>
      <c r="N222" s="104">
        <v>36.905000000000001</v>
      </c>
      <c r="O222" s="57">
        <v>7000</v>
      </c>
      <c r="P222" s="58">
        <f t="shared" si="3"/>
        <v>258335</v>
      </c>
    </row>
    <row r="223" spans="1:16" ht="26.25" customHeight="1" x14ac:dyDescent="0.2">
      <c r="A223" s="100"/>
      <c r="B223" s="100"/>
      <c r="C223" s="65" t="s">
        <v>3009</v>
      </c>
      <c r="D223" s="70" t="s">
        <v>57</v>
      </c>
      <c r="E223" s="12">
        <v>44546</v>
      </c>
      <c r="F223" s="68" t="s">
        <v>58</v>
      </c>
      <c r="G223" s="12">
        <v>44550</v>
      </c>
      <c r="H223" s="69" t="s">
        <v>2130</v>
      </c>
      <c r="I223" s="15">
        <v>78</v>
      </c>
      <c r="J223" s="15">
        <v>54</v>
      </c>
      <c r="K223" s="15">
        <v>18</v>
      </c>
      <c r="L223" s="15">
        <v>18</v>
      </c>
      <c r="M223" s="73">
        <v>18.954000000000001</v>
      </c>
      <c r="N223" s="104">
        <v>18.954000000000001</v>
      </c>
      <c r="O223" s="57">
        <v>7000</v>
      </c>
      <c r="P223" s="58">
        <f t="shared" si="3"/>
        <v>132678</v>
      </c>
    </row>
    <row r="224" spans="1:16" ht="26.25" customHeight="1" x14ac:dyDescent="0.2">
      <c r="A224" s="100"/>
      <c r="B224" s="101"/>
      <c r="C224" s="65" t="s">
        <v>3010</v>
      </c>
      <c r="D224" s="70" t="s">
        <v>57</v>
      </c>
      <c r="E224" s="12">
        <v>44546</v>
      </c>
      <c r="F224" s="68" t="s">
        <v>58</v>
      </c>
      <c r="G224" s="12">
        <v>44550</v>
      </c>
      <c r="H224" s="69" t="s">
        <v>2130</v>
      </c>
      <c r="I224" s="15">
        <v>95</v>
      </c>
      <c r="J224" s="15">
        <v>6</v>
      </c>
      <c r="K224" s="15">
        <v>6</v>
      </c>
      <c r="L224" s="15">
        <v>2</v>
      </c>
      <c r="M224" s="73">
        <v>0.85499999999999998</v>
      </c>
      <c r="N224" s="104">
        <v>2</v>
      </c>
      <c r="O224" s="57">
        <v>7000</v>
      </c>
      <c r="P224" s="58">
        <f t="shared" si="3"/>
        <v>14000</v>
      </c>
    </row>
    <row r="225" spans="1:16" ht="26.25" customHeight="1" x14ac:dyDescent="0.2">
      <c r="A225" s="100"/>
      <c r="B225" s="90" t="s">
        <v>3011</v>
      </c>
      <c r="C225" s="65" t="s">
        <v>3012</v>
      </c>
      <c r="D225" s="70" t="s">
        <v>57</v>
      </c>
      <c r="E225" s="12">
        <v>44546</v>
      </c>
      <c r="F225" s="68" t="s">
        <v>58</v>
      </c>
      <c r="G225" s="12">
        <v>44550</v>
      </c>
      <c r="H225" s="69" t="s">
        <v>2130</v>
      </c>
      <c r="I225" s="15">
        <v>45</v>
      </c>
      <c r="J225" s="15">
        <v>30</v>
      </c>
      <c r="K225" s="15">
        <v>12</v>
      </c>
      <c r="L225" s="15">
        <v>11</v>
      </c>
      <c r="M225" s="73">
        <v>4.05</v>
      </c>
      <c r="N225" s="104">
        <v>11</v>
      </c>
      <c r="O225" s="57">
        <v>7000</v>
      </c>
      <c r="P225" s="58">
        <f t="shared" si="3"/>
        <v>77000</v>
      </c>
    </row>
    <row r="226" spans="1:16" ht="26.25" customHeight="1" x14ac:dyDescent="0.2">
      <c r="A226" s="100"/>
      <c r="B226" s="100" t="s">
        <v>3013</v>
      </c>
      <c r="C226" s="65" t="s">
        <v>3014</v>
      </c>
      <c r="D226" s="70" t="s">
        <v>57</v>
      </c>
      <c r="E226" s="12">
        <v>44546</v>
      </c>
      <c r="F226" s="68" t="s">
        <v>58</v>
      </c>
      <c r="G226" s="12">
        <v>44550</v>
      </c>
      <c r="H226" s="69" t="s">
        <v>2130</v>
      </c>
      <c r="I226" s="15">
        <v>70</v>
      </c>
      <c r="J226" s="15">
        <v>54</v>
      </c>
      <c r="K226" s="15">
        <v>23</v>
      </c>
      <c r="L226" s="15">
        <v>12</v>
      </c>
      <c r="M226" s="73">
        <v>21.734999999999999</v>
      </c>
      <c r="N226" s="104">
        <v>21.734999999999999</v>
      </c>
      <c r="O226" s="57">
        <v>7000</v>
      </c>
      <c r="P226" s="58">
        <f t="shared" si="3"/>
        <v>152145</v>
      </c>
    </row>
    <row r="227" spans="1:16" ht="26.25" customHeight="1" x14ac:dyDescent="0.2">
      <c r="A227" s="100"/>
      <c r="B227" s="100"/>
      <c r="C227" s="65" t="s">
        <v>3015</v>
      </c>
      <c r="D227" s="70" t="s">
        <v>57</v>
      </c>
      <c r="E227" s="12">
        <v>44546</v>
      </c>
      <c r="F227" s="68" t="s">
        <v>58</v>
      </c>
      <c r="G227" s="12">
        <v>44550</v>
      </c>
      <c r="H227" s="69" t="s">
        <v>2130</v>
      </c>
      <c r="I227" s="15">
        <v>47</v>
      </c>
      <c r="J227" s="15">
        <v>35</v>
      </c>
      <c r="K227" s="15">
        <v>21</v>
      </c>
      <c r="L227" s="15">
        <v>2</v>
      </c>
      <c r="M227" s="73">
        <v>8.6362500000000004</v>
      </c>
      <c r="N227" s="104">
        <v>8.6362500000000004</v>
      </c>
      <c r="O227" s="57">
        <v>7000</v>
      </c>
      <c r="P227" s="58">
        <f t="shared" si="3"/>
        <v>60453.75</v>
      </c>
    </row>
    <row r="228" spans="1:16" ht="26.25" customHeight="1" x14ac:dyDescent="0.2">
      <c r="A228" s="100"/>
      <c r="B228" s="100"/>
      <c r="C228" s="65" t="s">
        <v>3016</v>
      </c>
      <c r="D228" s="70" t="s">
        <v>57</v>
      </c>
      <c r="E228" s="12">
        <v>44546</v>
      </c>
      <c r="F228" s="68" t="s">
        <v>58</v>
      </c>
      <c r="G228" s="12">
        <v>44550</v>
      </c>
      <c r="H228" s="69" t="s">
        <v>2130</v>
      </c>
      <c r="I228" s="15">
        <v>52</v>
      </c>
      <c r="J228" s="15">
        <v>46</v>
      </c>
      <c r="K228" s="15">
        <v>10</v>
      </c>
      <c r="L228" s="15">
        <v>3</v>
      </c>
      <c r="M228" s="73">
        <v>5.98</v>
      </c>
      <c r="N228" s="104">
        <v>5.98</v>
      </c>
      <c r="O228" s="57">
        <v>7000</v>
      </c>
      <c r="P228" s="58">
        <f t="shared" si="3"/>
        <v>41860</v>
      </c>
    </row>
    <row r="229" spans="1:16" ht="26.25" customHeight="1" x14ac:dyDescent="0.2">
      <c r="A229" s="100"/>
      <c r="B229" s="101"/>
      <c r="C229" s="65" t="s">
        <v>3017</v>
      </c>
      <c r="D229" s="70" t="s">
        <v>57</v>
      </c>
      <c r="E229" s="12">
        <v>44546</v>
      </c>
      <c r="F229" s="68" t="s">
        <v>58</v>
      </c>
      <c r="G229" s="12">
        <v>44550</v>
      </c>
      <c r="H229" s="69" t="s">
        <v>2130</v>
      </c>
      <c r="I229" s="15">
        <v>31</v>
      </c>
      <c r="J229" s="15">
        <v>24</v>
      </c>
      <c r="K229" s="15">
        <v>12</v>
      </c>
      <c r="L229" s="15">
        <v>1</v>
      </c>
      <c r="M229" s="73">
        <v>2.2320000000000002</v>
      </c>
      <c r="N229" s="104">
        <v>2.2320000000000002</v>
      </c>
      <c r="O229" s="57">
        <v>7000</v>
      </c>
      <c r="P229" s="58">
        <f t="shared" si="3"/>
        <v>15624.000000000002</v>
      </c>
    </row>
    <row r="230" spans="1:16" ht="26.25" customHeight="1" x14ac:dyDescent="0.2">
      <c r="A230" s="100"/>
      <c r="B230" s="100" t="s">
        <v>3018</v>
      </c>
      <c r="C230" s="65" t="s">
        <v>3019</v>
      </c>
      <c r="D230" s="70" t="s">
        <v>57</v>
      </c>
      <c r="E230" s="12">
        <v>44546</v>
      </c>
      <c r="F230" s="68" t="s">
        <v>58</v>
      </c>
      <c r="G230" s="12">
        <v>44550</v>
      </c>
      <c r="H230" s="69" t="s">
        <v>2130</v>
      </c>
      <c r="I230" s="15">
        <v>91</v>
      </c>
      <c r="J230" s="15">
        <v>46</v>
      </c>
      <c r="K230" s="15">
        <v>45</v>
      </c>
      <c r="L230" s="15">
        <v>26</v>
      </c>
      <c r="M230" s="73">
        <v>47.092500000000001</v>
      </c>
      <c r="N230" s="104">
        <v>47.092500000000001</v>
      </c>
      <c r="O230" s="57">
        <v>7000</v>
      </c>
      <c r="P230" s="58">
        <f t="shared" si="3"/>
        <v>329647.5</v>
      </c>
    </row>
    <row r="231" spans="1:16" ht="26.25" customHeight="1" x14ac:dyDescent="0.2">
      <c r="A231" s="100"/>
      <c r="B231" s="100"/>
      <c r="C231" s="65" t="s">
        <v>3020</v>
      </c>
      <c r="D231" s="70" t="s">
        <v>57</v>
      </c>
      <c r="E231" s="12">
        <v>44546</v>
      </c>
      <c r="F231" s="68" t="s">
        <v>58</v>
      </c>
      <c r="G231" s="12">
        <v>44550</v>
      </c>
      <c r="H231" s="69" t="s">
        <v>2130</v>
      </c>
      <c r="I231" s="15">
        <v>75</v>
      </c>
      <c r="J231" s="15">
        <v>52</v>
      </c>
      <c r="K231" s="15">
        <v>24</v>
      </c>
      <c r="L231" s="15">
        <v>14</v>
      </c>
      <c r="M231" s="73">
        <v>23.4</v>
      </c>
      <c r="N231" s="104">
        <v>24</v>
      </c>
      <c r="O231" s="57">
        <v>7000</v>
      </c>
      <c r="P231" s="58">
        <f t="shared" si="3"/>
        <v>168000</v>
      </c>
    </row>
    <row r="232" spans="1:16" ht="26.25" customHeight="1" x14ac:dyDescent="0.2">
      <c r="A232" s="100"/>
      <c r="B232" s="100"/>
      <c r="C232" s="65" t="s">
        <v>3021</v>
      </c>
      <c r="D232" s="70" t="s">
        <v>57</v>
      </c>
      <c r="E232" s="12">
        <v>44546</v>
      </c>
      <c r="F232" s="68" t="s">
        <v>58</v>
      </c>
      <c r="G232" s="12">
        <v>44550</v>
      </c>
      <c r="H232" s="69" t="s">
        <v>2130</v>
      </c>
      <c r="I232" s="15">
        <v>61</v>
      </c>
      <c r="J232" s="15">
        <v>45</v>
      </c>
      <c r="K232" s="15">
        <v>21</v>
      </c>
      <c r="L232" s="15">
        <v>5</v>
      </c>
      <c r="M232" s="73">
        <v>14.411250000000001</v>
      </c>
      <c r="N232" s="104">
        <v>15</v>
      </c>
      <c r="O232" s="57">
        <v>7000</v>
      </c>
      <c r="P232" s="58">
        <f t="shared" si="3"/>
        <v>105000</v>
      </c>
    </row>
    <row r="233" spans="1:16" ht="26.25" customHeight="1" x14ac:dyDescent="0.2">
      <c r="A233" s="100"/>
      <c r="B233" s="100"/>
      <c r="C233" s="65" t="s">
        <v>3022</v>
      </c>
      <c r="D233" s="70" t="s">
        <v>57</v>
      </c>
      <c r="E233" s="12">
        <v>44546</v>
      </c>
      <c r="F233" s="68" t="s">
        <v>58</v>
      </c>
      <c r="G233" s="12">
        <v>44550</v>
      </c>
      <c r="H233" s="69" t="s">
        <v>2130</v>
      </c>
      <c r="I233" s="15">
        <v>40</v>
      </c>
      <c r="J233" s="15">
        <v>35</v>
      </c>
      <c r="K233" s="15">
        <v>15</v>
      </c>
      <c r="L233" s="15">
        <v>3</v>
      </c>
      <c r="M233" s="73">
        <v>5.25</v>
      </c>
      <c r="N233" s="104">
        <v>5.25</v>
      </c>
      <c r="O233" s="57">
        <v>7000</v>
      </c>
      <c r="P233" s="58">
        <f t="shared" si="3"/>
        <v>36750</v>
      </c>
    </row>
    <row r="234" spans="1:16" ht="22.5" customHeight="1" x14ac:dyDescent="0.2">
      <c r="A234" s="159" t="s">
        <v>30</v>
      </c>
      <c r="B234" s="160"/>
      <c r="C234" s="160"/>
      <c r="D234" s="160"/>
      <c r="E234" s="160"/>
      <c r="F234" s="160"/>
      <c r="G234" s="160"/>
      <c r="H234" s="160"/>
      <c r="I234" s="160"/>
      <c r="J234" s="160"/>
      <c r="K234" s="160"/>
      <c r="L234" s="161"/>
      <c r="M234" s="71">
        <f>SUBTOTAL(109,Table224578910112345678910111213141516171819202122232425262728293031323334353738394041424344454647[KG VOLUME])</f>
        <v>4071.5772500000021</v>
      </c>
      <c r="N234" s="61">
        <f>SUM(N3:N233)</f>
        <v>4243.2277499999982</v>
      </c>
      <c r="O234" s="162">
        <f>SUM(P3:P233)</f>
        <v>29702594.25</v>
      </c>
      <c r="P234" s="163"/>
    </row>
    <row r="235" spans="1:16" ht="18" customHeight="1" x14ac:dyDescent="0.2">
      <c r="A235" s="78"/>
      <c r="B235" s="49" t="s">
        <v>42</v>
      </c>
      <c r="C235" s="48"/>
      <c r="D235" s="50" t="s">
        <v>43</v>
      </c>
      <c r="E235" s="78"/>
      <c r="F235" s="78"/>
      <c r="G235" s="78"/>
      <c r="H235" s="78"/>
      <c r="I235" s="78"/>
      <c r="J235" s="78"/>
      <c r="K235" s="78"/>
      <c r="L235" s="78"/>
      <c r="M235" s="79"/>
      <c r="N235" s="80" t="s">
        <v>52</v>
      </c>
      <c r="O235" s="81"/>
      <c r="P235" s="81">
        <v>0</v>
      </c>
    </row>
    <row r="236" spans="1:16" ht="18" customHeight="1" thickBot="1" x14ac:dyDescent="0.25">
      <c r="A236" s="78"/>
      <c r="B236" s="49"/>
      <c r="C236" s="48"/>
      <c r="D236" s="50"/>
      <c r="E236" s="78"/>
      <c r="F236" s="78"/>
      <c r="G236" s="78"/>
      <c r="H236" s="78"/>
      <c r="I236" s="78"/>
      <c r="J236" s="78"/>
      <c r="K236" s="78"/>
      <c r="L236" s="78"/>
      <c r="M236" s="79"/>
      <c r="N236" s="82" t="s">
        <v>53</v>
      </c>
      <c r="O236" s="83"/>
      <c r="P236" s="83">
        <f>O234-P235</f>
        <v>29702594.25</v>
      </c>
    </row>
    <row r="237" spans="1:16" ht="18" customHeight="1" x14ac:dyDescent="0.2">
      <c r="A237" s="10"/>
      <c r="H237" s="56"/>
      <c r="N237" s="55" t="s">
        <v>31</v>
      </c>
      <c r="P237" s="62">
        <f>P236*1%</f>
        <v>297025.9425</v>
      </c>
    </row>
    <row r="238" spans="1:16" ht="18" customHeight="1" thickBot="1" x14ac:dyDescent="0.25">
      <c r="A238" s="10"/>
      <c r="H238" s="56"/>
      <c r="N238" s="55" t="s">
        <v>54</v>
      </c>
      <c r="P238" s="64">
        <f>P236*2%</f>
        <v>594051.88500000001</v>
      </c>
    </row>
    <row r="239" spans="1:16" ht="18" customHeight="1" x14ac:dyDescent="0.2">
      <c r="A239" s="10"/>
      <c r="H239" s="56"/>
      <c r="N239" s="59" t="s">
        <v>32</v>
      </c>
      <c r="O239" s="60"/>
      <c r="P239" s="63">
        <f>P236+P237-P238</f>
        <v>29405568.307499997</v>
      </c>
    </row>
    <row r="241" spans="1:16" x14ac:dyDescent="0.2">
      <c r="A241" s="10"/>
      <c r="H241" s="56"/>
      <c r="P241" s="64"/>
    </row>
    <row r="242" spans="1:16" x14ac:dyDescent="0.2">
      <c r="A242" s="10"/>
      <c r="H242" s="56"/>
      <c r="O242" s="51"/>
      <c r="P242" s="64"/>
    </row>
    <row r="243" spans="1:16" s="3" customFormat="1" x14ac:dyDescent="0.25">
      <c r="A243" s="10"/>
      <c r="B243" s="2"/>
      <c r="C243" s="2"/>
      <c r="E243" s="11"/>
      <c r="H243" s="56"/>
      <c r="N243" s="14"/>
      <c r="O243" s="14"/>
      <c r="P243" s="14"/>
    </row>
    <row r="244" spans="1:16" s="3" customFormat="1" x14ac:dyDescent="0.25">
      <c r="A244" s="10"/>
      <c r="B244" s="2"/>
      <c r="C244" s="2"/>
      <c r="E244" s="11"/>
      <c r="H244" s="56"/>
      <c r="N244" s="14"/>
      <c r="O244" s="14"/>
      <c r="P244" s="14"/>
    </row>
    <row r="245" spans="1:16" s="3" customFormat="1" x14ac:dyDescent="0.25">
      <c r="A245" s="10"/>
      <c r="B245" s="2"/>
      <c r="C245" s="2"/>
      <c r="E245" s="11"/>
      <c r="H245" s="56"/>
      <c r="N245" s="14"/>
      <c r="O245" s="14"/>
      <c r="P245" s="14"/>
    </row>
    <row r="246" spans="1:16" s="3" customFormat="1" x14ac:dyDescent="0.25">
      <c r="A246" s="10"/>
      <c r="B246" s="2"/>
      <c r="C246" s="2"/>
      <c r="E246" s="11"/>
      <c r="H246" s="56"/>
      <c r="N246" s="14"/>
      <c r="O246" s="14"/>
      <c r="P246" s="14"/>
    </row>
    <row r="247" spans="1:16" s="3" customFormat="1" x14ac:dyDescent="0.25">
      <c r="A247" s="10"/>
      <c r="B247" s="2"/>
      <c r="C247" s="2"/>
      <c r="E247" s="11"/>
      <c r="H247" s="56"/>
      <c r="N247" s="14"/>
      <c r="O247" s="14"/>
      <c r="P247" s="14"/>
    </row>
    <row r="248" spans="1:16" s="3" customFormat="1" x14ac:dyDescent="0.25">
      <c r="A248" s="10"/>
      <c r="B248" s="2"/>
      <c r="C248" s="2"/>
      <c r="E248" s="11"/>
      <c r="H248" s="56"/>
      <c r="N248" s="14"/>
      <c r="O248" s="14"/>
      <c r="P248" s="14"/>
    </row>
    <row r="249" spans="1:16" s="3" customFormat="1" x14ac:dyDescent="0.25">
      <c r="A249" s="10"/>
      <c r="B249" s="2"/>
      <c r="C249" s="2"/>
      <c r="E249" s="11"/>
      <c r="H249" s="56"/>
      <c r="N249" s="14"/>
      <c r="O249" s="14"/>
      <c r="P249" s="14"/>
    </row>
    <row r="250" spans="1:16" s="3" customFormat="1" x14ac:dyDescent="0.25">
      <c r="A250" s="10"/>
      <c r="B250" s="2"/>
      <c r="C250" s="2"/>
      <c r="E250" s="11"/>
      <c r="H250" s="56"/>
      <c r="N250" s="14"/>
      <c r="O250" s="14"/>
      <c r="P250" s="14"/>
    </row>
    <row r="251" spans="1:16" s="3" customFormat="1" x14ac:dyDescent="0.25">
      <c r="A251" s="10"/>
      <c r="B251" s="2"/>
      <c r="C251" s="2"/>
      <c r="E251" s="11"/>
      <c r="H251" s="56"/>
      <c r="N251" s="14"/>
      <c r="O251" s="14"/>
      <c r="P251" s="14"/>
    </row>
    <row r="252" spans="1:16" s="3" customFormat="1" x14ac:dyDescent="0.25">
      <c r="A252" s="10"/>
      <c r="B252" s="2"/>
      <c r="C252" s="2"/>
      <c r="E252" s="11"/>
      <c r="H252" s="56"/>
      <c r="N252" s="14"/>
      <c r="O252" s="14"/>
      <c r="P252" s="14"/>
    </row>
    <row r="253" spans="1:16" s="3" customFormat="1" x14ac:dyDescent="0.25">
      <c r="A253" s="10"/>
      <c r="B253" s="2"/>
      <c r="C253" s="2"/>
      <c r="E253" s="11"/>
      <c r="H253" s="56"/>
      <c r="N253" s="14"/>
      <c r="O253" s="14"/>
      <c r="P253" s="14"/>
    </row>
    <row r="254" spans="1:16" s="3" customFormat="1" x14ac:dyDescent="0.25">
      <c r="A254" s="10"/>
      <c r="B254" s="2"/>
      <c r="C254" s="2"/>
      <c r="E254" s="11"/>
      <c r="H254" s="56"/>
      <c r="N254" s="14"/>
      <c r="O254" s="14"/>
      <c r="P254" s="14"/>
    </row>
  </sheetData>
  <mergeCells count="2">
    <mergeCell ref="A234:L234"/>
    <mergeCell ref="O234:P234"/>
  </mergeCells>
  <conditionalFormatting sqref="C3:C233">
    <cfRule type="duplicateValues" dxfId="863" priority="7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workbookViewId="0">
      <selection activeCell="M10" sqref="M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402442</v>
      </c>
      <c r="B3" s="99" t="s">
        <v>3023</v>
      </c>
      <c r="C3" s="90" t="s">
        <v>3024</v>
      </c>
      <c r="D3" s="102" t="s">
        <v>57</v>
      </c>
      <c r="E3" s="91">
        <v>44546</v>
      </c>
      <c r="F3" s="102" t="s">
        <v>58</v>
      </c>
      <c r="G3" s="91">
        <v>44550</v>
      </c>
      <c r="H3" s="90" t="s">
        <v>2130</v>
      </c>
      <c r="I3" s="90">
        <v>57</v>
      </c>
      <c r="J3" s="90">
        <v>40</v>
      </c>
      <c r="K3" s="90">
        <v>25</v>
      </c>
      <c r="L3" s="90">
        <v>5</v>
      </c>
      <c r="M3" s="90">
        <v>14.25</v>
      </c>
      <c r="N3" s="104">
        <v>14.25</v>
      </c>
      <c r="O3" s="57">
        <v>7000</v>
      </c>
      <c r="P3" s="58">
        <f t="shared" ref="P3" si="0">N3*O3</f>
        <v>99750</v>
      </c>
    </row>
    <row r="4" spans="1:16" ht="22.5" customHeight="1" x14ac:dyDescent="0.2">
      <c r="A4" s="159" t="s">
        <v>30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1"/>
      <c r="M4" s="71">
        <f>SUBTOTAL(109,Table22457891011234567891011121314151617181920212223242526272829303132333435373839404142434445464748[KG VOLUME])</f>
        <v>14.25</v>
      </c>
      <c r="N4" s="61">
        <f>SUM(N3:N3)</f>
        <v>14.25</v>
      </c>
      <c r="O4" s="162">
        <f>SUM(P3:P3)</f>
        <v>99750</v>
      </c>
      <c r="P4" s="163"/>
    </row>
    <row r="5" spans="1:16" ht="18" customHeight="1" x14ac:dyDescent="0.2">
      <c r="A5" s="78"/>
      <c r="B5" s="49" t="s">
        <v>42</v>
      </c>
      <c r="C5" s="48"/>
      <c r="D5" s="50" t="s">
        <v>43</v>
      </c>
      <c r="E5" s="78"/>
      <c r="F5" s="78"/>
      <c r="G5" s="78"/>
      <c r="H5" s="78"/>
      <c r="I5" s="78"/>
      <c r="J5" s="78"/>
      <c r="K5" s="78"/>
      <c r="L5" s="78"/>
      <c r="M5" s="79"/>
      <c r="N5" s="80" t="s">
        <v>52</v>
      </c>
      <c r="O5" s="81"/>
      <c r="P5" s="81">
        <v>0</v>
      </c>
    </row>
    <row r="6" spans="1:16" ht="18" customHeight="1" thickBot="1" x14ac:dyDescent="0.25">
      <c r="A6" s="78"/>
      <c r="B6" s="49"/>
      <c r="C6" s="48"/>
      <c r="D6" s="50"/>
      <c r="E6" s="78"/>
      <c r="F6" s="78"/>
      <c r="G6" s="78"/>
      <c r="H6" s="78"/>
      <c r="I6" s="78"/>
      <c r="J6" s="78"/>
      <c r="K6" s="78"/>
      <c r="L6" s="78"/>
      <c r="M6" s="79"/>
      <c r="N6" s="82" t="s">
        <v>53</v>
      </c>
      <c r="O6" s="83"/>
      <c r="P6" s="83">
        <f>O4-P5</f>
        <v>99750</v>
      </c>
    </row>
    <row r="7" spans="1:16" ht="18" customHeight="1" x14ac:dyDescent="0.2">
      <c r="A7" s="10"/>
      <c r="H7" s="56"/>
      <c r="N7" s="55" t="s">
        <v>31</v>
      </c>
      <c r="P7" s="62">
        <f>P6*1%</f>
        <v>997.5</v>
      </c>
    </row>
    <row r="8" spans="1:16" ht="18" customHeight="1" thickBot="1" x14ac:dyDescent="0.25">
      <c r="A8" s="10"/>
      <c r="H8" s="56"/>
      <c r="N8" s="55" t="s">
        <v>54</v>
      </c>
      <c r="P8" s="64">
        <f>P6*2%</f>
        <v>1995</v>
      </c>
    </row>
    <row r="9" spans="1:16" ht="18" customHeight="1" x14ac:dyDescent="0.2">
      <c r="A9" s="10"/>
      <c r="H9" s="56"/>
      <c r="N9" s="59" t="s">
        <v>32</v>
      </c>
      <c r="O9" s="60"/>
      <c r="P9" s="63">
        <f>P6+P7-P8</f>
        <v>98752.5</v>
      </c>
    </row>
    <row r="11" spans="1:16" x14ac:dyDescent="0.2">
      <c r="A11" s="10"/>
      <c r="H11" s="56"/>
      <c r="P11" s="64"/>
    </row>
    <row r="12" spans="1:16" x14ac:dyDescent="0.2">
      <c r="A12" s="10"/>
      <c r="H12" s="56"/>
      <c r="O12" s="51"/>
      <c r="P12" s="64"/>
    </row>
    <row r="13" spans="1:16" s="3" customFormat="1" x14ac:dyDescent="0.25">
      <c r="A13" s="10"/>
      <c r="B13" s="2"/>
      <c r="C13" s="2"/>
      <c r="E13" s="11"/>
      <c r="H13" s="56"/>
      <c r="N13" s="14"/>
      <c r="O13" s="14"/>
      <c r="P13" s="14"/>
    </row>
    <row r="14" spans="1:16" s="3" customFormat="1" x14ac:dyDescent="0.25">
      <c r="A14" s="10"/>
      <c r="B14" s="2"/>
      <c r="C14" s="2"/>
      <c r="E14" s="11"/>
      <c r="H14" s="56"/>
      <c r="N14" s="14"/>
      <c r="O14" s="14"/>
      <c r="P14" s="14"/>
    </row>
    <row r="15" spans="1:16" s="3" customFormat="1" x14ac:dyDescent="0.25">
      <c r="A15" s="10"/>
      <c r="B15" s="2"/>
      <c r="C15" s="2"/>
      <c r="E15" s="11"/>
      <c r="H15" s="56"/>
      <c r="N15" s="14"/>
      <c r="O15" s="14"/>
      <c r="P15" s="14"/>
    </row>
    <row r="16" spans="1:16" s="3" customFormat="1" x14ac:dyDescent="0.25">
      <c r="A16" s="10"/>
      <c r="B16" s="2"/>
      <c r="C16" s="2"/>
      <c r="E16" s="11"/>
      <c r="H16" s="56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6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6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6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6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6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6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6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6"/>
      <c r="N24" s="14"/>
      <c r="O24" s="14"/>
      <c r="P24" s="14"/>
    </row>
  </sheetData>
  <mergeCells count="2">
    <mergeCell ref="A4:L4"/>
    <mergeCell ref="O4:P4"/>
  </mergeCells>
  <conditionalFormatting sqref="C3">
    <cfRule type="duplicateValues" dxfId="847" priority="7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8"/>
  <sheetViews>
    <sheetView workbookViewId="0">
      <selection activeCell="N57" sqref="N3:N5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402441</v>
      </c>
      <c r="B3" s="99" t="s">
        <v>3025</v>
      </c>
      <c r="C3" s="90" t="s">
        <v>3026</v>
      </c>
      <c r="D3" s="102" t="s">
        <v>57</v>
      </c>
      <c r="E3" s="91">
        <v>44546</v>
      </c>
      <c r="F3" s="102" t="s">
        <v>58</v>
      </c>
      <c r="G3" s="91">
        <v>44550</v>
      </c>
      <c r="H3" s="90" t="s">
        <v>2130</v>
      </c>
      <c r="I3" s="90">
        <v>51</v>
      </c>
      <c r="J3" s="90">
        <v>21</v>
      </c>
      <c r="K3" s="90">
        <v>13</v>
      </c>
      <c r="L3" s="90">
        <v>2</v>
      </c>
      <c r="M3" s="90">
        <v>3.48075</v>
      </c>
      <c r="N3" s="104">
        <v>4</v>
      </c>
      <c r="O3" s="57">
        <v>7000</v>
      </c>
      <c r="P3" s="58">
        <f t="shared" ref="P3:P57" si="0">N3*O3</f>
        <v>28000</v>
      </c>
    </row>
    <row r="4" spans="1:16" ht="26.25" customHeight="1" x14ac:dyDescent="0.2">
      <c r="A4" s="100"/>
      <c r="B4" s="100"/>
      <c r="C4" s="90" t="s">
        <v>3027</v>
      </c>
      <c r="D4" s="102" t="s">
        <v>57</v>
      </c>
      <c r="E4" s="91">
        <v>44546</v>
      </c>
      <c r="F4" s="102" t="s">
        <v>58</v>
      </c>
      <c r="G4" s="91">
        <v>44550</v>
      </c>
      <c r="H4" s="90" t="s">
        <v>2130</v>
      </c>
      <c r="I4" s="90">
        <v>42</v>
      </c>
      <c r="J4" s="90">
        <v>28</v>
      </c>
      <c r="K4" s="90">
        <v>25</v>
      </c>
      <c r="L4" s="90">
        <v>5</v>
      </c>
      <c r="M4" s="90">
        <v>7.35</v>
      </c>
      <c r="N4" s="104">
        <v>8</v>
      </c>
      <c r="O4" s="57">
        <v>7000</v>
      </c>
      <c r="P4" s="58">
        <f t="shared" si="0"/>
        <v>56000</v>
      </c>
    </row>
    <row r="5" spans="1:16" ht="26.25" customHeight="1" x14ac:dyDescent="0.2">
      <c r="A5" s="100"/>
      <c r="B5" s="100"/>
      <c r="C5" s="90" t="s">
        <v>3028</v>
      </c>
      <c r="D5" s="102" t="s">
        <v>57</v>
      </c>
      <c r="E5" s="91">
        <v>44546</v>
      </c>
      <c r="F5" s="102" t="s">
        <v>58</v>
      </c>
      <c r="G5" s="91">
        <v>44550</v>
      </c>
      <c r="H5" s="90" t="s">
        <v>2130</v>
      </c>
      <c r="I5" s="90">
        <v>82</v>
      </c>
      <c r="J5" s="90">
        <v>35</v>
      </c>
      <c r="K5" s="90">
        <v>18</v>
      </c>
      <c r="L5" s="90">
        <v>10</v>
      </c>
      <c r="M5" s="90">
        <v>12.914999999999999</v>
      </c>
      <c r="N5" s="104">
        <v>12.914999999999999</v>
      </c>
      <c r="O5" s="57">
        <v>7000</v>
      </c>
      <c r="P5" s="58">
        <f t="shared" si="0"/>
        <v>90405</v>
      </c>
    </row>
    <row r="6" spans="1:16" ht="26.25" customHeight="1" x14ac:dyDescent="0.2">
      <c r="A6" s="100"/>
      <c r="B6" s="100"/>
      <c r="C6" s="65" t="s">
        <v>3029</v>
      </c>
      <c r="D6" s="70" t="s">
        <v>57</v>
      </c>
      <c r="E6" s="12">
        <v>44546</v>
      </c>
      <c r="F6" s="68" t="s">
        <v>58</v>
      </c>
      <c r="G6" s="12">
        <v>44550</v>
      </c>
      <c r="H6" s="69" t="s">
        <v>2130</v>
      </c>
      <c r="I6" s="15">
        <v>63</v>
      </c>
      <c r="J6" s="15">
        <v>45</v>
      </c>
      <c r="K6" s="15">
        <v>40</v>
      </c>
      <c r="L6" s="15">
        <v>10</v>
      </c>
      <c r="M6" s="73">
        <v>28.35</v>
      </c>
      <c r="N6" s="104">
        <v>29</v>
      </c>
      <c r="O6" s="57">
        <v>7000</v>
      </c>
      <c r="P6" s="58">
        <f t="shared" si="0"/>
        <v>203000</v>
      </c>
    </row>
    <row r="7" spans="1:16" ht="26.25" customHeight="1" x14ac:dyDescent="0.2">
      <c r="A7" s="100"/>
      <c r="B7" s="100"/>
      <c r="C7" s="65" t="s">
        <v>3030</v>
      </c>
      <c r="D7" s="70" t="s">
        <v>57</v>
      </c>
      <c r="E7" s="12">
        <v>44546</v>
      </c>
      <c r="F7" s="68" t="s">
        <v>58</v>
      </c>
      <c r="G7" s="12">
        <v>44550</v>
      </c>
      <c r="H7" s="69" t="s">
        <v>2130</v>
      </c>
      <c r="I7" s="15">
        <v>42</v>
      </c>
      <c r="J7" s="15">
        <v>28</v>
      </c>
      <c r="K7" s="15">
        <v>25</v>
      </c>
      <c r="L7" s="15">
        <v>5</v>
      </c>
      <c r="M7" s="73">
        <v>7.35</v>
      </c>
      <c r="N7" s="104">
        <v>8</v>
      </c>
      <c r="O7" s="57">
        <v>7000</v>
      </c>
      <c r="P7" s="58">
        <f t="shared" si="0"/>
        <v>56000</v>
      </c>
    </row>
    <row r="8" spans="1:16" ht="26.25" customHeight="1" x14ac:dyDescent="0.2">
      <c r="A8" s="100"/>
      <c r="B8" s="100"/>
      <c r="C8" s="65" t="s">
        <v>3031</v>
      </c>
      <c r="D8" s="70" t="s">
        <v>57</v>
      </c>
      <c r="E8" s="12">
        <v>44546</v>
      </c>
      <c r="F8" s="68" t="s">
        <v>58</v>
      </c>
      <c r="G8" s="12">
        <v>44550</v>
      </c>
      <c r="H8" s="69" t="s">
        <v>2130</v>
      </c>
      <c r="I8" s="15">
        <v>42</v>
      </c>
      <c r="J8" s="15">
        <v>28</v>
      </c>
      <c r="K8" s="15">
        <v>25</v>
      </c>
      <c r="L8" s="15">
        <v>5</v>
      </c>
      <c r="M8" s="73">
        <v>7.35</v>
      </c>
      <c r="N8" s="104">
        <v>8</v>
      </c>
      <c r="O8" s="57">
        <v>7000</v>
      </c>
      <c r="P8" s="58">
        <f t="shared" si="0"/>
        <v>56000</v>
      </c>
    </row>
    <row r="9" spans="1:16" ht="26.25" customHeight="1" x14ac:dyDescent="0.2">
      <c r="A9" s="100"/>
      <c r="B9" s="100"/>
      <c r="C9" s="65" t="s">
        <v>3032</v>
      </c>
      <c r="D9" s="70" t="s">
        <v>57</v>
      </c>
      <c r="E9" s="12">
        <v>44546</v>
      </c>
      <c r="F9" s="68" t="s">
        <v>58</v>
      </c>
      <c r="G9" s="12">
        <v>44550</v>
      </c>
      <c r="H9" s="69" t="s">
        <v>2130</v>
      </c>
      <c r="I9" s="15">
        <v>42</v>
      </c>
      <c r="J9" s="15">
        <v>31</v>
      </c>
      <c r="K9" s="15">
        <v>30</v>
      </c>
      <c r="L9" s="15">
        <v>7</v>
      </c>
      <c r="M9" s="73">
        <v>9.7650000000000006</v>
      </c>
      <c r="N9" s="104">
        <v>9.7650000000000006</v>
      </c>
      <c r="O9" s="57">
        <v>7000</v>
      </c>
      <c r="P9" s="58">
        <f t="shared" si="0"/>
        <v>68355</v>
      </c>
    </row>
    <row r="10" spans="1:16" ht="26.25" customHeight="1" x14ac:dyDescent="0.2">
      <c r="A10" s="100"/>
      <c r="B10" s="100"/>
      <c r="C10" s="65" t="s">
        <v>3033</v>
      </c>
      <c r="D10" s="70" t="s">
        <v>57</v>
      </c>
      <c r="E10" s="12">
        <v>44546</v>
      </c>
      <c r="F10" s="68" t="s">
        <v>58</v>
      </c>
      <c r="G10" s="12">
        <v>44550</v>
      </c>
      <c r="H10" s="69" t="s">
        <v>2130</v>
      </c>
      <c r="I10" s="15">
        <v>91</v>
      </c>
      <c r="J10" s="15">
        <v>51</v>
      </c>
      <c r="K10" s="15">
        <v>38</v>
      </c>
      <c r="L10" s="15">
        <v>19</v>
      </c>
      <c r="M10" s="73">
        <v>44.089500000000001</v>
      </c>
      <c r="N10" s="104">
        <v>44.089500000000001</v>
      </c>
      <c r="O10" s="57">
        <v>7000</v>
      </c>
      <c r="P10" s="58">
        <f t="shared" si="0"/>
        <v>308626.5</v>
      </c>
    </row>
    <row r="11" spans="1:16" ht="26.25" customHeight="1" x14ac:dyDescent="0.2">
      <c r="A11" s="100"/>
      <c r="B11" s="100"/>
      <c r="C11" s="65" t="s">
        <v>3034</v>
      </c>
      <c r="D11" s="70" t="s">
        <v>57</v>
      </c>
      <c r="E11" s="12">
        <v>44546</v>
      </c>
      <c r="F11" s="68" t="s">
        <v>58</v>
      </c>
      <c r="G11" s="12">
        <v>44550</v>
      </c>
      <c r="H11" s="69" t="s">
        <v>2130</v>
      </c>
      <c r="I11" s="15">
        <v>48</v>
      </c>
      <c r="J11" s="15">
        <v>57</v>
      </c>
      <c r="K11" s="15">
        <v>30</v>
      </c>
      <c r="L11" s="15">
        <v>5</v>
      </c>
      <c r="M11" s="73">
        <v>20.52</v>
      </c>
      <c r="N11" s="104">
        <v>20.52</v>
      </c>
      <c r="O11" s="57">
        <v>7000</v>
      </c>
      <c r="P11" s="58">
        <f t="shared" si="0"/>
        <v>143640</v>
      </c>
    </row>
    <row r="12" spans="1:16" ht="26.25" customHeight="1" x14ac:dyDescent="0.2">
      <c r="A12" s="100"/>
      <c r="B12" s="100"/>
      <c r="C12" s="65" t="s">
        <v>3035</v>
      </c>
      <c r="D12" s="70" t="s">
        <v>57</v>
      </c>
      <c r="E12" s="12">
        <v>44546</v>
      </c>
      <c r="F12" s="68" t="s">
        <v>58</v>
      </c>
      <c r="G12" s="12">
        <v>44550</v>
      </c>
      <c r="H12" s="69" t="s">
        <v>2130</v>
      </c>
      <c r="I12" s="15">
        <v>78</v>
      </c>
      <c r="J12" s="15">
        <v>57</v>
      </c>
      <c r="K12" s="15">
        <v>20</v>
      </c>
      <c r="L12" s="15">
        <v>19</v>
      </c>
      <c r="M12" s="73">
        <v>22.23</v>
      </c>
      <c r="N12" s="104">
        <v>22.23</v>
      </c>
      <c r="O12" s="57">
        <v>7000</v>
      </c>
      <c r="P12" s="58">
        <f t="shared" si="0"/>
        <v>155610</v>
      </c>
    </row>
    <row r="13" spans="1:16" ht="26.25" customHeight="1" x14ac:dyDescent="0.2">
      <c r="A13" s="100"/>
      <c r="B13" s="100"/>
      <c r="C13" s="65" t="s">
        <v>3036</v>
      </c>
      <c r="D13" s="70" t="s">
        <v>57</v>
      </c>
      <c r="E13" s="12">
        <v>44546</v>
      </c>
      <c r="F13" s="68" t="s">
        <v>58</v>
      </c>
      <c r="G13" s="12">
        <v>44550</v>
      </c>
      <c r="H13" s="69" t="s">
        <v>2130</v>
      </c>
      <c r="I13" s="15">
        <v>30</v>
      </c>
      <c r="J13" s="15">
        <v>21</v>
      </c>
      <c r="K13" s="15">
        <v>13</v>
      </c>
      <c r="L13" s="15">
        <v>2</v>
      </c>
      <c r="M13" s="73">
        <v>2.0474999999999999</v>
      </c>
      <c r="N13" s="104">
        <v>2.0474999999999999</v>
      </c>
      <c r="O13" s="57">
        <v>7000</v>
      </c>
      <c r="P13" s="58">
        <f t="shared" si="0"/>
        <v>14332.5</v>
      </c>
    </row>
    <row r="14" spans="1:16" ht="26.25" customHeight="1" x14ac:dyDescent="0.2">
      <c r="A14" s="100"/>
      <c r="B14" s="100"/>
      <c r="C14" s="65" t="s">
        <v>3037</v>
      </c>
      <c r="D14" s="70" t="s">
        <v>57</v>
      </c>
      <c r="E14" s="12">
        <v>44546</v>
      </c>
      <c r="F14" s="68" t="s">
        <v>58</v>
      </c>
      <c r="G14" s="12">
        <v>44550</v>
      </c>
      <c r="H14" s="69" t="s">
        <v>2130</v>
      </c>
      <c r="I14" s="15">
        <v>55</v>
      </c>
      <c r="J14" s="15">
        <v>37</v>
      </c>
      <c r="K14" s="15">
        <v>12</v>
      </c>
      <c r="L14" s="15">
        <v>4</v>
      </c>
      <c r="M14" s="73">
        <v>6.1050000000000004</v>
      </c>
      <c r="N14" s="104">
        <v>6.1050000000000004</v>
      </c>
      <c r="O14" s="57">
        <v>7000</v>
      </c>
      <c r="P14" s="58">
        <f t="shared" si="0"/>
        <v>42735</v>
      </c>
    </row>
    <row r="15" spans="1:16" ht="26.25" customHeight="1" x14ac:dyDescent="0.2">
      <c r="A15" s="100"/>
      <c r="B15" s="100"/>
      <c r="C15" s="65" t="s">
        <v>3038</v>
      </c>
      <c r="D15" s="70" t="s">
        <v>57</v>
      </c>
      <c r="E15" s="12">
        <v>44546</v>
      </c>
      <c r="F15" s="68" t="s">
        <v>58</v>
      </c>
      <c r="G15" s="12">
        <v>44550</v>
      </c>
      <c r="H15" s="69" t="s">
        <v>2130</v>
      </c>
      <c r="I15" s="15">
        <v>62</v>
      </c>
      <c r="J15" s="15">
        <v>54</v>
      </c>
      <c r="K15" s="15">
        <v>32</v>
      </c>
      <c r="L15" s="15">
        <v>11</v>
      </c>
      <c r="M15" s="73">
        <v>26.783999999999999</v>
      </c>
      <c r="N15" s="104">
        <v>26.783999999999999</v>
      </c>
      <c r="O15" s="57">
        <v>7000</v>
      </c>
      <c r="P15" s="58">
        <f t="shared" si="0"/>
        <v>187488</v>
      </c>
    </row>
    <row r="16" spans="1:16" ht="26.25" customHeight="1" x14ac:dyDescent="0.2">
      <c r="A16" s="100"/>
      <c r="B16" s="100"/>
      <c r="C16" s="65" t="s">
        <v>3039</v>
      </c>
      <c r="D16" s="70" t="s">
        <v>57</v>
      </c>
      <c r="E16" s="12">
        <v>44546</v>
      </c>
      <c r="F16" s="68" t="s">
        <v>58</v>
      </c>
      <c r="G16" s="12">
        <v>44550</v>
      </c>
      <c r="H16" s="69" t="s">
        <v>2130</v>
      </c>
      <c r="I16" s="15">
        <v>50</v>
      </c>
      <c r="J16" s="15">
        <v>35</v>
      </c>
      <c r="K16" s="15">
        <v>33</v>
      </c>
      <c r="L16" s="15">
        <v>5</v>
      </c>
      <c r="M16" s="73">
        <v>14.4375</v>
      </c>
      <c r="N16" s="104">
        <v>15</v>
      </c>
      <c r="O16" s="57">
        <v>7000</v>
      </c>
      <c r="P16" s="58">
        <f t="shared" si="0"/>
        <v>105000</v>
      </c>
    </row>
    <row r="17" spans="1:16" ht="26.25" customHeight="1" x14ac:dyDescent="0.2">
      <c r="A17" s="100"/>
      <c r="B17" s="100"/>
      <c r="C17" s="65" t="s">
        <v>3040</v>
      </c>
      <c r="D17" s="70" t="s">
        <v>57</v>
      </c>
      <c r="E17" s="12">
        <v>44546</v>
      </c>
      <c r="F17" s="68" t="s">
        <v>58</v>
      </c>
      <c r="G17" s="12">
        <v>44550</v>
      </c>
      <c r="H17" s="69" t="s">
        <v>2130</v>
      </c>
      <c r="I17" s="15">
        <v>115</v>
      </c>
      <c r="J17" s="15">
        <v>22</v>
      </c>
      <c r="K17" s="15">
        <v>8</v>
      </c>
      <c r="L17" s="15">
        <v>3</v>
      </c>
      <c r="M17" s="73">
        <v>5.0599999999999996</v>
      </c>
      <c r="N17" s="104">
        <v>5.0599999999999996</v>
      </c>
      <c r="O17" s="57">
        <v>7000</v>
      </c>
      <c r="P17" s="58">
        <f t="shared" si="0"/>
        <v>35420</v>
      </c>
    </row>
    <row r="18" spans="1:16" ht="26.25" customHeight="1" x14ac:dyDescent="0.2">
      <c r="A18" s="100"/>
      <c r="B18" s="100"/>
      <c r="C18" s="65" t="s">
        <v>3041</v>
      </c>
      <c r="D18" s="70" t="s">
        <v>57</v>
      </c>
      <c r="E18" s="12">
        <v>44546</v>
      </c>
      <c r="F18" s="68" t="s">
        <v>58</v>
      </c>
      <c r="G18" s="12">
        <v>44550</v>
      </c>
      <c r="H18" s="69" t="s">
        <v>2130</v>
      </c>
      <c r="I18" s="15">
        <v>62</v>
      </c>
      <c r="J18" s="15">
        <v>20</v>
      </c>
      <c r="K18" s="15">
        <v>15</v>
      </c>
      <c r="L18" s="15">
        <v>2</v>
      </c>
      <c r="M18" s="73">
        <v>4.6500000000000004</v>
      </c>
      <c r="N18" s="104">
        <v>4.6500000000000004</v>
      </c>
      <c r="O18" s="57">
        <v>7000</v>
      </c>
      <c r="P18" s="58">
        <f t="shared" si="0"/>
        <v>32550.000000000004</v>
      </c>
    </row>
    <row r="19" spans="1:16" ht="26.25" customHeight="1" x14ac:dyDescent="0.2">
      <c r="A19" s="100"/>
      <c r="B19" s="100"/>
      <c r="C19" s="65" t="s">
        <v>3042</v>
      </c>
      <c r="D19" s="70" t="s">
        <v>57</v>
      </c>
      <c r="E19" s="12">
        <v>44546</v>
      </c>
      <c r="F19" s="68" t="s">
        <v>58</v>
      </c>
      <c r="G19" s="12">
        <v>44550</v>
      </c>
      <c r="H19" s="69" t="s">
        <v>2130</v>
      </c>
      <c r="I19" s="15">
        <v>42</v>
      </c>
      <c r="J19" s="15">
        <v>34</v>
      </c>
      <c r="K19" s="15">
        <v>32</v>
      </c>
      <c r="L19" s="15">
        <v>5</v>
      </c>
      <c r="M19" s="73">
        <v>11.423999999999999</v>
      </c>
      <c r="N19" s="104">
        <v>12</v>
      </c>
      <c r="O19" s="57">
        <v>7000</v>
      </c>
      <c r="P19" s="58">
        <f t="shared" si="0"/>
        <v>84000</v>
      </c>
    </row>
    <row r="20" spans="1:16" ht="26.25" customHeight="1" x14ac:dyDescent="0.2">
      <c r="A20" s="100"/>
      <c r="B20" s="100"/>
      <c r="C20" s="65" t="s">
        <v>3043</v>
      </c>
      <c r="D20" s="70" t="s">
        <v>57</v>
      </c>
      <c r="E20" s="12">
        <v>44546</v>
      </c>
      <c r="F20" s="68" t="s">
        <v>58</v>
      </c>
      <c r="G20" s="12">
        <v>44550</v>
      </c>
      <c r="H20" s="69" t="s">
        <v>2130</v>
      </c>
      <c r="I20" s="15">
        <v>38</v>
      </c>
      <c r="J20" s="15">
        <v>32</v>
      </c>
      <c r="K20" s="15">
        <v>26</v>
      </c>
      <c r="L20" s="15">
        <v>8</v>
      </c>
      <c r="M20" s="73">
        <v>7.9039999999999999</v>
      </c>
      <c r="N20" s="104">
        <v>8</v>
      </c>
      <c r="O20" s="57">
        <v>7000</v>
      </c>
      <c r="P20" s="58">
        <f t="shared" si="0"/>
        <v>56000</v>
      </c>
    </row>
    <row r="21" spans="1:16" ht="26.25" customHeight="1" x14ac:dyDescent="0.2">
      <c r="A21" s="100"/>
      <c r="B21" s="100"/>
      <c r="C21" s="65" t="s">
        <v>3044</v>
      </c>
      <c r="D21" s="70" t="s">
        <v>57</v>
      </c>
      <c r="E21" s="12">
        <v>44546</v>
      </c>
      <c r="F21" s="68" t="s">
        <v>58</v>
      </c>
      <c r="G21" s="12">
        <v>44550</v>
      </c>
      <c r="H21" s="69" t="s">
        <v>2130</v>
      </c>
      <c r="I21" s="15">
        <v>41</v>
      </c>
      <c r="J21" s="15">
        <v>31</v>
      </c>
      <c r="K21" s="15">
        <v>26</v>
      </c>
      <c r="L21" s="15">
        <v>4</v>
      </c>
      <c r="M21" s="73">
        <v>8.2614999999999998</v>
      </c>
      <c r="N21" s="104">
        <v>8.2614999999999998</v>
      </c>
      <c r="O21" s="57">
        <v>7000</v>
      </c>
      <c r="P21" s="58">
        <f t="shared" si="0"/>
        <v>57830.5</v>
      </c>
    </row>
    <row r="22" spans="1:16" ht="26.25" customHeight="1" x14ac:dyDescent="0.2">
      <c r="A22" s="100"/>
      <c r="B22" s="100"/>
      <c r="C22" s="65" t="s">
        <v>3045</v>
      </c>
      <c r="D22" s="70" t="s">
        <v>57</v>
      </c>
      <c r="E22" s="12">
        <v>44546</v>
      </c>
      <c r="F22" s="68" t="s">
        <v>58</v>
      </c>
      <c r="G22" s="12">
        <v>44550</v>
      </c>
      <c r="H22" s="69" t="s">
        <v>2130</v>
      </c>
      <c r="I22" s="15">
        <v>60</v>
      </c>
      <c r="J22" s="15">
        <v>45</v>
      </c>
      <c r="K22" s="15">
        <v>22</v>
      </c>
      <c r="L22" s="15">
        <v>6</v>
      </c>
      <c r="M22" s="73">
        <v>14.85</v>
      </c>
      <c r="N22" s="104">
        <v>14.85</v>
      </c>
      <c r="O22" s="57">
        <v>7000</v>
      </c>
      <c r="P22" s="58">
        <f t="shared" si="0"/>
        <v>103950</v>
      </c>
    </row>
    <row r="23" spans="1:16" ht="26.25" customHeight="1" x14ac:dyDescent="0.2">
      <c r="A23" s="100"/>
      <c r="B23" s="100"/>
      <c r="C23" s="65" t="s">
        <v>3046</v>
      </c>
      <c r="D23" s="70" t="s">
        <v>57</v>
      </c>
      <c r="E23" s="12">
        <v>44546</v>
      </c>
      <c r="F23" s="68" t="s">
        <v>58</v>
      </c>
      <c r="G23" s="12">
        <v>44550</v>
      </c>
      <c r="H23" s="69" t="s">
        <v>2130</v>
      </c>
      <c r="I23" s="15">
        <v>44</v>
      </c>
      <c r="J23" s="15">
        <v>31</v>
      </c>
      <c r="K23" s="15">
        <v>30</v>
      </c>
      <c r="L23" s="15">
        <v>11</v>
      </c>
      <c r="M23" s="73">
        <v>10.23</v>
      </c>
      <c r="N23" s="104">
        <v>11</v>
      </c>
      <c r="O23" s="57">
        <v>7000</v>
      </c>
      <c r="P23" s="58">
        <f t="shared" si="0"/>
        <v>77000</v>
      </c>
    </row>
    <row r="24" spans="1:16" ht="26.25" customHeight="1" x14ac:dyDescent="0.2">
      <c r="A24" s="100"/>
      <c r="B24" s="100"/>
      <c r="C24" s="65" t="s">
        <v>3047</v>
      </c>
      <c r="D24" s="70" t="s">
        <v>57</v>
      </c>
      <c r="E24" s="12">
        <v>44546</v>
      </c>
      <c r="F24" s="68" t="s">
        <v>58</v>
      </c>
      <c r="G24" s="12">
        <v>44550</v>
      </c>
      <c r="H24" s="69" t="s">
        <v>2130</v>
      </c>
      <c r="I24" s="15">
        <v>50</v>
      </c>
      <c r="J24" s="15">
        <v>31</v>
      </c>
      <c r="K24" s="15">
        <v>22</v>
      </c>
      <c r="L24" s="15">
        <v>2</v>
      </c>
      <c r="M24" s="73">
        <v>8.5250000000000004</v>
      </c>
      <c r="N24" s="104">
        <v>8.5250000000000004</v>
      </c>
      <c r="O24" s="57">
        <v>7000</v>
      </c>
      <c r="P24" s="58">
        <f t="shared" si="0"/>
        <v>59675</v>
      </c>
    </row>
    <row r="25" spans="1:16" ht="26.25" customHeight="1" x14ac:dyDescent="0.2">
      <c r="A25" s="100"/>
      <c r="B25" s="100"/>
      <c r="C25" s="65" t="s">
        <v>3048</v>
      </c>
      <c r="D25" s="70" t="s">
        <v>57</v>
      </c>
      <c r="E25" s="12">
        <v>44546</v>
      </c>
      <c r="F25" s="68" t="s">
        <v>58</v>
      </c>
      <c r="G25" s="12">
        <v>44550</v>
      </c>
      <c r="H25" s="69" t="s">
        <v>2130</v>
      </c>
      <c r="I25" s="15">
        <v>57</v>
      </c>
      <c r="J25" s="15">
        <v>54</v>
      </c>
      <c r="K25" s="15">
        <v>20</v>
      </c>
      <c r="L25" s="15">
        <v>6</v>
      </c>
      <c r="M25" s="73">
        <v>15.39</v>
      </c>
      <c r="N25" s="104">
        <v>16</v>
      </c>
      <c r="O25" s="57">
        <v>7000</v>
      </c>
      <c r="P25" s="58">
        <f t="shared" si="0"/>
        <v>112000</v>
      </c>
    </row>
    <row r="26" spans="1:16" ht="26.25" customHeight="1" x14ac:dyDescent="0.2">
      <c r="A26" s="100"/>
      <c r="B26" s="100"/>
      <c r="C26" s="65" t="s">
        <v>3049</v>
      </c>
      <c r="D26" s="70" t="s">
        <v>57</v>
      </c>
      <c r="E26" s="12">
        <v>44546</v>
      </c>
      <c r="F26" s="68" t="s">
        <v>58</v>
      </c>
      <c r="G26" s="12">
        <v>44550</v>
      </c>
      <c r="H26" s="69" t="s">
        <v>2130</v>
      </c>
      <c r="I26" s="15">
        <v>80</v>
      </c>
      <c r="J26" s="15">
        <v>75</v>
      </c>
      <c r="K26" s="15">
        <v>7</v>
      </c>
      <c r="L26" s="15">
        <v>10</v>
      </c>
      <c r="M26" s="73">
        <v>10.5</v>
      </c>
      <c r="N26" s="104">
        <v>12</v>
      </c>
      <c r="O26" s="57">
        <v>7000</v>
      </c>
      <c r="P26" s="58">
        <f t="shared" si="0"/>
        <v>84000</v>
      </c>
    </row>
    <row r="27" spans="1:16" ht="26.25" customHeight="1" x14ac:dyDescent="0.2">
      <c r="A27" s="100"/>
      <c r="B27" s="100"/>
      <c r="C27" s="65" t="s">
        <v>3050</v>
      </c>
      <c r="D27" s="70" t="s">
        <v>57</v>
      </c>
      <c r="E27" s="12">
        <v>44546</v>
      </c>
      <c r="F27" s="68" t="s">
        <v>58</v>
      </c>
      <c r="G27" s="12">
        <v>44550</v>
      </c>
      <c r="H27" s="69" t="s">
        <v>2130</v>
      </c>
      <c r="I27" s="15">
        <v>40</v>
      </c>
      <c r="J27" s="15">
        <v>27</v>
      </c>
      <c r="K27" s="15">
        <v>30</v>
      </c>
      <c r="L27" s="15">
        <v>5</v>
      </c>
      <c r="M27" s="73">
        <v>8.1</v>
      </c>
      <c r="N27" s="104">
        <v>8.1</v>
      </c>
      <c r="O27" s="57">
        <v>7000</v>
      </c>
      <c r="P27" s="58">
        <f t="shared" si="0"/>
        <v>56700</v>
      </c>
    </row>
    <row r="28" spans="1:16" ht="26.25" customHeight="1" x14ac:dyDescent="0.2">
      <c r="A28" s="100"/>
      <c r="B28" s="100"/>
      <c r="C28" s="65" t="s">
        <v>3051</v>
      </c>
      <c r="D28" s="70" t="s">
        <v>57</v>
      </c>
      <c r="E28" s="12">
        <v>44546</v>
      </c>
      <c r="F28" s="68" t="s">
        <v>58</v>
      </c>
      <c r="G28" s="12">
        <v>44550</v>
      </c>
      <c r="H28" s="69" t="s">
        <v>2130</v>
      </c>
      <c r="I28" s="15">
        <v>71</v>
      </c>
      <c r="J28" s="15">
        <v>56</v>
      </c>
      <c r="K28" s="15">
        <v>20</v>
      </c>
      <c r="L28" s="15">
        <v>12</v>
      </c>
      <c r="M28" s="73">
        <v>19.88</v>
      </c>
      <c r="N28" s="104">
        <v>19.88</v>
      </c>
      <c r="O28" s="57">
        <v>7000</v>
      </c>
      <c r="P28" s="58">
        <f t="shared" si="0"/>
        <v>139160</v>
      </c>
    </row>
    <row r="29" spans="1:16" ht="26.25" customHeight="1" x14ac:dyDescent="0.2">
      <c r="A29" s="100"/>
      <c r="B29" s="100"/>
      <c r="C29" s="65" t="s">
        <v>3052</v>
      </c>
      <c r="D29" s="70" t="s">
        <v>57</v>
      </c>
      <c r="E29" s="12">
        <v>44546</v>
      </c>
      <c r="F29" s="68" t="s">
        <v>58</v>
      </c>
      <c r="G29" s="12">
        <v>44550</v>
      </c>
      <c r="H29" s="69" t="s">
        <v>2130</v>
      </c>
      <c r="I29" s="15">
        <v>61</v>
      </c>
      <c r="J29" s="15">
        <v>40</v>
      </c>
      <c r="K29" s="15">
        <v>22</v>
      </c>
      <c r="L29" s="15">
        <v>2</v>
      </c>
      <c r="M29" s="73">
        <v>13.42</v>
      </c>
      <c r="N29" s="104">
        <v>14</v>
      </c>
      <c r="O29" s="57">
        <v>7000</v>
      </c>
      <c r="P29" s="58">
        <f t="shared" si="0"/>
        <v>98000</v>
      </c>
    </row>
    <row r="30" spans="1:16" ht="26.25" customHeight="1" x14ac:dyDescent="0.2">
      <c r="A30" s="100"/>
      <c r="B30" s="100"/>
      <c r="C30" s="65" t="s">
        <v>3053</v>
      </c>
      <c r="D30" s="70" t="s">
        <v>57</v>
      </c>
      <c r="E30" s="12">
        <v>44546</v>
      </c>
      <c r="F30" s="68" t="s">
        <v>58</v>
      </c>
      <c r="G30" s="12">
        <v>44550</v>
      </c>
      <c r="H30" s="69" t="s">
        <v>2130</v>
      </c>
      <c r="I30" s="15">
        <v>50</v>
      </c>
      <c r="J30" s="15">
        <v>35</v>
      </c>
      <c r="K30" s="15">
        <v>23</v>
      </c>
      <c r="L30" s="15">
        <v>5</v>
      </c>
      <c r="M30" s="73">
        <v>10.0625</v>
      </c>
      <c r="N30" s="104">
        <v>10.0625</v>
      </c>
      <c r="O30" s="57">
        <v>7000</v>
      </c>
      <c r="P30" s="58">
        <f t="shared" si="0"/>
        <v>70437.5</v>
      </c>
    </row>
    <row r="31" spans="1:16" ht="26.25" customHeight="1" x14ac:dyDescent="0.2">
      <c r="A31" s="100"/>
      <c r="B31" s="100"/>
      <c r="C31" s="65" t="s">
        <v>3054</v>
      </c>
      <c r="D31" s="70" t="s">
        <v>57</v>
      </c>
      <c r="E31" s="12">
        <v>44546</v>
      </c>
      <c r="F31" s="68" t="s">
        <v>58</v>
      </c>
      <c r="G31" s="12">
        <v>44550</v>
      </c>
      <c r="H31" s="69" t="s">
        <v>2130</v>
      </c>
      <c r="I31" s="15">
        <v>42</v>
      </c>
      <c r="J31" s="15">
        <v>31</v>
      </c>
      <c r="K31" s="15">
        <v>30</v>
      </c>
      <c r="L31" s="15">
        <v>5</v>
      </c>
      <c r="M31" s="73">
        <v>9.7650000000000006</v>
      </c>
      <c r="N31" s="104">
        <v>9.7650000000000006</v>
      </c>
      <c r="O31" s="57">
        <v>7000</v>
      </c>
      <c r="P31" s="58">
        <f t="shared" si="0"/>
        <v>68355</v>
      </c>
    </row>
    <row r="32" spans="1:16" ht="26.25" customHeight="1" x14ac:dyDescent="0.2">
      <c r="A32" s="100"/>
      <c r="B32" s="100"/>
      <c r="C32" s="65" t="s">
        <v>3055</v>
      </c>
      <c r="D32" s="70" t="s">
        <v>57</v>
      </c>
      <c r="E32" s="12">
        <v>44546</v>
      </c>
      <c r="F32" s="68" t="s">
        <v>58</v>
      </c>
      <c r="G32" s="12">
        <v>44550</v>
      </c>
      <c r="H32" s="69" t="s">
        <v>2130</v>
      </c>
      <c r="I32" s="15">
        <v>71</v>
      </c>
      <c r="J32" s="15">
        <v>52</v>
      </c>
      <c r="K32" s="15">
        <v>12</v>
      </c>
      <c r="L32" s="15">
        <v>5</v>
      </c>
      <c r="M32" s="73">
        <v>11.076000000000001</v>
      </c>
      <c r="N32" s="104">
        <v>11.076000000000001</v>
      </c>
      <c r="O32" s="57">
        <v>7000</v>
      </c>
      <c r="P32" s="58">
        <f t="shared" si="0"/>
        <v>77532</v>
      </c>
    </row>
    <row r="33" spans="1:16" ht="26.25" customHeight="1" x14ac:dyDescent="0.2">
      <c r="A33" s="100"/>
      <c r="B33" s="100"/>
      <c r="C33" s="65" t="s">
        <v>3056</v>
      </c>
      <c r="D33" s="70" t="s">
        <v>57</v>
      </c>
      <c r="E33" s="12">
        <v>44546</v>
      </c>
      <c r="F33" s="68" t="s">
        <v>58</v>
      </c>
      <c r="G33" s="12">
        <v>44550</v>
      </c>
      <c r="H33" s="69" t="s">
        <v>2130</v>
      </c>
      <c r="I33" s="15">
        <v>40</v>
      </c>
      <c r="J33" s="15">
        <v>34</v>
      </c>
      <c r="K33" s="15">
        <v>36</v>
      </c>
      <c r="L33" s="15">
        <v>5</v>
      </c>
      <c r="M33" s="73">
        <v>12.24</v>
      </c>
      <c r="N33" s="104">
        <v>12.24</v>
      </c>
      <c r="O33" s="57">
        <v>7000</v>
      </c>
      <c r="P33" s="58">
        <f t="shared" si="0"/>
        <v>85680</v>
      </c>
    </row>
    <row r="34" spans="1:16" ht="26.25" customHeight="1" x14ac:dyDescent="0.2">
      <c r="A34" s="100"/>
      <c r="B34" s="100"/>
      <c r="C34" s="65" t="s">
        <v>3057</v>
      </c>
      <c r="D34" s="70" t="s">
        <v>57</v>
      </c>
      <c r="E34" s="12">
        <v>44546</v>
      </c>
      <c r="F34" s="68" t="s">
        <v>58</v>
      </c>
      <c r="G34" s="12">
        <v>44550</v>
      </c>
      <c r="H34" s="69" t="s">
        <v>2130</v>
      </c>
      <c r="I34" s="15">
        <v>60</v>
      </c>
      <c r="J34" s="15">
        <v>46</v>
      </c>
      <c r="K34" s="15">
        <v>28</v>
      </c>
      <c r="L34" s="15">
        <v>5</v>
      </c>
      <c r="M34" s="73">
        <v>19.32</v>
      </c>
      <c r="N34" s="104">
        <v>20</v>
      </c>
      <c r="O34" s="57">
        <v>7000</v>
      </c>
      <c r="P34" s="58">
        <f t="shared" si="0"/>
        <v>140000</v>
      </c>
    </row>
    <row r="35" spans="1:16" ht="26.25" customHeight="1" x14ac:dyDescent="0.2">
      <c r="A35" s="100"/>
      <c r="B35" s="100"/>
      <c r="C35" s="65" t="s">
        <v>3058</v>
      </c>
      <c r="D35" s="70" t="s">
        <v>57</v>
      </c>
      <c r="E35" s="12">
        <v>44546</v>
      </c>
      <c r="F35" s="68" t="s">
        <v>58</v>
      </c>
      <c r="G35" s="12">
        <v>44550</v>
      </c>
      <c r="H35" s="69" t="s">
        <v>2130</v>
      </c>
      <c r="I35" s="15">
        <v>61</v>
      </c>
      <c r="J35" s="15">
        <v>41</v>
      </c>
      <c r="K35" s="15">
        <v>11</v>
      </c>
      <c r="L35" s="15">
        <v>1</v>
      </c>
      <c r="M35" s="73">
        <v>6.8777499999999998</v>
      </c>
      <c r="N35" s="104">
        <v>6.8777499999999998</v>
      </c>
      <c r="O35" s="57">
        <v>7000</v>
      </c>
      <c r="P35" s="58">
        <f t="shared" si="0"/>
        <v>48144.25</v>
      </c>
    </row>
    <row r="36" spans="1:16" ht="26.25" customHeight="1" x14ac:dyDescent="0.2">
      <c r="A36" s="100"/>
      <c r="B36" s="100"/>
      <c r="C36" s="65" t="s">
        <v>3059</v>
      </c>
      <c r="D36" s="70" t="s">
        <v>57</v>
      </c>
      <c r="E36" s="12">
        <v>44546</v>
      </c>
      <c r="F36" s="68" t="s">
        <v>58</v>
      </c>
      <c r="G36" s="12">
        <v>44550</v>
      </c>
      <c r="H36" s="69" t="s">
        <v>2130</v>
      </c>
      <c r="I36" s="15">
        <v>58</v>
      </c>
      <c r="J36" s="15">
        <v>41</v>
      </c>
      <c r="K36" s="15">
        <v>25</v>
      </c>
      <c r="L36" s="15">
        <v>4</v>
      </c>
      <c r="M36" s="73">
        <v>14.862500000000001</v>
      </c>
      <c r="N36" s="104">
        <v>14.862500000000001</v>
      </c>
      <c r="O36" s="57">
        <v>7000</v>
      </c>
      <c r="P36" s="58">
        <f t="shared" si="0"/>
        <v>104037.5</v>
      </c>
    </row>
    <row r="37" spans="1:16" ht="26.25" customHeight="1" x14ac:dyDescent="0.2">
      <c r="A37" s="100"/>
      <c r="B37" s="100"/>
      <c r="C37" s="65" t="s">
        <v>3060</v>
      </c>
      <c r="D37" s="70" t="s">
        <v>57</v>
      </c>
      <c r="E37" s="12">
        <v>44546</v>
      </c>
      <c r="F37" s="68" t="s">
        <v>58</v>
      </c>
      <c r="G37" s="12">
        <v>44550</v>
      </c>
      <c r="H37" s="69" t="s">
        <v>2130</v>
      </c>
      <c r="I37" s="15">
        <v>41</v>
      </c>
      <c r="J37" s="15">
        <v>30</v>
      </c>
      <c r="K37" s="15">
        <v>8</v>
      </c>
      <c r="L37" s="15">
        <v>1</v>
      </c>
      <c r="M37" s="73">
        <v>2.46</v>
      </c>
      <c r="N37" s="104">
        <v>3</v>
      </c>
      <c r="O37" s="57">
        <v>7000</v>
      </c>
      <c r="P37" s="58">
        <f t="shared" si="0"/>
        <v>21000</v>
      </c>
    </row>
    <row r="38" spans="1:16" ht="26.25" customHeight="1" x14ac:dyDescent="0.2">
      <c r="A38" s="100"/>
      <c r="B38" s="100"/>
      <c r="C38" s="65" t="s">
        <v>3061</v>
      </c>
      <c r="D38" s="70" t="s">
        <v>57</v>
      </c>
      <c r="E38" s="12">
        <v>44546</v>
      </c>
      <c r="F38" s="68" t="s">
        <v>58</v>
      </c>
      <c r="G38" s="12">
        <v>44550</v>
      </c>
      <c r="H38" s="69" t="s">
        <v>2130</v>
      </c>
      <c r="I38" s="15">
        <v>40</v>
      </c>
      <c r="J38" s="15">
        <v>30</v>
      </c>
      <c r="K38" s="15">
        <v>20</v>
      </c>
      <c r="L38" s="15">
        <v>2</v>
      </c>
      <c r="M38" s="73">
        <v>6</v>
      </c>
      <c r="N38" s="104">
        <v>6</v>
      </c>
      <c r="O38" s="57">
        <v>7000</v>
      </c>
      <c r="P38" s="58">
        <f t="shared" si="0"/>
        <v>42000</v>
      </c>
    </row>
    <row r="39" spans="1:16" ht="26.25" customHeight="1" x14ac:dyDescent="0.2">
      <c r="A39" s="100"/>
      <c r="B39" s="100"/>
      <c r="C39" s="65" t="s">
        <v>3062</v>
      </c>
      <c r="D39" s="70" t="s">
        <v>57</v>
      </c>
      <c r="E39" s="12">
        <v>44546</v>
      </c>
      <c r="F39" s="68" t="s">
        <v>58</v>
      </c>
      <c r="G39" s="12">
        <v>44550</v>
      </c>
      <c r="H39" s="69" t="s">
        <v>2130</v>
      </c>
      <c r="I39" s="15">
        <v>21</v>
      </c>
      <c r="J39" s="15">
        <v>28</v>
      </c>
      <c r="K39" s="15">
        <v>25</v>
      </c>
      <c r="L39" s="15">
        <v>4</v>
      </c>
      <c r="M39" s="73">
        <v>3.6749999999999998</v>
      </c>
      <c r="N39" s="104">
        <v>4</v>
      </c>
      <c r="O39" s="57">
        <v>7000</v>
      </c>
      <c r="P39" s="58">
        <f t="shared" si="0"/>
        <v>28000</v>
      </c>
    </row>
    <row r="40" spans="1:16" ht="26.25" customHeight="1" x14ac:dyDescent="0.2">
      <c r="A40" s="100"/>
      <c r="B40" s="100"/>
      <c r="C40" s="65" t="s">
        <v>3063</v>
      </c>
      <c r="D40" s="70" t="s">
        <v>57</v>
      </c>
      <c r="E40" s="12">
        <v>44546</v>
      </c>
      <c r="F40" s="68" t="s">
        <v>58</v>
      </c>
      <c r="G40" s="12">
        <v>44550</v>
      </c>
      <c r="H40" s="69" t="s">
        <v>2130</v>
      </c>
      <c r="I40" s="15">
        <v>57</v>
      </c>
      <c r="J40" s="15">
        <v>53</v>
      </c>
      <c r="K40" s="15">
        <v>28</v>
      </c>
      <c r="L40" s="15">
        <v>12</v>
      </c>
      <c r="M40" s="73">
        <v>21.146999999999998</v>
      </c>
      <c r="N40" s="104">
        <v>21.146999999999998</v>
      </c>
      <c r="O40" s="57">
        <v>7000</v>
      </c>
      <c r="P40" s="58">
        <f t="shared" si="0"/>
        <v>148029</v>
      </c>
    </row>
    <row r="41" spans="1:16" ht="26.25" customHeight="1" x14ac:dyDescent="0.2">
      <c r="A41" s="100"/>
      <c r="B41" s="100"/>
      <c r="C41" s="65" t="s">
        <v>3064</v>
      </c>
      <c r="D41" s="70" t="s">
        <v>57</v>
      </c>
      <c r="E41" s="12">
        <v>44546</v>
      </c>
      <c r="F41" s="68" t="s">
        <v>58</v>
      </c>
      <c r="G41" s="12">
        <v>44550</v>
      </c>
      <c r="H41" s="69" t="s">
        <v>2130</v>
      </c>
      <c r="I41" s="15">
        <v>95</v>
      </c>
      <c r="J41" s="15">
        <v>52</v>
      </c>
      <c r="K41" s="15">
        <v>46</v>
      </c>
      <c r="L41" s="15">
        <v>9</v>
      </c>
      <c r="M41" s="73">
        <v>56.81</v>
      </c>
      <c r="N41" s="104">
        <v>56.81</v>
      </c>
      <c r="O41" s="57">
        <v>7000</v>
      </c>
      <c r="P41" s="58">
        <f t="shared" si="0"/>
        <v>397670</v>
      </c>
    </row>
    <row r="42" spans="1:16" ht="26.25" customHeight="1" x14ac:dyDescent="0.2">
      <c r="A42" s="100"/>
      <c r="B42" s="100"/>
      <c r="C42" s="65" t="s">
        <v>3065</v>
      </c>
      <c r="D42" s="70" t="s">
        <v>57</v>
      </c>
      <c r="E42" s="12">
        <v>44546</v>
      </c>
      <c r="F42" s="68" t="s">
        <v>58</v>
      </c>
      <c r="G42" s="12">
        <v>44550</v>
      </c>
      <c r="H42" s="69" t="s">
        <v>2130</v>
      </c>
      <c r="I42" s="15">
        <v>81</v>
      </c>
      <c r="J42" s="15">
        <v>61</v>
      </c>
      <c r="K42" s="15">
        <v>8</v>
      </c>
      <c r="L42" s="15">
        <v>8</v>
      </c>
      <c r="M42" s="73">
        <v>9.8819999999999997</v>
      </c>
      <c r="N42" s="104">
        <v>9.8819999999999997</v>
      </c>
      <c r="O42" s="57">
        <v>7000</v>
      </c>
      <c r="P42" s="58">
        <f t="shared" si="0"/>
        <v>69174</v>
      </c>
    </row>
    <row r="43" spans="1:16" ht="26.25" customHeight="1" x14ac:dyDescent="0.2">
      <c r="A43" s="100"/>
      <c r="B43" s="100"/>
      <c r="C43" s="90" t="s">
        <v>3066</v>
      </c>
      <c r="D43" s="102" t="s">
        <v>57</v>
      </c>
      <c r="E43" s="91">
        <v>44546</v>
      </c>
      <c r="F43" s="102" t="s">
        <v>58</v>
      </c>
      <c r="G43" s="91">
        <v>44550</v>
      </c>
      <c r="H43" s="90" t="s">
        <v>2130</v>
      </c>
      <c r="I43" s="90">
        <v>56</v>
      </c>
      <c r="J43" s="90">
        <v>36</v>
      </c>
      <c r="K43" s="90">
        <v>35</v>
      </c>
      <c r="L43" s="90">
        <v>6</v>
      </c>
      <c r="M43" s="90">
        <v>17.64</v>
      </c>
      <c r="N43" s="104">
        <v>17.64</v>
      </c>
      <c r="O43" s="57">
        <v>7000</v>
      </c>
      <c r="P43" s="58">
        <f t="shared" si="0"/>
        <v>123480</v>
      </c>
    </row>
    <row r="44" spans="1:16" ht="26.25" customHeight="1" x14ac:dyDescent="0.2">
      <c r="A44" s="100"/>
      <c r="B44" s="100"/>
      <c r="C44" s="65" t="s">
        <v>3067</v>
      </c>
      <c r="D44" s="70" t="s">
        <v>57</v>
      </c>
      <c r="E44" s="12">
        <v>44546</v>
      </c>
      <c r="F44" s="68" t="s">
        <v>58</v>
      </c>
      <c r="G44" s="12">
        <v>44550</v>
      </c>
      <c r="H44" s="69" t="s">
        <v>2130</v>
      </c>
      <c r="I44" s="15">
        <v>36</v>
      </c>
      <c r="J44" s="15">
        <v>31</v>
      </c>
      <c r="K44" s="15">
        <v>32</v>
      </c>
      <c r="L44" s="15">
        <v>5</v>
      </c>
      <c r="M44" s="73">
        <v>8.9280000000000008</v>
      </c>
      <c r="N44" s="104">
        <v>8.9280000000000008</v>
      </c>
      <c r="O44" s="57">
        <v>7000</v>
      </c>
      <c r="P44" s="58">
        <f t="shared" si="0"/>
        <v>62496.000000000007</v>
      </c>
    </row>
    <row r="45" spans="1:16" ht="26.25" customHeight="1" x14ac:dyDescent="0.2">
      <c r="A45" s="100"/>
      <c r="B45" s="100"/>
      <c r="C45" s="65" t="s">
        <v>3068</v>
      </c>
      <c r="D45" s="70" t="s">
        <v>57</v>
      </c>
      <c r="E45" s="12">
        <v>44546</v>
      </c>
      <c r="F45" s="68" t="s">
        <v>58</v>
      </c>
      <c r="G45" s="12">
        <v>44550</v>
      </c>
      <c r="H45" s="69" t="s">
        <v>2130</v>
      </c>
      <c r="I45" s="15">
        <v>90</v>
      </c>
      <c r="J45" s="15">
        <v>41</v>
      </c>
      <c r="K45" s="15">
        <v>45</v>
      </c>
      <c r="L45" s="15">
        <v>10</v>
      </c>
      <c r="M45" s="73">
        <v>41.512500000000003</v>
      </c>
      <c r="N45" s="104">
        <v>41.512500000000003</v>
      </c>
      <c r="O45" s="57">
        <v>7000</v>
      </c>
      <c r="P45" s="58">
        <f t="shared" si="0"/>
        <v>290587.5</v>
      </c>
    </row>
    <row r="46" spans="1:16" ht="26.25" customHeight="1" x14ac:dyDescent="0.2">
      <c r="A46" s="100"/>
      <c r="B46" s="100"/>
      <c r="C46" s="65" t="s">
        <v>3069</v>
      </c>
      <c r="D46" s="70" t="s">
        <v>57</v>
      </c>
      <c r="E46" s="12">
        <v>44546</v>
      </c>
      <c r="F46" s="68" t="s">
        <v>58</v>
      </c>
      <c r="G46" s="12">
        <v>44550</v>
      </c>
      <c r="H46" s="69" t="s">
        <v>2130</v>
      </c>
      <c r="I46" s="15">
        <v>88</v>
      </c>
      <c r="J46" s="15">
        <v>40</v>
      </c>
      <c r="K46" s="15">
        <v>11</v>
      </c>
      <c r="L46" s="15">
        <v>6</v>
      </c>
      <c r="M46" s="73">
        <v>9.68</v>
      </c>
      <c r="N46" s="104">
        <v>9.68</v>
      </c>
      <c r="O46" s="57">
        <v>7000</v>
      </c>
      <c r="P46" s="58">
        <f t="shared" si="0"/>
        <v>67760</v>
      </c>
    </row>
    <row r="47" spans="1:16" ht="26.25" customHeight="1" x14ac:dyDescent="0.2">
      <c r="A47" s="100"/>
      <c r="B47" s="100"/>
      <c r="C47" s="65" t="s">
        <v>3070</v>
      </c>
      <c r="D47" s="70" t="s">
        <v>57</v>
      </c>
      <c r="E47" s="12">
        <v>44546</v>
      </c>
      <c r="F47" s="68" t="s">
        <v>58</v>
      </c>
      <c r="G47" s="12">
        <v>44550</v>
      </c>
      <c r="H47" s="69" t="s">
        <v>2130</v>
      </c>
      <c r="I47" s="15">
        <v>34</v>
      </c>
      <c r="J47" s="15">
        <v>30</v>
      </c>
      <c r="K47" s="15">
        <v>28</v>
      </c>
      <c r="L47" s="15">
        <v>5</v>
      </c>
      <c r="M47" s="73">
        <v>7.14</v>
      </c>
      <c r="N47" s="104">
        <v>7.14</v>
      </c>
      <c r="O47" s="57">
        <v>7000</v>
      </c>
      <c r="P47" s="58">
        <f t="shared" si="0"/>
        <v>49980</v>
      </c>
    </row>
    <row r="48" spans="1:16" ht="26.25" customHeight="1" x14ac:dyDescent="0.2">
      <c r="A48" s="100"/>
      <c r="B48" s="100"/>
      <c r="C48" s="65" t="s">
        <v>3071</v>
      </c>
      <c r="D48" s="70" t="s">
        <v>57</v>
      </c>
      <c r="E48" s="12">
        <v>44546</v>
      </c>
      <c r="F48" s="68" t="s">
        <v>58</v>
      </c>
      <c r="G48" s="12">
        <v>44550</v>
      </c>
      <c r="H48" s="69" t="s">
        <v>2130</v>
      </c>
      <c r="I48" s="15">
        <v>34</v>
      </c>
      <c r="J48" s="15">
        <v>30</v>
      </c>
      <c r="K48" s="15">
        <v>28</v>
      </c>
      <c r="L48" s="15">
        <v>5</v>
      </c>
      <c r="M48" s="73">
        <v>7.14</v>
      </c>
      <c r="N48" s="104">
        <v>7.14</v>
      </c>
      <c r="O48" s="57">
        <v>7000</v>
      </c>
      <c r="P48" s="58">
        <f t="shared" si="0"/>
        <v>49980</v>
      </c>
    </row>
    <row r="49" spans="1:16" ht="26.25" customHeight="1" x14ac:dyDescent="0.2">
      <c r="A49" s="100"/>
      <c r="B49" s="100"/>
      <c r="C49" s="65" t="s">
        <v>3072</v>
      </c>
      <c r="D49" s="70" t="s">
        <v>57</v>
      </c>
      <c r="E49" s="12">
        <v>44546</v>
      </c>
      <c r="F49" s="68" t="s">
        <v>58</v>
      </c>
      <c r="G49" s="12">
        <v>44550</v>
      </c>
      <c r="H49" s="69" t="s">
        <v>2130</v>
      </c>
      <c r="I49" s="15">
        <v>34</v>
      </c>
      <c r="J49" s="15">
        <v>30</v>
      </c>
      <c r="K49" s="15">
        <v>28</v>
      </c>
      <c r="L49" s="15">
        <v>5</v>
      </c>
      <c r="M49" s="73">
        <v>7.14</v>
      </c>
      <c r="N49" s="104">
        <v>7.14</v>
      </c>
      <c r="O49" s="57">
        <v>7000</v>
      </c>
      <c r="P49" s="58">
        <f t="shared" si="0"/>
        <v>49980</v>
      </c>
    </row>
    <row r="50" spans="1:16" ht="26.25" customHeight="1" x14ac:dyDescent="0.2">
      <c r="A50" s="100"/>
      <c r="B50" s="100"/>
      <c r="C50" s="65" t="s">
        <v>3073</v>
      </c>
      <c r="D50" s="70" t="s">
        <v>57</v>
      </c>
      <c r="E50" s="12">
        <v>44546</v>
      </c>
      <c r="F50" s="68" t="s">
        <v>58</v>
      </c>
      <c r="G50" s="12">
        <v>44550</v>
      </c>
      <c r="H50" s="69" t="s">
        <v>2130</v>
      </c>
      <c r="I50" s="15">
        <v>42</v>
      </c>
      <c r="J50" s="15">
        <v>31</v>
      </c>
      <c r="K50" s="15">
        <v>30</v>
      </c>
      <c r="L50" s="15">
        <v>7</v>
      </c>
      <c r="M50" s="73">
        <v>9.7650000000000006</v>
      </c>
      <c r="N50" s="104">
        <v>9.7650000000000006</v>
      </c>
      <c r="O50" s="57">
        <v>7000</v>
      </c>
      <c r="P50" s="58">
        <f t="shared" si="0"/>
        <v>68355</v>
      </c>
    </row>
    <row r="51" spans="1:16" ht="26.25" customHeight="1" x14ac:dyDescent="0.2">
      <c r="A51" s="100"/>
      <c r="B51" s="100"/>
      <c r="C51" s="65" t="s">
        <v>3074</v>
      </c>
      <c r="D51" s="70" t="s">
        <v>57</v>
      </c>
      <c r="E51" s="12">
        <v>44546</v>
      </c>
      <c r="F51" s="68" t="s">
        <v>58</v>
      </c>
      <c r="G51" s="12">
        <v>44550</v>
      </c>
      <c r="H51" s="69" t="s">
        <v>2130</v>
      </c>
      <c r="I51" s="15">
        <v>50</v>
      </c>
      <c r="J51" s="15">
        <v>41</v>
      </c>
      <c r="K51" s="15">
        <v>12</v>
      </c>
      <c r="L51" s="15">
        <v>2</v>
      </c>
      <c r="M51" s="73">
        <v>6.15</v>
      </c>
      <c r="N51" s="104">
        <v>6.15</v>
      </c>
      <c r="O51" s="57">
        <v>7000</v>
      </c>
      <c r="P51" s="58">
        <f t="shared" si="0"/>
        <v>43050</v>
      </c>
    </row>
    <row r="52" spans="1:16" ht="26.25" customHeight="1" x14ac:dyDescent="0.2">
      <c r="A52" s="100"/>
      <c r="B52" s="100"/>
      <c r="C52" s="65" t="s">
        <v>3075</v>
      </c>
      <c r="D52" s="70" t="s">
        <v>57</v>
      </c>
      <c r="E52" s="12">
        <v>44546</v>
      </c>
      <c r="F52" s="68" t="s">
        <v>58</v>
      </c>
      <c r="G52" s="12">
        <v>44550</v>
      </c>
      <c r="H52" s="69" t="s">
        <v>2130</v>
      </c>
      <c r="I52" s="15">
        <v>87</v>
      </c>
      <c r="J52" s="15">
        <v>65</v>
      </c>
      <c r="K52" s="15">
        <v>25</v>
      </c>
      <c r="L52" s="15">
        <v>11</v>
      </c>
      <c r="M52" s="73">
        <v>35.34375</v>
      </c>
      <c r="N52" s="104">
        <v>36</v>
      </c>
      <c r="O52" s="57">
        <v>7000</v>
      </c>
      <c r="P52" s="58">
        <f t="shared" si="0"/>
        <v>252000</v>
      </c>
    </row>
    <row r="53" spans="1:16" ht="26.25" customHeight="1" x14ac:dyDescent="0.2">
      <c r="A53" s="100"/>
      <c r="B53" s="100"/>
      <c r="C53" s="65" t="s">
        <v>3076</v>
      </c>
      <c r="D53" s="70" t="s">
        <v>57</v>
      </c>
      <c r="E53" s="12">
        <v>44546</v>
      </c>
      <c r="F53" s="68" t="s">
        <v>58</v>
      </c>
      <c r="G53" s="12">
        <v>44550</v>
      </c>
      <c r="H53" s="69" t="s">
        <v>2130</v>
      </c>
      <c r="I53" s="15">
        <v>48</v>
      </c>
      <c r="J53" s="15">
        <v>40</v>
      </c>
      <c r="K53" s="15">
        <v>22</v>
      </c>
      <c r="L53" s="15">
        <v>1</v>
      </c>
      <c r="M53" s="73">
        <v>10.56</v>
      </c>
      <c r="N53" s="104">
        <v>10.56</v>
      </c>
      <c r="O53" s="57">
        <v>7000</v>
      </c>
      <c r="P53" s="58">
        <f t="shared" si="0"/>
        <v>73920</v>
      </c>
    </row>
    <row r="54" spans="1:16" ht="26.25" customHeight="1" x14ac:dyDescent="0.2">
      <c r="A54" s="100"/>
      <c r="B54" s="101"/>
      <c r="C54" s="65" t="s">
        <v>3077</v>
      </c>
      <c r="D54" s="70" t="s">
        <v>57</v>
      </c>
      <c r="E54" s="12">
        <v>44546</v>
      </c>
      <c r="F54" s="68" t="s">
        <v>58</v>
      </c>
      <c r="G54" s="12">
        <v>44550</v>
      </c>
      <c r="H54" s="69" t="s">
        <v>2130</v>
      </c>
      <c r="I54" s="15">
        <v>64</v>
      </c>
      <c r="J54" s="15">
        <v>44</v>
      </c>
      <c r="K54" s="15">
        <v>33</v>
      </c>
      <c r="L54" s="15">
        <v>9</v>
      </c>
      <c r="M54" s="73">
        <v>23.231999999999999</v>
      </c>
      <c r="N54" s="104">
        <v>23.231999999999999</v>
      </c>
      <c r="O54" s="57">
        <v>7000</v>
      </c>
      <c r="P54" s="58">
        <f t="shared" si="0"/>
        <v>162624</v>
      </c>
    </row>
    <row r="55" spans="1:16" ht="26.25" customHeight="1" x14ac:dyDescent="0.2">
      <c r="A55" s="100"/>
      <c r="B55" s="90" t="s">
        <v>3078</v>
      </c>
      <c r="C55" s="65" t="s">
        <v>3079</v>
      </c>
      <c r="D55" s="70" t="s">
        <v>57</v>
      </c>
      <c r="E55" s="12">
        <v>44546</v>
      </c>
      <c r="F55" s="68" t="s">
        <v>58</v>
      </c>
      <c r="G55" s="12">
        <v>44550</v>
      </c>
      <c r="H55" s="69" t="s">
        <v>2130</v>
      </c>
      <c r="I55" s="15">
        <v>26</v>
      </c>
      <c r="J55" s="15">
        <v>20</v>
      </c>
      <c r="K55" s="15">
        <v>6</v>
      </c>
      <c r="L55" s="15">
        <v>1</v>
      </c>
      <c r="M55" s="73">
        <v>0.78</v>
      </c>
      <c r="N55" s="104">
        <v>1</v>
      </c>
      <c r="O55" s="57">
        <v>7000</v>
      </c>
      <c r="P55" s="58">
        <f t="shared" si="0"/>
        <v>7000</v>
      </c>
    </row>
    <row r="56" spans="1:16" ht="26.25" customHeight="1" x14ac:dyDescent="0.2">
      <c r="A56" s="100"/>
      <c r="B56" s="93" t="s">
        <v>3080</v>
      </c>
      <c r="C56" s="65" t="s">
        <v>3081</v>
      </c>
      <c r="D56" s="70" t="s">
        <v>57</v>
      </c>
      <c r="E56" s="12">
        <v>44546</v>
      </c>
      <c r="F56" s="68" t="s">
        <v>58</v>
      </c>
      <c r="G56" s="12">
        <v>44550</v>
      </c>
      <c r="H56" s="69" t="s">
        <v>2130</v>
      </c>
      <c r="I56" s="15">
        <v>45</v>
      </c>
      <c r="J56" s="15">
        <v>25</v>
      </c>
      <c r="K56" s="15">
        <v>18</v>
      </c>
      <c r="L56" s="15">
        <v>15</v>
      </c>
      <c r="M56" s="73">
        <v>5.0625</v>
      </c>
      <c r="N56" s="104">
        <v>15</v>
      </c>
      <c r="O56" s="57">
        <v>7000</v>
      </c>
      <c r="P56" s="58">
        <f t="shared" si="0"/>
        <v>105000</v>
      </c>
    </row>
    <row r="57" spans="1:16" ht="26.25" customHeight="1" x14ac:dyDescent="0.2">
      <c r="A57" s="100"/>
      <c r="B57" s="93"/>
      <c r="C57" s="65" t="s">
        <v>3082</v>
      </c>
      <c r="D57" s="70" t="s">
        <v>57</v>
      </c>
      <c r="E57" s="12">
        <v>44546</v>
      </c>
      <c r="F57" s="68" t="s">
        <v>58</v>
      </c>
      <c r="G57" s="12">
        <v>44550</v>
      </c>
      <c r="H57" s="69" t="s">
        <v>2130</v>
      </c>
      <c r="I57" s="15">
        <v>30</v>
      </c>
      <c r="J57" s="15">
        <v>30</v>
      </c>
      <c r="K57" s="15">
        <v>18</v>
      </c>
      <c r="L57" s="15">
        <v>5</v>
      </c>
      <c r="M57" s="73">
        <v>4.05</v>
      </c>
      <c r="N57" s="104">
        <v>5</v>
      </c>
      <c r="O57" s="57">
        <v>7000</v>
      </c>
      <c r="P57" s="58">
        <f t="shared" si="0"/>
        <v>35000</v>
      </c>
    </row>
    <row r="58" spans="1:16" ht="22.5" customHeight="1" x14ac:dyDescent="0.2">
      <c r="A58" s="159" t="s">
        <v>30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1"/>
      <c r="M58" s="71">
        <f>SUBTOTAL(109,Table2245789101123456789101112131415161718192021222324252627282930313233343537383940414243444546474849[KG VOLUME])</f>
        <v>729.27024999999969</v>
      </c>
      <c r="N58" s="61">
        <f>SUM(N3:N57)</f>
        <v>750.39274999999986</v>
      </c>
      <c r="O58" s="162">
        <f>SUM(P3:P57)</f>
        <v>5252749.25</v>
      </c>
      <c r="P58" s="163"/>
    </row>
    <row r="59" spans="1:16" ht="18" customHeight="1" x14ac:dyDescent="0.2">
      <c r="A59" s="78"/>
      <c r="B59" s="49" t="s">
        <v>42</v>
      </c>
      <c r="C59" s="48"/>
      <c r="D59" s="50" t="s">
        <v>43</v>
      </c>
      <c r="E59" s="78"/>
      <c r="F59" s="78"/>
      <c r="G59" s="78"/>
      <c r="H59" s="78"/>
      <c r="I59" s="78"/>
      <c r="J59" s="78"/>
      <c r="K59" s="78"/>
      <c r="L59" s="78"/>
      <c r="M59" s="79"/>
      <c r="N59" s="80" t="s">
        <v>52</v>
      </c>
      <c r="O59" s="81"/>
      <c r="P59" s="81">
        <v>0</v>
      </c>
    </row>
    <row r="60" spans="1:16" ht="18" customHeight="1" thickBot="1" x14ac:dyDescent="0.25">
      <c r="A60" s="78"/>
      <c r="B60" s="49"/>
      <c r="C60" s="48"/>
      <c r="D60" s="50"/>
      <c r="E60" s="78"/>
      <c r="F60" s="78"/>
      <c r="G60" s="78"/>
      <c r="H60" s="78"/>
      <c r="I60" s="78"/>
      <c r="J60" s="78"/>
      <c r="K60" s="78"/>
      <c r="L60" s="78"/>
      <c r="M60" s="79"/>
      <c r="N60" s="82" t="s">
        <v>53</v>
      </c>
      <c r="O60" s="83"/>
      <c r="P60" s="83">
        <f>O58-P59</f>
        <v>5252749.25</v>
      </c>
    </row>
    <row r="61" spans="1:16" ht="18" customHeight="1" x14ac:dyDescent="0.2">
      <c r="A61" s="10"/>
      <c r="H61" s="56"/>
      <c r="N61" s="55" t="s">
        <v>31</v>
      </c>
      <c r="P61" s="62">
        <f>P60*1%</f>
        <v>52527.4925</v>
      </c>
    </row>
    <row r="62" spans="1:16" ht="18" customHeight="1" thickBot="1" x14ac:dyDescent="0.25">
      <c r="A62" s="10"/>
      <c r="H62" s="56"/>
      <c r="N62" s="55" t="s">
        <v>54</v>
      </c>
      <c r="P62" s="64">
        <f>P60*2%</f>
        <v>105054.985</v>
      </c>
    </row>
    <row r="63" spans="1:16" ht="18" customHeight="1" x14ac:dyDescent="0.2">
      <c r="A63" s="10"/>
      <c r="H63" s="56"/>
      <c r="N63" s="59" t="s">
        <v>32</v>
      </c>
      <c r="O63" s="60"/>
      <c r="P63" s="63">
        <f>P60+P61-P62</f>
        <v>5200221.7574999994</v>
      </c>
    </row>
    <row r="65" spans="1:16" x14ac:dyDescent="0.2">
      <c r="A65" s="10"/>
      <c r="H65" s="56"/>
      <c r="P65" s="64"/>
    </row>
    <row r="66" spans="1:16" x14ac:dyDescent="0.2">
      <c r="A66" s="10"/>
      <c r="H66" s="56"/>
      <c r="O66" s="51"/>
      <c r="P66" s="64"/>
    </row>
    <row r="67" spans="1:16" s="3" customFormat="1" x14ac:dyDescent="0.25">
      <c r="A67" s="10"/>
      <c r="B67" s="2"/>
      <c r="C67" s="2"/>
      <c r="E67" s="11"/>
      <c r="H67" s="56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6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6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6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6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6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6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6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6"/>
      <c r="N75" s="14"/>
      <c r="O75" s="14"/>
      <c r="P75" s="14"/>
    </row>
    <row r="76" spans="1:16" s="3" customFormat="1" x14ac:dyDescent="0.25">
      <c r="A76" s="10"/>
      <c r="B76" s="2"/>
      <c r="C76" s="2"/>
      <c r="E76" s="11"/>
      <c r="H76" s="56"/>
      <c r="N76" s="14"/>
      <c r="O76" s="14"/>
      <c r="P76" s="14"/>
    </row>
    <row r="77" spans="1:16" s="3" customFormat="1" x14ac:dyDescent="0.25">
      <c r="A77" s="10"/>
      <c r="B77" s="2"/>
      <c r="C77" s="2"/>
      <c r="E77" s="11"/>
      <c r="H77" s="56"/>
      <c r="N77" s="14"/>
      <c r="O77" s="14"/>
      <c r="P77" s="14"/>
    </row>
    <row r="78" spans="1:16" s="3" customFormat="1" x14ac:dyDescent="0.25">
      <c r="A78" s="10"/>
      <c r="B78" s="2"/>
      <c r="C78" s="2"/>
      <c r="E78" s="11"/>
      <c r="H78" s="56"/>
      <c r="N78" s="14"/>
      <c r="O78" s="14"/>
      <c r="P78" s="14"/>
    </row>
  </sheetData>
  <mergeCells count="2">
    <mergeCell ref="A58:L58"/>
    <mergeCell ref="O58:P58"/>
  </mergeCells>
  <conditionalFormatting sqref="C3:C57">
    <cfRule type="duplicateValues" dxfId="831" priority="7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0"/>
  <sheetViews>
    <sheetView zoomScale="110" zoomScaleNormal="110" workbookViewId="0">
      <pane xSplit="3" ySplit="2" topLeftCell="D74" activePane="bottomRight" state="frozen"/>
      <selection activeCell="H12" sqref="H12"/>
      <selection pane="topRight" activeCell="H12" sqref="H12"/>
      <selection pane="bottomLeft" activeCell="H12" sqref="H12"/>
      <selection pane="bottomRight" activeCell="K82" sqref="K8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403747</v>
      </c>
      <c r="B3" s="66" t="s">
        <v>158</v>
      </c>
      <c r="C3" s="8" t="s">
        <v>159</v>
      </c>
      <c r="D3" s="68" t="s">
        <v>57</v>
      </c>
      <c r="E3" s="12">
        <v>44532</v>
      </c>
      <c r="F3" s="68" t="s">
        <v>71</v>
      </c>
      <c r="G3" s="12">
        <v>44537</v>
      </c>
      <c r="H3" s="9" t="s">
        <v>237</v>
      </c>
      <c r="I3" s="1">
        <v>55</v>
      </c>
      <c r="J3" s="1">
        <v>44</v>
      </c>
      <c r="K3" s="1">
        <v>27</v>
      </c>
      <c r="L3" s="1">
        <v>4</v>
      </c>
      <c r="M3" s="72">
        <v>16.335000000000001</v>
      </c>
      <c r="N3" s="88">
        <v>17</v>
      </c>
      <c r="O3" s="57">
        <v>7000</v>
      </c>
      <c r="P3" s="58">
        <f>N3*O3</f>
        <v>119000</v>
      </c>
    </row>
    <row r="4" spans="1:16" ht="26.25" customHeight="1" x14ac:dyDescent="0.2">
      <c r="A4" s="13"/>
      <c r="B4" s="67"/>
      <c r="C4" s="8" t="s">
        <v>160</v>
      </c>
      <c r="D4" s="68" t="s">
        <v>57</v>
      </c>
      <c r="E4" s="12">
        <v>44532</v>
      </c>
      <c r="F4" s="68" t="s">
        <v>71</v>
      </c>
      <c r="G4" s="12">
        <v>44537</v>
      </c>
      <c r="H4" s="9" t="s">
        <v>237</v>
      </c>
      <c r="I4" s="1">
        <v>30</v>
      </c>
      <c r="J4" s="1">
        <v>30</v>
      </c>
      <c r="K4" s="1">
        <v>30</v>
      </c>
      <c r="L4" s="1">
        <v>5</v>
      </c>
      <c r="M4" s="72">
        <v>6.75</v>
      </c>
      <c r="N4" s="88">
        <v>6.75</v>
      </c>
      <c r="O4" s="57">
        <v>7000</v>
      </c>
      <c r="P4" s="58">
        <f t="shared" ref="P4:P10" si="0">N4*O4</f>
        <v>47250</v>
      </c>
    </row>
    <row r="5" spans="1:16" ht="26.25" customHeight="1" x14ac:dyDescent="0.2">
      <c r="A5" s="13"/>
      <c r="B5" s="67"/>
      <c r="C5" s="65" t="s">
        <v>161</v>
      </c>
      <c r="D5" s="70" t="s">
        <v>57</v>
      </c>
      <c r="E5" s="12">
        <v>44532</v>
      </c>
      <c r="F5" s="68" t="s">
        <v>71</v>
      </c>
      <c r="G5" s="12">
        <v>44537</v>
      </c>
      <c r="H5" s="69" t="s">
        <v>237</v>
      </c>
      <c r="I5" s="15">
        <v>30</v>
      </c>
      <c r="J5" s="15">
        <v>30</v>
      </c>
      <c r="K5" s="15">
        <v>30</v>
      </c>
      <c r="L5" s="15">
        <v>5</v>
      </c>
      <c r="M5" s="73">
        <v>6.75</v>
      </c>
      <c r="N5" s="88">
        <v>6.75</v>
      </c>
      <c r="O5" s="57">
        <v>7000</v>
      </c>
      <c r="P5" s="58">
        <f t="shared" si="0"/>
        <v>47250</v>
      </c>
    </row>
    <row r="6" spans="1:16" ht="26.25" customHeight="1" x14ac:dyDescent="0.2">
      <c r="A6" s="13"/>
      <c r="B6" s="67"/>
      <c r="C6" s="65" t="s">
        <v>162</v>
      </c>
      <c r="D6" s="70" t="s">
        <v>57</v>
      </c>
      <c r="E6" s="12">
        <v>44532</v>
      </c>
      <c r="F6" s="68" t="s">
        <v>71</v>
      </c>
      <c r="G6" s="12">
        <v>44537</v>
      </c>
      <c r="H6" s="69" t="s">
        <v>237</v>
      </c>
      <c r="I6" s="15">
        <v>54</v>
      </c>
      <c r="J6" s="15">
        <v>44</v>
      </c>
      <c r="K6" s="15">
        <v>22</v>
      </c>
      <c r="L6" s="15">
        <v>4</v>
      </c>
      <c r="M6" s="73">
        <v>13.068</v>
      </c>
      <c r="N6" s="88">
        <v>13.068</v>
      </c>
      <c r="O6" s="57">
        <v>7000</v>
      </c>
      <c r="P6" s="58">
        <f t="shared" si="0"/>
        <v>91476</v>
      </c>
    </row>
    <row r="7" spans="1:16" ht="26.25" customHeight="1" x14ac:dyDescent="0.2">
      <c r="A7" s="13"/>
      <c r="B7" s="67"/>
      <c r="C7" s="65" t="s">
        <v>163</v>
      </c>
      <c r="D7" s="70" t="s">
        <v>57</v>
      </c>
      <c r="E7" s="12">
        <v>44532</v>
      </c>
      <c r="F7" s="68" t="s">
        <v>71</v>
      </c>
      <c r="G7" s="12">
        <v>44537</v>
      </c>
      <c r="H7" s="69" t="s">
        <v>237</v>
      </c>
      <c r="I7" s="15">
        <v>67</v>
      </c>
      <c r="J7" s="15">
        <v>24</v>
      </c>
      <c r="K7" s="15">
        <v>11</v>
      </c>
      <c r="L7" s="15">
        <v>1</v>
      </c>
      <c r="M7" s="73">
        <v>4.4219999999999997</v>
      </c>
      <c r="N7" s="88">
        <v>5</v>
      </c>
      <c r="O7" s="57">
        <v>7000</v>
      </c>
      <c r="P7" s="58">
        <f t="shared" si="0"/>
        <v>35000</v>
      </c>
    </row>
    <row r="8" spans="1:16" ht="26.25" customHeight="1" x14ac:dyDescent="0.2">
      <c r="A8" s="13"/>
      <c r="B8" s="67"/>
      <c r="C8" s="65" t="s">
        <v>164</v>
      </c>
      <c r="D8" s="70" t="s">
        <v>57</v>
      </c>
      <c r="E8" s="12">
        <v>44532</v>
      </c>
      <c r="F8" s="68" t="s">
        <v>71</v>
      </c>
      <c r="G8" s="12">
        <v>44537</v>
      </c>
      <c r="H8" s="69" t="s">
        <v>237</v>
      </c>
      <c r="I8" s="15">
        <v>88</v>
      </c>
      <c r="J8" s="15">
        <v>30</v>
      </c>
      <c r="K8" s="15">
        <v>30</v>
      </c>
      <c r="L8" s="15">
        <v>13</v>
      </c>
      <c r="M8" s="73">
        <v>19.8</v>
      </c>
      <c r="N8" s="88">
        <v>19.8</v>
      </c>
      <c r="O8" s="57">
        <v>7000</v>
      </c>
      <c r="P8" s="58">
        <f>N8*O8</f>
        <v>138600</v>
      </c>
    </row>
    <row r="9" spans="1:16" ht="26.25" customHeight="1" x14ac:dyDescent="0.2">
      <c r="A9" s="13"/>
      <c r="B9" s="67"/>
      <c r="C9" s="65" t="s">
        <v>165</v>
      </c>
      <c r="D9" s="70" t="s">
        <v>57</v>
      </c>
      <c r="E9" s="12">
        <v>44532</v>
      </c>
      <c r="F9" s="68" t="s">
        <v>71</v>
      </c>
      <c r="G9" s="12">
        <v>44537</v>
      </c>
      <c r="H9" s="69" t="s">
        <v>237</v>
      </c>
      <c r="I9" s="15">
        <v>67</v>
      </c>
      <c r="J9" s="15">
        <v>24</v>
      </c>
      <c r="K9" s="15">
        <v>11</v>
      </c>
      <c r="L9" s="15">
        <v>1</v>
      </c>
      <c r="M9" s="73">
        <v>4.4219999999999997</v>
      </c>
      <c r="N9" s="88">
        <v>5</v>
      </c>
      <c r="O9" s="57">
        <v>7000</v>
      </c>
      <c r="P9" s="58">
        <f t="shared" si="0"/>
        <v>35000</v>
      </c>
    </row>
    <row r="10" spans="1:16" ht="26.25" customHeight="1" x14ac:dyDescent="0.2">
      <c r="A10" s="13"/>
      <c r="B10" s="67"/>
      <c r="C10" s="65" t="s">
        <v>166</v>
      </c>
      <c r="D10" s="70" t="s">
        <v>57</v>
      </c>
      <c r="E10" s="12">
        <v>44532</v>
      </c>
      <c r="F10" s="68" t="s">
        <v>71</v>
      </c>
      <c r="G10" s="12">
        <v>44537</v>
      </c>
      <c r="H10" s="69" t="s">
        <v>237</v>
      </c>
      <c r="I10" s="15">
        <v>35</v>
      </c>
      <c r="J10" s="15">
        <v>30</v>
      </c>
      <c r="K10" s="15">
        <v>17</v>
      </c>
      <c r="L10" s="15">
        <v>1</v>
      </c>
      <c r="M10" s="73">
        <v>4.4625000000000004</v>
      </c>
      <c r="N10" s="88">
        <v>5</v>
      </c>
      <c r="O10" s="57">
        <v>7000</v>
      </c>
      <c r="P10" s="58">
        <f t="shared" si="0"/>
        <v>35000</v>
      </c>
    </row>
    <row r="11" spans="1:16" ht="26.25" customHeight="1" x14ac:dyDescent="0.2">
      <c r="A11" s="13"/>
      <c r="B11" s="67"/>
      <c r="C11" s="65" t="s">
        <v>167</v>
      </c>
      <c r="D11" s="70" t="s">
        <v>57</v>
      </c>
      <c r="E11" s="12">
        <v>44532</v>
      </c>
      <c r="F11" s="68" t="s">
        <v>71</v>
      </c>
      <c r="G11" s="12">
        <v>44537</v>
      </c>
      <c r="H11" s="69" t="s">
        <v>237</v>
      </c>
      <c r="I11" s="15">
        <v>50</v>
      </c>
      <c r="J11" s="15">
        <v>42</v>
      </c>
      <c r="K11" s="15">
        <v>30</v>
      </c>
      <c r="L11" s="15">
        <v>9</v>
      </c>
      <c r="M11" s="73">
        <v>15.75</v>
      </c>
      <c r="N11" s="88">
        <v>15.75</v>
      </c>
      <c r="O11" s="57">
        <v>7000</v>
      </c>
      <c r="P11" s="58">
        <f>N11*O11</f>
        <v>110250</v>
      </c>
    </row>
    <row r="12" spans="1:16" ht="26.25" customHeight="1" x14ac:dyDescent="0.2">
      <c r="A12" s="13"/>
      <c r="B12" s="67"/>
      <c r="C12" s="65" t="s">
        <v>168</v>
      </c>
      <c r="D12" s="70" t="s">
        <v>57</v>
      </c>
      <c r="E12" s="12">
        <v>44532</v>
      </c>
      <c r="F12" s="68" t="s">
        <v>71</v>
      </c>
      <c r="G12" s="12">
        <v>44537</v>
      </c>
      <c r="H12" s="69" t="s">
        <v>237</v>
      </c>
      <c r="I12" s="15">
        <v>80</v>
      </c>
      <c r="J12" s="15">
        <v>24</v>
      </c>
      <c r="K12" s="15">
        <v>20</v>
      </c>
      <c r="L12" s="15">
        <v>4</v>
      </c>
      <c r="M12" s="73">
        <v>9.6</v>
      </c>
      <c r="N12" s="88">
        <v>9.6</v>
      </c>
      <c r="O12" s="57">
        <v>7000</v>
      </c>
      <c r="P12" s="58">
        <f t="shared" ref="P12:P75" si="1">N12*O12</f>
        <v>67200</v>
      </c>
    </row>
    <row r="13" spans="1:16" ht="26.25" customHeight="1" x14ac:dyDescent="0.2">
      <c r="A13" s="13"/>
      <c r="B13" s="67"/>
      <c r="C13" s="65" t="s">
        <v>169</v>
      </c>
      <c r="D13" s="70" t="s">
        <v>57</v>
      </c>
      <c r="E13" s="12">
        <v>44532</v>
      </c>
      <c r="F13" s="68" t="s">
        <v>71</v>
      </c>
      <c r="G13" s="12">
        <v>44537</v>
      </c>
      <c r="H13" s="69" t="s">
        <v>237</v>
      </c>
      <c r="I13" s="15">
        <v>30</v>
      </c>
      <c r="J13" s="15">
        <v>30</v>
      </c>
      <c r="K13" s="15">
        <v>30</v>
      </c>
      <c r="L13" s="15">
        <v>5</v>
      </c>
      <c r="M13" s="73">
        <v>6.75</v>
      </c>
      <c r="N13" s="88">
        <v>6.75</v>
      </c>
      <c r="O13" s="57">
        <v>7000</v>
      </c>
      <c r="P13" s="58">
        <f t="shared" si="1"/>
        <v>47250</v>
      </c>
    </row>
    <row r="14" spans="1:16" ht="26.25" customHeight="1" x14ac:dyDescent="0.2">
      <c r="A14" s="13"/>
      <c r="B14" s="67"/>
      <c r="C14" s="65" t="s">
        <v>170</v>
      </c>
      <c r="D14" s="70" t="s">
        <v>57</v>
      </c>
      <c r="E14" s="12">
        <v>44532</v>
      </c>
      <c r="F14" s="68" t="s">
        <v>71</v>
      </c>
      <c r="G14" s="12">
        <v>44537</v>
      </c>
      <c r="H14" s="69" t="s">
        <v>237</v>
      </c>
      <c r="I14" s="15">
        <v>67</v>
      </c>
      <c r="J14" s="15">
        <v>48</v>
      </c>
      <c r="K14" s="15">
        <v>26</v>
      </c>
      <c r="L14" s="15">
        <v>12</v>
      </c>
      <c r="M14" s="73">
        <v>20.904</v>
      </c>
      <c r="N14" s="88">
        <v>20.904</v>
      </c>
      <c r="O14" s="57">
        <v>7000</v>
      </c>
      <c r="P14" s="58">
        <f t="shared" si="1"/>
        <v>146328</v>
      </c>
    </row>
    <row r="15" spans="1:16" ht="26.25" customHeight="1" x14ac:dyDescent="0.2">
      <c r="A15" s="13"/>
      <c r="B15" s="67"/>
      <c r="C15" s="65" t="s">
        <v>171</v>
      </c>
      <c r="D15" s="70" t="s">
        <v>57</v>
      </c>
      <c r="E15" s="12">
        <v>44532</v>
      </c>
      <c r="F15" s="68" t="s">
        <v>71</v>
      </c>
      <c r="G15" s="12">
        <v>44537</v>
      </c>
      <c r="H15" s="69" t="s">
        <v>237</v>
      </c>
      <c r="I15" s="15">
        <v>44</v>
      </c>
      <c r="J15" s="15">
        <v>29</v>
      </c>
      <c r="K15" s="15">
        <v>17</v>
      </c>
      <c r="L15" s="15">
        <v>20</v>
      </c>
      <c r="M15" s="73">
        <v>5.423</v>
      </c>
      <c r="N15" s="88">
        <v>21</v>
      </c>
      <c r="O15" s="57">
        <v>7000</v>
      </c>
      <c r="P15" s="58">
        <f t="shared" si="1"/>
        <v>147000</v>
      </c>
    </row>
    <row r="16" spans="1:16" ht="26.25" customHeight="1" x14ac:dyDescent="0.2">
      <c r="A16" s="13"/>
      <c r="B16" s="67"/>
      <c r="C16" s="65" t="s">
        <v>172</v>
      </c>
      <c r="D16" s="70" t="s">
        <v>57</v>
      </c>
      <c r="E16" s="12">
        <v>44532</v>
      </c>
      <c r="F16" s="68" t="s">
        <v>71</v>
      </c>
      <c r="G16" s="12">
        <v>44537</v>
      </c>
      <c r="H16" s="69" t="s">
        <v>237</v>
      </c>
      <c r="I16" s="15">
        <v>70</v>
      </c>
      <c r="J16" s="15">
        <v>55</v>
      </c>
      <c r="K16" s="15">
        <v>28</v>
      </c>
      <c r="L16" s="15">
        <v>4</v>
      </c>
      <c r="M16" s="73">
        <v>26.95</v>
      </c>
      <c r="N16" s="88">
        <v>26.95</v>
      </c>
      <c r="O16" s="57">
        <v>7000</v>
      </c>
      <c r="P16" s="58">
        <f t="shared" si="1"/>
        <v>188650</v>
      </c>
    </row>
    <row r="17" spans="1:16" ht="26.25" customHeight="1" x14ac:dyDescent="0.2">
      <c r="A17" s="13"/>
      <c r="B17" s="67"/>
      <c r="C17" s="65" t="s">
        <v>173</v>
      </c>
      <c r="D17" s="70" t="s">
        <v>57</v>
      </c>
      <c r="E17" s="12">
        <v>44532</v>
      </c>
      <c r="F17" s="68" t="s">
        <v>71</v>
      </c>
      <c r="G17" s="12">
        <v>44537</v>
      </c>
      <c r="H17" s="69" t="s">
        <v>237</v>
      </c>
      <c r="I17" s="15">
        <v>57</v>
      </c>
      <c r="J17" s="15">
        <v>40</v>
      </c>
      <c r="K17" s="15">
        <v>16</v>
      </c>
      <c r="L17" s="15">
        <v>5</v>
      </c>
      <c r="M17" s="73">
        <v>9.1199999999999992</v>
      </c>
      <c r="N17" s="88">
        <v>9.1199999999999992</v>
      </c>
      <c r="O17" s="57">
        <v>7000</v>
      </c>
      <c r="P17" s="58">
        <f t="shared" si="1"/>
        <v>63839.999999999993</v>
      </c>
    </row>
    <row r="18" spans="1:16" ht="26.25" customHeight="1" x14ac:dyDescent="0.2">
      <c r="A18" s="13"/>
      <c r="B18" s="67"/>
      <c r="C18" s="65" t="s">
        <v>174</v>
      </c>
      <c r="D18" s="70" t="s">
        <v>57</v>
      </c>
      <c r="E18" s="12">
        <v>44532</v>
      </c>
      <c r="F18" s="68" t="s">
        <v>71</v>
      </c>
      <c r="G18" s="12">
        <v>44537</v>
      </c>
      <c r="H18" s="69" t="s">
        <v>237</v>
      </c>
      <c r="I18" s="15">
        <v>60</v>
      </c>
      <c r="J18" s="15">
        <v>58</v>
      </c>
      <c r="K18" s="15">
        <v>40</v>
      </c>
      <c r="L18" s="15">
        <v>22</v>
      </c>
      <c r="M18" s="73">
        <v>34.799999999999997</v>
      </c>
      <c r="N18" s="88">
        <v>34.799999999999997</v>
      </c>
      <c r="O18" s="57">
        <v>7000</v>
      </c>
      <c r="P18" s="58">
        <f t="shared" si="1"/>
        <v>243599.99999999997</v>
      </c>
    </row>
    <row r="19" spans="1:16" ht="26.25" customHeight="1" x14ac:dyDescent="0.2">
      <c r="A19" s="13"/>
      <c r="B19" s="67"/>
      <c r="C19" s="65" t="s">
        <v>175</v>
      </c>
      <c r="D19" s="70" t="s">
        <v>57</v>
      </c>
      <c r="E19" s="12">
        <v>44532</v>
      </c>
      <c r="F19" s="68" t="s">
        <v>71</v>
      </c>
      <c r="G19" s="12">
        <v>44537</v>
      </c>
      <c r="H19" s="69" t="s">
        <v>237</v>
      </c>
      <c r="I19" s="15">
        <v>42</v>
      </c>
      <c r="J19" s="15">
        <v>46</v>
      </c>
      <c r="K19" s="15">
        <v>25</v>
      </c>
      <c r="L19" s="15">
        <v>7</v>
      </c>
      <c r="M19" s="73">
        <v>12.074999999999999</v>
      </c>
      <c r="N19" s="88">
        <v>12.074999999999999</v>
      </c>
      <c r="O19" s="57">
        <v>7000</v>
      </c>
      <c r="P19" s="58">
        <f t="shared" si="1"/>
        <v>84525</v>
      </c>
    </row>
    <row r="20" spans="1:16" ht="26.25" customHeight="1" x14ac:dyDescent="0.2">
      <c r="A20" s="13"/>
      <c r="B20" s="67"/>
      <c r="C20" s="65" t="s">
        <v>176</v>
      </c>
      <c r="D20" s="70" t="s">
        <v>57</v>
      </c>
      <c r="E20" s="12">
        <v>44532</v>
      </c>
      <c r="F20" s="68" t="s">
        <v>71</v>
      </c>
      <c r="G20" s="12">
        <v>44537</v>
      </c>
      <c r="H20" s="69" t="s">
        <v>237</v>
      </c>
      <c r="I20" s="15">
        <v>44</v>
      </c>
      <c r="J20" s="15">
        <v>37</v>
      </c>
      <c r="K20" s="15">
        <v>22</v>
      </c>
      <c r="L20" s="15">
        <v>15</v>
      </c>
      <c r="M20" s="73">
        <v>8.9540000000000006</v>
      </c>
      <c r="N20" s="88">
        <v>15</v>
      </c>
      <c r="O20" s="57">
        <v>7000</v>
      </c>
      <c r="P20" s="58">
        <f t="shared" si="1"/>
        <v>105000</v>
      </c>
    </row>
    <row r="21" spans="1:16" ht="26.25" customHeight="1" x14ac:dyDescent="0.2">
      <c r="A21" s="13"/>
      <c r="B21" s="67"/>
      <c r="C21" s="65" t="s">
        <v>177</v>
      </c>
      <c r="D21" s="70" t="s">
        <v>57</v>
      </c>
      <c r="E21" s="12">
        <v>44532</v>
      </c>
      <c r="F21" s="68" t="s">
        <v>71</v>
      </c>
      <c r="G21" s="12">
        <v>44537</v>
      </c>
      <c r="H21" s="69" t="s">
        <v>237</v>
      </c>
      <c r="I21" s="15">
        <v>43</v>
      </c>
      <c r="J21" s="15">
        <v>49</v>
      </c>
      <c r="K21" s="15">
        <v>27</v>
      </c>
      <c r="L21" s="15">
        <v>18</v>
      </c>
      <c r="M21" s="73">
        <v>14.222250000000001</v>
      </c>
      <c r="N21" s="88">
        <v>18</v>
      </c>
      <c r="O21" s="57">
        <v>7000</v>
      </c>
      <c r="P21" s="58">
        <f t="shared" si="1"/>
        <v>126000</v>
      </c>
    </row>
    <row r="22" spans="1:16" ht="26.25" customHeight="1" x14ac:dyDescent="0.2">
      <c r="A22" s="13"/>
      <c r="B22" s="67"/>
      <c r="C22" s="65" t="s">
        <v>178</v>
      </c>
      <c r="D22" s="70" t="s">
        <v>57</v>
      </c>
      <c r="E22" s="12">
        <v>44532</v>
      </c>
      <c r="F22" s="68" t="s">
        <v>71</v>
      </c>
      <c r="G22" s="12">
        <v>44537</v>
      </c>
      <c r="H22" s="69" t="s">
        <v>237</v>
      </c>
      <c r="I22" s="15">
        <v>43</v>
      </c>
      <c r="J22" s="15">
        <v>28</v>
      </c>
      <c r="K22" s="15">
        <v>25</v>
      </c>
      <c r="L22" s="15">
        <v>9</v>
      </c>
      <c r="M22" s="73">
        <v>7.5250000000000004</v>
      </c>
      <c r="N22" s="88">
        <v>9</v>
      </c>
      <c r="O22" s="57">
        <v>7000</v>
      </c>
      <c r="P22" s="58">
        <f t="shared" si="1"/>
        <v>63000</v>
      </c>
    </row>
    <row r="23" spans="1:16" ht="26.25" customHeight="1" x14ac:dyDescent="0.2">
      <c r="A23" s="13"/>
      <c r="B23" s="67"/>
      <c r="C23" s="65" t="s">
        <v>179</v>
      </c>
      <c r="D23" s="70" t="s">
        <v>57</v>
      </c>
      <c r="E23" s="12">
        <v>44532</v>
      </c>
      <c r="F23" s="68" t="s">
        <v>71</v>
      </c>
      <c r="G23" s="12">
        <v>44537</v>
      </c>
      <c r="H23" s="69" t="s">
        <v>237</v>
      </c>
      <c r="I23" s="15">
        <v>50</v>
      </c>
      <c r="J23" s="15">
        <v>50</v>
      </c>
      <c r="K23" s="15">
        <v>17</v>
      </c>
      <c r="L23" s="15">
        <v>6</v>
      </c>
      <c r="M23" s="73">
        <v>10.625</v>
      </c>
      <c r="N23" s="88">
        <v>10.625</v>
      </c>
      <c r="O23" s="57">
        <v>7000</v>
      </c>
      <c r="P23" s="58">
        <f t="shared" si="1"/>
        <v>74375</v>
      </c>
    </row>
    <row r="24" spans="1:16" ht="26.25" customHeight="1" x14ac:dyDescent="0.2">
      <c r="A24" s="13"/>
      <c r="B24" s="67"/>
      <c r="C24" s="65" t="s">
        <v>180</v>
      </c>
      <c r="D24" s="70" t="s">
        <v>57</v>
      </c>
      <c r="E24" s="12">
        <v>44532</v>
      </c>
      <c r="F24" s="68" t="s">
        <v>71</v>
      </c>
      <c r="G24" s="12">
        <v>44537</v>
      </c>
      <c r="H24" s="69" t="s">
        <v>237</v>
      </c>
      <c r="I24" s="15">
        <v>60</v>
      </c>
      <c r="J24" s="15">
        <v>40</v>
      </c>
      <c r="K24" s="15">
        <v>27</v>
      </c>
      <c r="L24" s="15">
        <v>8</v>
      </c>
      <c r="M24" s="73">
        <v>16.2</v>
      </c>
      <c r="N24" s="88">
        <v>16.2</v>
      </c>
      <c r="O24" s="57">
        <v>7000</v>
      </c>
      <c r="P24" s="58">
        <f t="shared" si="1"/>
        <v>113400</v>
      </c>
    </row>
    <row r="25" spans="1:16" ht="26.25" customHeight="1" x14ac:dyDescent="0.2">
      <c r="A25" s="13"/>
      <c r="B25" s="67"/>
      <c r="C25" s="65" t="s">
        <v>181</v>
      </c>
      <c r="D25" s="70" t="s">
        <v>57</v>
      </c>
      <c r="E25" s="12">
        <v>44532</v>
      </c>
      <c r="F25" s="68" t="s">
        <v>71</v>
      </c>
      <c r="G25" s="12">
        <v>44537</v>
      </c>
      <c r="H25" s="69" t="s">
        <v>237</v>
      </c>
      <c r="I25" s="15">
        <v>85</v>
      </c>
      <c r="J25" s="15">
        <v>66</v>
      </c>
      <c r="K25" s="15">
        <v>22</v>
      </c>
      <c r="L25" s="15">
        <v>14</v>
      </c>
      <c r="M25" s="73">
        <v>30.855</v>
      </c>
      <c r="N25" s="88">
        <v>30.855</v>
      </c>
      <c r="O25" s="57">
        <v>7000</v>
      </c>
      <c r="P25" s="58">
        <f t="shared" si="1"/>
        <v>215985</v>
      </c>
    </row>
    <row r="26" spans="1:16" ht="26.25" customHeight="1" x14ac:dyDescent="0.2">
      <c r="A26" s="13"/>
      <c r="B26" s="67"/>
      <c r="C26" s="65" t="s">
        <v>182</v>
      </c>
      <c r="D26" s="70" t="s">
        <v>57</v>
      </c>
      <c r="E26" s="12">
        <v>44532</v>
      </c>
      <c r="F26" s="68" t="s">
        <v>71</v>
      </c>
      <c r="G26" s="12">
        <v>44537</v>
      </c>
      <c r="H26" s="69" t="s">
        <v>237</v>
      </c>
      <c r="I26" s="15">
        <v>57</v>
      </c>
      <c r="J26" s="15">
        <v>52</v>
      </c>
      <c r="K26" s="15">
        <v>8</v>
      </c>
      <c r="L26" s="15">
        <v>9</v>
      </c>
      <c r="M26" s="73">
        <v>5.9279999999999999</v>
      </c>
      <c r="N26" s="88">
        <v>9</v>
      </c>
      <c r="O26" s="57">
        <v>7000</v>
      </c>
      <c r="P26" s="58">
        <f t="shared" si="1"/>
        <v>63000</v>
      </c>
    </row>
    <row r="27" spans="1:16" ht="26.25" customHeight="1" x14ac:dyDescent="0.2">
      <c r="A27" s="13"/>
      <c r="B27" s="67"/>
      <c r="C27" s="65" t="s">
        <v>183</v>
      </c>
      <c r="D27" s="70" t="s">
        <v>57</v>
      </c>
      <c r="E27" s="12">
        <v>44532</v>
      </c>
      <c r="F27" s="68" t="s">
        <v>71</v>
      </c>
      <c r="G27" s="12">
        <v>44537</v>
      </c>
      <c r="H27" s="69" t="s">
        <v>237</v>
      </c>
      <c r="I27" s="15">
        <v>40</v>
      </c>
      <c r="J27" s="15">
        <v>27</v>
      </c>
      <c r="K27" s="15">
        <v>28</v>
      </c>
      <c r="L27" s="15">
        <v>8</v>
      </c>
      <c r="M27" s="73">
        <v>7.56</v>
      </c>
      <c r="N27" s="88">
        <v>8</v>
      </c>
      <c r="O27" s="57">
        <v>7000</v>
      </c>
      <c r="P27" s="58">
        <f t="shared" si="1"/>
        <v>56000</v>
      </c>
    </row>
    <row r="28" spans="1:16" ht="26.25" customHeight="1" x14ac:dyDescent="0.2">
      <c r="A28" s="13"/>
      <c r="B28" s="67"/>
      <c r="C28" s="65" t="s">
        <v>184</v>
      </c>
      <c r="D28" s="70" t="s">
        <v>57</v>
      </c>
      <c r="E28" s="12">
        <v>44532</v>
      </c>
      <c r="F28" s="68" t="s">
        <v>71</v>
      </c>
      <c r="G28" s="12">
        <v>44537</v>
      </c>
      <c r="H28" s="69" t="s">
        <v>237</v>
      </c>
      <c r="I28" s="15">
        <v>35</v>
      </c>
      <c r="J28" s="15">
        <v>25</v>
      </c>
      <c r="K28" s="15">
        <v>17</v>
      </c>
      <c r="L28" s="15">
        <v>2</v>
      </c>
      <c r="M28" s="73">
        <v>3.71875</v>
      </c>
      <c r="N28" s="88">
        <v>3.71875</v>
      </c>
      <c r="O28" s="57">
        <v>7000</v>
      </c>
      <c r="P28" s="58">
        <f t="shared" si="1"/>
        <v>26031.25</v>
      </c>
    </row>
    <row r="29" spans="1:16" ht="26.25" customHeight="1" x14ac:dyDescent="0.2">
      <c r="A29" s="13"/>
      <c r="B29" s="67"/>
      <c r="C29" s="65" t="s">
        <v>185</v>
      </c>
      <c r="D29" s="70" t="s">
        <v>57</v>
      </c>
      <c r="E29" s="12">
        <v>44532</v>
      </c>
      <c r="F29" s="68" t="s">
        <v>71</v>
      </c>
      <c r="G29" s="12">
        <v>44537</v>
      </c>
      <c r="H29" s="69" t="s">
        <v>237</v>
      </c>
      <c r="I29" s="15">
        <v>64</v>
      </c>
      <c r="J29" s="15">
        <v>38</v>
      </c>
      <c r="K29" s="15">
        <v>20</v>
      </c>
      <c r="L29" s="15">
        <v>6</v>
      </c>
      <c r="M29" s="73">
        <v>12.16</v>
      </c>
      <c r="N29" s="88">
        <v>12.16</v>
      </c>
      <c r="O29" s="57">
        <v>7000</v>
      </c>
      <c r="P29" s="58">
        <f t="shared" si="1"/>
        <v>85120</v>
      </c>
    </row>
    <row r="30" spans="1:16" ht="26.25" customHeight="1" x14ac:dyDescent="0.2">
      <c r="A30" s="13"/>
      <c r="B30" s="67"/>
      <c r="C30" s="65" t="s">
        <v>186</v>
      </c>
      <c r="D30" s="70" t="s">
        <v>57</v>
      </c>
      <c r="E30" s="12">
        <v>44532</v>
      </c>
      <c r="F30" s="68" t="s">
        <v>71</v>
      </c>
      <c r="G30" s="12">
        <v>44537</v>
      </c>
      <c r="H30" s="69" t="s">
        <v>237</v>
      </c>
      <c r="I30" s="15">
        <v>38</v>
      </c>
      <c r="J30" s="15">
        <v>30</v>
      </c>
      <c r="K30" s="15">
        <v>20</v>
      </c>
      <c r="L30" s="15">
        <v>2</v>
      </c>
      <c r="M30" s="73">
        <v>5.7</v>
      </c>
      <c r="N30" s="88">
        <v>5.7</v>
      </c>
      <c r="O30" s="57">
        <v>7000</v>
      </c>
      <c r="P30" s="58">
        <f t="shared" si="1"/>
        <v>39900</v>
      </c>
    </row>
    <row r="31" spans="1:16" ht="26.25" customHeight="1" x14ac:dyDescent="0.2">
      <c r="A31" s="13"/>
      <c r="B31" s="67"/>
      <c r="C31" s="65" t="s">
        <v>187</v>
      </c>
      <c r="D31" s="70" t="s">
        <v>57</v>
      </c>
      <c r="E31" s="12">
        <v>44532</v>
      </c>
      <c r="F31" s="68" t="s">
        <v>71</v>
      </c>
      <c r="G31" s="12">
        <v>44537</v>
      </c>
      <c r="H31" s="69" t="s">
        <v>237</v>
      </c>
      <c r="I31" s="15">
        <v>80</v>
      </c>
      <c r="J31" s="15">
        <v>50</v>
      </c>
      <c r="K31" s="15">
        <v>30</v>
      </c>
      <c r="L31" s="15">
        <v>14</v>
      </c>
      <c r="M31" s="73">
        <v>30</v>
      </c>
      <c r="N31" s="88">
        <v>30</v>
      </c>
      <c r="O31" s="57">
        <v>7000</v>
      </c>
      <c r="P31" s="58">
        <f t="shared" si="1"/>
        <v>210000</v>
      </c>
    </row>
    <row r="32" spans="1:16" ht="26.25" customHeight="1" x14ac:dyDescent="0.2">
      <c r="A32" s="13"/>
      <c r="B32" s="67"/>
      <c r="C32" s="65" t="s">
        <v>188</v>
      </c>
      <c r="D32" s="70" t="s">
        <v>57</v>
      </c>
      <c r="E32" s="12">
        <v>44532</v>
      </c>
      <c r="F32" s="68" t="s">
        <v>71</v>
      </c>
      <c r="G32" s="12">
        <v>44537</v>
      </c>
      <c r="H32" s="69" t="s">
        <v>237</v>
      </c>
      <c r="I32" s="15">
        <v>87</v>
      </c>
      <c r="J32" s="15">
        <v>68</v>
      </c>
      <c r="K32" s="15">
        <v>25</v>
      </c>
      <c r="L32" s="15">
        <v>15</v>
      </c>
      <c r="M32" s="73">
        <v>36.975000000000001</v>
      </c>
      <c r="N32" s="88">
        <v>36.975000000000001</v>
      </c>
      <c r="O32" s="57">
        <v>7000</v>
      </c>
      <c r="P32" s="58">
        <f t="shared" si="1"/>
        <v>258825</v>
      </c>
    </row>
    <row r="33" spans="1:16" ht="26.25" customHeight="1" x14ac:dyDescent="0.2">
      <c r="A33" s="13"/>
      <c r="B33" s="67"/>
      <c r="C33" s="65" t="s">
        <v>189</v>
      </c>
      <c r="D33" s="70" t="s">
        <v>57</v>
      </c>
      <c r="E33" s="12">
        <v>44532</v>
      </c>
      <c r="F33" s="68" t="s">
        <v>71</v>
      </c>
      <c r="G33" s="12">
        <v>44537</v>
      </c>
      <c r="H33" s="69" t="s">
        <v>237</v>
      </c>
      <c r="I33" s="15">
        <v>55</v>
      </c>
      <c r="J33" s="15">
        <v>36</v>
      </c>
      <c r="K33" s="15">
        <v>10</v>
      </c>
      <c r="L33" s="15">
        <v>2</v>
      </c>
      <c r="M33" s="73">
        <v>4.95</v>
      </c>
      <c r="N33" s="88">
        <v>4.95</v>
      </c>
      <c r="O33" s="57">
        <v>7000</v>
      </c>
      <c r="P33" s="58">
        <f t="shared" si="1"/>
        <v>34650</v>
      </c>
    </row>
    <row r="34" spans="1:16" ht="26.25" customHeight="1" x14ac:dyDescent="0.2">
      <c r="A34" s="13"/>
      <c r="B34" s="67"/>
      <c r="C34" s="65" t="s">
        <v>190</v>
      </c>
      <c r="D34" s="70" t="s">
        <v>57</v>
      </c>
      <c r="E34" s="12">
        <v>44532</v>
      </c>
      <c r="F34" s="68" t="s">
        <v>71</v>
      </c>
      <c r="G34" s="12">
        <v>44537</v>
      </c>
      <c r="H34" s="69" t="s">
        <v>237</v>
      </c>
      <c r="I34" s="15">
        <v>60</v>
      </c>
      <c r="J34" s="15">
        <v>50</v>
      </c>
      <c r="K34" s="15">
        <v>15</v>
      </c>
      <c r="L34" s="15">
        <v>7</v>
      </c>
      <c r="M34" s="73">
        <v>11.25</v>
      </c>
      <c r="N34" s="88">
        <v>11.25</v>
      </c>
      <c r="O34" s="57">
        <v>7000</v>
      </c>
      <c r="P34" s="58">
        <f t="shared" si="1"/>
        <v>78750</v>
      </c>
    </row>
    <row r="35" spans="1:16" ht="26.25" customHeight="1" x14ac:dyDescent="0.2">
      <c r="A35" s="13"/>
      <c r="B35" s="67"/>
      <c r="C35" s="65" t="s">
        <v>191</v>
      </c>
      <c r="D35" s="70" t="s">
        <v>57</v>
      </c>
      <c r="E35" s="12">
        <v>44532</v>
      </c>
      <c r="F35" s="68" t="s">
        <v>71</v>
      </c>
      <c r="G35" s="12">
        <v>44537</v>
      </c>
      <c r="H35" s="69" t="s">
        <v>237</v>
      </c>
      <c r="I35" s="15">
        <v>66</v>
      </c>
      <c r="J35" s="15">
        <v>60</v>
      </c>
      <c r="K35" s="15">
        <v>27</v>
      </c>
      <c r="L35" s="15">
        <v>7</v>
      </c>
      <c r="M35" s="73">
        <v>26.73</v>
      </c>
      <c r="N35" s="88">
        <v>26.73</v>
      </c>
      <c r="O35" s="57">
        <v>7000</v>
      </c>
      <c r="P35" s="58">
        <f t="shared" si="1"/>
        <v>187110</v>
      </c>
    </row>
    <row r="36" spans="1:16" ht="26.25" customHeight="1" x14ac:dyDescent="0.2">
      <c r="A36" s="13"/>
      <c r="B36" s="67"/>
      <c r="C36" s="65" t="s">
        <v>192</v>
      </c>
      <c r="D36" s="70" t="s">
        <v>57</v>
      </c>
      <c r="E36" s="12">
        <v>44532</v>
      </c>
      <c r="F36" s="68" t="s">
        <v>71</v>
      </c>
      <c r="G36" s="12">
        <v>44537</v>
      </c>
      <c r="H36" s="69" t="s">
        <v>237</v>
      </c>
      <c r="I36" s="15">
        <v>44</v>
      </c>
      <c r="J36" s="15">
        <v>38</v>
      </c>
      <c r="K36" s="15">
        <v>17</v>
      </c>
      <c r="L36" s="15">
        <v>3</v>
      </c>
      <c r="M36" s="73">
        <v>7.1059999999999999</v>
      </c>
      <c r="N36" s="88">
        <v>7.1059999999999999</v>
      </c>
      <c r="O36" s="57">
        <v>7000</v>
      </c>
      <c r="P36" s="58">
        <f t="shared" si="1"/>
        <v>49742</v>
      </c>
    </row>
    <row r="37" spans="1:16" ht="26.25" customHeight="1" x14ac:dyDescent="0.2">
      <c r="A37" s="13"/>
      <c r="B37" s="67"/>
      <c r="C37" s="65" t="s">
        <v>193</v>
      </c>
      <c r="D37" s="70" t="s">
        <v>57</v>
      </c>
      <c r="E37" s="12">
        <v>44532</v>
      </c>
      <c r="F37" s="68" t="s">
        <v>71</v>
      </c>
      <c r="G37" s="12">
        <v>44537</v>
      </c>
      <c r="H37" s="69" t="s">
        <v>237</v>
      </c>
      <c r="I37" s="15">
        <v>76</v>
      </c>
      <c r="J37" s="15">
        <v>58</v>
      </c>
      <c r="K37" s="15">
        <v>18</v>
      </c>
      <c r="L37" s="15">
        <v>6</v>
      </c>
      <c r="M37" s="73">
        <v>19.835999999999999</v>
      </c>
      <c r="N37" s="88">
        <v>19.835999999999999</v>
      </c>
      <c r="O37" s="57">
        <v>7000</v>
      </c>
      <c r="P37" s="58">
        <f t="shared" si="1"/>
        <v>138852</v>
      </c>
    </row>
    <row r="38" spans="1:16" ht="26.25" customHeight="1" x14ac:dyDescent="0.2">
      <c r="A38" s="13"/>
      <c r="B38" s="67"/>
      <c r="C38" s="65" t="s">
        <v>194</v>
      </c>
      <c r="D38" s="70" t="s">
        <v>57</v>
      </c>
      <c r="E38" s="12">
        <v>44532</v>
      </c>
      <c r="F38" s="68" t="s">
        <v>71</v>
      </c>
      <c r="G38" s="12">
        <v>44537</v>
      </c>
      <c r="H38" s="69" t="s">
        <v>237</v>
      </c>
      <c r="I38" s="15">
        <v>80</v>
      </c>
      <c r="J38" s="15">
        <v>65</v>
      </c>
      <c r="K38" s="15">
        <v>35</v>
      </c>
      <c r="L38" s="15">
        <v>15</v>
      </c>
      <c r="M38" s="73">
        <v>45.5</v>
      </c>
      <c r="N38" s="88">
        <v>47</v>
      </c>
      <c r="O38" s="57">
        <v>7000</v>
      </c>
      <c r="P38" s="58">
        <f t="shared" si="1"/>
        <v>329000</v>
      </c>
    </row>
    <row r="39" spans="1:16" ht="26.25" customHeight="1" x14ac:dyDescent="0.2">
      <c r="A39" s="13"/>
      <c r="B39" s="67"/>
      <c r="C39" s="65" t="s">
        <v>195</v>
      </c>
      <c r="D39" s="70" t="s">
        <v>57</v>
      </c>
      <c r="E39" s="12">
        <v>44532</v>
      </c>
      <c r="F39" s="68" t="s">
        <v>71</v>
      </c>
      <c r="G39" s="12">
        <v>44537</v>
      </c>
      <c r="H39" s="69" t="s">
        <v>237</v>
      </c>
      <c r="I39" s="15">
        <v>22</v>
      </c>
      <c r="J39" s="15">
        <v>22</v>
      </c>
      <c r="K39" s="15">
        <v>7</v>
      </c>
      <c r="L39" s="15">
        <v>5</v>
      </c>
      <c r="M39" s="73">
        <v>0.84699999999999998</v>
      </c>
      <c r="N39" s="88">
        <v>5</v>
      </c>
      <c r="O39" s="57">
        <v>7000</v>
      </c>
      <c r="P39" s="58">
        <f t="shared" si="1"/>
        <v>35000</v>
      </c>
    </row>
    <row r="40" spans="1:16" ht="26.25" customHeight="1" x14ac:dyDescent="0.2">
      <c r="A40" s="13"/>
      <c r="B40" s="67"/>
      <c r="C40" s="65" t="s">
        <v>196</v>
      </c>
      <c r="D40" s="70" t="s">
        <v>57</v>
      </c>
      <c r="E40" s="12">
        <v>44532</v>
      </c>
      <c r="F40" s="68" t="s">
        <v>71</v>
      </c>
      <c r="G40" s="12">
        <v>44537</v>
      </c>
      <c r="H40" s="69" t="s">
        <v>237</v>
      </c>
      <c r="I40" s="15">
        <v>40</v>
      </c>
      <c r="J40" s="15">
        <v>27</v>
      </c>
      <c r="K40" s="15">
        <v>20</v>
      </c>
      <c r="L40" s="15">
        <v>2</v>
      </c>
      <c r="M40" s="73">
        <v>5.4</v>
      </c>
      <c r="N40" s="88">
        <v>6</v>
      </c>
      <c r="O40" s="57">
        <v>7000</v>
      </c>
      <c r="P40" s="58">
        <f t="shared" si="1"/>
        <v>42000</v>
      </c>
    </row>
    <row r="41" spans="1:16" ht="26.25" customHeight="1" x14ac:dyDescent="0.2">
      <c r="A41" s="13"/>
      <c r="B41" s="67"/>
      <c r="C41" s="65" t="s">
        <v>197</v>
      </c>
      <c r="D41" s="70" t="s">
        <v>57</v>
      </c>
      <c r="E41" s="12">
        <v>44532</v>
      </c>
      <c r="F41" s="68" t="s">
        <v>71</v>
      </c>
      <c r="G41" s="12">
        <v>44537</v>
      </c>
      <c r="H41" s="69" t="s">
        <v>237</v>
      </c>
      <c r="I41" s="15">
        <v>45</v>
      </c>
      <c r="J41" s="15">
        <v>40</v>
      </c>
      <c r="K41" s="15">
        <v>30</v>
      </c>
      <c r="L41" s="15">
        <v>18</v>
      </c>
      <c r="M41" s="73">
        <v>13.5</v>
      </c>
      <c r="N41" s="88">
        <v>19</v>
      </c>
      <c r="O41" s="57">
        <v>7000</v>
      </c>
      <c r="P41" s="58">
        <f t="shared" si="1"/>
        <v>133000</v>
      </c>
    </row>
    <row r="42" spans="1:16" ht="26.25" customHeight="1" x14ac:dyDescent="0.2">
      <c r="A42" s="13"/>
      <c r="B42" s="67"/>
      <c r="C42" s="65" t="s">
        <v>198</v>
      </c>
      <c r="D42" s="70" t="s">
        <v>57</v>
      </c>
      <c r="E42" s="12">
        <v>44532</v>
      </c>
      <c r="F42" s="68" t="s">
        <v>71</v>
      </c>
      <c r="G42" s="12">
        <v>44537</v>
      </c>
      <c r="H42" s="69" t="s">
        <v>237</v>
      </c>
      <c r="I42" s="15">
        <v>70</v>
      </c>
      <c r="J42" s="15">
        <v>60</v>
      </c>
      <c r="K42" s="15">
        <v>30</v>
      </c>
      <c r="L42" s="15">
        <v>10</v>
      </c>
      <c r="M42" s="73">
        <v>31.5</v>
      </c>
      <c r="N42" s="88">
        <v>33</v>
      </c>
      <c r="O42" s="57">
        <v>7000</v>
      </c>
      <c r="P42" s="58">
        <f t="shared" si="1"/>
        <v>231000</v>
      </c>
    </row>
    <row r="43" spans="1:16" ht="26.25" customHeight="1" x14ac:dyDescent="0.2">
      <c r="A43" s="13"/>
      <c r="B43" s="67"/>
      <c r="C43" s="65" t="s">
        <v>199</v>
      </c>
      <c r="D43" s="70" t="s">
        <v>57</v>
      </c>
      <c r="E43" s="12">
        <v>44532</v>
      </c>
      <c r="F43" s="68" t="s">
        <v>71</v>
      </c>
      <c r="G43" s="12">
        <v>44537</v>
      </c>
      <c r="H43" s="69" t="s">
        <v>237</v>
      </c>
      <c r="I43" s="15">
        <v>87</v>
      </c>
      <c r="J43" s="15">
        <v>65</v>
      </c>
      <c r="K43" s="15">
        <v>22</v>
      </c>
      <c r="L43" s="15">
        <v>9</v>
      </c>
      <c r="M43" s="73">
        <v>31.102499999999999</v>
      </c>
      <c r="N43" s="88">
        <v>31.102499999999999</v>
      </c>
      <c r="O43" s="57">
        <v>7000</v>
      </c>
      <c r="P43" s="58">
        <f t="shared" si="1"/>
        <v>217717.5</v>
      </c>
    </row>
    <row r="44" spans="1:16" ht="26.25" customHeight="1" x14ac:dyDescent="0.2">
      <c r="A44" s="13"/>
      <c r="B44" s="67"/>
      <c r="C44" s="65" t="s">
        <v>200</v>
      </c>
      <c r="D44" s="70" t="s">
        <v>57</v>
      </c>
      <c r="E44" s="12">
        <v>44532</v>
      </c>
      <c r="F44" s="68" t="s">
        <v>71</v>
      </c>
      <c r="G44" s="12">
        <v>44537</v>
      </c>
      <c r="H44" s="69" t="s">
        <v>237</v>
      </c>
      <c r="I44" s="15">
        <v>93</v>
      </c>
      <c r="J44" s="15">
        <v>62</v>
      </c>
      <c r="K44" s="15">
        <v>20</v>
      </c>
      <c r="L44" s="15">
        <v>25</v>
      </c>
      <c r="M44" s="73">
        <v>28.83</v>
      </c>
      <c r="N44" s="88">
        <v>28.83</v>
      </c>
      <c r="O44" s="57">
        <v>7000</v>
      </c>
      <c r="P44" s="58">
        <f t="shared" si="1"/>
        <v>201810</v>
      </c>
    </row>
    <row r="45" spans="1:16" ht="26.25" customHeight="1" x14ac:dyDescent="0.2">
      <c r="A45" s="13"/>
      <c r="B45" s="67"/>
      <c r="C45" s="65" t="s">
        <v>201</v>
      </c>
      <c r="D45" s="70" t="s">
        <v>57</v>
      </c>
      <c r="E45" s="12">
        <v>44532</v>
      </c>
      <c r="F45" s="68" t="s">
        <v>71</v>
      </c>
      <c r="G45" s="12">
        <v>44537</v>
      </c>
      <c r="H45" s="69" t="s">
        <v>237</v>
      </c>
      <c r="I45" s="15">
        <v>60</v>
      </c>
      <c r="J45" s="15">
        <v>50</v>
      </c>
      <c r="K45" s="15">
        <v>30</v>
      </c>
      <c r="L45" s="15">
        <v>6</v>
      </c>
      <c r="M45" s="73">
        <v>22.5</v>
      </c>
      <c r="N45" s="88">
        <v>24</v>
      </c>
      <c r="O45" s="57">
        <v>7000</v>
      </c>
      <c r="P45" s="58">
        <f t="shared" si="1"/>
        <v>168000</v>
      </c>
    </row>
    <row r="46" spans="1:16" ht="26.25" customHeight="1" x14ac:dyDescent="0.2">
      <c r="A46" s="13"/>
      <c r="B46" s="67"/>
      <c r="C46" s="65" t="s">
        <v>202</v>
      </c>
      <c r="D46" s="70" t="s">
        <v>57</v>
      </c>
      <c r="E46" s="12">
        <v>44532</v>
      </c>
      <c r="F46" s="68" t="s">
        <v>71</v>
      </c>
      <c r="G46" s="12">
        <v>44537</v>
      </c>
      <c r="H46" s="69" t="s">
        <v>237</v>
      </c>
      <c r="I46" s="15">
        <v>78</v>
      </c>
      <c r="J46" s="15">
        <v>67</v>
      </c>
      <c r="K46" s="15">
        <v>27</v>
      </c>
      <c r="L46" s="15">
        <v>15</v>
      </c>
      <c r="M46" s="73">
        <v>35.275500000000001</v>
      </c>
      <c r="N46" s="88">
        <v>35.275500000000001</v>
      </c>
      <c r="O46" s="57">
        <v>7000</v>
      </c>
      <c r="P46" s="58">
        <f t="shared" si="1"/>
        <v>246928.5</v>
      </c>
    </row>
    <row r="47" spans="1:16" ht="26.25" customHeight="1" x14ac:dyDescent="0.2">
      <c r="A47" s="13"/>
      <c r="B47" s="67"/>
      <c r="C47" s="65" t="s">
        <v>203</v>
      </c>
      <c r="D47" s="70" t="s">
        <v>57</v>
      </c>
      <c r="E47" s="12">
        <v>44532</v>
      </c>
      <c r="F47" s="68" t="s">
        <v>71</v>
      </c>
      <c r="G47" s="12">
        <v>44537</v>
      </c>
      <c r="H47" s="69" t="s">
        <v>237</v>
      </c>
      <c r="I47" s="15">
        <v>110</v>
      </c>
      <c r="J47" s="15">
        <v>65</v>
      </c>
      <c r="K47" s="15">
        <v>30</v>
      </c>
      <c r="L47" s="15">
        <v>28</v>
      </c>
      <c r="M47" s="73">
        <v>53.625</v>
      </c>
      <c r="N47" s="88">
        <v>53.625</v>
      </c>
      <c r="O47" s="57">
        <v>7000</v>
      </c>
      <c r="P47" s="58">
        <f t="shared" si="1"/>
        <v>375375</v>
      </c>
    </row>
    <row r="48" spans="1:16" ht="26.25" customHeight="1" x14ac:dyDescent="0.2">
      <c r="A48" s="13"/>
      <c r="B48" s="67"/>
      <c r="C48" s="65" t="s">
        <v>204</v>
      </c>
      <c r="D48" s="70" t="s">
        <v>57</v>
      </c>
      <c r="E48" s="12">
        <v>44532</v>
      </c>
      <c r="F48" s="68" t="s">
        <v>71</v>
      </c>
      <c r="G48" s="12">
        <v>44537</v>
      </c>
      <c r="H48" s="69" t="s">
        <v>237</v>
      </c>
      <c r="I48" s="15">
        <v>57</v>
      </c>
      <c r="J48" s="15">
        <v>37</v>
      </c>
      <c r="K48" s="15">
        <v>20</v>
      </c>
      <c r="L48" s="15">
        <v>9</v>
      </c>
      <c r="M48" s="73">
        <v>10.545</v>
      </c>
      <c r="N48" s="88">
        <v>10.545</v>
      </c>
      <c r="O48" s="57">
        <v>7000</v>
      </c>
      <c r="P48" s="58">
        <f t="shared" si="1"/>
        <v>73815</v>
      </c>
    </row>
    <row r="49" spans="1:16" ht="26.25" customHeight="1" x14ac:dyDescent="0.2">
      <c r="A49" s="13"/>
      <c r="B49" s="67"/>
      <c r="C49" s="65" t="s">
        <v>205</v>
      </c>
      <c r="D49" s="70" t="s">
        <v>57</v>
      </c>
      <c r="E49" s="12">
        <v>44532</v>
      </c>
      <c r="F49" s="68" t="s">
        <v>71</v>
      </c>
      <c r="G49" s="12">
        <v>44537</v>
      </c>
      <c r="H49" s="69" t="s">
        <v>237</v>
      </c>
      <c r="I49" s="15">
        <v>30</v>
      </c>
      <c r="J49" s="15">
        <v>30</v>
      </c>
      <c r="K49" s="15">
        <v>30</v>
      </c>
      <c r="L49" s="15">
        <v>5</v>
      </c>
      <c r="M49" s="73">
        <v>6.75</v>
      </c>
      <c r="N49" s="88">
        <v>6.75</v>
      </c>
      <c r="O49" s="57">
        <v>7000</v>
      </c>
      <c r="P49" s="58">
        <f t="shared" si="1"/>
        <v>47250</v>
      </c>
    </row>
    <row r="50" spans="1:16" ht="26.25" customHeight="1" x14ac:dyDescent="0.2">
      <c r="A50" s="13"/>
      <c r="B50" s="67"/>
      <c r="C50" s="65" t="s">
        <v>206</v>
      </c>
      <c r="D50" s="70" t="s">
        <v>57</v>
      </c>
      <c r="E50" s="12">
        <v>44532</v>
      </c>
      <c r="F50" s="68" t="s">
        <v>71</v>
      </c>
      <c r="G50" s="12">
        <v>44537</v>
      </c>
      <c r="H50" s="69" t="s">
        <v>237</v>
      </c>
      <c r="I50" s="15">
        <v>62</v>
      </c>
      <c r="J50" s="15">
        <v>66</v>
      </c>
      <c r="K50" s="15">
        <v>40</v>
      </c>
      <c r="L50" s="15">
        <v>11</v>
      </c>
      <c r="M50" s="73">
        <v>40.92</v>
      </c>
      <c r="N50" s="88">
        <v>40.92</v>
      </c>
      <c r="O50" s="57">
        <v>7000</v>
      </c>
      <c r="P50" s="58">
        <f t="shared" si="1"/>
        <v>286440</v>
      </c>
    </row>
    <row r="51" spans="1:16" ht="26.25" customHeight="1" x14ac:dyDescent="0.2">
      <c r="A51" s="13"/>
      <c r="B51" s="67"/>
      <c r="C51" s="65" t="s">
        <v>207</v>
      </c>
      <c r="D51" s="70" t="s">
        <v>57</v>
      </c>
      <c r="E51" s="12">
        <v>44532</v>
      </c>
      <c r="F51" s="68" t="s">
        <v>71</v>
      </c>
      <c r="G51" s="12">
        <v>44537</v>
      </c>
      <c r="H51" s="69" t="s">
        <v>237</v>
      </c>
      <c r="I51" s="15">
        <v>70</v>
      </c>
      <c r="J51" s="15">
        <v>30</v>
      </c>
      <c r="K51" s="15">
        <v>25</v>
      </c>
      <c r="L51" s="15">
        <v>3</v>
      </c>
      <c r="M51" s="73">
        <v>13.125</v>
      </c>
      <c r="N51" s="88">
        <v>13.125</v>
      </c>
      <c r="O51" s="57">
        <v>7000</v>
      </c>
      <c r="P51" s="58">
        <f t="shared" si="1"/>
        <v>91875</v>
      </c>
    </row>
    <row r="52" spans="1:16" ht="26.25" customHeight="1" x14ac:dyDescent="0.2">
      <c r="A52" s="13"/>
      <c r="B52" s="67"/>
      <c r="C52" s="65" t="s">
        <v>208</v>
      </c>
      <c r="D52" s="70" t="s">
        <v>57</v>
      </c>
      <c r="E52" s="12">
        <v>44532</v>
      </c>
      <c r="F52" s="68" t="s">
        <v>71</v>
      </c>
      <c r="G52" s="12">
        <v>44537</v>
      </c>
      <c r="H52" s="69" t="s">
        <v>237</v>
      </c>
      <c r="I52" s="15">
        <v>70</v>
      </c>
      <c r="J52" s="15">
        <v>62</v>
      </c>
      <c r="K52" s="15">
        <v>20</v>
      </c>
      <c r="L52" s="15">
        <v>7</v>
      </c>
      <c r="M52" s="73">
        <v>21.7</v>
      </c>
      <c r="N52" s="88">
        <v>21.7</v>
      </c>
      <c r="O52" s="57">
        <v>7000</v>
      </c>
      <c r="P52" s="58">
        <f t="shared" si="1"/>
        <v>151900</v>
      </c>
    </row>
    <row r="53" spans="1:16" ht="26.25" customHeight="1" x14ac:dyDescent="0.2">
      <c r="A53" s="13"/>
      <c r="B53" s="67"/>
      <c r="C53" s="65" t="s">
        <v>209</v>
      </c>
      <c r="D53" s="70" t="s">
        <v>57</v>
      </c>
      <c r="E53" s="12">
        <v>44532</v>
      </c>
      <c r="F53" s="68" t="s">
        <v>71</v>
      </c>
      <c r="G53" s="12">
        <v>44537</v>
      </c>
      <c r="H53" s="69" t="s">
        <v>237</v>
      </c>
      <c r="I53" s="15">
        <v>30</v>
      </c>
      <c r="J53" s="15">
        <v>30</v>
      </c>
      <c r="K53" s="15">
        <v>30</v>
      </c>
      <c r="L53" s="15">
        <v>5</v>
      </c>
      <c r="M53" s="73">
        <v>6.75</v>
      </c>
      <c r="N53" s="88">
        <v>6.75</v>
      </c>
      <c r="O53" s="57">
        <v>7000</v>
      </c>
      <c r="P53" s="58">
        <f t="shared" si="1"/>
        <v>47250</v>
      </c>
    </row>
    <row r="54" spans="1:16" ht="26.25" customHeight="1" x14ac:dyDescent="0.2">
      <c r="A54" s="13"/>
      <c r="B54" s="67"/>
      <c r="C54" s="65" t="s">
        <v>210</v>
      </c>
      <c r="D54" s="70" t="s">
        <v>57</v>
      </c>
      <c r="E54" s="12">
        <v>44532</v>
      </c>
      <c r="F54" s="68" t="s">
        <v>71</v>
      </c>
      <c r="G54" s="12">
        <v>44537</v>
      </c>
      <c r="H54" s="69" t="s">
        <v>237</v>
      </c>
      <c r="I54" s="15">
        <v>30</v>
      </c>
      <c r="J54" s="15">
        <v>30</v>
      </c>
      <c r="K54" s="15">
        <v>30</v>
      </c>
      <c r="L54" s="15">
        <v>5</v>
      </c>
      <c r="M54" s="73">
        <v>6.75</v>
      </c>
      <c r="N54" s="88">
        <v>6.75</v>
      </c>
      <c r="O54" s="57">
        <v>7000</v>
      </c>
      <c r="P54" s="58">
        <f t="shared" si="1"/>
        <v>47250</v>
      </c>
    </row>
    <row r="55" spans="1:16" ht="26.25" customHeight="1" x14ac:dyDescent="0.2">
      <c r="A55" s="13"/>
      <c r="B55" s="67"/>
      <c r="C55" s="65" t="s">
        <v>211</v>
      </c>
      <c r="D55" s="70" t="s">
        <v>57</v>
      </c>
      <c r="E55" s="12">
        <v>44532</v>
      </c>
      <c r="F55" s="68" t="s">
        <v>71</v>
      </c>
      <c r="G55" s="12">
        <v>44537</v>
      </c>
      <c r="H55" s="69" t="s">
        <v>237</v>
      </c>
      <c r="I55" s="15">
        <v>60</v>
      </c>
      <c r="J55" s="15">
        <v>25</v>
      </c>
      <c r="K55" s="15">
        <v>20</v>
      </c>
      <c r="L55" s="15">
        <v>2</v>
      </c>
      <c r="M55" s="73">
        <v>7.5</v>
      </c>
      <c r="N55" s="88">
        <v>9</v>
      </c>
      <c r="O55" s="57">
        <v>7000</v>
      </c>
      <c r="P55" s="58">
        <f t="shared" si="1"/>
        <v>63000</v>
      </c>
    </row>
    <row r="56" spans="1:16" ht="26.25" customHeight="1" x14ac:dyDescent="0.2">
      <c r="A56" s="13"/>
      <c r="B56" s="67"/>
      <c r="C56" s="65" t="s">
        <v>212</v>
      </c>
      <c r="D56" s="70" t="s">
        <v>57</v>
      </c>
      <c r="E56" s="12">
        <v>44532</v>
      </c>
      <c r="F56" s="68" t="s">
        <v>71</v>
      </c>
      <c r="G56" s="12">
        <v>44537</v>
      </c>
      <c r="H56" s="69" t="s">
        <v>237</v>
      </c>
      <c r="I56" s="15">
        <v>37</v>
      </c>
      <c r="J56" s="15">
        <v>25</v>
      </c>
      <c r="K56" s="15">
        <v>12</v>
      </c>
      <c r="L56" s="15">
        <v>2</v>
      </c>
      <c r="M56" s="73">
        <v>2.7749999999999999</v>
      </c>
      <c r="N56" s="88">
        <v>2.7749999999999999</v>
      </c>
      <c r="O56" s="57">
        <v>7000</v>
      </c>
      <c r="P56" s="58">
        <f t="shared" si="1"/>
        <v>19425</v>
      </c>
    </row>
    <row r="57" spans="1:16" ht="26.25" customHeight="1" x14ac:dyDescent="0.2">
      <c r="A57" s="13"/>
      <c r="B57" s="67"/>
      <c r="C57" s="65" t="s">
        <v>213</v>
      </c>
      <c r="D57" s="70" t="s">
        <v>57</v>
      </c>
      <c r="E57" s="12">
        <v>44532</v>
      </c>
      <c r="F57" s="68" t="s">
        <v>71</v>
      </c>
      <c r="G57" s="12">
        <v>44537</v>
      </c>
      <c r="H57" s="69" t="s">
        <v>237</v>
      </c>
      <c r="I57" s="15">
        <v>45</v>
      </c>
      <c r="J57" s="15">
        <v>40</v>
      </c>
      <c r="K57" s="15">
        <v>40</v>
      </c>
      <c r="L57" s="15">
        <v>40</v>
      </c>
      <c r="M57" s="73">
        <v>18</v>
      </c>
      <c r="N57" s="88">
        <v>40</v>
      </c>
      <c r="O57" s="57">
        <v>7000</v>
      </c>
      <c r="P57" s="58">
        <f t="shared" si="1"/>
        <v>280000</v>
      </c>
    </row>
    <row r="58" spans="1:16" ht="26.25" customHeight="1" x14ac:dyDescent="0.2">
      <c r="A58" s="13"/>
      <c r="B58" s="67"/>
      <c r="C58" s="65" t="s">
        <v>214</v>
      </c>
      <c r="D58" s="70" t="s">
        <v>57</v>
      </c>
      <c r="E58" s="12">
        <v>44532</v>
      </c>
      <c r="F58" s="68" t="s">
        <v>71</v>
      </c>
      <c r="G58" s="12">
        <v>44537</v>
      </c>
      <c r="H58" s="69" t="s">
        <v>237</v>
      </c>
      <c r="I58" s="15">
        <v>70</v>
      </c>
      <c r="J58" s="15">
        <v>50</v>
      </c>
      <c r="K58" s="15">
        <v>30</v>
      </c>
      <c r="L58" s="15">
        <v>26</v>
      </c>
      <c r="M58" s="73">
        <v>26.25</v>
      </c>
      <c r="N58" s="88">
        <v>26.25</v>
      </c>
      <c r="O58" s="57">
        <v>7000</v>
      </c>
      <c r="P58" s="58">
        <f t="shared" si="1"/>
        <v>183750</v>
      </c>
    </row>
    <row r="59" spans="1:16" ht="26.25" customHeight="1" x14ac:dyDescent="0.2">
      <c r="A59" s="13"/>
      <c r="B59" s="67"/>
      <c r="C59" s="65" t="s">
        <v>215</v>
      </c>
      <c r="D59" s="70" t="s">
        <v>57</v>
      </c>
      <c r="E59" s="12">
        <v>44532</v>
      </c>
      <c r="F59" s="68" t="s">
        <v>71</v>
      </c>
      <c r="G59" s="12">
        <v>44537</v>
      </c>
      <c r="H59" s="69" t="s">
        <v>237</v>
      </c>
      <c r="I59" s="15">
        <v>40</v>
      </c>
      <c r="J59" s="15">
        <v>43</v>
      </c>
      <c r="K59" s="15">
        <v>30</v>
      </c>
      <c r="L59" s="15">
        <v>9</v>
      </c>
      <c r="M59" s="73">
        <v>12.9</v>
      </c>
      <c r="N59" s="88">
        <v>12.9</v>
      </c>
      <c r="O59" s="57">
        <v>7000</v>
      </c>
      <c r="P59" s="58">
        <f t="shared" si="1"/>
        <v>90300</v>
      </c>
    </row>
    <row r="60" spans="1:16" ht="26.25" customHeight="1" x14ac:dyDescent="0.2">
      <c r="A60" s="13"/>
      <c r="B60" s="67"/>
      <c r="C60" s="65" t="s">
        <v>216</v>
      </c>
      <c r="D60" s="70" t="s">
        <v>57</v>
      </c>
      <c r="E60" s="12">
        <v>44532</v>
      </c>
      <c r="F60" s="68" t="s">
        <v>71</v>
      </c>
      <c r="G60" s="12">
        <v>44537</v>
      </c>
      <c r="H60" s="69" t="s">
        <v>237</v>
      </c>
      <c r="I60" s="15">
        <v>37</v>
      </c>
      <c r="J60" s="15">
        <v>28</v>
      </c>
      <c r="K60" s="15">
        <v>35</v>
      </c>
      <c r="L60" s="15">
        <v>8</v>
      </c>
      <c r="M60" s="73">
        <v>9.0649999999999995</v>
      </c>
      <c r="N60" s="88">
        <v>9.0649999999999995</v>
      </c>
      <c r="O60" s="57">
        <v>7000</v>
      </c>
      <c r="P60" s="58">
        <f t="shared" si="1"/>
        <v>63455</v>
      </c>
    </row>
    <row r="61" spans="1:16" ht="26.25" customHeight="1" x14ac:dyDescent="0.2">
      <c r="A61" s="13"/>
      <c r="B61" s="67"/>
      <c r="C61" s="65" t="s">
        <v>217</v>
      </c>
      <c r="D61" s="70" t="s">
        <v>57</v>
      </c>
      <c r="E61" s="12">
        <v>44532</v>
      </c>
      <c r="F61" s="68" t="s">
        <v>71</v>
      </c>
      <c r="G61" s="12">
        <v>44537</v>
      </c>
      <c r="H61" s="69" t="s">
        <v>237</v>
      </c>
      <c r="I61" s="15">
        <v>36</v>
      </c>
      <c r="J61" s="15">
        <v>30</v>
      </c>
      <c r="K61" s="15">
        <v>40</v>
      </c>
      <c r="L61" s="15">
        <v>15</v>
      </c>
      <c r="M61" s="73">
        <v>10.8</v>
      </c>
      <c r="N61" s="88">
        <v>15</v>
      </c>
      <c r="O61" s="57">
        <v>7000</v>
      </c>
      <c r="P61" s="58">
        <f t="shared" si="1"/>
        <v>105000</v>
      </c>
    </row>
    <row r="62" spans="1:16" ht="26.25" customHeight="1" x14ac:dyDescent="0.2">
      <c r="A62" s="13"/>
      <c r="B62" s="67"/>
      <c r="C62" s="65" t="s">
        <v>218</v>
      </c>
      <c r="D62" s="70" t="s">
        <v>57</v>
      </c>
      <c r="E62" s="12">
        <v>44532</v>
      </c>
      <c r="F62" s="68" t="s">
        <v>71</v>
      </c>
      <c r="G62" s="12">
        <v>44537</v>
      </c>
      <c r="H62" s="69" t="s">
        <v>237</v>
      </c>
      <c r="I62" s="15">
        <v>153</v>
      </c>
      <c r="J62" s="15">
        <v>16</v>
      </c>
      <c r="K62" s="15">
        <v>16</v>
      </c>
      <c r="L62" s="15">
        <v>13</v>
      </c>
      <c r="M62" s="73">
        <v>9.7919999999999998</v>
      </c>
      <c r="N62" s="88">
        <v>13</v>
      </c>
      <c r="O62" s="57">
        <v>7000</v>
      </c>
      <c r="P62" s="58">
        <f t="shared" si="1"/>
        <v>91000</v>
      </c>
    </row>
    <row r="63" spans="1:16" ht="26.25" customHeight="1" x14ac:dyDescent="0.2">
      <c r="A63" s="13"/>
      <c r="B63" s="67"/>
      <c r="C63" s="65" t="s">
        <v>219</v>
      </c>
      <c r="D63" s="70" t="s">
        <v>57</v>
      </c>
      <c r="E63" s="12">
        <v>44532</v>
      </c>
      <c r="F63" s="68" t="s">
        <v>71</v>
      </c>
      <c r="G63" s="12">
        <v>44537</v>
      </c>
      <c r="H63" s="69" t="s">
        <v>237</v>
      </c>
      <c r="I63" s="15">
        <v>65</v>
      </c>
      <c r="J63" s="15">
        <v>37</v>
      </c>
      <c r="K63" s="15">
        <v>25</v>
      </c>
      <c r="L63" s="15">
        <v>13</v>
      </c>
      <c r="M63" s="73">
        <v>15.03125</v>
      </c>
      <c r="N63" s="88">
        <v>15.03125</v>
      </c>
      <c r="O63" s="57">
        <v>7000</v>
      </c>
      <c r="P63" s="58">
        <f t="shared" si="1"/>
        <v>105218.75</v>
      </c>
    </row>
    <row r="64" spans="1:16" ht="26.25" customHeight="1" x14ac:dyDescent="0.2">
      <c r="A64" s="13"/>
      <c r="B64" s="67"/>
      <c r="C64" s="65" t="s">
        <v>220</v>
      </c>
      <c r="D64" s="70" t="s">
        <v>57</v>
      </c>
      <c r="E64" s="12">
        <v>44532</v>
      </c>
      <c r="F64" s="68" t="s">
        <v>71</v>
      </c>
      <c r="G64" s="12">
        <v>44537</v>
      </c>
      <c r="H64" s="69" t="s">
        <v>237</v>
      </c>
      <c r="I64" s="15">
        <v>40</v>
      </c>
      <c r="J64" s="15">
        <v>40</v>
      </c>
      <c r="K64" s="15">
        <v>48</v>
      </c>
      <c r="L64" s="15">
        <v>10</v>
      </c>
      <c r="M64" s="73">
        <v>19.2</v>
      </c>
      <c r="N64" s="88">
        <v>19.2</v>
      </c>
      <c r="O64" s="57">
        <v>7000</v>
      </c>
      <c r="P64" s="58">
        <f t="shared" si="1"/>
        <v>134400</v>
      </c>
    </row>
    <row r="65" spans="1:16" ht="26.25" customHeight="1" x14ac:dyDescent="0.2">
      <c r="A65" s="13"/>
      <c r="B65" s="67"/>
      <c r="C65" s="65" t="s">
        <v>221</v>
      </c>
      <c r="D65" s="70" t="s">
        <v>57</v>
      </c>
      <c r="E65" s="12">
        <v>44532</v>
      </c>
      <c r="F65" s="68" t="s">
        <v>71</v>
      </c>
      <c r="G65" s="12">
        <v>44537</v>
      </c>
      <c r="H65" s="69" t="s">
        <v>237</v>
      </c>
      <c r="I65" s="15">
        <v>43</v>
      </c>
      <c r="J65" s="15">
        <v>27</v>
      </c>
      <c r="K65" s="15">
        <v>27</v>
      </c>
      <c r="L65" s="15">
        <v>5</v>
      </c>
      <c r="M65" s="73">
        <v>7.8367500000000003</v>
      </c>
      <c r="N65" s="88">
        <v>7.8367500000000003</v>
      </c>
      <c r="O65" s="57">
        <v>7000</v>
      </c>
      <c r="P65" s="58">
        <f t="shared" si="1"/>
        <v>54857.25</v>
      </c>
    </row>
    <row r="66" spans="1:16" ht="26.25" customHeight="1" x14ac:dyDescent="0.2">
      <c r="A66" s="13"/>
      <c r="B66" s="67"/>
      <c r="C66" s="65" t="s">
        <v>222</v>
      </c>
      <c r="D66" s="70" t="s">
        <v>57</v>
      </c>
      <c r="E66" s="12">
        <v>44532</v>
      </c>
      <c r="F66" s="68" t="s">
        <v>71</v>
      </c>
      <c r="G66" s="12">
        <v>44537</v>
      </c>
      <c r="H66" s="69" t="s">
        <v>237</v>
      </c>
      <c r="I66" s="15">
        <v>35</v>
      </c>
      <c r="J66" s="15">
        <v>35</v>
      </c>
      <c r="K66" s="15">
        <v>30</v>
      </c>
      <c r="L66" s="15">
        <v>8</v>
      </c>
      <c r="M66" s="73">
        <v>9.1875</v>
      </c>
      <c r="N66" s="88">
        <v>9.1875</v>
      </c>
      <c r="O66" s="57">
        <v>7000</v>
      </c>
      <c r="P66" s="58">
        <f t="shared" si="1"/>
        <v>64312.5</v>
      </c>
    </row>
    <row r="67" spans="1:16" ht="26.25" customHeight="1" x14ac:dyDescent="0.2">
      <c r="A67" s="13"/>
      <c r="B67" s="67"/>
      <c r="C67" s="65" t="s">
        <v>223</v>
      </c>
      <c r="D67" s="70" t="s">
        <v>57</v>
      </c>
      <c r="E67" s="12">
        <v>44532</v>
      </c>
      <c r="F67" s="68" t="s">
        <v>71</v>
      </c>
      <c r="G67" s="12">
        <v>44537</v>
      </c>
      <c r="H67" s="69" t="s">
        <v>237</v>
      </c>
      <c r="I67" s="15">
        <v>104</v>
      </c>
      <c r="J67" s="15">
        <v>10</v>
      </c>
      <c r="K67" s="15">
        <v>10</v>
      </c>
      <c r="L67" s="15">
        <v>1</v>
      </c>
      <c r="M67" s="73">
        <v>2.6</v>
      </c>
      <c r="N67" s="88">
        <v>2.6</v>
      </c>
      <c r="O67" s="57">
        <v>7000</v>
      </c>
      <c r="P67" s="58">
        <f t="shared" si="1"/>
        <v>18200</v>
      </c>
    </row>
    <row r="68" spans="1:16" ht="26.25" customHeight="1" x14ac:dyDescent="0.2">
      <c r="A68" s="13"/>
      <c r="B68" s="67"/>
      <c r="C68" s="65" t="s">
        <v>224</v>
      </c>
      <c r="D68" s="70" t="s">
        <v>57</v>
      </c>
      <c r="E68" s="12">
        <v>44532</v>
      </c>
      <c r="F68" s="68" t="s">
        <v>71</v>
      </c>
      <c r="G68" s="12">
        <v>44537</v>
      </c>
      <c r="H68" s="69" t="s">
        <v>237</v>
      </c>
      <c r="I68" s="15">
        <v>202</v>
      </c>
      <c r="J68" s="15">
        <v>17</v>
      </c>
      <c r="K68" s="15">
        <v>10</v>
      </c>
      <c r="L68" s="15">
        <v>1</v>
      </c>
      <c r="M68" s="73">
        <v>8.5850000000000009</v>
      </c>
      <c r="N68" s="88">
        <v>8.5850000000000009</v>
      </c>
      <c r="O68" s="57">
        <v>7000</v>
      </c>
      <c r="P68" s="58">
        <f t="shared" si="1"/>
        <v>60095.000000000007</v>
      </c>
    </row>
    <row r="69" spans="1:16" ht="26.25" customHeight="1" x14ac:dyDescent="0.2">
      <c r="A69" s="13"/>
      <c r="B69" s="67"/>
      <c r="C69" s="65" t="s">
        <v>225</v>
      </c>
      <c r="D69" s="70" t="s">
        <v>57</v>
      </c>
      <c r="E69" s="12">
        <v>44532</v>
      </c>
      <c r="F69" s="68" t="s">
        <v>71</v>
      </c>
      <c r="G69" s="12">
        <v>44537</v>
      </c>
      <c r="H69" s="69" t="s">
        <v>237</v>
      </c>
      <c r="I69" s="15">
        <v>37</v>
      </c>
      <c r="J69" s="15">
        <v>25</v>
      </c>
      <c r="K69" s="15">
        <v>20</v>
      </c>
      <c r="L69" s="15">
        <v>6</v>
      </c>
      <c r="M69" s="73">
        <v>4.625</v>
      </c>
      <c r="N69" s="88">
        <v>6</v>
      </c>
      <c r="O69" s="57">
        <v>7000</v>
      </c>
      <c r="P69" s="58">
        <f t="shared" si="1"/>
        <v>42000</v>
      </c>
    </row>
    <row r="70" spans="1:16" ht="26.25" customHeight="1" x14ac:dyDescent="0.2">
      <c r="A70" s="13"/>
      <c r="B70" s="67"/>
      <c r="C70" s="65" t="s">
        <v>226</v>
      </c>
      <c r="D70" s="70" t="s">
        <v>57</v>
      </c>
      <c r="E70" s="12">
        <v>44532</v>
      </c>
      <c r="F70" s="68" t="s">
        <v>71</v>
      </c>
      <c r="G70" s="12">
        <v>44537</v>
      </c>
      <c r="H70" s="69" t="s">
        <v>237</v>
      </c>
      <c r="I70" s="15">
        <v>50</v>
      </c>
      <c r="J70" s="15">
        <v>40</v>
      </c>
      <c r="K70" s="15">
        <v>20</v>
      </c>
      <c r="L70" s="15">
        <v>5</v>
      </c>
      <c r="M70" s="73">
        <v>10</v>
      </c>
      <c r="N70" s="88">
        <v>10</v>
      </c>
      <c r="O70" s="57">
        <v>7000</v>
      </c>
      <c r="P70" s="58">
        <f t="shared" si="1"/>
        <v>70000</v>
      </c>
    </row>
    <row r="71" spans="1:16" ht="26.25" customHeight="1" x14ac:dyDescent="0.2">
      <c r="A71" s="13"/>
      <c r="B71" s="67"/>
      <c r="C71" s="65" t="s">
        <v>227</v>
      </c>
      <c r="D71" s="70" t="s">
        <v>57</v>
      </c>
      <c r="E71" s="12">
        <v>44532</v>
      </c>
      <c r="F71" s="68" t="s">
        <v>71</v>
      </c>
      <c r="G71" s="12">
        <v>44537</v>
      </c>
      <c r="H71" s="69" t="s">
        <v>237</v>
      </c>
      <c r="I71" s="15">
        <v>35</v>
      </c>
      <c r="J71" s="15">
        <v>24</v>
      </c>
      <c r="K71" s="15">
        <v>12</v>
      </c>
      <c r="L71" s="15">
        <v>1</v>
      </c>
      <c r="M71" s="73">
        <v>2.52</v>
      </c>
      <c r="N71" s="88">
        <v>2.52</v>
      </c>
      <c r="O71" s="57">
        <v>7000</v>
      </c>
      <c r="P71" s="58">
        <f t="shared" si="1"/>
        <v>17640</v>
      </c>
    </row>
    <row r="72" spans="1:16" ht="26.25" customHeight="1" x14ac:dyDescent="0.2">
      <c r="A72" s="13"/>
      <c r="B72" s="67"/>
      <c r="C72" s="65" t="s">
        <v>228</v>
      </c>
      <c r="D72" s="70" t="s">
        <v>57</v>
      </c>
      <c r="E72" s="12">
        <v>44532</v>
      </c>
      <c r="F72" s="68" t="s">
        <v>71</v>
      </c>
      <c r="G72" s="12">
        <v>44537</v>
      </c>
      <c r="H72" s="69" t="s">
        <v>237</v>
      </c>
      <c r="I72" s="15">
        <v>65</v>
      </c>
      <c r="J72" s="15">
        <v>50</v>
      </c>
      <c r="K72" s="15">
        <v>7</v>
      </c>
      <c r="L72" s="15">
        <v>2</v>
      </c>
      <c r="M72" s="73">
        <v>5.6875</v>
      </c>
      <c r="N72" s="88">
        <v>5.6875</v>
      </c>
      <c r="O72" s="57">
        <v>7000</v>
      </c>
      <c r="P72" s="58">
        <f t="shared" si="1"/>
        <v>39812.5</v>
      </c>
    </row>
    <row r="73" spans="1:16" ht="26.25" customHeight="1" x14ac:dyDescent="0.2">
      <c r="A73" s="13"/>
      <c r="B73" s="67"/>
      <c r="C73" s="65" t="s">
        <v>229</v>
      </c>
      <c r="D73" s="70" t="s">
        <v>57</v>
      </c>
      <c r="E73" s="12">
        <v>44532</v>
      </c>
      <c r="F73" s="68" t="s">
        <v>71</v>
      </c>
      <c r="G73" s="12">
        <v>44537</v>
      </c>
      <c r="H73" s="69" t="s">
        <v>237</v>
      </c>
      <c r="I73" s="15">
        <v>152</v>
      </c>
      <c r="J73" s="15">
        <v>17</v>
      </c>
      <c r="K73" s="15">
        <v>10</v>
      </c>
      <c r="L73" s="15">
        <v>1</v>
      </c>
      <c r="M73" s="73">
        <v>6.46</v>
      </c>
      <c r="N73" s="88">
        <v>7</v>
      </c>
      <c r="O73" s="57">
        <v>7000</v>
      </c>
      <c r="P73" s="58">
        <f t="shared" si="1"/>
        <v>49000</v>
      </c>
    </row>
    <row r="74" spans="1:16" ht="26.25" customHeight="1" x14ac:dyDescent="0.2">
      <c r="A74" s="13"/>
      <c r="B74" s="67"/>
      <c r="C74" s="65" t="s">
        <v>230</v>
      </c>
      <c r="D74" s="70" t="s">
        <v>57</v>
      </c>
      <c r="E74" s="12">
        <v>44532</v>
      </c>
      <c r="F74" s="68" t="s">
        <v>71</v>
      </c>
      <c r="G74" s="12">
        <v>44537</v>
      </c>
      <c r="H74" s="69" t="s">
        <v>237</v>
      </c>
      <c r="I74" s="15">
        <v>107</v>
      </c>
      <c r="J74" s="15">
        <v>18</v>
      </c>
      <c r="K74" s="15">
        <v>6</v>
      </c>
      <c r="L74" s="15">
        <v>1</v>
      </c>
      <c r="M74" s="73">
        <v>2.8889999999999998</v>
      </c>
      <c r="N74" s="88">
        <v>2.8889999999999998</v>
      </c>
      <c r="O74" s="57">
        <v>7000</v>
      </c>
      <c r="P74" s="58">
        <f t="shared" si="1"/>
        <v>20223</v>
      </c>
    </row>
    <row r="75" spans="1:16" ht="26.25" customHeight="1" x14ac:dyDescent="0.2">
      <c r="A75" s="13"/>
      <c r="B75" s="123"/>
      <c r="C75" s="65" t="s">
        <v>231</v>
      </c>
      <c r="D75" s="70" t="s">
        <v>57</v>
      </c>
      <c r="E75" s="12">
        <v>44532</v>
      </c>
      <c r="F75" s="68" t="s">
        <v>71</v>
      </c>
      <c r="G75" s="12">
        <v>44537</v>
      </c>
      <c r="H75" s="69" t="s">
        <v>237</v>
      </c>
      <c r="I75" s="15">
        <v>88</v>
      </c>
      <c r="J75" s="15">
        <v>65</v>
      </c>
      <c r="K75" s="15">
        <v>34</v>
      </c>
      <c r="L75" s="15">
        <v>10</v>
      </c>
      <c r="M75" s="73">
        <v>48.62</v>
      </c>
      <c r="N75" s="88">
        <v>48.62</v>
      </c>
      <c r="O75" s="57">
        <v>7000</v>
      </c>
      <c r="P75" s="58">
        <f t="shared" si="1"/>
        <v>340340</v>
      </c>
    </row>
    <row r="76" spans="1:16" ht="26.25" customHeight="1" x14ac:dyDescent="0.2">
      <c r="A76" s="13"/>
      <c r="B76" s="67" t="s">
        <v>232</v>
      </c>
      <c r="C76" s="65" t="s">
        <v>233</v>
      </c>
      <c r="D76" s="70" t="s">
        <v>57</v>
      </c>
      <c r="E76" s="12">
        <v>44532</v>
      </c>
      <c r="F76" s="68" t="s">
        <v>71</v>
      </c>
      <c r="G76" s="12">
        <v>44537</v>
      </c>
      <c r="H76" s="69" t="s">
        <v>237</v>
      </c>
      <c r="I76" s="15">
        <v>80</v>
      </c>
      <c r="J76" s="15">
        <v>55</v>
      </c>
      <c r="K76" s="15">
        <v>42</v>
      </c>
      <c r="L76" s="15">
        <v>37</v>
      </c>
      <c r="M76" s="73">
        <v>46.2</v>
      </c>
      <c r="N76" s="88">
        <v>46.2</v>
      </c>
      <c r="O76" s="57">
        <v>7000</v>
      </c>
      <c r="P76" s="58">
        <f t="shared" ref="P76:P79" si="2">N76*O76</f>
        <v>323400</v>
      </c>
    </row>
    <row r="77" spans="1:16" ht="26.25" customHeight="1" x14ac:dyDescent="0.2">
      <c r="A77" s="13"/>
      <c r="B77" s="67"/>
      <c r="C77" s="65" t="s">
        <v>234</v>
      </c>
      <c r="D77" s="70" t="s">
        <v>57</v>
      </c>
      <c r="E77" s="12">
        <v>44532</v>
      </c>
      <c r="F77" s="68" t="s">
        <v>71</v>
      </c>
      <c r="G77" s="12">
        <v>44537</v>
      </c>
      <c r="H77" s="69" t="s">
        <v>237</v>
      </c>
      <c r="I77" s="15">
        <v>45</v>
      </c>
      <c r="J77" s="15">
        <v>25</v>
      </c>
      <c r="K77" s="15">
        <v>15</v>
      </c>
      <c r="L77" s="15">
        <v>5</v>
      </c>
      <c r="M77" s="73">
        <v>4.21875</v>
      </c>
      <c r="N77" s="88">
        <v>5</v>
      </c>
      <c r="O77" s="57">
        <v>7000</v>
      </c>
      <c r="P77" s="58">
        <f t="shared" si="2"/>
        <v>35000</v>
      </c>
    </row>
    <row r="78" spans="1:16" ht="26.25" customHeight="1" x14ac:dyDescent="0.2">
      <c r="A78" s="13"/>
      <c r="B78" s="67"/>
      <c r="C78" s="65" t="s">
        <v>235</v>
      </c>
      <c r="D78" s="70" t="s">
        <v>57</v>
      </c>
      <c r="E78" s="12">
        <v>44532</v>
      </c>
      <c r="F78" s="68" t="s">
        <v>71</v>
      </c>
      <c r="G78" s="12">
        <v>44537</v>
      </c>
      <c r="H78" s="69" t="s">
        <v>237</v>
      </c>
      <c r="I78" s="15">
        <v>50</v>
      </c>
      <c r="J78" s="15">
        <v>40</v>
      </c>
      <c r="K78" s="15">
        <v>17</v>
      </c>
      <c r="L78" s="15">
        <v>6</v>
      </c>
      <c r="M78" s="73">
        <v>8.5</v>
      </c>
      <c r="N78" s="88">
        <v>10</v>
      </c>
      <c r="O78" s="57">
        <v>7000</v>
      </c>
      <c r="P78" s="58">
        <f t="shared" si="2"/>
        <v>70000</v>
      </c>
    </row>
    <row r="79" spans="1:16" ht="26.25" customHeight="1" x14ac:dyDescent="0.2">
      <c r="A79" s="13"/>
      <c r="B79" s="67"/>
      <c r="C79" s="65" t="s">
        <v>236</v>
      </c>
      <c r="D79" s="70" t="s">
        <v>57</v>
      </c>
      <c r="E79" s="12">
        <v>44532</v>
      </c>
      <c r="F79" s="68" t="s">
        <v>71</v>
      </c>
      <c r="G79" s="12">
        <v>44537</v>
      </c>
      <c r="H79" s="69" t="s">
        <v>237</v>
      </c>
      <c r="I79" s="15">
        <v>42</v>
      </c>
      <c r="J79" s="15">
        <v>30</v>
      </c>
      <c r="K79" s="15">
        <v>20</v>
      </c>
      <c r="L79" s="15">
        <v>3</v>
      </c>
      <c r="M79" s="73">
        <v>6.3</v>
      </c>
      <c r="N79" s="88">
        <v>7</v>
      </c>
      <c r="O79" s="57">
        <v>7000</v>
      </c>
      <c r="P79" s="58">
        <f t="shared" si="2"/>
        <v>49000</v>
      </c>
    </row>
    <row r="80" spans="1:16" ht="22.5" customHeight="1" x14ac:dyDescent="0.2">
      <c r="A80" s="159" t="s">
        <v>30</v>
      </c>
      <c r="B80" s="160"/>
      <c r="C80" s="160"/>
      <c r="D80" s="160"/>
      <c r="E80" s="160"/>
      <c r="F80" s="160"/>
      <c r="G80" s="160"/>
      <c r="H80" s="160"/>
      <c r="I80" s="160"/>
      <c r="J80" s="160"/>
      <c r="K80" s="160"/>
      <c r="L80" s="161"/>
      <c r="M80" s="71">
        <f>SUBTOTAL(109,Table224578910112345[KG VOLUME])</f>
        <v>1157.8392499999998</v>
      </c>
      <c r="N80" s="61">
        <f>SUM(N3:N79)</f>
        <v>1241.1427499999998</v>
      </c>
      <c r="O80" s="162">
        <f>SUM(P3:P79)</f>
        <v>8687999.25</v>
      </c>
      <c r="P80" s="163"/>
    </row>
    <row r="81" spans="1:16" ht="18" customHeight="1" x14ac:dyDescent="0.2">
      <c r="A81" s="78"/>
      <c r="B81" s="49" t="s">
        <v>42</v>
      </c>
      <c r="C81" s="48"/>
      <c r="D81" s="50" t="s">
        <v>43</v>
      </c>
      <c r="E81" s="78"/>
      <c r="F81" s="78"/>
      <c r="G81" s="78"/>
      <c r="H81" s="78"/>
      <c r="I81" s="78"/>
      <c r="J81" s="78"/>
      <c r="K81" s="78"/>
      <c r="L81" s="78"/>
      <c r="M81" s="79"/>
      <c r="N81" s="80" t="s">
        <v>52</v>
      </c>
      <c r="O81" s="81"/>
      <c r="P81" s="81">
        <v>0</v>
      </c>
    </row>
    <row r="82" spans="1:16" ht="18" customHeight="1" thickBot="1" x14ac:dyDescent="0.25">
      <c r="A82" s="78"/>
      <c r="B82" s="49"/>
      <c r="C82" s="48"/>
      <c r="D82" s="50"/>
      <c r="E82" s="78"/>
      <c r="F82" s="78"/>
      <c r="G82" s="78"/>
      <c r="H82" s="78"/>
      <c r="I82" s="78"/>
      <c r="J82" s="78"/>
      <c r="K82" s="78"/>
      <c r="L82" s="78"/>
      <c r="M82" s="79"/>
      <c r="N82" s="82" t="s">
        <v>53</v>
      </c>
      <c r="O82" s="83"/>
      <c r="P82" s="83">
        <f>O80-P81</f>
        <v>8687999.25</v>
      </c>
    </row>
    <row r="83" spans="1:16" ht="18" customHeight="1" x14ac:dyDescent="0.2">
      <c r="A83" s="10"/>
      <c r="H83" s="56"/>
      <c r="N83" s="55" t="s">
        <v>31</v>
      </c>
      <c r="P83" s="62">
        <f>P82*1%</f>
        <v>86879.992500000008</v>
      </c>
    </row>
    <row r="84" spans="1:16" ht="18" customHeight="1" thickBot="1" x14ac:dyDescent="0.25">
      <c r="A84" s="10"/>
      <c r="H84" s="56"/>
      <c r="N84" s="55" t="s">
        <v>54</v>
      </c>
      <c r="P84" s="64">
        <f>P82*2%</f>
        <v>173759.98500000002</v>
      </c>
    </row>
    <row r="85" spans="1:16" ht="18" customHeight="1" x14ac:dyDescent="0.2">
      <c r="A85" s="10"/>
      <c r="H85" s="56"/>
      <c r="N85" s="59" t="s">
        <v>32</v>
      </c>
      <c r="O85" s="60"/>
      <c r="P85" s="63">
        <f>P82+P83-P84</f>
        <v>8601119.2575000003</v>
      </c>
    </row>
    <row r="87" spans="1:16" x14ac:dyDescent="0.2">
      <c r="A87" s="10"/>
      <c r="H87" s="56"/>
      <c r="P87" s="64"/>
    </row>
    <row r="88" spans="1:16" x14ac:dyDescent="0.2">
      <c r="A88" s="10"/>
      <c r="H88" s="56"/>
      <c r="O88" s="51"/>
      <c r="P88" s="64"/>
    </row>
    <row r="89" spans="1:16" s="3" customFormat="1" x14ac:dyDescent="0.25">
      <c r="A89" s="10"/>
      <c r="B89" s="2"/>
      <c r="C89" s="2"/>
      <c r="E89" s="11"/>
      <c r="H89" s="56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6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6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6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6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6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6"/>
      <c r="N95" s="14"/>
      <c r="O95" s="14"/>
      <c r="P95" s="14"/>
    </row>
    <row r="96" spans="1:16" s="3" customFormat="1" x14ac:dyDescent="0.25">
      <c r="A96" s="10"/>
      <c r="B96" s="2"/>
      <c r="C96" s="2"/>
      <c r="E96" s="11"/>
      <c r="H96" s="56"/>
      <c r="N96" s="14"/>
      <c r="O96" s="14"/>
      <c r="P96" s="14"/>
    </row>
    <row r="97" spans="1:16" s="3" customFormat="1" x14ac:dyDescent="0.25">
      <c r="A97" s="10"/>
      <c r="B97" s="2"/>
      <c r="C97" s="2"/>
      <c r="E97" s="11"/>
      <c r="H97" s="56"/>
      <c r="N97" s="14"/>
      <c r="O97" s="14"/>
      <c r="P97" s="14"/>
    </row>
    <row r="98" spans="1:16" s="3" customFormat="1" x14ac:dyDescent="0.25">
      <c r="A98" s="10"/>
      <c r="B98" s="2"/>
      <c r="C98" s="2"/>
      <c r="E98" s="11"/>
      <c r="H98" s="56"/>
      <c r="N98" s="14"/>
      <c r="O98" s="14"/>
      <c r="P98" s="14"/>
    </row>
    <row r="99" spans="1:16" s="3" customFormat="1" x14ac:dyDescent="0.25">
      <c r="A99" s="10"/>
      <c r="B99" s="2"/>
      <c r="C99" s="2"/>
      <c r="E99" s="11"/>
      <c r="H99" s="56"/>
      <c r="N99" s="14"/>
      <c r="O99" s="14"/>
      <c r="P99" s="14"/>
    </row>
    <row r="100" spans="1:16" s="3" customFormat="1" x14ac:dyDescent="0.25">
      <c r="A100" s="10"/>
      <c r="B100" s="2"/>
      <c r="C100" s="2"/>
      <c r="E100" s="11"/>
      <c r="H100" s="56"/>
      <c r="N100" s="14"/>
      <c r="O100" s="14"/>
      <c r="P100" s="14"/>
    </row>
  </sheetData>
  <mergeCells count="2">
    <mergeCell ref="A80:L80"/>
    <mergeCell ref="O80:P80"/>
  </mergeCells>
  <conditionalFormatting sqref="B3">
    <cfRule type="duplicateValues" dxfId="1547" priority="2"/>
  </conditionalFormatting>
  <conditionalFormatting sqref="B4:B79">
    <cfRule type="duplicateValues" dxfId="1546" priority="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workbookViewId="0">
      <selection activeCell="I12" sqref="I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8.5" customHeight="1" x14ac:dyDescent="0.2">
      <c r="A3" s="99">
        <v>402665</v>
      </c>
      <c r="B3" s="96" t="s">
        <v>3083</v>
      </c>
      <c r="C3" s="90" t="s">
        <v>3084</v>
      </c>
      <c r="D3" s="102" t="s">
        <v>57</v>
      </c>
      <c r="E3" s="91">
        <v>44546</v>
      </c>
      <c r="F3" s="102" t="s">
        <v>58</v>
      </c>
      <c r="G3" s="91">
        <v>44550</v>
      </c>
      <c r="H3" s="90" t="s">
        <v>1619</v>
      </c>
      <c r="I3" s="90">
        <v>65</v>
      </c>
      <c r="J3" s="90">
        <v>50</v>
      </c>
      <c r="K3" s="90">
        <v>24</v>
      </c>
      <c r="L3" s="90">
        <v>17</v>
      </c>
      <c r="M3" s="90">
        <v>19.5</v>
      </c>
      <c r="N3" s="104">
        <v>21</v>
      </c>
      <c r="O3" s="57">
        <v>7000</v>
      </c>
      <c r="P3" s="58">
        <f t="shared" ref="P3:P27" si="0">N3*O3</f>
        <v>147000</v>
      </c>
    </row>
    <row r="4" spans="1:16" ht="28.5" customHeight="1" x14ac:dyDescent="0.2">
      <c r="A4" s="100"/>
      <c r="B4" s="97"/>
      <c r="C4" s="90" t="s">
        <v>3085</v>
      </c>
      <c r="D4" s="102" t="s">
        <v>57</v>
      </c>
      <c r="E4" s="91">
        <v>44546</v>
      </c>
      <c r="F4" s="102" t="s">
        <v>58</v>
      </c>
      <c r="G4" s="91">
        <v>44550</v>
      </c>
      <c r="H4" s="90" t="s">
        <v>1619</v>
      </c>
      <c r="I4" s="90">
        <v>61</v>
      </c>
      <c r="J4" s="90">
        <v>46</v>
      </c>
      <c r="K4" s="90">
        <v>14</v>
      </c>
      <c r="L4" s="90">
        <v>2</v>
      </c>
      <c r="M4" s="90">
        <v>9.8209999999999997</v>
      </c>
      <c r="N4" s="104">
        <v>9.8209999999999997</v>
      </c>
      <c r="O4" s="57">
        <v>7000</v>
      </c>
      <c r="P4" s="58">
        <f t="shared" si="0"/>
        <v>68747</v>
      </c>
    </row>
    <row r="5" spans="1:16" ht="28.5" customHeight="1" x14ac:dyDescent="0.2">
      <c r="A5" s="100"/>
      <c r="B5" s="97"/>
      <c r="C5" s="90" t="s">
        <v>3086</v>
      </c>
      <c r="D5" s="102" t="s">
        <v>57</v>
      </c>
      <c r="E5" s="91">
        <v>44546</v>
      </c>
      <c r="F5" s="102" t="s">
        <v>58</v>
      </c>
      <c r="G5" s="91">
        <v>44550</v>
      </c>
      <c r="H5" s="90" t="s">
        <v>1619</v>
      </c>
      <c r="I5" s="90">
        <v>80</v>
      </c>
      <c r="J5" s="90">
        <v>55</v>
      </c>
      <c r="K5" s="90">
        <v>23</v>
      </c>
      <c r="L5" s="90">
        <v>8</v>
      </c>
      <c r="M5" s="90">
        <v>25.3</v>
      </c>
      <c r="N5" s="104">
        <v>26</v>
      </c>
      <c r="O5" s="57">
        <v>7000</v>
      </c>
      <c r="P5" s="58">
        <f t="shared" si="0"/>
        <v>182000</v>
      </c>
    </row>
    <row r="6" spans="1:16" ht="28.5" customHeight="1" x14ac:dyDescent="0.2">
      <c r="A6" s="100"/>
      <c r="B6" s="98"/>
      <c r="C6" s="65" t="s">
        <v>3087</v>
      </c>
      <c r="D6" s="70" t="s">
        <v>57</v>
      </c>
      <c r="E6" s="12">
        <v>44546</v>
      </c>
      <c r="F6" s="68" t="s">
        <v>58</v>
      </c>
      <c r="G6" s="12">
        <v>44550</v>
      </c>
      <c r="H6" s="69" t="s">
        <v>1619</v>
      </c>
      <c r="I6" s="15">
        <v>47</v>
      </c>
      <c r="J6" s="15">
        <v>38</v>
      </c>
      <c r="K6" s="15">
        <v>12</v>
      </c>
      <c r="L6" s="15">
        <v>3</v>
      </c>
      <c r="M6" s="73">
        <v>5.3579999999999997</v>
      </c>
      <c r="N6" s="104">
        <v>6</v>
      </c>
      <c r="O6" s="57">
        <v>7000</v>
      </c>
      <c r="P6" s="58">
        <f t="shared" si="0"/>
        <v>42000</v>
      </c>
    </row>
    <row r="7" spans="1:16" ht="28.5" customHeight="1" x14ac:dyDescent="0.2">
      <c r="A7" s="100"/>
      <c r="B7" s="15" t="s">
        <v>3088</v>
      </c>
      <c r="C7" s="65" t="s">
        <v>3089</v>
      </c>
      <c r="D7" s="70" t="s">
        <v>57</v>
      </c>
      <c r="E7" s="12">
        <v>44546</v>
      </c>
      <c r="F7" s="68" t="s">
        <v>58</v>
      </c>
      <c r="G7" s="12">
        <v>44550</v>
      </c>
      <c r="H7" s="69" t="s">
        <v>1619</v>
      </c>
      <c r="I7" s="15">
        <v>53</v>
      </c>
      <c r="J7" s="15">
        <v>50</v>
      </c>
      <c r="K7" s="15">
        <v>63</v>
      </c>
      <c r="L7" s="15">
        <v>23</v>
      </c>
      <c r="M7" s="73">
        <v>41.737499999999997</v>
      </c>
      <c r="N7" s="104">
        <v>41.737499999999997</v>
      </c>
      <c r="O7" s="57">
        <v>7000</v>
      </c>
      <c r="P7" s="58">
        <f t="shared" si="0"/>
        <v>292162.5</v>
      </c>
    </row>
    <row r="8" spans="1:16" ht="28.5" customHeight="1" x14ac:dyDescent="0.2">
      <c r="A8" s="100"/>
      <c r="B8" s="98" t="s">
        <v>3090</v>
      </c>
      <c r="C8" s="65" t="s">
        <v>3091</v>
      </c>
      <c r="D8" s="70" t="s">
        <v>57</v>
      </c>
      <c r="E8" s="12">
        <v>44546</v>
      </c>
      <c r="F8" s="68" t="s">
        <v>58</v>
      </c>
      <c r="G8" s="12">
        <v>44550</v>
      </c>
      <c r="H8" s="69" t="s">
        <v>1619</v>
      </c>
      <c r="I8" s="15">
        <v>34</v>
      </c>
      <c r="J8" s="15">
        <v>34</v>
      </c>
      <c r="K8" s="15">
        <v>8</v>
      </c>
      <c r="L8" s="15">
        <v>1</v>
      </c>
      <c r="M8" s="73">
        <v>2.3119999999999998</v>
      </c>
      <c r="N8" s="104">
        <v>3</v>
      </c>
      <c r="O8" s="57">
        <v>7000</v>
      </c>
      <c r="P8" s="58">
        <f t="shared" si="0"/>
        <v>21000</v>
      </c>
    </row>
    <row r="9" spans="1:16" ht="28.5" customHeight="1" x14ac:dyDescent="0.2">
      <c r="A9" s="100"/>
      <c r="B9" s="97" t="s">
        <v>3092</v>
      </c>
      <c r="C9" s="65" t="s">
        <v>3093</v>
      </c>
      <c r="D9" s="70" t="s">
        <v>57</v>
      </c>
      <c r="E9" s="12">
        <v>44546</v>
      </c>
      <c r="F9" s="68" t="s">
        <v>58</v>
      </c>
      <c r="G9" s="12">
        <v>44550</v>
      </c>
      <c r="H9" s="69" t="s">
        <v>1619</v>
      </c>
      <c r="I9" s="15">
        <v>45</v>
      </c>
      <c r="J9" s="15">
        <v>28</v>
      </c>
      <c r="K9" s="15">
        <v>5</v>
      </c>
      <c r="L9" s="15">
        <v>1</v>
      </c>
      <c r="M9" s="73">
        <v>1.575</v>
      </c>
      <c r="N9" s="104">
        <v>1.575</v>
      </c>
      <c r="O9" s="57">
        <v>7000</v>
      </c>
      <c r="P9" s="58">
        <f t="shared" si="0"/>
        <v>11025</v>
      </c>
    </row>
    <row r="10" spans="1:16" ht="28.5" customHeight="1" x14ac:dyDescent="0.2">
      <c r="A10" s="100"/>
      <c r="B10" s="97"/>
      <c r="C10" s="65" t="s">
        <v>3094</v>
      </c>
      <c r="D10" s="70" t="s">
        <v>57</v>
      </c>
      <c r="E10" s="12">
        <v>44546</v>
      </c>
      <c r="F10" s="68" t="s">
        <v>58</v>
      </c>
      <c r="G10" s="12">
        <v>44550</v>
      </c>
      <c r="H10" s="69" t="s">
        <v>1619</v>
      </c>
      <c r="I10" s="15">
        <v>35</v>
      </c>
      <c r="J10" s="15">
        <v>35</v>
      </c>
      <c r="K10" s="15">
        <v>20</v>
      </c>
      <c r="L10" s="15">
        <v>12</v>
      </c>
      <c r="M10" s="73">
        <v>6.125</v>
      </c>
      <c r="N10" s="104">
        <v>12</v>
      </c>
      <c r="O10" s="57">
        <v>7000</v>
      </c>
      <c r="P10" s="58">
        <f t="shared" si="0"/>
        <v>84000</v>
      </c>
    </row>
    <row r="11" spans="1:16" ht="28.5" customHeight="1" x14ac:dyDescent="0.2">
      <c r="A11" s="100"/>
      <c r="B11" s="97"/>
      <c r="C11" s="65" t="s">
        <v>3095</v>
      </c>
      <c r="D11" s="70" t="s">
        <v>57</v>
      </c>
      <c r="E11" s="12">
        <v>44546</v>
      </c>
      <c r="F11" s="68" t="s">
        <v>58</v>
      </c>
      <c r="G11" s="12">
        <v>44550</v>
      </c>
      <c r="H11" s="69" t="s">
        <v>1619</v>
      </c>
      <c r="I11" s="15">
        <v>44</v>
      </c>
      <c r="J11" s="15">
        <v>27</v>
      </c>
      <c r="K11" s="15">
        <v>16</v>
      </c>
      <c r="L11" s="15">
        <v>10</v>
      </c>
      <c r="M11" s="73">
        <v>4.7519999999999998</v>
      </c>
      <c r="N11" s="104">
        <v>10</v>
      </c>
      <c r="O11" s="57">
        <v>7000</v>
      </c>
      <c r="P11" s="58">
        <f t="shared" si="0"/>
        <v>70000</v>
      </c>
    </row>
    <row r="12" spans="1:16" ht="28.5" customHeight="1" x14ac:dyDescent="0.2">
      <c r="A12" s="100"/>
      <c r="B12" s="98"/>
      <c r="C12" s="65" t="s">
        <v>3096</v>
      </c>
      <c r="D12" s="70" t="s">
        <v>57</v>
      </c>
      <c r="E12" s="12">
        <v>44546</v>
      </c>
      <c r="F12" s="68" t="s">
        <v>58</v>
      </c>
      <c r="G12" s="12">
        <v>44550</v>
      </c>
      <c r="H12" s="69" t="s">
        <v>1619</v>
      </c>
      <c r="I12" s="15">
        <v>42</v>
      </c>
      <c r="J12" s="15">
        <v>32</v>
      </c>
      <c r="K12" s="15">
        <v>30</v>
      </c>
      <c r="L12" s="15">
        <v>9</v>
      </c>
      <c r="M12" s="73">
        <v>10.08</v>
      </c>
      <c r="N12" s="104">
        <v>10.08</v>
      </c>
      <c r="O12" s="57">
        <v>7000</v>
      </c>
      <c r="P12" s="58">
        <f t="shared" si="0"/>
        <v>70560</v>
      </c>
    </row>
    <row r="13" spans="1:16" ht="28.5" customHeight="1" x14ac:dyDescent="0.2">
      <c r="A13" s="100"/>
      <c r="B13" s="97" t="s">
        <v>3097</v>
      </c>
      <c r="C13" s="65" t="s">
        <v>3098</v>
      </c>
      <c r="D13" s="70" t="s">
        <v>57</v>
      </c>
      <c r="E13" s="12">
        <v>44546</v>
      </c>
      <c r="F13" s="68" t="s">
        <v>58</v>
      </c>
      <c r="G13" s="12">
        <v>44550</v>
      </c>
      <c r="H13" s="69" t="s">
        <v>1619</v>
      </c>
      <c r="I13" s="15">
        <v>44</v>
      </c>
      <c r="J13" s="15">
        <v>27</v>
      </c>
      <c r="K13" s="15">
        <v>16</v>
      </c>
      <c r="L13" s="15">
        <v>10</v>
      </c>
      <c r="M13" s="73">
        <v>4.7519999999999998</v>
      </c>
      <c r="N13" s="104">
        <v>10</v>
      </c>
      <c r="O13" s="57">
        <v>7000</v>
      </c>
      <c r="P13" s="58">
        <f t="shared" si="0"/>
        <v>70000</v>
      </c>
    </row>
    <row r="14" spans="1:16" ht="28.5" customHeight="1" x14ac:dyDescent="0.2">
      <c r="A14" s="100"/>
      <c r="B14" s="100"/>
      <c r="C14" s="65" t="s">
        <v>3099</v>
      </c>
      <c r="D14" s="70" t="s">
        <v>57</v>
      </c>
      <c r="E14" s="12">
        <v>44546</v>
      </c>
      <c r="F14" s="68" t="s">
        <v>58</v>
      </c>
      <c r="G14" s="12">
        <v>44550</v>
      </c>
      <c r="H14" s="69" t="s">
        <v>1619</v>
      </c>
      <c r="I14" s="15">
        <v>42</v>
      </c>
      <c r="J14" s="15">
        <v>38</v>
      </c>
      <c r="K14" s="15">
        <v>14</v>
      </c>
      <c r="L14" s="15">
        <v>10</v>
      </c>
      <c r="M14" s="73">
        <v>5.5860000000000003</v>
      </c>
      <c r="N14" s="104">
        <v>10</v>
      </c>
      <c r="O14" s="57">
        <v>7000</v>
      </c>
      <c r="P14" s="58">
        <f t="shared" si="0"/>
        <v>70000</v>
      </c>
    </row>
    <row r="15" spans="1:16" ht="28.5" customHeight="1" x14ac:dyDescent="0.2">
      <c r="A15" s="100"/>
      <c r="B15" s="100"/>
      <c r="C15" s="65" t="s">
        <v>3100</v>
      </c>
      <c r="D15" s="70" t="s">
        <v>57</v>
      </c>
      <c r="E15" s="12">
        <v>44546</v>
      </c>
      <c r="F15" s="68" t="s">
        <v>58</v>
      </c>
      <c r="G15" s="12">
        <v>44550</v>
      </c>
      <c r="H15" s="69" t="s">
        <v>1619</v>
      </c>
      <c r="I15" s="15">
        <v>42</v>
      </c>
      <c r="J15" s="15">
        <v>38</v>
      </c>
      <c r="K15" s="15">
        <v>14</v>
      </c>
      <c r="L15" s="15">
        <v>10</v>
      </c>
      <c r="M15" s="73">
        <v>5.5860000000000003</v>
      </c>
      <c r="N15" s="104">
        <v>10</v>
      </c>
      <c r="O15" s="57">
        <v>7000</v>
      </c>
      <c r="P15" s="58">
        <f t="shared" si="0"/>
        <v>70000</v>
      </c>
    </row>
    <row r="16" spans="1:16" ht="28.5" customHeight="1" x14ac:dyDescent="0.2">
      <c r="A16" s="100"/>
      <c r="B16" s="100"/>
      <c r="C16" s="65" t="s">
        <v>3101</v>
      </c>
      <c r="D16" s="70" t="s">
        <v>57</v>
      </c>
      <c r="E16" s="12">
        <v>44546</v>
      </c>
      <c r="F16" s="68" t="s">
        <v>58</v>
      </c>
      <c r="G16" s="12">
        <v>44550</v>
      </c>
      <c r="H16" s="69" t="s">
        <v>1619</v>
      </c>
      <c r="I16" s="15">
        <v>42</v>
      </c>
      <c r="J16" s="15">
        <v>38</v>
      </c>
      <c r="K16" s="15">
        <v>14</v>
      </c>
      <c r="L16" s="15">
        <v>10</v>
      </c>
      <c r="M16" s="73">
        <v>5.5860000000000003</v>
      </c>
      <c r="N16" s="104">
        <v>10</v>
      </c>
      <c r="O16" s="57">
        <v>7000</v>
      </c>
      <c r="P16" s="58">
        <f t="shared" si="0"/>
        <v>70000</v>
      </c>
    </row>
    <row r="17" spans="1:16" ht="28.5" customHeight="1" x14ac:dyDescent="0.2">
      <c r="A17" s="100"/>
      <c r="B17" s="100"/>
      <c r="C17" s="65" t="s">
        <v>3102</v>
      </c>
      <c r="D17" s="70" t="s">
        <v>57</v>
      </c>
      <c r="E17" s="12">
        <v>44546</v>
      </c>
      <c r="F17" s="68" t="s">
        <v>58</v>
      </c>
      <c r="G17" s="12">
        <v>44550</v>
      </c>
      <c r="H17" s="69" t="s">
        <v>1619</v>
      </c>
      <c r="I17" s="15">
        <v>44</v>
      </c>
      <c r="J17" s="15">
        <v>27</v>
      </c>
      <c r="K17" s="15">
        <v>16</v>
      </c>
      <c r="L17" s="15">
        <v>10</v>
      </c>
      <c r="M17" s="73">
        <v>4.7519999999999998</v>
      </c>
      <c r="N17" s="104">
        <v>10</v>
      </c>
      <c r="O17" s="57">
        <v>7000</v>
      </c>
      <c r="P17" s="58">
        <f t="shared" si="0"/>
        <v>70000</v>
      </c>
    </row>
    <row r="18" spans="1:16" ht="28.5" customHeight="1" x14ac:dyDescent="0.2">
      <c r="A18" s="100"/>
      <c r="B18" s="100"/>
      <c r="C18" s="65" t="s">
        <v>3103</v>
      </c>
      <c r="D18" s="70" t="s">
        <v>57</v>
      </c>
      <c r="E18" s="12">
        <v>44546</v>
      </c>
      <c r="F18" s="68" t="s">
        <v>58</v>
      </c>
      <c r="G18" s="12">
        <v>44550</v>
      </c>
      <c r="H18" s="69" t="s">
        <v>1619</v>
      </c>
      <c r="I18" s="15">
        <v>44</v>
      </c>
      <c r="J18" s="15">
        <v>27</v>
      </c>
      <c r="K18" s="15">
        <v>16</v>
      </c>
      <c r="L18" s="15">
        <v>10</v>
      </c>
      <c r="M18" s="73">
        <v>4.7519999999999998</v>
      </c>
      <c r="N18" s="104">
        <v>10</v>
      </c>
      <c r="O18" s="57">
        <v>7000</v>
      </c>
      <c r="P18" s="58">
        <f t="shared" si="0"/>
        <v>70000</v>
      </c>
    </row>
    <row r="19" spans="1:16" ht="28.5" customHeight="1" x14ac:dyDescent="0.2">
      <c r="A19" s="100"/>
      <c r="B19" s="100"/>
      <c r="C19" s="65" t="s">
        <v>3104</v>
      </c>
      <c r="D19" s="70" t="s">
        <v>57</v>
      </c>
      <c r="E19" s="12">
        <v>44546</v>
      </c>
      <c r="F19" s="68" t="s">
        <v>58</v>
      </c>
      <c r="G19" s="12">
        <v>44550</v>
      </c>
      <c r="H19" s="69" t="s">
        <v>1619</v>
      </c>
      <c r="I19" s="15">
        <v>44</v>
      </c>
      <c r="J19" s="15">
        <v>27</v>
      </c>
      <c r="K19" s="15">
        <v>16</v>
      </c>
      <c r="L19" s="15">
        <v>10</v>
      </c>
      <c r="M19" s="73">
        <v>4.7519999999999998</v>
      </c>
      <c r="N19" s="104">
        <v>10</v>
      </c>
      <c r="O19" s="57">
        <v>7000</v>
      </c>
      <c r="P19" s="58">
        <f t="shared" si="0"/>
        <v>70000</v>
      </c>
    </row>
    <row r="20" spans="1:16" ht="28.5" customHeight="1" x14ac:dyDescent="0.2">
      <c r="A20" s="100"/>
      <c r="B20" s="100"/>
      <c r="C20" s="65" t="s">
        <v>3105</v>
      </c>
      <c r="D20" s="70" t="s">
        <v>57</v>
      </c>
      <c r="E20" s="12">
        <v>44546</v>
      </c>
      <c r="F20" s="68" t="s">
        <v>58</v>
      </c>
      <c r="G20" s="12">
        <v>44550</v>
      </c>
      <c r="H20" s="69" t="s">
        <v>1619</v>
      </c>
      <c r="I20" s="15">
        <v>44</v>
      </c>
      <c r="J20" s="15">
        <v>34</v>
      </c>
      <c r="K20" s="15">
        <v>30</v>
      </c>
      <c r="L20" s="15">
        <v>9</v>
      </c>
      <c r="M20" s="73">
        <v>11.22</v>
      </c>
      <c r="N20" s="104">
        <v>11.22</v>
      </c>
      <c r="O20" s="57">
        <v>7000</v>
      </c>
      <c r="P20" s="58">
        <f t="shared" si="0"/>
        <v>78540</v>
      </c>
    </row>
    <row r="21" spans="1:16" ht="28.5" customHeight="1" x14ac:dyDescent="0.2">
      <c r="A21" s="100"/>
      <c r="B21" s="100"/>
      <c r="C21" s="65" t="s">
        <v>3106</v>
      </c>
      <c r="D21" s="70" t="s">
        <v>57</v>
      </c>
      <c r="E21" s="12">
        <v>44546</v>
      </c>
      <c r="F21" s="68" t="s">
        <v>58</v>
      </c>
      <c r="G21" s="12">
        <v>44550</v>
      </c>
      <c r="H21" s="69" t="s">
        <v>1619</v>
      </c>
      <c r="I21" s="15">
        <v>28</v>
      </c>
      <c r="J21" s="15">
        <v>22</v>
      </c>
      <c r="K21" s="15">
        <v>12</v>
      </c>
      <c r="L21" s="15">
        <v>14</v>
      </c>
      <c r="M21" s="73">
        <v>1.8480000000000001</v>
      </c>
      <c r="N21" s="104">
        <v>14</v>
      </c>
      <c r="O21" s="57">
        <v>7000</v>
      </c>
      <c r="P21" s="58">
        <f t="shared" si="0"/>
        <v>98000</v>
      </c>
    </row>
    <row r="22" spans="1:16" ht="28.5" customHeight="1" x14ac:dyDescent="0.2">
      <c r="A22" s="100"/>
      <c r="B22" s="100"/>
      <c r="C22" s="65" t="s">
        <v>3107</v>
      </c>
      <c r="D22" s="70" t="s">
        <v>57</v>
      </c>
      <c r="E22" s="12">
        <v>44546</v>
      </c>
      <c r="F22" s="68" t="s">
        <v>58</v>
      </c>
      <c r="G22" s="12">
        <v>44550</v>
      </c>
      <c r="H22" s="69" t="s">
        <v>1619</v>
      </c>
      <c r="I22" s="15">
        <v>75</v>
      </c>
      <c r="J22" s="15">
        <v>42</v>
      </c>
      <c r="K22" s="15">
        <v>62</v>
      </c>
      <c r="L22" s="15">
        <v>31</v>
      </c>
      <c r="M22" s="73">
        <v>48.825000000000003</v>
      </c>
      <c r="N22" s="104">
        <v>48.825000000000003</v>
      </c>
      <c r="O22" s="57">
        <v>7000</v>
      </c>
      <c r="P22" s="58">
        <f t="shared" si="0"/>
        <v>341775</v>
      </c>
    </row>
    <row r="23" spans="1:16" ht="28.5" customHeight="1" x14ac:dyDescent="0.2">
      <c r="A23" s="100"/>
      <c r="B23" s="100"/>
      <c r="C23" s="65" t="s">
        <v>3108</v>
      </c>
      <c r="D23" s="70" t="s">
        <v>57</v>
      </c>
      <c r="E23" s="12">
        <v>44546</v>
      </c>
      <c r="F23" s="68" t="s">
        <v>58</v>
      </c>
      <c r="G23" s="12">
        <v>44550</v>
      </c>
      <c r="H23" s="69" t="s">
        <v>1619</v>
      </c>
      <c r="I23" s="15">
        <v>75</v>
      </c>
      <c r="J23" s="15">
        <v>42</v>
      </c>
      <c r="K23" s="15">
        <v>62</v>
      </c>
      <c r="L23" s="15">
        <v>31</v>
      </c>
      <c r="M23" s="73">
        <v>48.825000000000003</v>
      </c>
      <c r="N23" s="104">
        <v>48.825000000000003</v>
      </c>
      <c r="O23" s="57">
        <v>7000</v>
      </c>
      <c r="P23" s="58">
        <f t="shared" si="0"/>
        <v>341775</v>
      </c>
    </row>
    <row r="24" spans="1:16" ht="28.5" customHeight="1" x14ac:dyDescent="0.2">
      <c r="A24" s="100"/>
      <c r="B24" s="100"/>
      <c r="C24" s="65" t="s">
        <v>3109</v>
      </c>
      <c r="D24" s="70" t="s">
        <v>57</v>
      </c>
      <c r="E24" s="12">
        <v>44546</v>
      </c>
      <c r="F24" s="68" t="s">
        <v>58</v>
      </c>
      <c r="G24" s="12">
        <v>44550</v>
      </c>
      <c r="H24" s="69" t="s">
        <v>1619</v>
      </c>
      <c r="I24" s="15">
        <v>75</v>
      </c>
      <c r="J24" s="15">
        <v>42</v>
      </c>
      <c r="K24" s="15">
        <v>62</v>
      </c>
      <c r="L24" s="15">
        <v>31</v>
      </c>
      <c r="M24" s="73">
        <v>48.825000000000003</v>
      </c>
      <c r="N24" s="104">
        <v>48.825000000000003</v>
      </c>
      <c r="O24" s="57">
        <v>7000</v>
      </c>
      <c r="P24" s="58">
        <f t="shared" si="0"/>
        <v>341775</v>
      </c>
    </row>
    <row r="25" spans="1:16" ht="28.5" customHeight="1" x14ac:dyDescent="0.2">
      <c r="A25" s="100"/>
      <c r="B25" s="100"/>
      <c r="C25" s="65" t="s">
        <v>3110</v>
      </c>
      <c r="D25" s="70" t="s">
        <v>57</v>
      </c>
      <c r="E25" s="12">
        <v>44546</v>
      </c>
      <c r="F25" s="68" t="s">
        <v>58</v>
      </c>
      <c r="G25" s="12">
        <v>44550</v>
      </c>
      <c r="H25" s="69" t="s">
        <v>1619</v>
      </c>
      <c r="I25" s="15">
        <v>75</v>
      </c>
      <c r="J25" s="15">
        <v>42</v>
      </c>
      <c r="K25" s="15">
        <v>62</v>
      </c>
      <c r="L25" s="15">
        <v>31</v>
      </c>
      <c r="M25" s="73">
        <v>48.825000000000003</v>
      </c>
      <c r="N25" s="104">
        <v>48.825000000000003</v>
      </c>
      <c r="O25" s="57">
        <v>7000</v>
      </c>
      <c r="P25" s="58">
        <f t="shared" si="0"/>
        <v>341775</v>
      </c>
    </row>
    <row r="26" spans="1:16" ht="28.5" customHeight="1" x14ac:dyDescent="0.2">
      <c r="A26" s="100"/>
      <c r="B26" s="100"/>
      <c r="C26" s="65" t="s">
        <v>3111</v>
      </c>
      <c r="D26" s="70" t="s">
        <v>57</v>
      </c>
      <c r="E26" s="12">
        <v>44546</v>
      </c>
      <c r="F26" s="68" t="s">
        <v>58</v>
      </c>
      <c r="G26" s="12">
        <v>44550</v>
      </c>
      <c r="H26" s="69" t="s">
        <v>1619</v>
      </c>
      <c r="I26" s="15">
        <v>75</v>
      </c>
      <c r="J26" s="15">
        <v>42</v>
      </c>
      <c r="K26" s="15">
        <v>62</v>
      </c>
      <c r="L26" s="15">
        <v>31</v>
      </c>
      <c r="M26" s="73">
        <v>48.825000000000003</v>
      </c>
      <c r="N26" s="104">
        <v>48.825000000000003</v>
      </c>
      <c r="O26" s="57">
        <v>7000</v>
      </c>
      <c r="P26" s="58">
        <f t="shared" si="0"/>
        <v>341775</v>
      </c>
    </row>
    <row r="27" spans="1:16" ht="28.5" customHeight="1" x14ac:dyDescent="0.2">
      <c r="A27" s="100"/>
      <c r="B27" s="100"/>
      <c r="C27" s="65" t="s">
        <v>3112</v>
      </c>
      <c r="D27" s="70" t="s">
        <v>57</v>
      </c>
      <c r="E27" s="12">
        <v>44546</v>
      </c>
      <c r="F27" s="68" t="s">
        <v>58</v>
      </c>
      <c r="G27" s="12">
        <v>44550</v>
      </c>
      <c r="H27" s="69" t="s">
        <v>1619</v>
      </c>
      <c r="I27" s="15">
        <v>75</v>
      </c>
      <c r="J27" s="15">
        <v>42</v>
      </c>
      <c r="K27" s="15">
        <v>62</v>
      </c>
      <c r="L27" s="15">
        <v>31</v>
      </c>
      <c r="M27" s="73">
        <v>48.825000000000003</v>
      </c>
      <c r="N27" s="104">
        <v>48.825000000000003</v>
      </c>
      <c r="O27" s="57">
        <v>7000</v>
      </c>
      <c r="P27" s="58">
        <f t="shared" si="0"/>
        <v>341775</v>
      </c>
    </row>
    <row r="28" spans="1:16" ht="22.5" customHeight="1" x14ac:dyDescent="0.2">
      <c r="A28" s="159" t="s">
        <v>30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1"/>
      <c r="M28" s="71">
        <f>SUBTOTAL(109,Table224578910112345678910111213141516171819202122232425262728293031323334353738394041424344454647484950[KG VOLUME])</f>
        <v>468.34450000000004</v>
      </c>
      <c r="N28" s="61">
        <f>SUM(N3:N27)</f>
        <v>529.38350000000003</v>
      </c>
      <c r="O28" s="162">
        <f>SUM(P3:P27)</f>
        <v>3705684.5</v>
      </c>
      <c r="P28" s="163"/>
    </row>
    <row r="29" spans="1:16" ht="18" customHeight="1" x14ac:dyDescent="0.2">
      <c r="A29" s="78"/>
      <c r="B29" s="49" t="s">
        <v>42</v>
      </c>
      <c r="C29" s="48"/>
      <c r="D29" s="50" t="s">
        <v>43</v>
      </c>
      <c r="E29" s="78"/>
      <c r="F29" s="78"/>
      <c r="G29" s="78"/>
      <c r="H29" s="78"/>
      <c r="I29" s="78"/>
      <c r="J29" s="78"/>
      <c r="K29" s="78"/>
      <c r="L29" s="78"/>
      <c r="M29" s="79"/>
      <c r="N29" s="80" t="s">
        <v>52</v>
      </c>
      <c r="O29" s="81"/>
      <c r="P29" s="81">
        <v>0</v>
      </c>
    </row>
    <row r="30" spans="1:16" ht="18" customHeight="1" thickBot="1" x14ac:dyDescent="0.25">
      <c r="A30" s="78"/>
      <c r="B30" s="49"/>
      <c r="C30" s="48"/>
      <c r="D30" s="50"/>
      <c r="E30" s="78"/>
      <c r="F30" s="78"/>
      <c r="G30" s="78"/>
      <c r="H30" s="78"/>
      <c r="I30" s="78"/>
      <c r="J30" s="78"/>
      <c r="K30" s="78"/>
      <c r="L30" s="78"/>
      <c r="M30" s="79"/>
      <c r="N30" s="82" t="s">
        <v>53</v>
      </c>
      <c r="O30" s="83"/>
      <c r="P30" s="83">
        <f>O28-P29</f>
        <v>3705684.5</v>
      </c>
    </row>
    <row r="31" spans="1:16" ht="18" customHeight="1" x14ac:dyDescent="0.2">
      <c r="A31" s="10"/>
      <c r="H31" s="56"/>
      <c r="N31" s="55" t="s">
        <v>31</v>
      </c>
      <c r="P31" s="62">
        <f>P30*1%</f>
        <v>37056.845000000001</v>
      </c>
    </row>
    <row r="32" spans="1:16" ht="18" customHeight="1" thickBot="1" x14ac:dyDescent="0.25">
      <c r="A32" s="10"/>
      <c r="H32" s="56"/>
      <c r="N32" s="55" t="s">
        <v>54</v>
      </c>
      <c r="P32" s="64">
        <f>P30*2%</f>
        <v>74113.69</v>
      </c>
    </row>
    <row r="33" spans="1:16" ht="18" customHeight="1" x14ac:dyDescent="0.2">
      <c r="A33" s="10"/>
      <c r="H33" s="56"/>
      <c r="N33" s="59" t="s">
        <v>32</v>
      </c>
      <c r="O33" s="60"/>
      <c r="P33" s="63">
        <f>P30+P31-P32</f>
        <v>3668627.6550000003</v>
      </c>
    </row>
    <row r="35" spans="1:16" x14ac:dyDescent="0.2">
      <c r="A35" s="10"/>
      <c r="H35" s="56"/>
      <c r="P35" s="64"/>
    </row>
    <row r="36" spans="1:16" x14ac:dyDescent="0.2">
      <c r="A36" s="10"/>
      <c r="H36" s="56"/>
      <c r="O36" s="51"/>
      <c r="P36" s="6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</sheetData>
  <mergeCells count="2">
    <mergeCell ref="A28:L28"/>
    <mergeCell ref="O28:P28"/>
  </mergeCells>
  <conditionalFormatting sqref="C3:C27">
    <cfRule type="duplicateValues" dxfId="815" priority="8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topLeftCell="A16" workbookViewId="0">
      <selection activeCell="N19" sqref="N3:N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403912</v>
      </c>
      <c r="B3" s="99" t="s">
        <v>3113</v>
      </c>
      <c r="C3" s="90" t="s">
        <v>3114</v>
      </c>
      <c r="D3" s="102" t="s">
        <v>57</v>
      </c>
      <c r="E3" s="91">
        <v>44545</v>
      </c>
      <c r="F3" s="102" t="s">
        <v>58</v>
      </c>
      <c r="G3" s="91">
        <v>44550</v>
      </c>
      <c r="H3" s="90" t="s">
        <v>1619</v>
      </c>
      <c r="I3" s="90">
        <v>73</v>
      </c>
      <c r="J3" s="90">
        <v>50</v>
      </c>
      <c r="K3" s="90">
        <v>16</v>
      </c>
      <c r="L3" s="90">
        <v>11</v>
      </c>
      <c r="M3" s="90">
        <v>14.6</v>
      </c>
      <c r="N3" s="104">
        <v>14.6</v>
      </c>
      <c r="O3" s="57">
        <v>7000</v>
      </c>
      <c r="P3" s="58">
        <f t="shared" ref="P3:P19" si="0">N3*O3</f>
        <v>102200</v>
      </c>
    </row>
    <row r="4" spans="1:16" ht="26.25" customHeight="1" x14ac:dyDescent="0.2">
      <c r="A4" s="100"/>
      <c r="B4" s="100"/>
      <c r="C4" s="90" t="s">
        <v>3115</v>
      </c>
      <c r="D4" s="102" t="s">
        <v>57</v>
      </c>
      <c r="E4" s="91">
        <v>44545</v>
      </c>
      <c r="F4" s="102" t="s">
        <v>58</v>
      </c>
      <c r="G4" s="91">
        <v>44550</v>
      </c>
      <c r="H4" s="90" t="s">
        <v>1619</v>
      </c>
      <c r="I4" s="90">
        <v>15</v>
      </c>
      <c r="J4" s="90">
        <v>10</v>
      </c>
      <c r="K4" s="90">
        <v>8</v>
      </c>
      <c r="L4" s="90">
        <v>1</v>
      </c>
      <c r="M4" s="90">
        <v>0.3</v>
      </c>
      <c r="N4" s="104">
        <v>2</v>
      </c>
      <c r="O4" s="57">
        <v>7000</v>
      </c>
      <c r="P4" s="58">
        <f t="shared" si="0"/>
        <v>14000</v>
      </c>
    </row>
    <row r="5" spans="1:16" ht="26.25" customHeight="1" x14ac:dyDescent="0.2">
      <c r="A5" s="100"/>
      <c r="B5" s="100"/>
      <c r="C5" s="90" t="s">
        <v>3116</v>
      </c>
      <c r="D5" s="102" t="s">
        <v>57</v>
      </c>
      <c r="E5" s="91">
        <v>44545</v>
      </c>
      <c r="F5" s="102" t="s">
        <v>58</v>
      </c>
      <c r="G5" s="91">
        <v>44550</v>
      </c>
      <c r="H5" s="90" t="s">
        <v>1619</v>
      </c>
      <c r="I5" s="90">
        <v>53</v>
      </c>
      <c r="J5" s="90">
        <v>45</v>
      </c>
      <c r="K5" s="90">
        <v>21</v>
      </c>
      <c r="L5" s="90">
        <v>6</v>
      </c>
      <c r="M5" s="90">
        <v>12.52125</v>
      </c>
      <c r="N5" s="104">
        <v>12.52125</v>
      </c>
      <c r="O5" s="57">
        <v>7000</v>
      </c>
      <c r="P5" s="58">
        <f t="shared" si="0"/>
        <v>87648.75</v>
      </c>
    </row>
    <row r="6" spans="1:16" ht="26.25" customHeight="1" x14ac:dyDescent="0.2">
      <c r="A6" s="100"/>
      <c r="B6" s="100"/>
      <c r="C6" s="90" t="s">
        <v>3117</v>
      </c>
      <c r="D6" s="102" t="s">
        <v>57</v>
      </c>
      <c r="E6" s="91">
        <v>44545</v>
      </c>
      <c r="F6" s="102" t="s">
        <v>58</v>
      </c>
      <c r="G6" s="91">
        <v>44550</v>
      </c>
      <c r="H6" s="90" t="s">
        <v>1619</v>
      </c>
      <c r="I6" s="90">
        <v>100</v>
      </c>
      <c r="J6" s="90">
        <v>76</v>
      </c>
      <c r="K6" s="90">
        <v>3</v>
      </c>
      <c r="L6" s="90">
        <v>1</v>
      </c>
      <c r="M6" s="90">
        <v>5.7</v>
      </c>
      <c r="N6" s="104">
        <v>5.7</v>
      </c>
      <c r="O6" s="57">
        <v>7000</v>
      </c>
      <c r="P6" s="58">
        <f t="shared" si="0"/>
        <v>39900</v>
      </c>
    </row>
    <row r="7" spans="1:16" ht="26.25" customHeight="1" x14ac:dyDescent="0.2">
      <c r="A7" s="100"/>
      <c r="B7" s="100"/>
      <c r="C7" s="65" t="s">
        <v>3118</v>
      </c>
      <c r="D7" s="70" t="s">
        <v>57</v>
      </c>
      <c r="E7" s="12">
        <v>44545</v>
      </c>
      <c r="F7" s="68" t="s">
        <v>58</v>
      </c>
      <c r="G7" s="12">
        <v>44550</v>
      </c>
      <c r="H7" s="69" t="s">
        <v>1619</v>
      </c>
      <c r="I7" s="15">
        <v>77</v>
      </c>
      <c r="J7" s="15">
        <v>59</v>
      </c>
      <c r="K7" s="15">
        <v>12</v>
      </c>
      <c r="L7" s="15">
        <v>8</v>
      </c>
      <c r="M7" s="73">
        <v>13.629</v>
      </c>
      <c r="N7" s="104">
        <v>13.629</v>
      </c>
      <c r="O7" s="57">
        <v>7000</v>
      </c>
      <c r="P7" s="58">
        <f t="shared" si="0"/>
        <v>95403</v>
      </c>
    </row>
    <row r="8" spans="1:16" ht="26.25" customHeight="1" x14ac:dyDescent="0.2">
      <c r="A8" s="100"/>
      <c r="B8" s="100"/>
      <c r="C8" s="65" t="s">
        <v>3119</v>
      </c>
      <c r="D8" s="70" t="s">
        <v>57</v>
      </c>
      <c r="E8" s="12">
        <v>44545</v>
      </c>
      <c r="F8" s="68" t="s">
        <v>58</v>
      </c>
      <c r="G8" s="12">
        <v>44550</v>
      </c>
      <c r="H8" s="69" t="s">
        <v>1619</v>
      </c>
      <c r="I8" s="15">
        <v>60</v>
      </c>
      <c r="J8" s="15">
        <v>33</v>
      </c>
      <c r="K8" s="15">
        <v>15</v>
      </c>
      <c r="L8" s="15">
        <v>1</v>
      </c>
      <c r="M8" s="73">
        <v>7.4249999999999998</v>
      </c>
      <c r="N8" s="104">
        <v>8</v>
      </c>
      <c r="O8" s="57">
        <v>7000</v>
      </c>
      <c r="P8" s="58">
        <f t="shared" si="0"/>
        <v>56000</v>
      </c>
    </row>
    <row r="9" spans="1:16" ht="26.25" customHeight="1" x14ac:dyDescent="0.2">
      <c r="A9" s="100"/>
      <c r="B9" s="100"/>
      <c r="C9" s="65" t="s">
        <v>3120</v>
      </c>
      <c r="D9" s="70" t="s">
        <v>57</v>
      </c>
      <c r="E9" s="12">
        <v>44545</v>
      </c>
      <c r="F9" s="68" t="s">
        <v>58</v>
      </c>
      <c r="G9" s="12">
        <v>44550</v>
      </c>
      <c r="H9" s="69" t="s">
        <v>1619</v>
      </c>
      <c r="I9" s="15">
        <v>79</v>
      </c>
      <c r="J9" s="15">
        <v>53</v>
      </c>
      <c r="K9" s="15">
        <v>21</v>
      </c>
      <c r="L9" s="15">
        <v>17</v>
      </c>
      <c r="M9" s="73">
        <v>21.981750000000002</v>
      </c>
      <c r="N9" s="104">
        <v>21.981750000000002</v>
      </c>
      <c r="O9" s="57">
        <v>7000</v>
      </c>
      <c r="P9" s="58">
        <f t="shared" si="0"/>
        <v>153872.25</v>
      </c>
    </row>
    <row r="10" spans="1:16" ht="26.25" customHeight="1" x14ac:dyDescent="0.2">
      <c r="A10" s="100"/>
      <c r="B10" s="100"/>
      <c r="C10" s="65" t="s">
        <v>3121</v>
      </c>
      <c r="D10" s="70" t="s">
        <v>57</v>
      </c>
      <c r="E10" s="12">
        <v>44545</v>
      </c>
      <c r="F10" s="68" t="s">
        <v>58</v>
      </c>
      <c r="G10" s="12">
        <v>44550</v>
      </c>
      <c r="H10" s="69" t="s">
        <v>1619</v>
      </c>
      <c r="I10" s="15">
        <v>52</v>
      </c>
      <c r="J10" s="15">
        <v>32</v>
      </c>
      <c r="K10" s="15">
        <v>18</v>
      </c>
      <c r="L10" s="15">
        <v>7</v>
      </c>
      <c r="M10" s="73">
        <v>7.4880000000000004</v>
      </c>
      <c r="N10" s="104">
        <v>8</v>
      </c>
      <c r="O10" s="57">
        <v>7000</v>
      </c>
      <c r="P10" s="58">
        <f t="shared" si="0"/>
        <v>56000</v>
      </c>
    </row>
    <row r="11" spans="1:16" ht="26.25" customHeight="1" x14ac:dyDescent="0.2">
      <c r="A11" s="100"/>
      <c r="B11" s="100"/>
      <c r="C11" s="65" t="s">
        <v>3122</v>
      </c>
      <c r="D11" s="70" t="s">
        <v>57</v>
      </c>
      <c r="E11" s="12">
        <v>44545</v>
      </c>
      <c r="F11" s="68" t="s">
        <v>58</v>
      </c>
      <c r="G11" s="12">
        <v>44550</v>
      </c>
      <c r="H11" s="69" t="s">
        <v>1619</v>
      </c>
      <c r="I11" s="15">
        <v>100</v>
      </c>
      <c r="J11" s="15">
        <v>20</v>
      </c>
      <c r="K11" s="15">
        <v>8</v>
      </c>
      <c r="L11" s="15">
        <v>2</v>
      </c>
      <c r="M11" s="73">
        <v>4</v>
      </c>
      <c r="N11" s="104">
        <v>4</v>
      </c>
      <c r="O11" s="57">
        <v>7000</v>
      </c>
      <c r="P11" s="58">
        <f t="shared" si="0"/>
        <v>28000</v>
      </c>
    </row>
    <row r="12" spans="1:16" ht="26.25" customHeight="1" x14ac:dyDescent="0.2">
      <c r="A12" s="100"/>
      <c r="B12" s="100"/>
      <c r="C12" s="65" t="s">
        <v>3123</v>
      </c>
      <c r="D12" s="70" t="s">
        <v>57</v>
      </c>
      <c r="E12" s="12">
        <v>44545</v>
      </c>
      <c r="F12" s="68" t="s">
        <v>58</v>
      </c>
      <c r="G12" s="12">
        <v>44550</v>
      </c>
      <c r="H12" s="69" t="s">
        <v>1619</v>
      </c>
      <c r="I12" s="15">
        <v>41</v>
      </c>
      <c r="J12" s="15">
        <v>31</v>
      </c>
      <c r="K12" s="15">
        <v>21</v>
      </c>
      <c r="L12" s="15">
        <v>6</v>
      </c>
      <c r="M12" s="73">
        <v>6.6727499999999997</v>
      </c>
      <c r="N12" s="104">
        <v>6.6727499999999997</v>
      </c>
      <c r="O12" s="57">
        <v>7000</v>
      </c>
      <c r="P12" s="58">
        <f t="shared" si="0"/>
        <v>46709.25</v>
      </c>
    </row>
    <row r="13" spans="1:16" ht="26.25" customHeight="1" x14ac:dyDescent="0.2">
      <c r="A13" s="100"/>
      <c r="B13" s="100"/>
      <c r="C13" s="65" t="s">
        <v>3124</v>
      </c>
      <c r="D13" s="70" t="s">
        <v>57</v>
      </c>
      <c r="E13" s="12">
        <v>44545</v>
      </c>
      <c r="F13" s="68" t="s">
        <v>58</v>
      </c>
      <c r="G13" s="12">
        <v>44550</v>
      </c>
      <c r="H13" s="69" t="s">
        <v>1619</v>
      </c>
      <c r="I13" s="15">
        <v>67</v>
      </c>
      <c r="J13" s="15">
        <v>42</v>
      </c>
      <c r="K13" s="15">
        <v>26</v>
      </c>
      <c r="L13" s="15">
        <v>12</v>
      </c>
      <c r="M13" s="73">
        <v>18.291</v>
      </c>
      <c r="N13" s="104">
        <v>18.291</v>
      </c>
      <c r="O13" s="57">
        <v>7000</v>
      </c>
      <c r="P13" s="58">
        <f t="shared" si="0"/>
        <v>128037</v>
      </c>
    </row>
    <row r="14" spans="1:16" ht="26.25" customHeight="1" x14ac:dyDescent="0.2">
      <c r="A14" s="100"/>
      <c r="B14" s="100"/>
      <c r="C14" s="65" t="s">
        <v>3125</v>
      </c>
      <c r="D14" s="70" t="s">
        <v>57</v>
      </c>
      <c r="E14" s="12">
        <v>44545</v>
      </c>
      <c r="F14" s="68" t="s">
        <v>58</v>
      </c>
      <c r="G14" s="12">
        <v>44550</v>
      </c>
      <c r="H14" s="69" t="s">
        <v>1619</v>
      </c>
      <c r="I14" s="15">
        <v>45</v>
      </c>
      <c r="J14" s="15">
        <v>35</v>
      </c>
      <c r="K14" s="15">
        <v>12</v>
      </c>
      <c r="L14" s="15">
        <v>1</v>
      </c>
      <c r="M14" s="73">
        <v>4.7249999999999996</v>
      </c>
      <c r="N14" s="104">
        <v>4.7249999999999996</v>
      </c>
      <c r="O14" s="57">
        <v>7000</v>
      </c>
      <c r="P14" s="58">
        <f t="shared" si="0"/>
        <v>33075</v>
      </c>
    </row>
    <row r="15" spans="1:16" ht="26.25" customHeight="1" x14ac:dyDescent="0.2">
      <c r="A15" s="100"/>
      <c r="B15" s="100"/>
      <c r="C15" s="65" t="s">
        <v>3126</v>
      </c>
      <c r="D15" s="70" t="s">
        <v>57</v>
      </c>
      <c r="E15" s="12">
        <v>44545</v>
      </c>
      <c r="F15" s="68" t="s">
        <v>58</v>
      </c>
      <c r="G15" s="12">
        <v>44550</v>
      </c>
      <c r="H15" s="69" t="s">
        <v>1619</v>
      </c>
      <c r="I15" s="15">
        <v>87</v>
      </c>
      <c r="J15" s="15">
        <v>65</v>
      </c>
      <c r="K15" s="15">
        <v>21</v>
      </c>
      <c r="L15" s="15">
        <v>10</v>
      </c>
      <c r="M15" s="73">
        <v>29.688749999999999</v>
      </c>
      <c r="N15" s="104">
        <v>29.688749999999999</v>
      </c>
      <c r="O15" s="57">
        <v>7000</v>
      </c>
      <c r="P15" s="58">
        <f t="shared" si="0"/>
        <v>207821.25</v>
      </c>
    </row>
    <row r="16" spans="1:16" ht="26.25" customHeight="1" x14ac:dyDescent="0.2">
      <c r="A16" s="100"/>
      <c r="B16" s="100"/>
      <c r="C16" s="65" t="s">
        <v>3127</v>
      </c>
      <c r="D16" s="70" t="s">
        <v>57</v>
      </c>
      <c r="E16" s="12">
        <v>44545</v>
      </c>
      <c r="F16" s="68" t="s">
        <v>58</v>
      </c>
      <c r="G16" s="12">
        <v>44550</v>
      </c>
      <c r="H16" s="69" t="s">
        <v>1619</v>
      </c>
      <c r="I16" s="15">
        <v>100</v>
      </c>
      <c r="J16" s="15">
        <v>57</v>
      </c>
      <c r="K16" s="15">
        <v>24</v>
      </c>
      <c r="L16" s="15">
        <v>16</v>
      </c>
      <c r="M16" s="73">
        <v>34.200000000000003</v>
      </c>
      <c r="N16" s="104">
        <v>34.200000000000003</v>
      </c>
      <c r="O16" s="57">
        <v>7000</v>
      </c>
      <c r="P16" s="58">
        <f t="shared" si="0"/>
        <v>239400.00000000003</v>
      </c>
    </row>
    <row r="17" spans="1:16" ht="26.25" customHeight="1" x14ac:dyDescent="0.2">
      <c r="A17" s="100"/>
      <c r="B17" s="100"/>
      <c r="C17" s="65" t="s">
        <v>3128</v>
      </c>
      <c r="D17" s="70" t="s">
        <v>57</v>
      </c>
      <c r="E17" s="12">
        <v>44545</v>
      </c>
      <c r="F17" s="68" t="s">
        <v>58</v>
      </c>
      <c r="G17" s="12">
        <v>44550</v>
      </c>
      <c r="H17" s="69" t="s">
        <v>1619</v>
      </c>
      <c r="I17" s="15">
        <v>45</v>
      </c>
      <c r="J17" s="15">
        <v>32</v>
      </c>
      <c r="K17" s="15">
        <v>18</v>
      </c>
      <c r="L17" s="15">
        <v>5</v>
      </c>
      <c r="M17" s="73">
        <v>6.48</v>
      </c>
      <c r="N17" s="104">
        <v>7</v>
      </c>
      <c r="O17" s="57">
        <v>7000</v>
      </c>
      <c r="P17" s="58">
        <f t="shared" si="0"/>
        <v>49000</v>
      </c>
    </row>
    <row r="18" spans="1:16" ht="26.25" customHeight="1" x14ac:dyDescent="0.2">
      <c r="A18" s="100"/>
      <c r="B18" s="100"/>
      <c r="C18" s="65" t="s">
        <v>3129</v>
      </c>
      <c r="D18" s="70" t="s">
        <v>57</v>
      </c>
      <c r="E18" s="12">
        <v>44545</v>
      </c>
      <c r="F18" s="68" t="s">
        <v>58</v>
      </c>
      <c r="G18" s="12">
        <v>44550</v>
      </c>
      <c r="H18" s="69" t="s">
        <v>1619</v>
      </c>
      <c r="I18" s="15">
        <v>45</v>
      </c>
      <c r="J18" s="15">
        <v>38</v>
      </c>
      <c r="K18" s="15">
        <v>24</v>
      </c>
      <c r="L18" s="15">
        <v>17</v>
      </c>
      <c r="M18" s="73">
        <v>10.26</v>
      </c>
      <c r="N18" s="104">
        <v>17</v>
      </c>
      <c r="O18" s="57">
        <v>7000</v>
      </c>
      <c r="P18" s="58">
        <f t="shared" si="0"/>
        <v>119000</v>
      </c>
    </row>
    <row r="19" spans="1:16" ht="26.25" customHeight="1" x14ac:dyDescent="0.2">
      <c r="A19" s="100"/>
      <c r="B19" s="100"/>
      <c r="C19" s="65" t="s">
        <v>3130</v>
      </c>
      <c r="D19" s="70" t="s">
        <v>57</v>
      </c>
      <c r="E19" s="12">
        <v>44545</v>
      </c>
      <c r="F19" s="68" t="s">
        <v>58</v>
      </c>
      <c r="G19" s="12">
        <v>44550</v>
      </c>
      <c r="H19" s="69" t="s">
        <v>1619</v>
      </c>
      <c r="I19" s="15">
        <v>36</v>
      </c>
      <c r="J19" s="15">
        <v>35</v>
      </c>
      <c r="K19" s="15">
        <v>32</v>
      </c>
      <c r="L19" s="15">
        <v>8</v>
      </c>
      <c r="M19" s="73">
        <v>10.08</v>
      </c>
      <c r="N19" s="104">
        <v>10.08</v>
      </c>
      <c r="O19" s="57">
        <v>7000</v>
      </c>
      <c r="P19" s="58">
        <f t="shared" si="0"/>
        <v>70560</v>
      </c>
    </row>
    <row r="20" spans="1:16" ht="22.5" customHeight="1" x14ac:dyDescent="0.2">
      <c r="A20" s="159" t="s">
        <v>30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1"/>
      <c r="M20" s="71">
        <f>SUBTOTAL(109,Table22457891011234567891011121314151617181920212223242526272829303132333435373839404142434445464748495051[KG VOLUME])</f>
        <v>208.04249999999996</v>
      </c>
      <c r="N20" s="61">
        <f>SUM(N3:N19)</f>
        <v>218.08950000000002</v>
      </c>
      <c r="O20" s="162">
        <f>SUM(P3:P19)</f>
        <v>1526626.5</v>
      </c>
      <c r="P20" s="163"/>
    </row>
    <row r="21" spans="1:16" ht="18" customHeight="1" x14ac:dyDescent="0.2">
      <c r="A21" s="78"/>
      <c r="B21" s="49" t="s">
        <v>42</v>
      </c>
      <c r="C21" s="48"/>
      <c r="D21" s="50" t="s">
        <v>43</v>
      </c>
      <c r="E21" s="78"/>
      <c r="F21" s="78"/>
      <c r="G21" s="78"/>
      <c r="H21" s="78"/>
      <c r="I21" s="78"/>
      <c r="J21" s="78"/>
      <c r="K21" s="78"/>
      <c r="L21" s="78"/>
      <c r="M21" s="79"/>
      <c r="N21" s="80" t="s">
        <v>52</v>
      </c>
      <c r="O21" s="81"/>
      <c r="P21" s="81">
        <v>0</v>
      </c>
    </row>
    <row r="22" spans="1:16" ht="18" customHeight="1" thickBot="1" x14ac:dyDescent="0.25">
      <c r="A22" s="78"/>
      <c r="B22" s="49"/>
      <c r="C22" s="48"/>
      <c r="D22" s="50"/>
      <c r="E22" s="78"/>
      <c r="F22" s="78"/>
      <c r="G22" s="78"/>
      <c r="H22" s="78"/>
      <c r="I22" s="78"/>
      <c r="J22" s="78"/>
      <c r="K22" s="78"/>
      <c r="L22" s="78"/>
      <c r="M22" s="79"/>
      <c r="N22" s="82" t="s">
        <v>53</v>
      </c>
      <c r="O22" s="83"/>
      <c r="P22" s="83">
        <f>O20-P21</f>
        <v>1526626.5</v>
      </c>
    </row>
    <row r="23" spans="1:16" ht="18" customHeight="1" x14ac:dyDescent="0.2">
      <c r="A23" s="10"/>
      <c r="H23" s="56"/>
      <c r="N23" s="55" t="s">
        <v>31</v>
      </c>
      <c r="P23" s="62">
        <f>P22*1%</f>
        <v>15266.264999999999</v>
      </c>
    </row>
    <row r="24" spans="1:16" ht="18" customHeight="1" thickBot="1" x14ac:dyDescent="0.25">
      <c r="A24" s="10"/>
      <c r="H24" s="56"/>
      <c r="N24" s="55" t="s">
        <v>54</v>
      </c>
      <c r="P24" s="64">
        <f>P22*2%</f>
        <v>30532.53</v>
      </c>
    </row>
    <row r="25" spans="1:16" ht="18" customHeight="1" x14ac:dyDescent="0.2">
      <c r="A25" s="10"/>
      <c r="H25" s="56"/>
      <c r="N25" s="59" t="s">
        <v>32</v>
      </c>
      <c r="O25" s="60"/>
      <c r="P25" s="63">
        <f>P22+P23-P24</f>
        <v>1511360.2349999999</v>
      </c>
    </row>
    <row r="27" spans="1:16" x14ac:dyDescent="0.2">
      <c r="A27" s="10"/>
      <c r="H27" s="56"/>
      <c r="P27" s="64"/>
    </row>
    <row r="28" spans="1:16" x14ac:dyDescent="0.2">
      <c r="A28" s="10"/>
      <c r="H28" s="56"/>
      <c r="O28" s="51"/>
      <c r="P28" s="6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</sheetData>
  <mergeCells count="2">
    <mergeCell ref="A20:L20"/>
    <mergeCell ref="O20:P20"/>
  </mergeCells>
  <conditionalFormatting sqref="C3:C19">
    <cfRule type="duplicateValues" dxfId="799" priority="8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topLeftCell="A19" workbookViewId="0">
      <selection activeCell="A3" sqref="A3:XFD2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2.5" customHeight="1" x14ac:dyDescent="0.2">
      <c r="A3" s="99">
        <v>406120</v>
      </c>
      <c r="B3" s="99" t="s">
        <v>3131</v>
      </c>
      <c r="C3" s="90" t="s">
        <v>3132</v>
      </c>
      <c r="D3" s="102" t="s">
        <v>57</v>
      </c>
      <c r="E3" s="91">
        <v>44547</v>
      </c>
      <c r="F3" s="102" t="s">
        <v>58</v>
      </c>
      <c r="G3" s="91">
        <v>44550</v>
      </c>
      <c r="H3" s="90" t="s">
        <v>1619</v>
      </c>
      <c r="I3" s="90">
        <v>57</v>
      </c>
      <c r="J3" s="90">
        <v>65</v>
      </c>
      <c r="K3" s="90">
        <v>10</v>
      </c>
      <c r="L3" s="90">
        <v>3</v>
      </c>
      <c r="M3" s="90">
        <v>9.2624999999999993</v>
      </c>
      <c r="N3" s="104">
        <v>9.2624999999999993</v>
      </c>
      <c r="O3" s="57">
        <v>7000</v>
      </c>
      <c r="P3" s="58">
        <f t="shared" ref="P3:P25" si="0">N3*O3</f>
        <v>64837.499999999993</v>
      </c>
    </row>
    <row r="4" spans="1:16" ht="22.5" customHeight="1" x14ac:dyDescent="0.2">
      <c r="A4" s="100"/>
      <c r="B4" s="100"/>
      <c r="C4" s="90" t="s">
        <v>3133</v>
      </c>
      <c r="D4" s="102" t="s">
        <v>57</v>
      </c>
      <c r="E4" s="91">
        <v>44547</v>
      </c>
      <c r="F4" s="102" t="s">
        <v>58</v>
      </c>
      <c r="G4" s="91">
        <v>44550</v>
      </c>
      <c r="H4" s="90" t="s">
        <v>1619</v>
      </c>
      <c r="I4" s="90">
        <v>65</v>
      </c>
      <c r="J4" s="90">
        <v>67</v>
      </c>
      <c r="K4" s="90">
        <v>15</v>
      </c>
      <c r="L4" s="90">
        <v>7</v>
      </c>
      <c r="M4" s="90">
        <v>16.331250000000001</v>
      </c>
      <c r="N4" s="104">
        <v>17</v>
      </c>
      <c r="O4" s="57">
        <v>7000</v>
      </c>
      <c r="P4" s="58">
        <f t="shared" si="0"/>
        <v>119000</v>
      </c>
    </row>
    <row r="5" spans="1:16" ht="22.5" customHeight="1" x14ac:dyDescent="0.2">
      <c r="A5" s="100"/>
      <c r="B5" s="100"/>
      <c r="C5" s="90" t="s">
        <v>3134</v>
      </c>
      <c r="D5" s="102" t="s">
        <v>57</v>
      </c>
      <c r="E5" s="91">
        <v>44547</v>
      </c>
      <c r="F5" s="102" t="s">
        <v>58</v>
      </c>
      <c r="G5" s="91">
        <v>44550</v>
      </c>
      <c r="H5" s="90" t="s">
        <v>1619</v>
      </c>
      <c r="I5" s="90">
        <v>70</v>
      </c>
      <c r="J5" s="90">
        <v>57</v>
      </c>
      <c r="K5" s="90">
        <v>15</v>
      </c>
      <c r="L5" s="90">
        <v>7</v>
      </c>
      <c r="M5" s="90">
        <v>14.9625</v>
      </c>
      <c r="N5" s="104">
        <v>14.9625</v>
      </c>
      <c r="O5" s="57">
        <v>7000</v>
      </c>
      <c r="P5" s="58">
        <f t="shared" si="0"/>
        <v>104737.5</v>
      </c>
    </row>
    <row r="6" spans="1:16" ht="22.5" customHeight="1" x14ac:dyDescent="0.2">
      <c r="A6" s="100"/>
      <c r="B6" s="100"/>
      <c r="C6" s="90" t="s">
        <v>3135</v>
      </c>
      <c r="D6" s="102" t="s">
        <v>57</v>
      </c>
      <c r="E6" s="91">
        <v>44547</v>
      </c>
      <c r="F6" s="102" t="s">
        <v>58</v>
      </c>
      <c r="G6" s="91">
        <v>44550</v>
      </c>
      <c r="H6" s="90" t="s">
        <v>1619</v>
      </c>
      <c r="I6" s="90">
        <v>73</v>
      </c>
      <c r="J6" s="90">
        <v>49</v>
      </c>
      <c r="K6" s="90">
        <v>25</v>
      </c>
      <c r="L6" s="90">
        <v>5</v>
      </c>
      <c r="M6" s="90">
        <v>22.356249999999999</v>
      </c>
      <c r="N6" s="104">
        <v>23</v>
      </c>
      <c r="O6" s="57">
        <v>7000</v>
      </c>
      <c r="P6" s="58">
        <f t="shared" si="0"/>
        <v>161000</v>
      </c>
    </row>
    <row r="7" spans="1:16" ht="22.5" customHeight="1" x14ac:dyDescent="0.2">
      <c r="A7" s="100"/>
      <c r="B7" s="100"/>
      <c r="C7" s="65" t="s">
        <v>3136</v>
      </c>
      <c r="D7" s="70" t="s">
        <v>57</v>
      </c>
      <c r="E7" s="12">
        <v>44547</v>
      </c>
      <c r="F7" s="68" t="s">
        <v>58</v>
      </c>
      <c r="G7" s="12">
        <v>44550</v>
      </c>
      <c r="H7" s="69" t="s">
        <v>1619</v>
      </c>
      <c r="I7" s="15">
        <v>90</v>
      </c>
      <c r="J7" s="15">
        <v>53</v>
      </c>
      <c r="K7" s="15">
        <v>29</v>
      </c>
      <c r="L7" s="15">
        <v>15</v>
      </c>
      <c r="M7" s="73">
        <v>34.582500000000003</v>
      </c>
      <c r="N7" s="104">
        <v>34.582500000000003</v>
      </c>
      <c r="O7" s="57">
        <v>7000</v>
      </c>
      <c r="P7" s="58">
        <f t="shared" si="0"/>
        <v>242077.50000000003</v>
      </c>
    </row>
    <row r="8" spans="1:16" ht="22.5" customHeight="1" x14ac:dyDescent="0.2">
      <c r="A8" s="100"/>
      <c r="B8" s="100"/>
      <c r="C8" s="65" t="s">
        <v>3137</v>
      </c>
      <c r="D8" s="70" t="s">
        <v>57</v>
      </c>
      <c r="E8" s="12">
        <v>44547</v>
      </c>
      <c r="F8" s="68" t="s">
        <v>58</v>
      </c>
      <c r="G8" s="12">
        <v>44550</v>
      </c>
      <c r="H8" s="69" t="s">
        <v>1619</v>
      </c>
      <c r="I8" s="15">
        <v>56</v>
      </c>
      <c r="J8" s="15">
        <v>78</v>
      </c>
      <c r="K8" s="15">
        <v>15</v>
      </c>
      <c r="L8" s="15">
        <v>3</v>
      </c>
      <c r="M8" s="73">
        <v>16.38</v>
      </c>
      <c r="N8" s="104">
        <v>17</v>
      </c>
      <c r="O8" s="57">
        <v>7000</v>
      </c>
      <c r="P8" s="58">
        <f t="shared" si="0"/>
        <v>119000</v>
      </c>
    </row>
    <row r="9" spans="1:16" ht="22.5" customHeight="1" x14ac:dyDescent="0.2">
      <c r="A9" s="100"/>
      <c r="B9" s="100"/>
      <c r="C9" s="65" t="s">
        <v>3138</v>
      </c>
      <c r="D9" s="70" t="s">
        <v>57</v>
      </c>
      <c r="E9" s="12">
        <v>44547</v>
      </c>
      <c r="F9" s="68" t="s">
        <v>58</v>
      </c>
      <c r="G9" s="12">
        <v>44550</v>
      </c>
      <c r="H9" s="69" t="s">
        <v>1619</v>
      </c>
      <c r="I9" s="15">
        <v>45</v>
      </c>
      <c r="J9" s="15">
        <v>30</v>
      </c>
      <c r="K9" s="15">
        <v>10</v>
      </c>
      <c r="L9" s="15">
        <v>1</v>
      </c>
      <c r="M9" s="73">
        <v>3.375</v>
      </c>
      <c r="N9" s="104">
        <v>4</v>
      </c>
      <c r="O9" s="57">
        <v>7000</v>
      </c>
      <c r="P9" s="58">
        <f t="shared" si="0"/>
        <v>28000</v>
      </c>
    </row>
    <row r="10" spans="1:16" ht="22.5" customHeight="1" x14ac:dyDescent="0.2">
      <c r="A10" s="100"/>
      <c r="B10" s="100"/>
      <c r="C10" s="65" t="s">
        <v>3139</v>
      </c>
      <c r="D10" s="70" t="s">
        <v>57</v>
      </c>
      <c r="E10" s="12">
        <v>44547</v>
      </c>
      <c r="F10" s="68" t="s">
        <v>58</v>
      </c>
      <c r="G10" s="12">
        <v>44550</v>
      </c>
      <c r="H10" s="69" t="s">
        <v>1619</v>
      </c>
      <c r="I10" s="15">
        <v>56</v>
      </c>
      <c r="J10" s="15">
        <v>39</v>
      </c>
      <c r="K10" s="15">
        <v>34</v>
      </c>
      <c r="L10" s="15">
        <v>2</v>
      </c>
      <c r="M10" s="73">
        <v>18.564</v>
      </c>
      <c r="N10" s="104">
        <v>18.564</v>
      </c>
      <c r="O10" s="57">
        <v>7000</v>
      </c>
      <c r="P10" s="58">
        <f t="shared" si="0"/>
        <v>129948</v>
      </c>
    </row>
    <row r="11" spans="1:16" ht="22.5" customHeight="1" x14ac:dyDescent="0.2">
      <c r="A11" s="100"/>
      <c r="B11" s="100"/>
      <c r="C11" s="65" t="s">
        <v>3140</v>
      </c>
      <c r="D11" s="70" t="s">
        <v>57</v>
      </c>
      <c r="E11" s="12">
        <v>44547</v>
      </c>
      <c r="F11" s="68" t="s">
        <v>58</v>
      </c>
      <c r="G11" s="12">
        <v>44550</v>
      </c>
      <c r="H11" s="69" t="s">
        <v>1619</v>
      </c>
      <c r="I11" s="15">
        <v>57</v>
      </c>
      <c r="J11" s="15">
        <v>35</v>
      </c>
      <c r="K11" s="15">
        <v>15</v>
      </c>
      <c r="L11" s="15">
        <v>2</v>
      </c>
      <c r="M11" s="73">
        <v>7.4812500000000002</v>
      </c>
      <c r="N11" s="104">
        <v>8</v>
      </c>
      <c r="O11" s="57">
        <v>7000</v>
      </c>
      <c r="P11" s="58">
        <f t="shared" si="0"/>
        <v>56000</v>
      </c>
    </row>
    <row r="12" spans="1:16" ht="22.5" customHeight="1" x14ac:dyDescent="0.2">
      <c r="A12" s="100"/>
      <c r="B12" s="100"/>
      <c r="C12" s="65" t="s">
        <v>3141</v>
      </c>
      <c r="D12" s="70" t="s">
        <v>57</v>
      </c>
      <c r="E12" s="12">
        <v>44547</v>
      </c>
      <c r="F12" s="68" t="s">
        <v>58</v>
      </c>
      <c r="G12" s="12">
        <v>44550</v>
      </c>
      <c r="H12" s="69" t="s">
        <v>1619</v>
      </c>
      <c r="I12" s="15">
        <v>80</v>
      </c>
      <c r="J12" s="15">
        <v>57</v>
      </c>
      <c r="K12" s="15">
        <v>18</v>
      </c>
      <c r="L12" s="15">
        <v>5</v>
      </c>
      <c r="M12" s="73">
        <v>20.52</v>
      </c>
      <c r="N12" s="104">
        <v>20.52</v>
      </c>
      <c r="O12" s="57">
        <v>7000</v>
      </c>
      <c r="P12" s="58">
        <f t="shared" si="0"/>
        <v>143640</v>
      </c>
    </row>
    <row r="13" spans="1:16" ht="22.5" customHeight="1" x14ac:dyDescent="0.2">
      <c r="A13" s="100"/>
      <c r="B13" s="100"/>
      <c r="C13" s="65" t="s">
        <v>3142</v>
      </c>
      <c r="D13" s="70" t="s">
        <v>57</v>
      </c>
      <c r="E13" s="12">
        <v>44547</v>
      </c>
      <c r="F13" s="68" t="s">
        <v>58</v>
      </c>
      <c r="G13" s="12">
        <v>44550</v>
      </c>
      <c r="H13" s="69" t="s">
        <v>1619</v>
      </c>
      <c r="I13" s="15">
        <v>55</v>
      </c>
      <c r="J13" s="15">
        <v>29</v>
      </c>
      <c r="K13" s="15">
        <v>27</v>
      </c>
      <c r="L13" s="15">
        <v>2</v>
      </c>
      <c r="M13" s="73">
        <v>10.766249999999999</v>
      </c>
      <c r="N13" s="104">
        <v>10.766249999999999</v>
      </c>
      <c r="O13" s="57">
        <v>7000</v>
      </c>
      <c r="P13" s="58">
        <f t="shared" si="0"/>
        <v>75363.75</v>
      </c>
    </row>
    <row r="14" spans="1:16" ht="22.5" customHeight="1" x14ac:dyDescent="0.2">
      <c r="A14" s="100"/>
      <c r="B14" s="100"/>
      <c r="C14" s="65" t="s">
        <v>3143</v>
      </c>
      <c r="D14" s="70" t="s">
        <v>57</v>
      </c>
      <c r="E14" s="12">
        <v>44547</v>
      </c>
      <c r="F14" s="68" t="s">
        <v>58</v>
      </c>
      <c r="G14" s="12">
        <v>44550</v>
      </c>
      <c r="H14" s="69" t="s">
        <v>1619</v>
      </c>
      <c r="I14" s="15">
        <v>60</v>
      </c>
      <c r="J14" s="15">
        <v>53</v>
      </c>
      <c r="K14" s="15">
        <v>25</v>
      </c>
      <c r="L14" s="15">
        <v>10</v>
      </c>
      <c r="M14" s="73">
        <v>19.875</v>
      </c>
      <c r="N14" s="104">
        <v>19.875</v>
      </c>
      <c r="O14" s="57">
        <v>7000</v>
      </c>
      <c r="P14" s="58">
        <f t="shared" si="0"/>
        <v>139125</v>
      </c>
    </row>
    <row r="15" spans="1:16" ht="22.5" customHeight="1" x14ac:dyDescent="0.2">
      <c r="A15" s="100"/>
      <c r="B15" s="100"/>
      <c r="C15" s="65" t="s">
        <v>3144</v>
      </c>
      <c r="D15" s="70" t="s">
        <v>57</v>
      </c>
      <c r="E15" s="12">
        <v>44547</v>
      </c>
      <c r="F15" s="68" t="s">
        <v>58</v>
      </c>
      <c r="G15" s="12">
        <v>44550</v>
      </c>
      <c r="H15" s="69" t="s">
        <v>1619</v>
      </c>
      <c r="I15" s="15">
        <v>42</v>
      </c>
      <c r="J15" s="15">
        <v>35</v>
      </c>
      <c r="K15" s="15">
        <v>15</v>
      </c>
      <c r="L15" s="15">
        <v>2</v>
      </c>
      <c r="M15" s="73">
        <v>5.5125000000000002</v>
      </c>
      <c r="N15" s="104">
        <v>5.5125000000000002</v>
      </c>
      <c r="O15" s="57">
        <v>7000</v>
      </c>
      <c r="P15" s="58">
        <f t="shared" si="0"/>
        <v>38587.5</v>
      </c>
    </row>
    <row r="16" spans="1:16" ht="22.5" customHeight="1" x14ac:dyDescent="0.2">
      <c r="A16" s="100"/>
      <c r="B16" s="100"/>
      <c r="C16" s="65" t="s">
        <v>3145</v>
      </c>
      <c r="D16" s="70" t="s">
        <v>57</v>
      </c>
      <c r="E16" s="12">
        <v>44547</v>
      </c>
      <c r="F16" s="68" t="s">
        <v>58</v>
      </c>
      <c r="G16" s="12">
        <v>44550</v>
      </c>
      <c r="H16" s="69" t="s">
        <v>1619</v>
      </c>
      <c r="I16" s="15">
        <v>104</v>
      </c>
      <c r="J16" s="15">
        <v>59</v>
      </c>
      <c r="K16" s="15">
        <v>38</v>
      </c>
      <c r="L16" s="15">
        <v>35</v>
      </c>
      <c r="M16" s="73">
        <v>58.292000000000002</v>
      </c>
      <c r="N16" s="104">
        <v>58.292000000000002</v>
      </c>
      <c r="O16" s="57">
        <v>7000</v>
      </c>
      <c r="P16" s="58">
        <f t="shared" si="0"/>
        <v>408044</v>
      </c>
    </row>
    <row r="17" spans="1:16" ht="22.5" customHeight="1" x14ac:dyDescent="0.2">
      <c r="A17" s="100"/>
      <c r="B17" s="100"/>
      <c r="C17" s="65" t="s">
        <v>3146</v>
      </c>
      <c r="D17" s="70" t="s">
        <v>57</v>
      </c>
      <c r="E17" s="12">
        <v>44547</v>
      </c>
      <c r="F17" s="68" t="s">
        <v>58</v>
      </c>
      <c r="G17" s="12">
        <v>44550</v>
      </c>
      <c r="H17" s="69" t="s">
        <v>1619</v>
      </c>
      <c r="I17" s="15">
        <v>65</v>
      </c>
      <c r="J17" s="15">
        <v>63</v>
      </c>
      <c r="K17" s="15">
        <v>15</v>
      </c>
      <c r="L17" s="15">
        <v>6</v>
      </c>
      <c r="M17" s="73">
        <v>15.356249999999999</v>
      </c>
      <c r="N17" s="104">
        <v>16</v>
      </c>
      <c r="O17" s="57">
        <v>7000</v>
      </c>
      <c r="P17" s="58">
        <f t="shared" si="0"/>
        <v>112000</v>
      </c>
    </row>
    <row r="18" spans="1:16" ht="22.5" customHeight="1" x14ac:dyDescent="0.2">
      <c r="A18" s="100"/>
      <c r="B18" s="100"/>
      <c r="C18" s="65" t="s">
        <v>3147</v>
      </c>
      <c r="D18" s="70" t="s">
        <v>57</v>
      </c>
      <c r="E18" s="12">
        <v>44547</v>
      </c>
      <c r="F18" s="68" t="s">
        <v>58</v>
      </c>
      <c r="G18" s="12">
        <v>44550</v>
      </c>
      <c r="H18" s="69" t="s">
        <v>1619</v>
      </c>
      <c r="I18" s="15">
        <v>40</v>
      </c>
      <c r="J18" s="15">
        <v>35</v>
      </c>
      <c r="K18" s="15">
        <v>9</v>
      </c>
      <c r="L18" s="15">
        <v>1</v>
      </c>
      <c r="M18" s="73">
        <v>3.15</v>
      </c>
      <c r="N18" s="104">
        <v>3.15</v>
      </c>
      <c r="O18" s="57">
        <v>7000</v>
      </c>
      <c r="P18" s="58">
        <f t="shared" si="0"/>
        <v>22050</v>
      </c>
    </row>
    <row r="19" spans="1:16" ht="22.5" customHeight="1" x14ac:dyDescent="0.2">
      <c r="A19" s="100"/>
      <c r="B19" s="100"/>
      <c r="C19" s="65" t="s">
        <v>3148</v>
      </c>
      <c r="D19" s="70" t="s">
        <v>57</v>
      </c>
      <c r="E19" s="12">
        <v>44547</v>
      </c>
      <c r="F19" s="68" t="s">
        <v>58</v>
      </c>
      <c r="G19" s="12">
        <v>44550</v>
      </c>
      <c r="H19" s="69" t="s">
        <v>1619</v>
      </c>
      <c r="I19" s="15">
        <v>43</v>
      </c>
      <c r="J19" s="15">
        <v>38</v>
      </c>
      <c r="K19" s="15">
        <v>10</v>
      </c>
      <c r="L19" s="15">
        <v>1</v>
      </c>
      <c r="M19" s="73">
        <v>4.085</v>
      </c>
      <c r="N19" s="104">
        <v>4.085</v>
      </c>
      <c r="O19" s="57">
        <v>7000</v>
      </c>
      <c r="P19" s="58">
        <f t="shared" si="0"/>
        <v>28595</v>
      </c>
    </row>
    <row r="20" spans="1:16" ht="22.5" customHeight="1" x14ac:dyDescent="0.2">
      <c r="A20" s="100"/>
      <c r="B20" s="100"/>
      <c r="C20" s="65" t="s">
        <v>3149</v>
      </c>
      <c r="D20" s="70" t="s">
        <v>57</v>
      </c>
      <c r="E20" s="12">
        <v>44547</v>
      </c>
      <c r="F20" s="68" t="s">
        <v>58</v>
      </c>
      <c r="G20" s="12">
        <v>44550</v>
      </c>
      <c r="H20" s="69" t="s">
        <v>1619</v>
      </c>
      <c r="I20" s="15">
        <v>57</v>
      </c>
      <c r="J20" s="15">
        <v>30</v>
      </c>
      <c r="K20" s="15">
        <v>15</v>
      </c>
      <c r="L20" s="15">
        <v>3</v>
      </c>
      <c r="M20" s="73">
        <v>6.4124999999999996</v>
      </c>
      <c r="N20" s="104">
        <v>7</v>
      </c>
      <c r="O20" s="57">
        <v>7000</v>
      </c>
      <c r="P20" s="58">
        <f t="shared" si="0"/>
        <v>49000</v>
      </c>
    </row>
    <row r="21" spans="1:16" ht="22.5" customHeight="1" x14ac:dyDescent="0.2">
      <c r="A21" s="100"/>
      <c r="B21" s="100"/>
      <c r="C21" s="65" t="s">
        <v>3150</v>
      </c>
      <c r="D21" s="70" t="s">
        <v>57</v>
      </c>
      <c r="E21" s="12">
        <v>44547</v>
      </c>
      <c r="F21" s="68" t="s">
        <v>58</v>
      </c>
      <c r="G21" s="12">
        <v>44550</v>
      </c>
      <c r="H21" s="69" t="s">
        <v>1619</v>
      </c>
      <c r="I21" s="15">
        <v>55</v>
      </c>
      <c r="J21" s="15">
        <v>39</v>
      </c>
      <c r="K21" s="15">
        <v>17</v>
      </c>
      <c r="L21" s="15">
        <v>4</v>
      </c>
      <c r="M21" s="73">
        <v>9.1162500000000009</v>
      </c>
      <c r="N21" s="104">
        <v>9.1162500000000009</v>
      </c>
      <c r="O21" s="57">
        <v>7000</v>
      </c>
      <c r="P21" s="58">
        <f t="shared" si="0"/>
        <v>63813.750000000007</v>
      </c>
    </row>
    <row r="22" spans="1:16" ht="22.5" customHeight="1" x14ac:dyDescent="0.2">
      <c r="A22" s="100"/>
      <c r="B22" s="100"/>
      <c r="C22" s="65" t="s">
        <v>3151</v>
      </c>
      <c r="D22" s="70" t="s">
        <v>57</v>
      </c>
      <c r="E22" s="12">
        <v>44547</v>
      </c>
      <c r="F22" s="68" t="s">
        <v>58</v>
      </c>
      <c r="G22" s="12">
        <v>44550</v>
      </c>
      <c r="H22" s="69" t="s">
        <v>1619</v>
      </c>
      <c r="I22" s="15">
        <v>80</v>
      </c>
      <c r="J22" s="15">
        <v>49</v>
      </c>
      <c r="K22" s="15">
        <v>25</v>
      </c>
      <c r="L22" s="15">
        <v>10</v>
      </c>
      <c r="M22" s="73">
        <v>24.5</v>
      </c>
      <c r="N22" s="104">
        <v>26</v>
      </c>
      <c r="O22" s="57">
        <v>7000</v>
      </c>
      <c r="P22" s="58">
        <f t="shared" si="0"/>
        <v>182000</v>
      </c>
    </row>
    <row r="23" spans="1:16" ht="22.5" customHeight="1" x14ac:dyDescent="0.2">
      <c r="A23" s="100"/>
      <c r="B23" s="100"/>
      <c r="C23" s="65" t="s">
        <v>3152</v>
      </c>
      <c r="D23" s="70" t="s">
        <v>57</v>
      </c>
      <c r="E23" s="12">
        <v>44547</v>
      </c>
      <c r="F23" s="68" t="s">
        <v>58</v>
      </c>
      <c r="G23" s="12">
        <v>44550</v>
      </c>
      <c r="H23" s="69" t="s">
        <v>1619</v>
      </c>
      <c r="I23" s="15">
        <v>85</v>
      </c>
      <c r="J23" s="15">
        <v>59</v>
      </c>
      <c r="K23" s="15">
        <v>27</v>
      </c>
      <c r="L23" s="15">
        <v>19</v>
      </c>
      <c r="M23" s="73">
        <v>33.85125</v>
      </c>
      <c r="N23" s="104">
        <v>33.85125</v>
      </c>
      <c r="O23" s="57">
        <v>7000</v>
      </c>
      <c r="P23" s="58">
        <f t="shared" si="0"/>
        <v>236958.75</v>
      </c>
    </row>
    <row r="24" spans="1:16" ht="22.5" customHeight="1" x14ac:dyDescent="0.2">
      <c r="A24" s="100"/>
      <c r="B24" s="101"/>
      <c r="C24" s="65" t="s">
        <v>3153</v>
      </c>
      <c r="D24" s="70" t="s">
        <v>57</v>
      </c>
      <c r="E24" s="12">
        <v>44547</v>
      </c>
      <c r="F24" s="68" t="s">
        <v>58</v>
      </c>
      <c r="G24" s="12">
        <v>44550</v>
      </c>
      <c r="H24" s="69" t="s">
        <v>1619</v>
      </c>
      <c r="I24" s="15">
        <v>65</v>
      </c>
      <c r="J24" s="15">
        <v>47</v>
      </c>
      <c r="K24" s="15">
        <v>30</v>
      </c>
      <c r="L24" s="15">
        <v>7</v>
      </c>
      <c r="M24" s="73">
        <v>22.912500000000001</v>
      </c>
      <c r="N24" s="104">
        <v>22.912500000000001</v>
      </c>
      <c r="O24" s="57">
        <v>7000</v>
      </c>
      <c r="P24" s="58">
        <f t="shared" si="0"/>
        <v>160387.5</v>
      </c>
    </row>
    <row r="25" spans="1:16" ht="22.5" customHeight="1" x14ac:dyDescent="0.2">
      <c r="A25" s="100"/>
      <c r="B25" s="100" t="s">
        <v>3154</v>
      </c>
      <c r="C25" s="65" t="s">
        <v>3155</v>
      </c>
      <c r="D25" s="70" t="s">
        <v>57</v>
      </c>
      <c r="E25" s="12">
        <v>44547</v>
      </c>
      <c r="F25" s="68" t="s">
        <v>58</v>
      </c>
      <c r="G25" s="12">
        <v>44550</v>
      </c>
      <c r="H25" s="69" t="s">
        <v>1619</v>
      </c>
      <c r="I25" s="15">
        <v>52</v>
      </c>
      <c r="J25" s="15">
        <v>40</v>
      </c>
      <c r="K25" s="15">
        <v>7</v>
      </c>
      <c r="L25" s="15">
        <v>2</v>
      </c>
      <c r="M25" s="73">
        <v>3.64</v>
      </c>
      <c r="N25" s="104">
        <v>3.64</v>
      </c>
      <c r="O25" s="57">
        <v>7000</v>
      </c>
      <c r="P25" s="58">
        <f t="shared" si="0"/>
        <v>25480</v>
      </c>
    </row>
    <row r="26" spans="1:16" ht="22.5" customHeight="1" x14ac:dyDescent="0.2">
      <c r="A26" s="159" t="s">
        <v>30</v>
      </c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M26" s="71">
        <f>SUBTOTAL(109,Table2245789101123456789101112131415161718192021222324252627282930313233343537383940414243444546474849505152[KG VOLUME])</f>
        <v>381.28474999999992</v>
      </c>
      <c r="N26" s="61">
        <f>SUM(N3:N25)</f>
        <v>387.09224999999998</v>
      </c>
      <c r="O26" s="162">
        <f>SUM(P3:P25)</f>
        <v>2709645.75</v>
      </c>
      <c r="P26" s="163"/>
    </row>
    <row r="27" spans="1:16" ht="18" customHeight="1" x14ac:dyDescent="0.2">
      <c r="A27" s="78"/>
      <c r="B27" s="49" t="s">
        <v>42</v>
      </c>
      <c r="C27" s="48"/>
      <c r="D27" s="50" t="s">
        <v>43</v>
      </c>
      <c r="E27" s="78"/>
      <c r="F27" s="78"/>
      <c r="G27" s="78"/>
      <c r="H27" s="78"/>
      <c r="I27" s="78"/>
      <c r="J27" s="78"/>
      <c r="K27" s="78"/>
      <c r="L27" s="78"/>
      <c r="M27" s="79"/>
      <c r="N27" s="80" t="s">
        <v>52</v>
      </c>
      <c r="O27" s="81"/>
      <c r="P27" s="81">
        <v>0</v>
      </c>
    </row>
    <row r="28" spans="1:16" ht="18" customHeight="1" thickBot="1" x14ac:dyDescent="0.25">
      <c r="A28" s="78"/>
      <c r="B28" s="49"/>
      <c r="C28" s="48"/>
      <c r="D28" s="50"/>
      <c r="E28" s="78"/>
      <c r="F28" s="78"/>
      <c r="G28" s="78"/>
      <c r="H28" s="78"/>
      <c r="I28" s="78"/>
      <c r="J28" s="78"/>
      <c r="K28" s="78"/>
      <c r="L28" s="78"/>
      <c r="M28" s="79"/>
      <c r="N28" s="82" t="s">
        <v>53</v>
      </c>
      <c r="O28" s="83"/>
      <c r="P28" s="83">
        <f>O26-P27</f>
        <v>2709645.75</v>
      </c>
    </row>
    <row r="29" spans="1:16" ht="18" customHeight="1" x14ac:dyDescent="0.2">
      <c r="A29" s="10"/>
      <c r="H29" s="56"/>
      <c r="N29" s="55" t="s">
        <v>31</v>
      </c>
      <c r="P29" s="62">
        <f>P28*1%</f>
        <v>27096.4575</v>
      </c>
    </row>
    <row r="30" spans="1:16" ht="18" customHeight="1" thickBot="1" x14ac:dyDescent="0.25">
      <c r="A30" s="10"/>
      <c r="H30" s="56"/>
      <c r="N30" s="55" t="s">
        <v>54</v>
      </c>
      <c r="P30" s="64">
        <f>P28*2%</f>
        <v>54192.915000000001</v>
      </c>
    </row>
    <row r="31" spans="1:16" ht="18" customHeight="1" x14ac:dyDescent="0.2">
      <c r="A31" s="10"/>
      <c r="H31" s="56"/>
      <c r="N31" s="59" t="s">
        <v>32</v>
      </c>
      <c r="O31" s="60"/>
      <c r="P31" s="63">
        <f>P28+P29-P30</f>
        <v>2682549.2925</v>
      </c>
    </row>
    <row r="33" spans="1:16" x14ac:dyDescent="0.2">
      <c r="A33" s="10"/>
      <c r="H33" s="56"/>
      <c r="P33" s="64"/>
    </row>
    <row r="34" spans="1:16" x14ac:dyDescent="0.2">
      <c r="A34" s="10"/>
      <c r="H34" s="56"/>
      <c r="O34" s="51"/>
      <c r="P34" s="6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</sheetData>
  <mergeCells count="2">
    <mergeCell ref="A26:L26"/>
    <mergeCell ref="O26:P26"/>
  </mergeCells>
  <conditionalFormatting sqref="C3:C25">
    <cfRule type="duplicateValues" dxfId="783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5"/>
  <sheetViews>
    <sheetView workbookViewId="0">
      <selection activeCell="N34" sqref="N3:N3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406098</v>
      </c>
      <c r="B3" s="99" t="s">
        <v>3156</v>
      </c>
      <c r="C3" s="90" t="s">
        <v>3157</v>
      </c>
      <c r="D3" s="102" t="s">
        <v>57</v>
      </c>
      <c r="E3" s="91">
        <v>44547</v>
      </c>
      <c r="F3" s="102" t="s">
        <v>58</v>
      </c>
      <c r="G3" s="91">
        <v>44550</v>
      </c>
      <c r="H3" s="90" t="s">
        <v>1619</v>
      </c>
      <c r="I3" s="90">
        <v>60</v>
      </c>
      <c r="J3" s="90">
        <v>48</v>
      </c>
      <c r="K3" s="90">
        <v>5</v>
      </c>
      <c r="L3" s="90">
        <v>1</v>
      </c>
      <c r="M3" s="90">
        <v>3.6</v>
      </c>
      <c r="N3" s="104">
        <v>3.6</v>
      </c>
      <c r="O3" s="57">
        <v>7000</v>
      </c>
      <c r="P3" s="58">
        <f t="shared" ref="P3:P34" si="0">N3*O3</f>
        <v>25200</v>
      </c>
    </row>
    <row r="4" spans="1:16" ht="26.25" customHeight="1" x14ac:dyDescent="0.2">
      <c r="A4" s="100"/>
      <c r="B4" s="100"/>
      <c r="C4" s="90" t="s">
        <v>3158</v>
      </c>
      <c r="D4" s="102" t="s">
        <v>57</v>
      </c>
      <c r="E4" s="91">
        <v>44547</v>
      </c>
      <c r="F4" s="102" t="s">
        <v>58</v>
      </c>
      <c r="G4" s="91">
        <v>44550</v>
      </c>
      <c r="H4" s="90" t="s">
        <v>1619</v>
      </c>
      <c r="I4" s="90">
        <v>55</v>
      </c>
      <c r="J4" s="90">
        <v>16</v>
      </c>
      <c r="K4" s="90">
        <v>16</v>
      </c>
      <c r="L4" s="90">
        <v>2</v>
      </c>
      <c r="M4" s="90">
        <v>3.52</v>
      </c>
      <c r="N4" s="104">
        <v>3.52</v>
      </c>
      <c r="O4" s="57">
        <v>7000</v>
      </c>
      <c r="P4" s="58">
        <f t="shared" si="0"/>
        <v>24640</v>
      </c>
    </row>
    <row r="5" spans="1:16" ht="26.25" customHeight="1" x14ac:dyDescent="0.2">
      <c r="A5" s="100"/>
      <c r="B5" s="100"/>
      <c r="C5" s="90" t="s">
        <v>3159</v>
      </c>
      <c r="D5" s="102" t="s">
        <v>57</v>
      </c>
      <c r="E5" s="91">
        <v>44547</v>
      </c>
      <c r="F5" s="102" t="s">
        <v>58</v>
      </c>
      <c r="G5" s="91">
        <v>44550</v>
      </c>
      <c r="H5" s="90" t="s">
        <v>1619</v>
      </c>
      <c r="I5" s="90">
        <v>43</v>
      </c>
      <c r="J5" s="90">
        <v>33</v>
      </c>
      <c r="K5" s="90">
        <v>24</v>
      </c>
      <c r="L5" s="90">
        <v>11</v>
      </c>
      <c r="M5" s="90">
        <v>8.5139999999999993</v>
      </c>
      <c r="N5" s="104">
        <v>11</v>
      </c>
      <c r="O5" s="57">
        <v>7000</v>
      </c>
      <c r="P5" s="58">
        <f t="shared" si="0"/>
        <v>77000</v>
      </c>
    </row>
    <row r="6" spans="1:16" ht="26.25" customHeight="1" x14ac:dyDescent="0.2">
      <c r="A6" s="100"/>
      <c r="B6" s="100"/>
      <c r="C6" s="65" t="s">
        <v>3160</v>
      </c>
      <c r="D6" s="70" t="s">
        <v>57</v>
      </c>
      <c r="E6" s="12">
        <v>44547</v>
      </c>
      <c r="F6" s="68" t="s">
        <v>58</v>
      </c>
      <c r="G6" s="12">
        <v>44550</v>
      </c>
      <c r="H6" s="69" t="s">
        <v>1619</v>
      </c>
      <c r="I6" s="15">
        <v>33</v>
      </c>
      <c r="J6" s="15">
        <v>30</v>
      </c>
      <c r="K6" s="15">
        <v>26</v>
      </c>
      <c r="L6" s="15">
        <v>5</v>
      </c>
      <c r="M6" s="73">
        <v>6.4349999999999996</v>
      </c>
      <c r="N6" s="104">
        <v>7</v>
      </c>
      <c r="O6" s="57">
        <v>7000</v>
      </c>
      <c r="P6" s="58">
        <f t="shared" si="0"/>
        <v>49000</v>
      </c>
    </row>
    <row r="7" spans="1:16" ht="26.25" customHeight="1" x14ac:dyDescent="0.2">
      <c r="A7" s="100"/>
      <c r="B7" s="100"/>
      <c r="C7" s="65" t="s">
        <v>3161</v>
      </c>
      <c r="D7" s="70" t="s">
        <v>57</v>
      </c>
      <c r="E7" s="12">
        <v>44547</v>
      </c>
      <c r="F7" s="68" t="s">
        <v>58</v>
      </c>
      <c r="G7" s="12">
        <v>44550</v>
      </c>
      <c r="H7" s="69" t="s">
        <v>1619</v>
      </c>
      <c r="I7" s="15">
        <v>31</v>
      </c>
      <c r="J7" s="15">
        <v>31</v>
      </c>
      <c r="K7" s="15">
        <v>31</v>
      </c>
      <c r="L7" s="15">
        <v>5</v>
      </c>
      <c r="M7" s="73">
        <v>7.4477500000000001</v>
      </c>
      <c r="N7" s="104">
        <v>8</v>
      </c>
      <c r="O7" s="57">
        <v>7000</v>
      </c>
      <c r="P7" s="58">
        <f t="shared" si="0"/>
        <v>56000</v>
      </c>
    </row>
    <row r="8" spans="1:16" ht="26.25" customHeight="1" x14ac:dyDescent="0.2">
      <c r="A8" s="100"/>
      <c r="B8" s="100"/>
      <c r="C8" s="65" t="s">
        <v>3162</v>
      </c>
      <c r="D8" s="70" t="s">
        <v>57</v>
      </c>
      <c r="E8" s="12">
        <v>44547</v>
      </c>
      <c r="F8" s="68" t="s">
        <v>58</v>
      </c>
      <c r="G8" s="12">
        <v>44550</v>
      </c>
      <c r="H8" s="69" t="s">
        <v>1619</v>
      </c>
      <c r="I8" s="15">
        <v>35</v>
      </c>
      <c r="J8" s="15">
        <v>30</v>
      </c>
      <c r="K8" s="15">
        <v>26</v>
      </c>
      <c r="L8" s="15">
        <v>8</v>
      </c>
      <c r="M8" s="73">
        <v>6.8250000000000002</v>
      </c>
      <c r="N8" s="104">
        <v>8</v>
      </c>
      <c r="O8" s="57">
        <v>7000</v>
      </c>
      <c r="P8" s="58">
        <f t="shared" si="0"/>
        <v>56000</v>
      </c>
    </row>
    <row r="9" spans="1:16" ht="26.25" customHeight="1" x14ac:dyDescent="0.2">
      <c r="A9" s="100"/>
      <c r="B9" s="100"/>
      <c r="C9" s="65" t="s">
        <v>3163</v>
      </c>
      <c r="D9" s="70" t="s">
        <v>57</v>
      </c>
      <c r="E9" s="12">
        <v>44547</v>
      </c>
      <c r="F9" s="68" t="s">
        <v>58</v>
      </c>
      <c r="G9" s="12">
        <v>44550</v>
      </c>
      <c r="H9" s="69" t="s">
        <v>1619</v>
      </c>
      <c r="I9" s="15">
        <v>100</v>
      </c>
      <c r="J9" s="15">
        <v>56</v>
      </c>
      <c r="K9" s="15">
        <v>10</v>
      </c>
      <c r="L9" s="15">
        <v>10</v>
      </c>
      <c r="M9" s="73">
        <v>14</v>
      </c>
      <c r="N9" s="104">
        <v>14</v>
      </c>
      <c r="O9" s="57">
        <v>7000</v>
      </c>
      <c r="P9" s="58">
        <f t="shared" si="0"/>
        <v>98000</v>
      </c>
    </row>
    <row r="10" spans="1:16" ht="26.25" customHeight="1" x14ac:dyDescent="0.2">
      <c r="A10" s="100"/>
      <c r="B10" s="100"/>
      <c r="C10" s="65" t="s">
        <v>3164</v>
      </c>
      <c r="D10" s="70" t="s">
        <v>57</v>
      </c>
      <c r="E10" s="12">
        <v>44547</v>
      </c>
      <c r="F10" s="68" t="s">
        <v>58</v>
      </c>
      <c r="G10" s="12">
        <v>44550</v>
      </c>
      <c r="H10" s="69" t="s">
        <v>1619</v>
      </c>
      <c r="I10" s="15">
        <v>60</v>
      </c>
      <c r="J10" s="15">
        <v>32</v>
      </c>
      <c r="K10" s="15">
        <v>18</v>
      </c>
      <c r="L10" s="15">
        <v>3</v>
      </c>
      <c r="M10" s="73">
        <v>8.64</v>
      </c>
      <c r="N10" s="104">
        <v>8.64</v>
      </c>
      <c r="O10" s="57">
        <v>7000</v>
      </c>
      <c r="P10" s="58">
        <f t="shared" si="0"/>
        <v>60480.000000000007</v>
      </c>
    </row>
    <row r="11" spans="1:16" ht="26.25" customHeight="1" x14ac:dyDescent="0.2">
      <c r="A11" s="100"/>
      <c r="B11" s="100"/>
      <c r="C11" s="65" t="s">
        <v>3165</v>
      </c>
      <c r="D11" s="70" t="s">
        <v>57</v>
      </c>
      <c r="E11" s="12">
        <v>44547</v>
      </c>
      <c r="F11" s="68" t="s">
        <v>58</v>
      </c>
      <c r="G11" s="12">
        <v>44550</v>
      </c>
      <c r="H11" s="69" t="s">
        <v>1619</v>
      </c>
      <c r="I11" s="15">
        <v>31</v>
      </c>
      <c r="J11" s="15">
        <v>35</v>
      </c>
      <c r="K11" s="15">
        <v>28</v>
      </c>
      <c r="L11" s="15">
        <v>5</v>
      </c>
      <c r="M11" s="73">
        <v>7.5949999999999998</v>
      </c>
      <c r="N11" s="104">
        <v>7.5949999999999998</v>
      </c>
      <c r="O11" s="57">
        <v>7000</v>
      </c>
      <c r="P11" s="58">
        <f t="shared" si="0"/>
        <v>53165</v>
      </c>
    </row>
    <row r="12" spans="1:16" ht="26.25" customHeight="1" x14ac:dyDescent="0.2">
      <c r="A12" s="100"/>
      <c r="B12" s="100"/>
      <c r="C12" s="65" t="s">
        <v>3166</v>
      </c>
      <c r="D12" s="70" t="s">
        <v>57</v>
      </c>
      <c r="E12" s="12">
        <v>44547</v>
      </c>
      <c r="F12" s="68" t="s">
        <v>58</v>
      </c>
      <c r="G12" s="12">
        <v>44550</v>
      </c>
      <c r="H12" s="69" t="s">
        <v>1619</v>
      </c>
      <c r="I12" s="15">
        <v>31</v>
      </c>
      <c r="J12" s="15">
        <v>35</v>
      </c>
      <c r="K12" s="15">
        <v>28</v>
      </c>
      <c r="L12" s="15">
        <v>6</v>
      </c>
      <c r="M12" s="73">
        <v>7.5949999999999998</v>
      </c>
      <c r="N12" s="104">
        <v>7.5949999999999998</v>
      </c>
      <c r="O12" s="57">
        <v>7000</v>
      </c>
      <c r="P12" s="58">
        <f t="shared" si="0"/>
        <v>53165</v>
      </c>
    </row>
    <row r="13" spans="1:16" ht="26.25" customHeight="1" x14ac:dyDescent="0.2">
      <c r="A13" s="100"/>
      <c r="B13" s="100"/>
      <c r="C13" s="65" t="s">
        <v>3167</v>
      </c>
      <c r="D13" s="70" t="s">
        <v>57</v>
      </c>
      <c r="E13" s="12">
        <v>44547</v>
      </c>
      <c r="F13" s="68" t="s">
        <v>58</v>
      </c>
      <c r="G13" s="12">
        <v>44550</v>
      </c>
      <c r="H13" s="69" t="s">
        <v>1619</v>
      </c>
      <c r="I13" s="15">
        <v>31</v>
      </c>
      <c r="J13" s="15">
        <v>35</v>
      </c>
      <c r="K13" s="15">
        <v>28</v>
      </c>
      <c r="L13" s="15">
        <v>5</v>
      </c>
      <c r="M13" s="73">
        <v>7.5949999999999998</v>
      </c>
      <c r="N13" s="104">
        <v>7.5949999999999998</v>
      </c>
      <c r="O13" s="57">
        <v>7000</v>
      </c>
      <c r="P13" s="58">
        <f t="shared" si="0"/>
        <v>53165</v>
      </c>
    </row>
    <row r="14" spans="1:16" ht="26.25" customHeight="1" x14ac:dyDescent="0.2">
      <c r="A14" s="100"/>
      <c r="B14" s="100"/>
      <c r="C14" s="65" t="s">
        <v>3168</v>
      </c>
      <c r="D14" s="70" t="s">
        <v>57</v>
      </c>
      <c r="E14" s="12">
        <v>44547</v>
      </c>
      <c r="F14" s="68" t="s">
        <v>58</v>
      </c>
      <c r="G14" s="12">
        <v>44550</v>
      </c>
      <c r="H14" s="69" t="s">
        <v>1619</v>
      </c>
      <c r="I14" s="15">
        <v>31</v>
      </c>
      <c r="J14" s="15">
        <v>35</v>
      </c>
      <c r="K14" s="15">
        <v>28</v>
      </c>
      <c r="L14" s="15">
        <v>6</v>
      </c>
      <c r="M14" s="73">
        <v>7.5949999999999998</v>
      </c>
      <c r="N14" s="104">
        <v>7.5949999999999998</v>
      </c>
      <c r="O14" s="57">
        <v>7000</v>
      </c>
      <c r="P14" s="58">
        <f t="shared" si="0"/>
        <v>53165</v>
      </c>
    </row>
    <row r="15" spans="1:16" ht="26.25" customHeight="1" x14ac:dyDescent="0.2">
      <c r="A15" s="100"/>
      <c r="B15" s="100"/>
      <c r="C15" s="65" t="s">
        <v>3169</v>
      </c>
      <c r="D15" s="70" t="s">
        <v>57</v>
      </c>
      <c r="E15" s="12">
        <v>44547</v>
      </c>
      <c r="F15" s="68" t="s">
        <v>58</v>
      </c>
      <c r="G15" s="12">
        <v>44550</v>
      </c>
      <c r="H15" s="69" t="s">
        <v>1619</v>
      </c>
      <c r="I15" s="15">
        <v>31</v>
      </c>
      <c r="J15" s="15">
        <v>35</v>
      </c>
      <c r="K15" s="15">
        <v>28</v>
      </c>
      <c r="L15" s="15">
        <v>6</v>
      </c>
      <c r="M15" s="73">
        <v>7.5949999999999998</v>
      </c>
      <c r="N15" s="104">
        <v>7.5949999999999998</v>
      </c>
      <c r="O15" s="57">
        <v>7000</v>
      </c>
      <c r="P15" s="58">
        <f t="shared" si="0"/>
        <v>53165</v>
      </c>
    </row>
    <row r="16" spans="1:16" ht="26.25" customHeight="1" x14ac:dyDescent="0.2">
      <c r="A16" s="100"/>
      <c r="B16" s="100"/>
      <c r="C16" s="65" t="s">
        <v>3170</v>
      </c>
      <c r="D16" s="70" t="s">
        <v>57</v>
      </c>
      <c r="E16" s="12">
        <v>44547</v>
      </c>
      <c r="F16" s="68" t="s">
        <v>58</v>
      </c>
      <c r="G16" s="12">
        <v>44550</v>
      </c>
      <c r="H16" s="69" t="s">
        <v>1619</v>
      </c>
      <c r="I16" s="15">
        <v>31</v>
      </c>
      <c r="J16" s="15">
        <v>35</v>
      </c>
      <c r="K16" s="15">
        <v>28</v>
      </c>
      <c r="L16" s="15">
        <v>6</v>
      </c>
      <c r="M16" s="73">
        <v>7.5949999999999998</v>
      </c>
      <c r="N16" s="104">
        <v>7.5949999999999998</v>
      </c>
      <c r="O16" s="57">
        <v>7000</v>
      </c>
      <c r="P16" s="58">
        <f t="shared" si="0"/>
        <v>53165</v>
      </c>
    </row>
    <row r="17" spans="1:16" ht="26.25" customHeight="1" x14ac:dyDescent="0.2">
      <c r="A17" s="100"/>
      <c r="B17" s="100"/>
      <c r="C17" s="65" t="s">
        <v>3171</v>
      </c>
      <c r="D17" s="70" t="s">
        <v>57</v>
      </c>
      <c r="E17" s="12">
        <v>44547</v>
      </c>
      <c r="F17" s="68" t="s">
        <v>58</v>
      </c>
      <c r="G17" s="12">
        <v>44550</v>
      </c>
      <c r="H17" s="69" t="s">
        <v>1619</v>
      </c>
      <c r="I17" s="15">
        <v>31</v>
      </c>
      <c r="J17" s="15">
        <v>35</v>
      </c>
      <c r="K17" s="15">
        <v>28</v>
      </c>
      <c r="L17" s="15">
        <v>5</v>
      </c>
      <c r="M17" s="73">
        <v>7.5949999999999998</v>
      </c>
      <c r="N17" s="104">
        <v>7.5949999999999998</v>
      </c>
      <c r="O17" s="57">
        <v>7000</v>
      </c>
      <c r="P17" s="58">
        <f t="shared" si="0"/>
        <v>53165</v>
      </c>
    </row>
    <row r="18" spans="1:16" ht="26.25" customHeight="1" x14ac:dyDescent="0.2">
      <c r="A18" s="100"/>
      <c r="B18" s="100"/>
      <c r="C18" s="65" t="s">
        <v>3172</v>
      </c>
      <c r="D18" s="70" t="s">
        <v>57</v>
      </c>
      <c r="E18" s="12">
        <v>44547</v>
      </c>
      <c r="F18" s="68" t="s">
        <v>58</v>
      </c>
      <c r="G18" s="12">
        <v>44550</v>
      </c>
      <c r="H18" s="69" t="s">
        <v>1619</v>
      </c>
      <c r="I18" s="15">
        <v>31</v>
      </c>
      <c r="J18" s="15">
        <v>35</v>
      </c>
      <c r="K18" s="15">
        <v>28</v>
      </c>
      <c r="L18" s="15">
        <v>5</v>
      </c>
      <c r="M18" s="73">
        <v>7.5949999999999998</v>
      </c>
      <c r="N18" s="104">
        <v>7.5949999999999998</v>
      </c>
      <c r="O18" s="57">
        <v>7000</v>
      </c>
      <c r="P18" s="58">
        <f t="shared" si="0"/>
        <v>53165</v>
      </c>
    </row>
    <row r="19" spans="1:16" ht="26.25" customHeight="1" x14ac:dyDescent="0.2">
      <c r="A19" s="100"/>
      <c r="B19" s="100"/>
      <c r="C19" s="65" t="s">
        <v>3173</v>
      </c>
      <c r="D19" s="70" t="s">
        <v>57</v>
      </c>
      <c r="E19" s="12">
        <v>44547</v>
      </c>
      <c r="F19" s="68" t="s">
        <v>58</v>
      </c>
      <c r="G19" s="12">
        <v>44550</v>
      </c>
      <c r="H19" s="69" t="s">
        <v>1619</v>
      </c>
      <c r="I19" s="15">
        <v>31</v>
      </c>
      <c r="J19" s="15">
        <v>35</v>
      </c>
      <c r="K19" s="15">
        <v>28</v>
      </c>
      <c r="L19" s="15">
        <v>5</v>
      </c>
      <c r="M19" s="73">
        <v>7.5949999999999998</v>
      </c>
      <c r="N19" s="104">
        <v>7.5949999999999998</v>
      </c>
      <c r="O19" s="57">
        <v>7000</v>
      </c>
      <c r="P19" s="58">
        <f t="shared" si="0"/>
        <v>53165</v>
      </c>
    </row>
    <row r="20" spans="1:16" ht="26.25" customHeight="1" x14ac:dyDescent="0.2">
      <c r="A20" s="100"/>
      <c r="B20" s="100"/>
      <c r="C20" s="65" t="s">
        <v>3174</v>
      </c>
      <c r="D20" s="70" t="s">
        <v>57</v>
      </c>
      <c r="E20" s="12">
        <v>44547</v>
      </c>
      <c r="F20" s="68" t="s">
        <v>58</v>
      </c>
      <c r="G20" s="12">
        <v>44550</v>
      </c>
      <c r="H20" s="69" t="s">
        <v>1619</v>
      </c>
      <c r="I20" s="15">
        <v>44</v>
      </c>
      <c r="J20" s="15">
        <v>35</v>
      </c>
      <c r="K20" s="15">
        <v>26</v>
      </c>
      <c r="L20" s="15">
        <v>7</v>
      </c>
      <c r="M20" s="73">
        <v>10.01</v>
      </c>
      <c r="N20" s="104">
        <v>10.01</v>
      </c>
      <c r="O20" s="57">
        <v>7000</v>
      </c>
      <c r="P20" s="58">
        <f t="shared" si="0"/>
        <v>70070</v>
      </c>
    </row>
    <row r="21" spans="1:16" ht="26.25" customHeight="1" x14ac:dyDescent="0.2">
      <c r="A21" s="100"/>
      <c r="B21" s="100"/>
      <c r="C21" s="65" t="s">
        <v>3175</v>
      </c>
      <c r="D21" s="70" t="s">
        <v>57</v>
      </c>
      <c r="E21" s="12">
        <v>44547</v>
      </c>
      <c r="F21" s="68" t="s">
        <v>58</v>
      </c>
      <c r="G21" s="12">
        <v>44550</v>
      </c>
      <c r="H21" s="69" t="s">
        <v>1619</v>
      </c>
      <c r="I21" s="15">
        <v>31</v>
      </c>
      <c r="J21" s="15">
        <v>35</v>
      </c>
      <c r="K21" s="15">
        <v>28</v>
      </c>
      <c r="L21" s="15">
        <v>6</v>
      </c>
      <c r="M21" s="73">
        <v>7.5949999999999998</v>
      </c>
      <c r="N21" s="104">
        <v>7.5949999999999998</v>
      </c>
      <c r="O21" s="57">
        <v>7000</v>
      </c>
      <c r="P21" s="58">
        <f t="shared" si="0"/>
        <v>53165</v>
      </c>
    </row>
    <row r="22" spans="1:16" ht="26.25" customHeight="1" x14ac:dyDescent="0.2">
      <c r="A22" s="100"/>
      <c r="B22" s="100"/>
      <c r="C22" s="90" t="s">
        <v>3176</v>
      </c>
      <c r="D22" s="102" t="s">
        <v>57</v>
      </c>
      <c r="E22" s="91">
        <v>44547</v>
      </c>
      <c r="F22" s="102" t="s">
        <v>58</v>
      </c>
      <c r="G22" s="91">
        <v>44550</v>
      </c>
      <c r="H22" s="90" t="s">
        <v>1619</v>
      </c>
      <c r="I22" s="90">
        <v>61</v>
      </c>
      <c r="J22" s="90">
        <v>45</v>
      </c>
      <c r="K22" s="90">
        <v>42</v>
      </c>
      <c r="L22" s="90">
        <v>12</v>
      </c>
      <c r="M22" s="90">
        <v>28.822500000000002</v>
      </c>
      <c r="N22" s="104">
        <v>28.822500000000002</v>
      </c>
      <c r="O22" s="57">
        <v>7000</v>
      </c>
      <c r="P22" s="58">
        <f t="shared" si="0"/>
        <v>201757.5</v>
      </c>
    </row>
    <row r="23" spans="1:16" ht="26.25" customHeight="1" x14ac:dyDescent="0.2">
      <c r="A23" s="100"/>
      <c r="B23" s="100"/>
      <c r="C23" s="65" t="s">
        <v>3177</v>
      </c>
      <c r="D23" s="70" t="s">
        <v>57</v>
      </c>
      <c r="E23" s="12">
        <v>44547</v>
      </c>
      <c r="F23" s="68" t="s">
        <v>58</v>
      </c>
      <c r="G23" s="12">
        <v>44550</v>
      </c>
      <c r="H23" s="69" t="s">
        <v>1619</v>
      </c>
      <c r="I23" s="15">
        <v>100</v>
      </c>
      <c r="J23" s="15">
        <v>42</v>
      </c>
      <c r="K23" s="15">
        <v>18</v>
      </c>
      <c r="L23" s="15">
        <v>4</v>
      </c>
      <c r="M23" s="73">
        <v>18.899999999999999</v>
      </c>
      <c r="N23" s="104">
        <v>18.899999999999999</v>
      </c>
      <c r="O23" s="57">
        <v>7000</v>
      </c>
      <c r="P23" s="58">
        <f t="shared" si="0"/>
        <v>132300</v>
      </c>
    </row>
    <row r="24" spans="1:16" ht="26.25" customHeight="1" x14ac:dyDescent="0.2">
      <c r="A24" s="100"/>
      <c r="B24" s="100"/>
      <c r="C24" s="65" t="s">
        <v>3178</v>
      </c>
      <c r="D24" s="70" t="s">
        <v>57</v>
      </c>
      <c r="E24" s="12">
        <v>44547</v>
      </c>
      <c r="F24" s="68" t="s">
        <v>58</v>
      </c>
      <c r="G24" s="12">
        <v>44550</v>
      </c>
      <c r="H24" s="69" t="s">
        <v>1619</v>
      </c>
      <c r="I24" s="15">
        <v>65</v>
      </c>
      <c r="J24" s="15">
        <v>65</v>
      </c>
      <c r="K24" s="15">
        <v>14</v>
      </c>
      <c r="L24" s="15">
        <v>12</v>
      </c>
      <c r="M24" s="73">
        <v>14.7875</v>
      </c>
      <c r="N24" s="104">
        <v>14.7875</v>
      </c>
      <c r="O24" s="57">
        <v>7000</v>
      </c>
      <c r="P24" s="58">
        <f t="shared" si="0"/>
        <v>103512.5</v>
      </c>
    </row>
    <row r="25" spans="1:16" ht="26.25" customHeight="1" x14ac:dyDescent="0.2">
      <c r="A25" s="100"/>
      <c r="B25" s="100"/>
      <c r="C25" s="65" t="s">
        <v>3179</v>
      </c>
      <c r="D25" s="70" t="s">
        <v>57</v>
      </c>
      <c r="E25" s="12">
        <v>44547</v>
      </c>
      <c r="F25" s="68" t="s">
        <v>58</v>
      </c>
      <c r="G25" s="12">
        <v>44550</v>
      </c>
      <c r="H25" s="69" t="s">
        <v>1619</v>
      </c>
      <c r="I25" s="15">
        <v>64</v>
      </c>
      <c r="J25" s="15">
        <v>60</v>
      </c>
      <c r="K25" s="15">
        <v>10</v>
      </c>
      <c r="L25" s="15">
        <v>4</v>
      </c>
      <c r="M25" s="73">
        <v>9.6</v>
      </c>
      <c r="N25" s="104">
        <v>9.6</v>
      </c>
      <c r="O25" s="57">
        <v>7000</v>
      </c>
      <c r="P25" s="58">
        <f t="shared" si="0"/>
        <v>67200</v>
      </c>
    </row>
    <row r="26" spans="1:16" ht="26.25" customHeight="1" x14ac:dyDescent="0.2">
      <c r="A26" s="100"/>
      <c r="B26" s="100"/>
      <c r="C26" s="65" t="s">
        <v>3180</v>
      </c>
      <c r="D26" s="70" t="s">
        <v>57</v>
      </c>
      <c r="E26" s="12">
        <v>44547</v>
      </c>
      <c r="F26" s="68" t="s">
        <v>58</v>
      </c>
      <c r="G26" s="12">
        <v>44550</v>
      </c>
      <c r="H26" s="69" t="s">
        <v>1619</v>
      </c>
      <c r="I26" s="15">
        <v>53</v>
      </c>
      <c r="J26" s="15">
        <v>28</v>
      </c>
      <c r="K26" s="15">
        <v>28</v>
      </c>
      <c r="L26" s="15">
        <v>5</v>
      </c>
      <c r="M26" s="73">
        <v>10.388</v>
      </c>
      <c r="N26" s="104">
        <v>11</v>
      </c>
      <c r="O26" s="57">
        <v>7000</v>
      </c>
      <c r="P26" s="58">
        <f t="shared" si="0"/>
        <v>77000</v>
      </c>
    </row>
    <row r="27" spans="1:16" ht="26.25" customHeight="1" x14ac:dyDescent="0.2">
      <c r="A27" s="100"/>
      <c r="B27" s="100"/>
      <c r="C27" s="65" t="s">
        <v>3181</v>
      </c>
      <c r="D27" s="70" t="s">
        <v>57</v>
      </c>
      <c r="E27" s="12">
        <v>44547</v>
      </c>
      <c r="F27" s="68" t="s">
        <v>58</v>
      </c>
      <c r="G27" s="12">
        <v>44550</v>
      </c>
      <c r="H27" s="69" t="s">
        <v>1619</v>
      </c>
      <c r="I27" s="15">
        <v>45</v>
      </c>
      <c r="J27" s="15">
        <v>30</v>
      </c>
      <c r="K27" s="15">
        <v>10</v>
      </c>
      <c r="L27" s="15">
        <v>1</v>
      </c>
      <c r="M27" s="73">
        <v>3.375</v>
      </c>
      <c r="N27" s="104">
        <v>4</v>
      </c>
      <c r="O27" s="57">
        <v>7000</v>
      </c>
      <c r="P27" s="58">
        <f t="shared" si="0"/>
        <v>28000</v>
      </c>
    </row>
    <row r="28" spans="1:16" ht="26.25" customHeight="1" x14ac:dyDescent="0.2">
      <c r="A28" s="100"/>
      <c r="B28" s="100"/>
      <c r="C28" s="65" t="s">
        <v>3182</v>
      </c>
      <c r="D28" s="70" t="s">
        <v>57</v>
      </c>
      <c r="E28" s="12">
        <v>44547</v>
      </c>
      <c r="F28" s="68" t="s">
        <v>58</v>
      </c>
      <c r="G28" s="12">
        <v>44550</v>
      </c>
      <c r="H28" s="69" t="s">
        <v>1619</v>
      </c>
      <c r="I28" s="15">
        <v>80</v>
      </c>
      <c r="J28" s="15">
        <v>40</v>
      </c>
      <c r="K28" s="15">
        <v>14</v>
      </c>
      <c r="L28" s="15">
        <v>5</v>
      </c>
      <c r="M28" s="73">
        <v>11.2</v>
      </c>
      <c r="N28" s="104">
        <v>11.2</v>
      </c>
      <c r="O28" s="57">
        <v>7000</v>
      </c>
      <c r="P28" s="58">
        <f t="shared" si="0"/>
        <v>78400</v>
      </c>
    </row>
    <row r="29" spans="1:16" ht="26.25" customHeight="1" x14ac:dyDescent="0.2">
      <c r="A29" s="100"/>
      <c r="B29" s="100"/>
      <c r="C29" s="65" t="s">
        <v>3183</v>
      </c>
      <c r="D29" s="70" t="s">
        <v>57</v>
      </c>
      <c r="E29" s="12">
        <v>44547</v>
      </c>
      <c r="F29" s="68" t="s">
        <v>58</v>
      </c>
      <c r="G29" s="12">
        <v>44550</v>
      </c>
      <c r="H29" s="69" t="s">
        <v>1619</v>
      </c>
      <c r="I29" s="15">
        <v>40</v>
      </c>
      <c r="J29" s="15">
        <v>23</v>
      </c>
      <c r="K29" s="15">
        <v>20</v>
      </c>
      <c r="L29" s="15">
        <v>14</v>
      </c>
      <c r="M29" s="73">
        <v>4.5999999999999996</v>
      </c>
      <c r="N29" s="104">
        <v>14</v>
      </c>
      <c r="O29" s="57">
        <v>7000</v>
      </c>
      <c r="P29" s="58">
        <f t="shared" si="0"/>
        <v>98000</v>
      </c>
    </row>
    <row r="30" spans="1:16" ht="26.25" customHeight="1" x14ac:dyDescent="0.2">
      <c r="A30" s="100"/>
      <c r="B30" s="100"/>
      <c r="C30" s="65" t="s">
        <v>3184</v>
      </c>
      <c r="D30" s="70" t="s">
        <v>57</v>
      </c>
      <c r="E30" s="12">
        <v>44547</v>
      </c>
      <c r="F30" s="68" t="s">
        <v>58</v>
      </c>
      <c r="G30" s="12">
        <v>44550</v>
      </c>
      <c r="H30" s="69" t="s">
        <v>1619</v>
      </c>
      <c r="I30" s="15">
        <v>60</v>
      </c>
      <c r="J30" s="15">
        <v>40</v>
      </c>
      <c r="K30" s="15">
        <v>12</v>
      </c>
      <c r="L30" s="15">
        <v>5</v>
      </c>
      <c r="M30" s="73">
        <v>7.2</v>
      </c>
      <c r="N30" s="104">
        <v>7.2</v>
      </c>
      <c r="O30" s="57">
        <v>7000</v>
      </c>
      <c r="P30" s="58">
        <f t="shared" si="0"/>
        <v>50400</v>
      </c>
    </row>
    <row r="31" spans="1:16" ht="26.25" customHeight="1" x14ac:dyDescent="0.2">
      <c r="A31" s="100"/>
      <c r="B31" s="100"/>
      <c r="C31" s="65" t="s">
        <v>3185</v>
      </c>
      <c r="D31" s="70" t="s">
        <v>57</v>
      </c>
      <c r="E31" s="12">
        <v>44547</v>
      </c>
      <c r="F31" s="68" t="s">
        <v>58</v>
      </c>
      <c r="G31" s="12">
        <v>44550</v>
      </c>
      <c r="H31" s="69" t="s">
        <v>1619</v>
      </c>
      <c r="I31" s="15">
        <v>70</v>
      </c>
      <c r="J31" s="15">
        <v>55</v>
      </c>
      <c r="K31" s="15">
        <v>11</v>
      </c>
      <c r="L31" s="15">
        <v>9</v>
      </c>
      <c r="M31" s="73">
        <v>10.5875</v>
      </c>
      <c r="N31" s="104">
        <v>10.5875</v>
      </c>
      <c r="O31" s="57">
        <v>7000</v>
      </c>
      <c r="P31" s="58">
        <f t="shared" si="0"/>
        <v>74112.5</v>
      </c>
    </row>
    <row r="32" spans="1:16" ht="26.25" customHeight="1" x14ac:dyDescent="0.2">
      <c r="A32" s="100"/>
      <c r="B32" s="100"/>
      <c r="C32" s="65" t="s">
        <v>3186</v>
      </c>
      <c r="D32" s="70" t="s">
        <v>57</v>
      </c>
      <c r="E32" s="12">
        <v>44547</v>
      </c>
      <c r="F32" s="68" t="s">
        <v>58</v>
      </c>
      <c r="G32" s="12">
        <v>44550</v>
      </c>
      <c r="H32" s="69" t="s">
        <v>1619</v>
      </c>
      <c r="I32" s="15">
        <v>52</v>
      </c>
      <c r="J32" s="15">
        <v>42</v>
      </c>
      <c r="K32" s="15">
        <v>10</v>
      </c>
      <c r="L32" s="15">
        <v>2</v>
      </c>
      <c r="M32" s="73">
        <v>5.46</v>
      </c>
      <c r="N32" s="104">
        <v>6</v>
      </c>
      <c r="O32" s="57">
        <v>7000</v>
      </c>
      <c r="P32" s="58">
        <f t="shared" si="0"/>
        <v>42000</v>
      </c>
    </row>
    <row r="33" spans="1:16" ht="26.25" customHeight="1" x14ac:dyDescent="0.2">
      <c r="A33" s="100"/>
      <c r="B33" s="100"/>
      <c r="C33" s="65" t="s">
        <v>3187</v>
      </c>
      <c r="D33" s="70" t="s">
        <v>57</v>
      </c>
      <c r="E33" s="12">
        <v>44547</v>
      </c>
      <c r="F33" s="68" t="s">
        <v>58</v>
      </c>
      <c r="G33" s="12">
        <v>44550</v>
      </c>
      <c r="H33" s="69" t="s">
        <v>1619</v>
      </c>
      <c r="I33" s="15">
        <v>62</v>
      </c>
      <c r="J33" s="15">
        <v>51</v>
      </c>
      <c r="K33" s="15">
        <v>18</v>
      </c>
      <c r="L33" s="15">
        <v>8</v>
      </c>
      <c r="M33" s="73">
        <v>14.228999999999999</v>
      </c>
      <c r="N33" s="104">
        <v>14.228999999999999</v>
      </c>
      <c r="O33" s="57">
        <v>7000</v>
      </c>
      <c r="P33" s="58">
        <f t="shared" si="0"/>
        <v>99603</v>
      </c>
    </row>
    <row r="34" spans="1:16" ht="26.25" customHeight="1" x14ac:dyDescent="0.2">
      <c r="A34" s="100"/>
      <c r="B34" s="100"/>
      <c r="C34" s="65" t="s">
        <v>3188</v>
      </c>
      <c r="D34" s="70" t="s">
        <v>57</v>
      </c>
      <c r="E34" s="12">
        <v>44547</v>
      </c>
      <c r="F34" s="68" t="s">
        <v>58</v>
      </c>
      <c r="G34" s="12">
        <v>44550</v>
      </c>
      <c r="H34" s="69" t="s">
        <v>1619</v>
      </c>
      <c r="I34" s="15">
        <v>21</v>
      </c>
      <c r="J34" s="15">
        <v>12</v>
      </c>
      <c r="K34" s="15">
        <v>5</v>
      </c>
      <c r="L34" s="15">
        <v>1</v>
      </c>
      <c r="M34" s="73">
        <v>0.315</v>
      </c>
      <c r="N34" s="104">
        <v>2</v>
      </c>
      <c r="O34" s="57">
        <v>7000</v>
      </c>
      <c r="P34" s="58">
        <f t="shared" si="0"/>
        <v>14000</v>
      </c>
    </row>
    <row r="35" spans="1:16" ht="22.5" customHeight="1" x14ac:dyDescent="0.2">
      <c r="A35" s="159" t="s">
        <v>30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1"/>
      <c r="M35" s="71">
        <f>SUBTOTAL(109,Table224578910112345678910111213141516171819202122232425262728293031323334353738394041424344454647484950515253[KG VOLUME])</f>
        <v>284.40624999999989</v>
      </c>
      <c r="N35" s="61">
        <f>SUM(N3:N34)</f>
        <v>302.04649999999992</v>
      </c>
      <c r="O35" s="162">
        <f>SUM(P3:P34)</f>
        <v>2114325.5</v>
      </c>
      <c r="P35" s="163"/>
    </row>
    <row r="36" spans="1:16" ht="18" customHeight="1" x14ac:dyDescent="0.2">
      <c r="A36" s="78"/>
      <c r="B36" s="49" t="s">
        <v>42</v>
      </c>
      <c r="C36" s="48"/>
      <c r="D36" s="50" t="s">
        <v>43</v>
      </c>
      <c r="E36" s="78"/>
      <c r="F36" s="78"/>
      <c r="G36" s="78"/>
      <c r="H36" s="78"/>
      <c r="I36" s="78"/>
      <c r="J36" s="78"/>
      <c r="K36" s="78"/>
      <c r="L36" s="78"/>
      <c r="M36" s="79"/>
      <c r="N36" s="80" t="s">
        <v>52</v>
      </c>
      <c r="O36" s="81"/>
      <c r="P36" s="81">
        <v>0</v>
      </c>
    </row>
    <row r="37" spans="1:16" ht="18" customHeight="1" thickBot="1" x14ac:dyDescent="0.25">
      <c r="A37" s="78"/>
      <c r="B37" s="49"/>
      <c r="C37" s="48"/>
      <c r="D37" s="50"/>
      <c r="E37" s="78"/>
      <c r="F37" s="78"/>
      <c r="G37" s="78"/>
      <c r="H37" s="78"/>
      <c r="I37" s="78"/>
      <c r="J37" s="78"/>
      <c r="K37" s="78"/>
      <c r="L37" s="78"/>
      <c r="M37" s="79"/>
      <c r="N37" s="82" t="s">
        <v>53</v>
      </c>
      <c r="O37" s="83"/>
      <c r="P37" s="83">
        <f>O35-P36</f>
        <v>2114325.5</v>
      </c>
    </row>
    <row r="38" spans="1:16" ht="18" customHeight="1" x14ac:dyDescent="0.2">
      <c r="A38" s="10"/>
      <c r="H38" s="56"/>
      <c r="N38" s="55" t="s">
        <v>31</v>
      </c>
      <c r="P38" s="62">
        <f>P37*1%</f>
        <v>21143.255000000001</v>
      </c>
    </row>
    <row r="39" spans="1:16" ht="18" customHeight="1" thickBot="1" x14ac:dyDescent="0.25">
      <c r="A39" s="10"/>
      <c r="H39" s="56"/>
      <c r="N39" s="55" t="s">
        <v>54</v>
      </c>
      <c r="P39" s="64">
        <f>P37*2%</f>
        <v>42286.51</v>
      </c>
    </row>
    <row r="40" spans="1:16" ht="18" customHeight="1" x14ac:dyDescent="0.2">
      <c r="A40" s="10"/>
      <c r="H40" s="56"/>
      <c r="N40" s="59" t="s">
        <v>32</v>
      </c>
      <c r="O40" s="60"/>
      <c r="P40" s="63">
        <f>P37+P38-P39</f>
        <v>2093182.2449999999</v>
      </c>
    </row>
    <row r="42" spans="1:16" x14ac:dyDescent="0.2">
      <c r="A42" s="10"/>
      <c r="H42" s="56"/>
      <c r="P42" s="64"/>
    </row>
    <row r="43" spans="1:16" x14ac:dyDescent="0.2">
      <c r="A43" s="10"/>
      <c r="H43" s="56"/>
      <c r="O43" s="51"/>
      <c r="P43" s="6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</sheetData>
  <mergeCells count="2">
    <mergeCell ref="A35:L35"/>
    <mergeCell ref="O35:P35"/>
  </mergeCells>
  <conditionalFormatting sqref="C3:C34">
    <cfRule type="duplicateValues" dxfId="767" priority="8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1"/>
  <sheetViews>
    <sheetView topLeftCell="A109" workbookViewId="0">
      <selection activeCell="F117" sqref="F1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402674</v>
      </c>
      <c r="B3" s="99" t="s">
        <v>3189</v>
      </c>
      <c r="C3" s="90" t="s">
        <v>3190</v>
      </c>
      <c r="D3" s="102" t="s">
        <v>57</v>
      </c>
      <c r="E3" s="91">
        <v>44547</v>
      </c>
      <c r="F3" s="102" t="s">
        <v>58</v>
      </c>
      <c r="G3" s="91">
        <v>44550</v>
      </c>
      <c r="H3" s="90" t="s">
        <v>2130</v>
      </c>
      <c r="I3" s="90">
        <v>87</v>
      </c>
      <c r="J3" s="90">
        <v>54</v>
      </c>
      <c r="K3" s="90">
        <v>32</v>
      </c>
      <c r="L3" s="90">
        <v>39</v>
      </c>
      <c r="M3" s="90">
        <v>37.584000000000003</v>
      </c>
      <c r="N3" s="104">
        <v>39</v>
      </c>
      <c r="O3" s="57">
        <v>7000</v>
      </c>
      <c r="P3" s="58">
        <f t="shared" ref="P3:P66" si="0">N3*O3</f>
        <v>273000</v>
      </c>
    </row>
    <row r="4" spans="1:16" ht="26.25" customHeight="1" x14ac:dyDescent="0.2">
      <c r="A4" s="100"/>
      <c r="B4" s="100"/>
      <c r="C4" s="90" t="s">
        <v>3191</v>
      </c>
      <c r="D4" s="102" t="s">
        <v>57</v>
      </c>
      <c r="E4" s="91">
        <v>44547</v>
      </c>
      <c r="F4" s="102" t="s">
        <v>58</v>
      </c>
      <c r="G4" s="91">
        <v>44550</v>
      </c>
      <c r="H4" s="90" t="s">
        <v>2130</v>
      </c>
      <c r="I4" s="90">
        <v>49</v>
      </c>
      <c r="J4" s="90">
        <v>35</v>
      </c>
      <c r="K4" s="90">
        <v>28</v>
      </c>
      <c r="L4" s="90">
        <v>7</v>
      </c>
      <c r="M4" s="90">
        <v>12.005000000000001</v>
      </c>
      <c r="N4" s="104">
        <v>12.005000000000001</v>
      </c>
      <c r="O4" s="57">
        <v>7000</v>
      </c>
      <c r="P4" s="58">
        <f t="shared" si="0"/>
        <v>84035</v>
      </c>
    </row>
    <row r="5" spans="1:16" ht="26.25" customHeight="1" x14ac:dyDescent="0.2">
      <c r="A5" s="100"/>
      <c r="B5" s="100"/>
      <c r="C5" s="65" t="s">
        <v>3192</v>
      </c>
      <c r="D5" s="70" t="s">
        <v>57</v>
      </c>
      <c r="E5" s="12">
        <v>44547</v>
      </c>
      <c r="F5" s="68" t="s">
        <v>58</v>
      </c>
      <c r="G5" s="12">
        <v>44550</v>
      </c>
      <c r="H5" s="69" t="s">
        <v>2130</v>
      </c>
      <c r="I5" s="15">
        <v>54</v>
      </c>
      <c r="J5" s="15">
        <v>41</v>
      </c>
      <c r="K5" s="15">
        <v>34</v>
      </c>
      <c r="L5" s="15">
        <v>10</v>
      </c>
      <c r="M5" s="73">
        <v>18.818999999999999</v>
      </c>
      <c r="N5" s="104">
        <v>18.818999999999999</v>
      </c>
      <c r="O5" s="57">
        <v>7000</v>
      </c>
      <c r="P5" s="58">
        <f t="shared" si="0"/>
        <v>131733</v>
      </c>
    </row>
    <row r="6" spans="1:16" ht="26.25" customHeight="1" x14ac:dyDescent="0.2">
      <c r="A6" s="100"/>
      <c r="B6" s="100"/>
      <c r="C6" s="65" t="s">
        <v>3193</v>
      </c>
      <c r="D6" s="70" t="s">
        <v>57</v>
      </c>
      <c r="E6" s="12">
        <v>44547</v>
      </c>
      <c r="F6" s="68" t="s">
        <v>58</v>
      </c>
      <c r="G6" s="12">
        <v>44550</v>
      </c>
      <c r="H6" s="69" t="s">
        <v>2130</v>
      </c>
      <c r="I6" s="15">
        <v>130</v>
      </c>
      <c r="J6" s="15">
        <v>36</v>
      </c>
      <c r="K6" s="15">
        <v>44</v>
      </c>
      <c r="L6" s="15">
        <v>15</v>
      </c>
      <c r="M6" s="73">
        <v>51.48</v>
      </c>
      <c r="N6" s="104">
        <v>52</v>
      </c>
      <c r="O6" s="57">
        <v>7000</v>
      </c>
      <c r="P6" s="58">
        <f t="shared" si="0"/>
        <v>364000</v>
      </c>
    </row>
    <row r="7" spans="1:16" ht="26.25" customHeight="1" x14ac:dyDescent="0.2">
      <c r="A7" s="100"/>
      <c r="B7" s="100"/>
      <c r="C7" s="65" t="s">
        <v>3194</v>
      </c>
      <c r="D7" s="70" t="s">
        <v>57</v>
      </c>
      <c r="E7" s="12">
        <v>44547</v>
      </c>
      <c r="F7" s="68" t="s">
        <v>58</v>
      </c>
      <c r="G7" s="12">
        <v>44550</v>
      </c>
      <c r="H7" s="69" t="s">
        <v>2130</v>
      </c>
      <c r="I7" s="15">
        <v>66</v>
      </c>
      <c r="J7" s="15">
        <v>44</v>
      </c>
      <c r="K7" s="15">
        <v>33</v>
      </c>
      <c r="L7" s="15">
        <v>42</v>
      </c>
      <c r="M7" s="73">
        <v>23.957999999999998</v>
      </c>
      <c r="N7" s="104">
        <v>42</v>
      </c>
      <c r="O7" s="57">
        <v>7000</v>
      </c>
      <c r="P7" s="58">
        <f t="shared" si="0"/>
        <v>294000</v>
      </c>
    </row>
    <row r="8" spans="1:16" ht="26.25" customHeight="1" x14ac:dyDescent="0.2">
      <c r="A8" s="100"/>
      <c r="B8" s="100"/>
      <c r="C8" s="65" t="s">
        <v>3195</v>
      </c>
      <c r="D8" s="70" t="s">
        <v>57</v>
      </c>
      <c r="E8" s="12">
        <v>44547</v>
      </c>
      <c r="F8" s="68" t="s">
        <v>58</v>
      </c>
      <c r="G8" s="12">
        <v>44550</v>
      </c>
      <c r="H8" s="69" t="s">
        <v>2130</v>
      </c>
      <c r="I8" s="15">
        <v>82</v>
      </c>
      <c r="J8" s="15">
        <v>45</v>
      </c>
      <c r="K8" s="15">
        <v>45</v>
      </c>
      <c r="L8" s="15">
        <v>30</v>
      </c>
      <c r="M8" s="73">
        <v>41.512500000000003</v>
      </c>
      <c r="N8" s="104">
        <v>41.512500000000003</v>
      </c>
      <c r="O8" s="57">
        <v>7000</v>
      </c>
      <c r="P8" s="58">
        <f t="shared" si="0"/>
        <v>290587.5</v>
      </c>
    </row>
    <row r="9" spans="1:16" ht="26.25" customHeight="1" x14ac:dyDescent="0.2">
      <c r="A9" s="100"/>
      <c r="B9" s="100"/>
      <c r="C9" s="65" t="s">
        <v>3196</v>
      </c>
      <c r="D9" s="70" t="s">
        <v>57</v>
      </c>
      <c r="E9" s="12">
        <v>44547</v>
      </c>
      <c r="F9" s="68" t="s">
        <v>58</v>
      </c>
      <c r="G9" s="12">
        <v>44550</v>
      </c>
      <c r="H9" s="69" t="s">
        <v>2130</v>
      </c>
      <c r="I9" s="15">
        <v>80</v>
      </c>
      <c r="J9" s="15">
        <v>52</v>
      </c>
      <c r="K9" s="15">
        <v>37</v>
      </c>
      <c r="L9" s="15">
        <v>13</v>
      </c>
      <c r="M9" s="73">
        <v>38.479999999999997</v>
      </c>
      <c r="N9" s="104">
        <v>39</v>
      </c>
      <c r="O9" s="57">
        <v>7000</v>
      </c>
      <c r="P9" s="58">
        <f t="shared" si="0"/>
        <v>273000</v>
      </c>
    </row>
    <row r="10" spans="1:16" ht="26.25" customHeight="1" x14ac:dyDescent="0.2">
      <c r="A10" s="100"/>
      <c r="B10" s="100"/>
      <c r="C10" s="65" t="s">
        <v>3197</v>
      </c>
      <c r="D10" s="70" t="s">
        <v>57</v>
      </c>
      <c r="E10" s="12">
        <v>44547</v>
      </c>
      <c r="F10" s="68" t="s">
        <v>58</v>
      </c>
      <c r="G10" s="12">
        <v>44550</v>
      </c>
      <c r="H10" s="69" t="s">
        <v>2130</v>
      </c>
      <c r="I10" s="15">
        <v>53</v>
      </c>
      <c r="J10" s="15">
        <v>38</v>
      </c>
      <c r="K10" s="15">
        <v>21</v>
      </c>
      <c r="L10" s="15">
        <v>1</v>
      </c>
      <c r="M10" s="73">
        <v>10.573499999999999</v>
      </c>
      <c r="N10" s="104">
        <v>10.573499999999999</v>
      </c>
      <c r="O10" s="57">
        <v>7000</v>
      </c>
      <c r="P10" s="58">
        <f t="shared" si="0"/>
        <v>74014.5</v>
      </c>
    </row>
    <row r="11" spans="1:16" ht="26.25" customHeight="1" x14ac:dyDescent="0.2">
      <c r="A11" s="100"/>
      <c r="B11" s="100"/>
      <c r="C11" s="65" t="s">
        <v>3198</v>
      </c>
      <c r="D11" s="70" t="s">
        <v>57</v>
      </c>
      <c r="E11" s="12">
        <v>44547</v>
      </c>
      <c r="F11" s="68" t="s">
        <v>58</v>
      </c>
      <c r="G11" s="12">
        <v>44550</v>
      </c>
      <c r="H11" s="69" t="s">
        <v>2130</v>
      </c>
      <c r="I11" s="15">
        <v>100</v>
      </c>
      <c r="J11" s="15">
        <v>52</v>
      </c>
      <c r="K11" s="15">
        <v>44</v>
      </c>
      <c r="L11" s="15">
        <v>25</v>
      </c>
      <c r="M11" s="73">
        <v>57.2</v>
      </c>
      <c r="N11" s="104">
        <v>57.2</v>
      </c>
      <c r="O11" s="57">
        <v>7000</v>
      </c>
      <c r="P11" s="58">
        <f t="shared" si="0"/>
        <v>400400</v>
      </c>
    </row>
    <row r="12" spans="1:16" ht="26.25" customHeight="1" x14ac:dyDescent="0.2">
      <c r="A12" s="100"/>
      <c r="B12" s="100"/>
      <c r="C12" s="65" t="s">
        <v>3199</v>
      </c>
      <c r="D12" s="70" t="s">
        <v>57</v>
      </c>
      <c r="E12" s="12">
        <v>44547</v>
      </c>
      <c r="F12" s="68" t="s">
        <v>58</v>
      </c>
      <c r="G12" s="12">
        <v>44550</v>
      </c>
      <c r="H12" s="69" t="s">
        <v>2130</v>
      </c>
      <c r="I12" s="15">
        <v>86</v>
      </c>
      <c r="J12" s="15">
        <v>57</v>
      </c>
      <c r="K12" s="15">
        <v>23</v>
      </c>
      <c r="L12" s="15">
        <v>14</v>
      </c>
      <c r="M12" s="73">
        <v>28.186499999999999</v>
      </c>
      <c r="N12" s="104">
        <v>28.186499999999999</v>
      </c>
      <c r="O12" s="57">
        <v>7000</v>
      </c>
      <c r="P12" s="58">
        <f t="shared" si="0"/>
        <v>197305.5</v>
      </c>
    </row>
    <row r="13" spans="1:16" ht="26.25" customHeight="1" x14ac:dyDescent="0.2">
      <c r="A13" s="100"/>
      <c r="B13" s="100"/>
      <c r="C13" s="65" t="s">
        <v>3200</v>
      </c>
      <c r="D13" s="70" t="s">
        <v>57</v>
      </c>
      <c r="E13" s="12">
        <v>44547</v>
      </c>
      <c r="F13" s="68" t="s">
        <v>58</v>
      </c>
      <c r="G13" s="12">
        <v>44550</v>
      </c>
      <c r="H13" s="69" t="s">
        <v>2130</v>
      </c>
      <c r="I13" s="15">
        <v>102</v>
      </c>
      <c r="J13" s="15">
        <v>54</v>
      </c>
      <c r="K13" s="15">
        <v>32</v>
      </c>
      <c r="L13" s="15">
        <v>24</v>
      </c>
      <c r="M13" s="73">
        <v>44.064</v>
      </c>
      <c r="N13" s="104">
        <v>44.064</v>
      </c>
      <c r="O13" s="57">
        <v>7000</v>
      </c>
      <c r="P13" s="58">
        <f t="shared" si="0"/>
        <v>308448</v>
      </c>
    </row>
    <row r="14" spans="1:16" ht="26.25" customHeight="1" x14ac:dyDescent="0.2">
      <c r="A14" s="100"/>
      <c r="B14" s="100"/>
      <c r="C14" s="65" t="s">
        <v>3201</v>
      </c>
      <c r="D14" s="70" t="s">
        <v>57</v>
      </c>
      <c r="E14" s="12">
        <v>44547</v>
      </c>
      <c r="F14" s="68" t="s">
        <v>58</v>
      </c>
      <c r="G14" s="12">
        <v>44550</v>
      </c>
      <c r="H14" s="69" t="s">
        <v>2130</v>
      </c>
      <c r="I14" s="15">
        <v>60</v>
      </c>
      <c r="J14" s="15">
        <v>51</v>
      </c>
      <c r="K14" s="15">
        <v>37</v>
      </c>
      <c r="L14" s="15">
        <v>28</v>
      </c>
      <c r="M14" s="73">
        <v>28.305</v>
      </c>
      <c r="N14" s="104">
        <v>29</v>
      </c>
      <c r="O14" s="57">
        <v>7000</v>
      </c>
      <c r="P14" s="58">
        <f t="shared" si="0"/>
        <v>203000</v>
      </c>
    </row>
    <row r="15" spans="1:16" ht="26.25" customHeight="1" x14ac:dyDescent="0.2">
      <c r="A15" s="100"/>
      <c r="B15" s="100"/>
      <c r="C15" s="65" t="s">
        <v>3202</v>
      </c>
      <c r="D15" s="70" t="s">
        <v>57</v>
      </c>
      <c r="E15" s="12">
        <v>44547</v>
      </c>
      <c r="F15" s="68" t="s">
        <v>58</v>
      </c>
      <c r="G15" s="12">
        <v>44550</v>
      </c>
      <c r="H15" s="69" t="s">
        <v>2130</v>
      </c>
      <c r="I15" s="15">
        <v>58</v>
      </c>
      <c r="J15" s="15">
        <v>34</v>
      </c>
      <c r="K15" s="15">
        <v>26</v>
      </c>
      <c r="L15" s="15">
        <v>6</v>
      </c>
      <c r="M15" s="73">
        <v>12.818</v>
      </c>
      <c r="N15" s="104">
        <v>12.818</v>
      </c>
      <c r="O15" s="57">
        <v>7000</v>
      </c>
      <c r="P15" s="58">
        <f t="shared" si="0"/>
        <v>89726</v>
      </c>
    </row>
    <row r="16" spans="1:16" ht="26.25" customHeight="1" x14ac:dyDescent="0.2">
      <c r="A16" s="100"/>
      <c r="B16" s="100"/>
      <c r="C16" s="65" t="s">
        <v>3203</v>
      </c>
      <c r="D16" s="70" t="s">
        <v>57</v>
      </c>
      <c r="E16" s="12">
        <v>44547</v>
      </c>
      <c r="F16" s="68" t="s">
        <v>58</v>
      </c>
      <c r="G16" s="12">
        <v>44550</v>
      </c>
      <c r="H16" s="69" t="s">
        <v>2130</v>
      </c>
      <c r="I16" s="15">
        <v>64</v>
      </c>
      <c r="J16" s="15">
        <v>34</v>
      </c>
      <c r="K16" s="15">
        <v>40</v>
      </c>
      <c r="L16" s="15">
        <v>20</v>
      </c>
      <c r="M16" s="73">
        <v>21.76</v>
      </c>
      <c r="N16" s="104">
        <v>21.76</v>
      </c>
      <c r="O16" s="57">
        <v>7000</v>
      </c>
      <c r="P16" s="58">
        <f t="shared" si="0"/>
        <v>152320</v>
      </c>
    </row>
    <row r="17" spans="1:16" ht="26.25" customHeight="1" x14ac:dyDescent="0.2">
      <c r="A17" s="100"/>
      <c r="B17" s="100"/>
      <c r="C17" s="65" t="s">
        <v>3204</v>
      </c>
      <c r="D17" s="70" t="s">
        <v>57</v>
      </c>
      <c r="E17" s="12">
        <v>44547</v>
      </c>
      <c r="F17" s="68" t="s">
        <v>58</v>
      </c>
      <c r="G17" s="12">
        <v>44550</v>
      </c>
      <c r="H17" s="69" t="s">
        <v>2130</v>
      </c>
      <c r="I17" s="15">
        <v>120</v>
      </c>
      <c r="J17" s="15">
        <v>40</v>
      </c>
      <c r="K17" s="15">
        <v>67</v>
      </c>
      <c r="L17" s="15">
        <v>37</v>
      </c>
      <c r="M17" s="73">
        <v>80.400000000000006</v>
      </c>
      <c r="N17" s="104">
        <v>81</v>
      </c>
      <c r="O17" s="57">
        <v>7000</v>
      </c>
      <c r="P17" s="58">
        <f t="shared" si="0"/>
        <v>567000</v>
      </c>
    </row>
    <row r="18" spans="1:16" ht="26.25" customHeight="1" x14ac:dyDescent="0.2">
      <c r="A18" s="100"/>
      <c r="B18" s="100"/>
      <c r="C18" s="65" t="s">
        <v>3205</v>
      </c>
      <c r="D18" s="70" t="s">
        <v>57</v>
      </c>
      <c r="E18" s="12">
        <v>44547</v>
      </c>
      <c r="F18" s="68" t="s">
        <v>58</v>
      </c>
      <c r="G18" s="12">
        <v>44550</v>
      </c>
      <c r="H18" s="69" t="s">
        <v>2130</v>
      </c>
      <c r="I18" s="15">
        <v>50</v>
      </c>
      <c r="J18" s="15">
        <v>28</v>
      </c>
      <c r="K18" s="15">
        <v>18</v>
      </c>
      <c r="L18" s="15">
        <v>9</v>
      </c>
      <c r="M18" s="73">
        <v>6.3</v>
      </c>
      <c r="N18" s="104">
        <v>10</v>
      </c>
      <c r="O18" s="57">
        <v>7000</v>
      </c>
      <c r="P18" s="58">
        <f t="shared" si="0"/>
        <v>70000</v>
      </c>
    </row>
    <row r="19" spans="1:16" ht="26.25" customHeight="1" x14ac:dyDescent="0.2">
      <c r="A19" s="100"/>
      <c r="B19" s="100"/>
      <c r="C19" s="65" t="s">
        <v>3206</v>
      </c>
      <c r="D19" s="70" t="s">
        <v>57</v>
      </c>
      <c r="E19" s="12">
        <v>44547</v>
      </c>
      <c r="F19" s="68" t="s">
        <v>58</v>
      </c>
      <c r="G19" s="12">
        <v>44550</v>
      </c>
      <c r="H19" s="69" t="s">
        <v>2130</v>
      </c>
      <c r="I19" s="15">
        <v>75</v>
      </c>
      <c r="J19" s="15">
        <v>54</v>
      </c>
      <c r="K19" s="15">
        <v>34</v>
      </c>
      <c r="L19" s="15">
        <v>9</v>
      </c>
      <c r="M19" s="73">
        <v>34.424999999999997</v>
      </c>
      <c r="N19" s="104">
        <v>35</v>
      </c>
      <c r="O19" s="57">
        <v>7000</v>
      </c>
      <c r="P19" s="58">
        <f t="shared" si="0"/>
        <v>245000</v>
      </c>
    </row>
    <row r="20" spans="1:16" ht="26.25" customHeight="1" x14ac:dyDescent="0.2">
      <c r="A20" s="100"/>
      <c r="B20" s="100"/>
      <c r="C20" s="65" t="s">
        <v>3207</v>
      </c>
      <c r="D20" s="70" t="s">
        <v>57</v>
      </c>
      <c r="E20" s="12">
        <v>44547</v>
      </c>
      <c r="F20" s="68" t="s">
        <v>58</v>
      </c>
      <c r="G20" s="12">
        <v>44550</v>
      </c>
      <c r="H20" s="69" t="s">
        <v>2130</v>
      </c>
      <c r="I20" s="15">
        <v>82</v>
      </c>
      <c r="J20" s="15">
        <v>52</v>
      </c>
      <c r="K20" s="15">
        <v>37</v>
      </c>
      <c r="L20" s="15">
        <v>33</v>
      </c>
      <c r="M20" s="73">
        <v>39.442</v>
      </c>
      <c r="N20" s="104">
        <v>40</v>
      </c>
      <c r="O20" s="57">
        <v>7000</v>
      </c>
      <c r="P20" s="58">
        <f t="shared" si="0"/>
        <v>280000</v>
      </c>
    </row>
    <row r="21" spans="1:16" ht="26.25" customHeight="1" x14ac:dyDescent="0.2">
      <c r="A21" s="100"/>
      <c r="B21" s="100"/>
      <c r="C21" s="65" t="s">
        <v>3208</v>
      </c>
      <c r="D21" s="70" t="s">
        <v>57</v>
      </c>
      <c r="E21" s="12">
        <v>44547</v>
      </c>
      <c r="F21" s="68" t="s">
        <v>58</v>
      </c>
      <c r="G21" s="12">
        <v>44550</v>
      </c>
      <c r="H21" s="69" t="s">
        <v>2130</v>
      </c>
      <c r="I21" s="15">
        <v>106</v>
      </c>
      <c r="J21" s="15">
        <v>54</v>
      </c>
      <c r="K21" s="15">
        <v>35</v>
      </c>
      <c r="L21" s="15">
        <v>19</v>
      </c>
      <c r="M21" s="73">
        <v>50.085000000000001</v>
      </c>
      <c r="N21" s="104">
        <v>50.085000000000001</v>
      </c>
      <c r="O21" s="57">
        <v>7000</v>
      </c>
      <c r="P21" s="58">
        <f t="shared" si="0"/>
        <v>350595</v>
      </c>
    </row>
    <row r="22" spans="1:16" ht="26.25" customHeight="1" x14ac:dyDescent="0.2">
      <c r="A22" s="100"/>
      <c r="B22" s="100"/>
      <c r="C22" s="65" t="s">
        <v>3209</v>
      </c>
      <c r="D22" s="70" t="s">
        <v>57</v>
      </c>
      <c r="E22" s="12">
        <v>44547</v>
      </c>
      <c r="F22" s="68" t="s">
        <v>58</v>
      </c>
      <c r="G22" s="12">
        <v>44550</v>
      </c>
      <c r="H22" s="69" t="s">
        <v>2130</v>
      </c>
      <c r="I22" s="15">
        <v>62</v>
      </c>
      <c r="J22" s="15">
        <v>42</v>
      </c>
      <c r="K22" s="15">
        <v>32</v>
      </c>
      <c r="L22" s="15">
        <v>38</v>
      </c>
      <c r="M22" s="73">
        <v>20.832000000000001</v>
      </c>
      <c r="N22" s="104">
        <v>38</v>
      </c>
      <c r="O22" s="57">
        <v>7000</v>
      </c>
      <c r="P22" s="58">
        <f t="shared" si="0"/>
        <v>266000</v>
      </c>
    </row>
    <row r="23" spans="1:16" ht="26.25" customHeight="1" x14ac:dyDescent="0.2">
      <c r="A23" s="100"/>
      <c r="B23" s="100"/>
      <c r="C23" s="65" t="s">
        <v>3210</v>
      </c>
      <c r="D23" s="70" t="s">
        <v>57</v>
      </c>
      <c r="E23" s="12">
        <v>44547</v>
      </c>
      <c r="F23" s="68" t="s">
        <v>58</v>
      </c>
      <c r="G23" s="12">
        <v>44550</v>
      </c>
      <c r="H23" s="69" t="s">
        <v>2130</v>
      </c>
      <c r="I23" s="15">
        <v>95</v>
      </c>
      <c r="J23" s="15">
        <v>61</v>
      </c>
      <c r="K23" s="15">
        <v>23</v>
      </c>
      <c r="L23" s="15">
        <v>19</v>
      </c>
      <c r="M23" s="73">
        <v>33.321249999999999</v>
      </c>
      <c r="N23" s="104">
        <v>34</v>
      </c>
      <c r="O23" s="57">
        <v>7000</v>
      </c>
      <c r="P23" s="58">
        <f t="shared" si="0"/>
        <v>238000</v>
      </c>
    </row>
    <row r="24" spans="1:16" ht="26.25" customHeight="1" x14ac:dyDescent="0.2">
      <c r="A24" s="100"/>
      <c r="B24" s="100"/>
      <c r="C24" s="65" t="s">
        <v>3211</v>
      </c>
      <c r="D24" s="70" t="s">
        <v>57</v>
      </c>
      <c r="E24" s="12">
        <v>44547</v>
      </c>
      <c r="F24" s="68" t="s">
        <v>58</v>
      </c>
      <c r="G24" s="12">
        <v>44550</v>
      </c>
      <c r="H24" s="69" t="s">
        <v>2130</v>
      </c>
      <c r="I24" s="15">
        <v>72</v>
      </c>
      <c r="J24" s="15">
        <v>50</v>
      </c>
      <c r="K24" s="15">
        <v>25</v>
      </c>
      <c r="L24" s="15">
        <v>8</v>
      </c>
      <c r="M24" s="73">
        <v>22.5</v>
      </c>
      <c r="N24" s="104">
        <v>24</v>
      </c>
      <c r="O24" s="57">
        <v>7000</v>
      </c>
      <c r="P24" s="58">
        <f t="shared" si="0"/>
        <v>168000</v>
      </c>
    </row>
    <row r="25" spans="1:16" ht="26.25" customHeight="1" x14ac:dyDescent="0.2">
      <c r="A25" s="100"/>
      <c r="B25" s="100"/>
      <c r="C25" s="65" t="s">
        <v>3212</v>
      </c>
      <c r="D25" s="70" t="s">
        <v>57</v>
      </c>
      <c r="E25" s="12">
        <v>44547</v>
      </c>
      <c r="F25" s="68" t="s">
        <v>58</v>
      </c>
      <c r="G25" s="12">
        <v>44550</v>
      </c>
      <c r="H25" s="69" t="s">
        <v>2130</v>
      </c>
      <c r="I25" s="15">
        <v>62</v>
      </c>
      <c r="J25" s="15">
        <v>42</v>
      </c>
      <c r="K25" s="15">
        <v>20</v>
      </c>
      <c r="L25" s="15">
        <v>6</v>
      </c>
      <c r="M25" s="73">
        <v>13.02</v>
      </c>
      <c r="N25" s="104">
        <v>13.02</v>
      </c>
      <c r="O25" s="57">
        <v>7000</v>
      </c>
      <c r="P25" s="58">
        <f t="shared" si="0"/>
        <v>91140</v>
      </c>
    </row>
    <row r="26" spans="1:16" ht="26.25" customHeight="1" x14ac:dyDescent="0.2">
      <c r="A26" s="100"/>
      <c r="B26" s="100"/>
      <c r="C26" s="65" t="s">
        <v>3213</v>
      </c>
      <c r="D26" s="70" t="s">
        <v>57</v>
      </c>
      <c r="E26" s="12">
        <v>44547</v>
      </c>
      <c r="F26" s="68" t="s">
        <v>58</v>
      </c>
      <c r="G26" s="12">
        <v>44550</v>
      </c>
      <c r="H26" s="69" t="s">
        <v>2130</v>
      </c>
      <c r="I26" s="15">
        <v>47</v>
      </c>
      <c r="J26" s="15">
        <v>45</v>
      </c>
      <c r="K26" s="15">
        <v>27</v>
      </c>
      <c r="L26" s="15">
        <v>8</v>
      </c>
      <c r="M26" s="73">
        <v>14.276249999999999</v>
      </c>
      <c r="N26" s="104">
        <v>14.276249999999999</v>
      </c>
      <c r="O26" s="57">
        <v>7000</v>
      </c>
      <c r="P26" s="58">
        <f t="shared" si="0"/>
        <v>99933.75</v>
      </c>
    </row>
    <row r="27" spans="1:16" ht="26.25" customHeight="1" x14ac:dyDescent="0.2">
      <c r="A27" s="100"/>
      <c r="B27" s="100"/>
      <c r="C27" s="65" t="s">
        <v>3214</v>
      </c>
      <c r="D27" s="70" t="s">
        <v>57</v>
      </c>
      <c r="E27" s="12">
        <v>44547</v>
      </c>
      <c r="F27" s="68" t="s">
        <v>58</v>
      </c>
      <c r="G27" s="12">
        <v>44550</v>
      </c>
      <c r="H27" s="69" t="s">
        <v>2130</v>
      </c>
      <c r="I27" s="15">
        <v>70</v>
      </c>
      <c r="J27" s="15">
        <v>26</v>
      </c>
      <c r="K27" s="15">
        <v>20</v>
      </c>
      <c r="L27" s="15">
        <v>6</v>
      </c>
      <c r="M27" s="73">
        <v>9.1</v>
      </c>
      <c r="N27" s="104">
        <v>9.1</v>
      </c>
      <c r="O27" s="57">
        <v>7000</v>
      </c>
      <c r="P27" s="58">
        <f t="shared" si="0"/>
        <v>63700</v>
      </c>
    </row>
    <row r="28" spans="1:16" ht="26.25" customHeight="1" x14ac:dyDescent="0.2">
      <c r="A28" s="100"/>
      <c r="B28" s="100"/>
      <c r="C28" s="65" t="s">
        <v>3215</v>
      </c>
      <c r="D28" s="70" t="s">
        <v>57</v>
      </c>
      <c r="E28" s="12">
        <v>44547</v>
      </c>
      <c r="F28" s="68" t="s">
        <v>58</v>
      </c>
      <c r="G28" s="12">
        <v>44550</v>
      </c>
      <c r="H28" s="69" t="s">
        <v>2130</v>
      </c>
      <c r="I28" s="15">
        <v>60</v>
      </c>
      <c r="J28" s="15">
        <v>50</v>
      </c>
      <c r="K28" s="15">
        <v>33</v>
      </c>
      <c r="L28" s="15">
        <v>21</v>
      </c>
      <c r="M28" s="73">
        <v>24.75</v>
      </c>
      <c r="N28" s="104">
        <v>24.75</v>
      </c>
      <c r="O28" s="57">
        <v>7000</v>
      </c>
      <c r="P28" s="58">
        <f t="shared" si="0"/>
        <v>173250</v>
      </c>
    </row>
    <row r="29" spans="1:16" ht="26.25" customHeight="1" x14ac:dyDescent="0.2">
      <c r="A29" s="100"/>
      <c r="B29" s="100"/>
      <c r="C29" s="65" t="s">
        <v>3216</v>
      </c>
      <c r="D29" s="70" t="s">
        <v>57</v>
      </c>
      <c r="E29" s="12">
        <v>44547</v>
      </c>
      <c r="F29" s="68" t="s">
        <v>58</v>
      </c>
      <c r="G29" s="12">
        <v>44550</v>
      </c>
      <c r="H29" s="69" t="s">
        <v>2130</v>
      </c>
      <c r="I29" s="15">
        <v>38</v>
      </c>
      <c r="J29" s="15">
        <v>27</v>
      </c>
      <c r="K29" s="15">
        <v>21</v>
      </c>
      <c r="L29" s="15">
        <v>9</v>
      </c>
      <c r="M29" s="73">
        <v>5.3864999999999998</v>
      </c>
      <c r="N29" s="104">
        <v>10</v>
      </c>
      <c r="O29" s="57">
        <v>7000</v>
      </c>
      <c r="P29" s="58">
        <f t="shared" si="0"/>
        <v>70000</v>
      </c>
    </row>
    <row r="30" spans="1:16" ht="26.25" customHeight="1" x14ac:dyDescent="0.2">
      <c r="A30" s="100"/>
      <c r="B30" s="100"/>
      <c r="C30" s="65" t="s">
        <v>3217</v>
      </c>
      <c r="D30" s="70" t="s">
        <v>57</v>
      </c>
      <c r="E30" s="12">
        <v>44547</v>
      </c>
      <c r="F30" s="68" t="s">
        <v>58</v>
      </c>
      <c r="G30" s="12">
        <v>44550</v>
      </c>
      <c r="H30" s="69" t="s">
        <v>2130</v>
      </c>
      <c r="I30" s="15">
        <v>63</v>
      </c>
      <c r="J30" s="15">
        <v>42</v>
      </c>
      <c r="K30" s="15">
        <v>26</v>
      </c>
      <c r="L30" s="15">
        <v>42</v>
      </c>
      <c r="M30" s="73">
        <v>17.199000000000002</v>
      </c>
      <c r="N30" s="104">
        <v>42</v>
      </c>
      <c r="O30" s="57">
        <v>7000</v>
      </c>
      <c r="P30" s="58">
        <f t="shared" si="0"/>
        <v>294000</v>
      </c>
    </row>
    <row r="31" spans="1:16" ht="26.25" customHeight="1" x14ac:dyDescent="0.2">
      <c r="A31" s="100"/>
      <c r="B31" s="100"/>
      <c r="C31" s="65" t="s">
        <v>3218</v>
      </c>
      <c r="D31" s="70" t="s">
        <v>57</v>
      </c>
      <c r="E31" s="12">
        <v>44547</v>
      </c>
      <c r="F31" s="68" t="s">
        <v>58</v>
      </c>
      <c r="G31" s="12">
        <v>44550</v>
      </c>
      <c r="H31" s="69" t="s">
        <v>2130</v>
      </c>
      <c r="I31" s="15">
        <v>66</v>
      </c>
      <c r="J31" s="15">
        <v>48</v>
      </c>
      <c r="K31" s="15">
        <v>18</v>
      </c>
      <c r="L31" s="15">
        <v>5</v>
      </c>
      <c r="M31" s="73">
        <v>14.256</v>
      </c>
      <c r="N31" s="104">
        <v>14.256</v>
      </c>
      <c r="O31" s="57">
        <v>7000</v>
      </c>
      <c r="P31" s="58">
        <f t="shared" si="0"/>
        <v>99792</v>
      </c>
    </row>
    <row r="32" spans="1:16" ht="26.25" customHeight="1" x14ac:dyDescent="0.2">
      <c r="A32" s="100"/>
      <c r="B32" s="100"/>
      <c r="C32" s="65" t="s">
        <v>3219</v>
      </c>
      <c r="D32" s="70" t="s">
        <v>57</v>
      </c>
      <c r="E32" s="12">
        <v>44547</v>
      </c>
      <c r="F32" s="68" t="s">
        <v>58</v>
      </c>
      <c r="G32" s="12">
        <v>44550</v>
      </c>
      <c r="H32" s="69" t="s">
        <v>2130</v>
      </c>
      <c r="I32" s="15">
        <v>65</v>
      </c>
      <c r="J32" s="15">
        <v>48</v>
      </c>
      <c r="K32" s="15">
        <v>7</v>
      </c>
      <c r="L32" s="15">
        <v>1</v>
      </c>
      <c r="M32" s="73">
        <v>5.46</v>
      </c>
      <c r="N32" s="104">
        <v>6</v>
      </c>
      <c r="O32" s="57">
        <v>7000</v>
      </c>
      <c r="P32" s="58">
        <f t="shared" si="0"/>
        <v>42000</v>
      </c>
    </row>
    <row r="33" spans="1:16" ht="26.25" customHeight="1" x14ac:dyDescent="0.2">
      <c r="A33" s="100"/>
      <c r="B33" s="100"/>
      <c r="C33" s="65" t="s">
        <v>3220</v>
      </c>
      <c r="D33" s="70" t="s">
        <v>57</v>
      </c>
      <c r="E33" s="12">
        <v>44547</v>
      </c>
      <c r="F33" s="68" t="s">
        <v>58</v>
      </c>
      <c r="G33" s="12">
        <v>44550</v>
      </c>
      <c r="H33" s="69" t="s">
        <v>2130</v>
      </c>
      <c r="I33" s="15">
        <v>78</v>
      </c>
      <c r="J33" s="15">
        <v>27</v>
      </c>
      <c r="K33" s="15">
        <v>32</v>
      </c>
      <c r="L33" s="15">
        <v>7</v>
      </c>
      <c r="M33" s="73">
        <v>16.847999999999999</v>
      </c>
      <c r="N33" s="104">
        <v>16.847999999999999</v>
      </c>
      <c r="O33" s="57">
        <v>7000</v>
      </c>
      <c r="P33" s="58">
        <f t="shared" si="0"/>
        <v>117936</v>
      </c>
    </row>
    <row r="34" spans="1:16" ht="26.25" customHeight="1" x14ac:dyDescent="0.2">
      <c r="A34" s="100"/>
      <c r="B34" s="100"/>
      <c r="C34" s="65" t="s">
        <v>3221</v>
      </c>
      <c r="D34" s="70" t="s">
        <v>57</v>
      </c>
      <c r="E34" s="12">
        <v>44547</v>
      </c>
      <c r="F34" s="68" t="s">
        <v>58</v>
      </c>
      <c r="G34" s="12">
        <v>44550</v>
      </c>
      <c r="H34" s="69" t="s">
        <v>2130</v>
      </c>
      <c r="I34" s="15">
        <v>80</v>
      </c>
      <c r="J34" s="15">
        <v>64</v>
      </c>
      <c r="K34" s="15">
        <v>10</v>
      </c>
      <c r="L34" s="15">
        <v>5</v>
      </c>
      <c r="M34" s="73">
        <v>12.8</v>
      </c>
      <c r="N34" s="104">
        <v>12.8</v>
      </c>
      <c r="O34" s="57">
        <v>7000</v>
      </c>
      <c r="P34" s="58">
        <f t="shared" si="0"/>
        <v>89600</v>
      </c>
    </row>
    <row r="35" spans="1:16" ht="26.25" customHeight="1" x14ac:dyDescent="0.2">
      <c r="A35" s="100"/>
      <c r="B35" s="100"/>
      <c r="C35" s="65" t="s">
        <v>3222</v>
      </c>
      <c r="D35" s="70" t="s">
        <v>57</v>
      </c>
      <c r="E35" s="12">
        <v>44547</v>
      </c>
      <c r="F35" s="68" t="s">
        <v>58</v>
      </c>
      <c r="G35" s="12">
        <v>44550</v>
      </c>
      <c r="H35" s="69" t="s">
        <v>2130</v>
      </c>
      <c r="I35" s="15">
        <v>83</v>
      </c>
      <c r="J35" s="15">
        <v>35</v>
      </c>
      <c r="K35" s="15">
        <v>27</v>
      </c>
      <c r="L35" s="15">
        <v>8</v>
      </c>
      <c r="M35" s="73">
        <v>19.608750000000001</v>
      </c>
      <c r="N35" s="104">
        <v>19.608750000000001</v>
      </c>
      <c r="O35" s="57">
        <v>7000</v>
      </c>
      <c r="P35" s="58">
        <f t="shared" si="0"/>
        <v>137261.25</v>
      </c>
    </row>
    <row r="36" spans="1:16" ht="26.25" customHeight="1" x14ac:dyDescent="0.2">
      <c r="A36" s="100"/>
      <c r="B36" s="100"/>
      <c r="C36" s="65" t="s">
        <v>3223</v>
      </c>
      <c r="D36" s="70" t="s">
        <v>57</v>
      </c>
      <c r="E36" s="12">
        <v>44547</v>
      </c>
      <c r="F36" s="68" t="s">
        <v>58</v>
      </c>
      <c r="G36" s="12">
        <v>44550</v>
      </c>
      <c r="H36" s="69" t="s">
        <v>2130</v>
      </c>
      <c r="I36" s="15">
        <v>85</v>
      </c>
      <c r="J36" s="15">
        <v>57</v>
      </c>
      <c r="K36" s="15">
        <v>27</v>
      </c>
      <c r="L36" s="15">
        <v>31</v>
      </c>
      <c r="M36" s="73">
        <v>32.703749999999999</v>
      </c>
      <c r="N36" s="104">
        <v>32.703749999999999</v>
      </c>
      <c r="O36" s="57">
        <v>7000</v>
      </c>
      <c r="P36" s="58">
        <f t="shared" si="0"/>
        <v>228926.25</v>
      </c>
    </row>
    <row r="37" spans="1:16" ht="26.25" customHeight="1" x14ac:dyDescent="0.2">
      <c r="A37" s="100"/>
      <c r="B37" s="100"/>
      <c r="C37" s="65" t="s">
        <v>3224</v>
      </c>
      <c r="D37" s="70" t="s">
        <v>57</v>
      </c>
      <c r="E37" s="12">
        <v>44547</v>
      </c>
      <c r="F37" s="68" t="s">
        <v>58</v>
      </c>
      <c r="G37" s="12">
        <v>44550</v>
      </c>
      <c r="H37" s="69" t="s">
        <v>2130</v>
      </c>
      <c r="I37" s="15">
        <v>38</v>
      </c>
      <c r="J37" s="15">
        <v>35</v>
      </c>
      <c r="K37" s="15">
        <v>15</v>
      </c>
      <c r="L37" s="15">
        <v>3</v>
      </c>
      <c r="M37" s="73">
        <v>4.9874999999999998</v>
      </c>
      <c r="N37" s="104">
        <v>4.9874999999999998</v>
      </c>
      <c r="O37" s="57">
        <v>7000</v>
      </c>
      <c r="P37" s="58">
        <f t="shared" si="0"/>
        <v>34912.5</v>
      </c>
    </row>
    <row r="38" spans="1:16" ht="26.25" customHeight="1" x14ac:dyDescent="0.2">
      <c r="A38" s="100"/>
      <c r="B38" s="100"/>
      <c r="C38" s="65" t="s">
        <v>3225</v>
      </c>
      <c r="D38" s="70" t="s">
        <v>57</v>
      </c>
      <c r="E38" s="12">
        <v>44547</v>
      </c>
      <c r="F38" s="68" t="s">
        <v>58</v>
      </c>
      <c r="G38" s="12">
        <v>44550</v>
      </c>
      <c r="H38" s="69" t="s">
        <v>2130</v>
      </c>
      <c r="I38" s="15">
        <v>79</v>
      </c>
      <c r="J38" s="15">
        <v>52</v>
      </c>
      <c r="K38" s="15">
        <v>30</v>
      </c>
      <c r="L38" s="15">
        <v>11</v>
      </c>
      <c r="M38" s="73">
        <v>30.81</v>
      </c>
      <c r="N38" s="104">
        <v>30.81</v>
      </c>
      <c r="O38" s="57">
        <v>7000</v>
      </c>
      <c r="P38" s="58">
        <f t="shared" si="0"/>
        <v>215670</v>
      </c>
    </row>
    <row r="39" spans="1:16" ht="26.25" customHeight="1" x14ac:dyDescent="0.2">
      <c r="A39" s="100"/>
      <c r="B39" s="100"/>
      <c r="C39" s="65" t="s">
        <v>3226</v>
      </c>
      <c r="D39" s="70" t="s">
        <v>57</v>
      </c>
      <c r="E39" s="12">
        <v>44547</v>
      </c>
      <c r="F39" s="68" t="s">
        <v>58</v>
      </c>
      <c r="G39" s="12">
        <v>44550</v>
      </c>
      <c r="H39" s="69" t="s">
        <v>2130</v>
      </c>
      <c r="I39" s="15">
        <v>100</v>
      </c>
      <c r="J39" s="15">
        <v>52</v>
      </c>
      <c r="K39" s="15">
        <v>27</v>
      </c>
      <c r="L39" s="15">
        <v>33</v>
      </c>
      <c r="M39" s="73">
        <v>35.1</v>
      </c>
      <c r="N39" s="104">
        <v>35.1</v>
      </c>
      <c r="O39" s="57">
        <v>7000</v>
      </c>
      <c r="P39" s="58">
        <f t="shared" si="0"/>
        <v>245700</v>
      </c>
    </row>
    <row r="40" spans="1:16" ht="26.25" customHeight="1" x14ac:dyDescent="0.2">
      <c r="A40" s="100"/>
      <c r="B40" s="100"/>
      <c r="C40" s="65" t="s">
        <v>3227</v>
      </c>
      <c r="D40" s="70" t="s">
        <v>57</v>
      </c>
      <c r="E40" s="12">
        <v>44547</v>
      </c>
      <c r="F40" s="68" t="s">
        <v>58</v>
      </c>
      <c r="G40" s="12">
        <v>44550</v>
      </c>
      <c r="H40" s="69" t="s">
        <v>2130</v>
      </c>
      <c r="I40" s="15">
        <v>82</v>
      </c>
      <c r="J40" s="15">
        <v>42</v>
      </c>
      <c r="K40" s="15">
        <v>22</v>
      </c>
      <c r="L40" s="15">
        <v>22</v>
      </c>
      <c r="M40" s="73">
        <v>18.942</v>
      </c>
      <c r="N40" s="104">
        <v>22</v>
      </c>
      <c r="O40" s="57">
        <v>7000</v>
      </c>
      <c r="P40" s="58">
        <f t="shared" si="0"/>
        <v>154000</v>
      </c>
    </row>
    <row r="41" spans="1:16" ht="26.25" customHeight="1" x14ac:dyDescent="0.2">
      <c r="A41" s="100"/>
      <c r="B41" s="100"/>
      <c r="C41" s="65" t="s">
        <v>3228</v>
      </c>
      <c r="D41" s="70" t="s">
        <v>57</v>
      </c>
      <c r="E41" s="12">
        <v>44547</v>
      </c>
      <c r="F41" s="68" t="s">
        <v>58</v>
      </c>
      <c r="G41" s="12">
        <v>44550</v>
      </c>
      <c r="H41" s="69" t="s">
        <v>2130</v>
      </c>
      <c r="I41" s="15">
        <v>67</v>
      </c>
      <c r="J41" s="15">
        <v>22</v>
      </c>
      <c r="K41" s="15">
        <v>4</v>
      </c>
      <c r="L41" s="15">
        <v>1</v>
      </c>
      <c r="M41" s="73">
        <v>1.474</v>
      </c>
      <c r="N41" s="104">
        <v>2</v>
      </c>
      <c r="O41" s="57">
        <v>7000</v>
      </c>
      <c r="P41" s="58">
        <f t="shared" si="0"/>
        <v>14000</v>
      </c>
    </row>
    <row r="42" spans="1:16" ht="26.25" customHeight="1" x14ac:dyDescent="0.2">
      <c r="A42" s="100"/>
      <c r="B42" s="100"/>
      <c r="C42" s="65" t="s">
        <v>3229</v>
      </c>
      <c r="D42" s="70" t="s">
        <v>57</v>
      </c>
      <c r="E42" s="12">
        <v>44547</v>
      </c>
      <c r="F42" s="68" t="s">
        <v>58</v>
      </c>
      <c r="G42" s="12">
        <v>44550</v>
      </c>
      <c r="H42" s="69" t="s">
        <v>2130</v>
      </c>
      <c r="I42" s="15">
        <v>87</v>
      </c>
      <c r="J42" s="15">
        <v>36</v>
      </c>
      <c r="K42" s="15">
        <v>6</v>
      </c>
      <c r="L42" s="15">
        <v>1</v>
      </c>
      <c r="M42" s="73">
        <v>4.6980000000000004</v>
      </c>
      <c r="N42" s="104">
        <v>4.6980000000000004</v>
      </c>
      <c r="O42" s="57">
        <v>7000</v>
      </c>
      <c r="P42" s="58">
        <f t="shared" si="0"/>
        <v>32886</v>
      </c>
    </row>
    <row r="43" spans="1:16" ht="26.25" customHeight="1" x14ac:dyDescent="0.2">
      <c r="A43" s="100"/>
      <c r="B43" s="100"/>
      <c r="C43" s="65" t="s">
        <v>3230</v>
      </c>
      <c r="D43" s="70" t="s">
        <v>57</v>
      </c>
      <c r="E43" s="12">
        <v>44547</v>
      </c>
      <c r="F43" s="68" t="s">
        <v>58</v>
      </c>
      <c r="G43" s="12">
        <v>44550</v>
      </c>
      <c r="H43" s="69" t="s">
        <v>2130</v>
      </c>
      <c r="I43" s="15">
        <v>102</v>
      </c>
      <c r="J43" s="15">
        <v>8</v>
      </c>
      <c r="K43" s="15">
        <v>8</v>
      </c>
      <c r="L43" s="15">
        <v>1</v>
      </c>
      <c r="M43" s="73">
        <v>1.6319999999999999</v>
      </c>
      <c r="N43" s="104">
        <v>1.6319999999999999</v>
      </c>
      <c r="O43" s="57">
        <v>7000</v>
      </c>
      <c r="P43" s="58">
        <f t="shared" si="0"/>
        <v>11424</v>
      </c>
    </row>
    <row r="44" spans="1:16" ht="26.25" customHeight="1" x14ac:dyDescent="0.2">
      <c r="A44" s="100"/>
      <c r="B44" s="100"/>
      <c r="C44" s="65" t="s">
        <v>3231</v>
      </c>
      <c r="D44" s="70" t="s">
        <v>57</v>
      </c>
      <c r="E44" s="12">
        <v>44547</v>
      </c>
      <c r="F44" s="68" t="s">
        <v>58</v>
      </c>
      <c r="G44" s="12">
        <v>44550</v>
      </c>
      <c r="H44" s="69" t="s">
        <v>2130</v>
      </c>
      <c r="I44" s="15">
        <v>120</v>
      </c>
      <c r="J44" s="15">
        <v>38</v>
      </c>
      <c r="K44" s="15">
        <v>35</v>
      </c>
      <c r="L44" s="15">
        <v>17</v>
      </c>
      <c r="M44" s="73">
        <v>39.9</v>
      </c>
      <c r="N44" s="104">
        <v>39.9</v>
      </c>
      <c r="O44" s="57">
        <v>7000</v>
      </c>
      <c r="P44" s="58">
        <f t="shared" si="0"/>
        <v>279300</v>
      </c>
    </row>
    <row r="45" spans="1:16" ht="26.25" customHeight="1" x14ac:dyDescent="0.2">
      <c r="A45" s="100"/>
      <c r="B45" s="100"/>
      <c r="C45" s="65" t="s">
        <v>3232</v>
      </c>
      <c r="D45" s="70" t="s">
        <v>57</v>
      </c>
      <c r="E45" s="12">
        <v>44547</v>
      </c>
      <c r="F45" s="68" t="s">
        <v>58</v>
      </c>
      <c r="G45" s="12">
        <v>44550</v>
      </c>
      <c r="H45" s="69" t="s">
        <v>2130</v>
      </c>
      <c r="I45" s="15">
        <v>126</v>
      </c>
      <c r="J45" s="15">
        <v>84</v>
      </c>
      <c r="K45" s="15">
        <v>11</v>
      </c>
      <c r="L45" s="15">
        <v>10</v>
      </c>
      <c r="M45" s="73">
        <v>29.106000000000002</v>
      </c>
      <c r="N45" s="104">
        <v>29.106000000000002</v>
      </c>
      <c r="O45" s="57">
        <v>7000</v>
      </c>
      <c r="P45" s="58">
        <f t="shared" si="0"/>
        <v>203742</v>
      </c>
    </row>
    <row r="46" spans="1:16" ht="26.25" customHeight="1" x14ac:dyDescent="0.2">
      <c r="A46" s="100"/>
      <c r="B46" s="100"/>
      <c r="C46" s="65" t="s">
        <v>3233</v>
      </c>
      <c r="D46" s="70" t="s">
        <v>57</v>
      </c>
      <c r="E46" s="12">
        <v>44547</v>
      </c>
      <c r="F46" s="68" t="s">
        <v>58</v>
      </c>
      <c r="G46" s="12">
        <v>44550</v>
      </c>
      <c r="H46" s="69" t="s">
        <v>2130</v>
      </c>
      <c r="I46" s="15">
        <v>85</v>
      </c>
      <c r="J46" s="15">
        <v>53</v>
      </c>
      <c r="K46" s="15">
        <v>22</v>
      </c>
      <c r="L46" s="15">
        <v>11</v>
      </c>
      <c r="M46" s="73">
        <v>24.7775</v>
      </c>
      <c r="N46" s="104">
        <v>24.7775</v>
      </c>
      <c r="O46" s="57">
        <v>7000</v>
      </c>
      <c r="P46" s="58">
        <f t="shared" si="0"/>
        <v>173442.5</v>
      </c>
    </row>
    <row r="47" spans="1:16" ht="26.25" customHeight="1" x14ac:dyDescent="0.2">
      <c r="A47" s="100"/>
      <c r="B47" s="100"/>
      <c r="C47" s="65" t="s">
        <v>3234</v>
      </c>
      <c r="D47" s="70" t="s">
        <v>57</v>
      </c>
      <c r="E47" s="12">
        <v>44547</v>
      </c>
      <c r="F47" s="68" t="s">
        <v>58</v>
      </c>
      <c r="G47" s="12">
        <v>44550</v>
      </c>
      <c r="H47" s="69" t="s">
        <v>2130</v>
      </c>
      <c r="I47" s="15">
        <v>104</v>
      </c>
      <c r="J47" s="15">
        <v>64</v>
      </c>
      <c r="K47" s="15">
        <v>22</v>
      </c>
      <c r="L47" s="15">
        <v>8</v>
      </c>
      <c r="M47" s="73">
        <v>36.607999999999997</v>
      </c>
      <c r="N47" s="104">
        <v>36.607999999999997</v>
      </c>
      <c r="O47" s="57">
        <v>7000</v>
      </c>
      <c r="P47" s="58">
        <f t="shared" si="0"/>
        <v>256255.99999999997</v>
      </c>
    </row>
    <row r="48" spans="1:16" ht="26.25" customHeight="1" x14ac:dyDescent="0.2">
      <c r="A48" s="100"/>
      <c r="B48" s="100"/>
      <c r="C48" s="65" t="s">
        <v>3235</v>
      </c>
      <c r="D48" s="70" t="s">
        <v>57</v>
      </c>
      <c r="E48" s="12">
        <v>44547</v>
      </c>
      <c r="F48" s="68" t="s">
        <v>58</v>
      </c>
      <c r="G48" s="12">
        <v>44550</v>
      </c>
      <c r="H48" s="69" t="s">
        <v>2130</v>
      </c>
      <c r="I48" s="15">
        <v>66</v>
      </c>
      <c r="J48" s="15">
        <v>42</v>
      </c>
      <c r="K48" s="15">
        <v>32</v>
      </c>
      <c r="L48" s="15">
        <v>19</v>
      </c>
      <c r="M48" s="73">
        <v>22.175999999999998</v>
      </c>
      <c r="N48" s="104">
        <v>22.175999999999998</v>
      </c>
      <c r="O48" s="57">
        <v>7000</v>
      </c>
      <c r="P48" s="58">
        <f t="shared" si="0"/>
        <v>155232</v>
      </c>
    </row>
    <row r="49" spans="1:16" ht="26.25" customHeight="1" x14ac:dyDescent="0.2">
      <c r="A49" s="100"/>
      <c r="B49" s="100"/>
      <c r="C49" s="65" t="s">
        <v>3236</v>
      </c>
      <c r="D49" s="70" t="s">
        <v>57</v>
      </c>
      <c r="E49" s="12">
        <v>44547</v>
      </c>
      <c r="F49" s="68" t="s">
        <v>58</v>
      </c>
      <c r="G49" s="12">
        <v>44550</v>
      </c>
      <c r="H49" s="69" t="s">
        <v>2130</v>
      </c>
      <c r="I49" s="15">
        <v>40</v>
      </c>
      <c r="J49" s="15">
        <v>34</v>
      </c>
      <c r="K49" s="15">
        <v>15</v>
      </c>
      <c r="L49" s="15">
        <v>10</v>
      </c>
      <c r="M49" s="73">
        <v>5.0999999999999996</v>
      </c>
      <c r="N49" s="104">
        <v>10</v>
      </c>
      <c r="O49" s="57">
        <v>7000</v>
      </c>
      <c r="P49" s="58">
        <f t="shared" si="0"/>
        <v>70000</v>
      </c>
    </row>
    <row r="50" spans="1:16" ht="26.25" customHeight="1" x14ac:dyDescent="0.2">
      <c r="A50" s="100"/>
      <c r="B50" s="100"/>
      <c r="C50" s="65" t="s">
        <v>3237</v>
      </c>
      <c r="D50" s="70" t="s">
        <v>57</v>
      </c>
      <c r="E50" s="12">
        <v>44547</v>
      </c>
      <c r="F50" s="68" t="s">
        <v>58</v>
      </c>
      <c r="G50" s="12">
        <v>44550</v>
      </c>
      <c r="H50" s="69" t="s">
        <v>2130</v>
      </c>
      <c r="I50" s="15">
        <v>89</v>
      </c>
      <c r="J50" s="15">
        <v>40</v>
      </c>
      <c r="K50" s="15">
        <v>48</v>
      </c>
      <c r="L50" s="15">
        <v>17</v>
      </c>
      <c r="M50" s="73">
        <v>42.72</v>
      </c>
      <c r="N50" s="104">
        <v>42.72</v>
      </c>
      <c r="O50" s="57">
        <v>7000</v>
      </c>
      <c r="P50" s="58">
        <f t="shared" si="0"/>
        <v>299040</v>
      </c>
    </row>
    <row r="51" spans="1:16" ht="26.25" customHeight="1" x14ac:dyDescent="0.2">
      <c r="A51" s="100"/>
      <c r="B51" s="100"/>
      <c r="C51" s="65" t="s">
        <v>3238</v>
      </c>
      <c r="D51" s="70" t="s">
        <v>57</v>
      </c>
      <c r="E51" s="12">
        <v>44547</v>
      </c>
      <c r="F51" s="68" t="s">
        <v>58</v>
      </c>
      <c r="G51" s="12">
        <v>44550</v>
      </c>
      <c r="H51" s="69" t="s">
        <v>2130</v>
      </c>
      <c r="I51" s="15">
        <v>107</v>
      </c>
      <c r="J51" s="15">
        <v>24</v>
      </c>
      <c r="K51" s="15">
        <v>68</v>
      </c>
      <c r="L51" s="15">
        <v>8</v>
      </c>
      <c r="M51" s="73">
        <v>43.655999999999999</v>
      </c>
      <c r="N51" s="104">
        <v>43.655999999999999</v>
      </c>
      <c r="O51" s="57">
        <v>7000</v>
      </c>
      <c r="P51" s="58">
        <f t="shared" si="0"/>
        <v>305592</v>
      </c>
    </row>
    <row r="52" spans="1:16" ht="26.25" customHeight="1" x14ac:dyDescent="0.2">
      <c r="A52" s="100"/>
      <c r="B52" s="100"/>
      <c r="C52" s="65" t="s">
        <v>3239</v>
      </c>
      <c r="D52" s="70" t="s">
        <v>57</v>
      </c>
      <c r="E52" s="12">
        <v>44547</v>
      </c>
      <c r="F52" s="68" t="s">
        <v>58</v>
      </c>
      <c r="G52" s="12">
        <v>44550</v>
      </c>
      <c r="H52" s="69" t="s">
        <v>2130</v>
      </c>
      <c r="I52" s="15">
        <v>72</v>
      </c>
      <c r="J52" s="15">
        <v>54</v>
      </c>
      <c r="K52" s="15">
        <v>12</v>
      </c>
      <c r="L52" s="15">
        <v>7</v>
      </c>
      <c r="M52" s="73">
        <v>11.664</v>
      </c>
      <c r="N52" s="104">
        <v>11.664</v>
      </c>
      <c r="O52" s="57">
        <v>7000</v>
      </c>
      <c r="P52" s="58">
        <f t="shared" si="0"/>
        <v>81648</v>
      </c>
    </row>
    <row r="53" spans="1:16" ht="26.25" customHeight="1" x14ac:dyDescent="0.2">
      <c r="A53" s="100"/>
      <c r="B53" s="100"/>
      <c r="C53" s="65" t="s">
        <v>3240</v>
      </c>
      <c r="D53" s="70" t="s">
        <v>57</v>
      </c>
      <c r="E53" s="12">
        <v>44547</v>
      </c>
      <c r="F53" s="68" t="s">
        <v>58</v>
      </c>
      <c r="G53" s="12">
        <v>44550</v>
      </c>
      <c r="H53" s="69" t="s">
        <v>2130</v>
      </c>
      <c r="I53" s="15">
        <v>64</v>
      </c>
      <c r="J53" s="15">
        <v>55</v>
      </c>
      <c r="K53" s="15">
        <v>24</v>
      </c>
      <c r="L53" s="15">
        <v>7</v>
      </c>
      <c r="M53" s="73">
        <v>21.12</v>
      </c>
      <c r="N53" s="104">
        <v>21.12</v>
      </c>
      <c r="O53" s="57">
        <v>7000</v>
      </c>
      <c r="P53" s="58">
        <f t="shared" si="0"/>
        <v>147840</v>
      </c>
    </row>
    <row r="54" spans="1:16" ht="26.25" customHeight="1" x14ac:dyDescent="0.2">
      <c r="A54" s="100"/>
      <c r="B54" s="100"/>
      <c r="C54" s="65" t="s">
        <v>3241</v>
      </c>
      <c r="D54" s="70" t="s">
        <v>57</v>
      </c>
      <c r="E54" s="12">
        <v>44547</v>
      </c>
      <c r="F54" s="68" t="s">
        <v>58</v>
      </c>
      <c r="G54" s="12">
        <v>44550</v>
      </c>
      <c r="H54" s="69" t="s">
        <v>2130</v>
      </c>
      <c r="I54" s="15">
        <v>67</v>
      </c>
      <c r="J54" s="15">
        <v>58</v>
      </c>
      <c r="K54" s="15">
        <v>21</v>
      </c>
      <c r="L54" s="15">
        <v>7</v>
      </c>
      <c r="M54" s="73">
        <v>20.401499999999999</v>
      </c>
      <c r="N54" s="104">
        <v>21</v>
      </c>
      <c r="O54" s="57">
        <v>7000</v>
      </c>
      <c r="P54" s="58">
        <f t="shared" si="0"/>
        <v>147000</v>
      </c>
    </row>
    <row r="55" spans="1:16" ht="26.25" customHeight="1" x14ac:dyDescent="0.2">
      <c r="A55" s="100"/>
      <c r="B55" s="100"/>
      <c r="C55" s="65" t="s">
        <v>3242</v>
      </c>
      <c r="D55" s="70" t="s">
        <v>57</v>
      </c>
      <c r="E55" s="12">
        <v>44547</v>
      </c>
      <c r="F55" s="68" t="s">
        <v>58</v>
      </c>
      <c r="G55" s="12">
        <v>44550</v>
      </c>
      <c r="H55" s="69" t="s">
        <v>2130</v>
      </c>
      <c r="I55" s="15">
        <v>62</v>
      </c>
      <c r="J55" s="15">
        <v>54</v>
      </c>
      <c r="K55" s="15">
        <v>31</v>
      </c>
      <c r="L55" s="15">
        <v>11</v>
      </c>
      <c r="M55" s="73">
        <v>25.946999999999999</v>
      </c>
      <c r="N55" s="104">
        <v>25.946999999999999</v>
      </c>
      <c r="O55" s="57">
        <v>7000</v>
      </c>
      <c r="P55" s="58">
        <f t="shared" si="0"/>
        <v>181629</v>
      </c>
    </row>
    <row r="56" spans="1:16" ht="26.25" customHeight="1" x14ac:dyDescent="0.2">
      <c r="A56" s="100"/>
      <c r="B56" s="100"/>
      <c r="C56" s="65" t="s">
        <v>3243</v>
      </c>
      <c r="D56" s="70" t="s">
        <v>57</v>
      </c>
      <c r="E56" s="12">
        <v>44547</v>
      </c>
      <c r="F56" s="68" t="s">
        <v>58</v>
      </c>
      <c r="G56" s="12">
        <v>44550</v>
      </c>
      <c r="H56" s="69" t="s">
        <v>2130</v>
      </c>
      <c r="I56" s="15">
        <v>56</v>
      </c>
      <c r="J56" s="15">
        <v>33</v>
      </c>
      <c r="K56" s="15">
        <v>18</v>
      </c>
      <c r="L56" s="15">
        <v>5</v>
      </c>
      <c r="M56" s="73">
        <v>8.3160000000000007</v>
      </c>
      <c r="N56" s="104">
        <v>9</v>
      </c>
      <c r="O56" s="57">
        <v>7000</v>
      </c>
      <c r="P56" s="58">
        <f t="shared" si="0"/>
        <v>63000</v>
      </c>
    </row>
    <row r="57" spans="1:16" ht="26.25" customHeight="1" x14ac:dyDescent="0.2">
      <c r="A57" s="100"/>
      <c r="B57" s="100"/>
      <c r="C57" s="65" t="s">
        <v>3244</v>
      </c>
      <c r="D57" s="70" t="s">
        <v>57</v>
      </c>
      <c r="E57" s="12">
        <v>44547</v>
      </c>
      <c r="F57" s="68" t="s">
        <v>58</v>
      </c>
      <c r="G57" s="12">
        <v>44550</v>
      </c>
      <c r="H57" s="69" t="s">
        <v>2130</v>
      </c>
      <c r="I57" s="15">
        <v>34</v>
      </c>
      <c r="J57" s="15">
        <v>27</v>
      </c>
      <c r="K57" s="15">
        <v>18</v>
      </c>
      <c r="L57" s="15">
        <v>2</v>
      </c>
      <c r="M57" s="73">
        <v>4.1310000000000002</v>
      </c>
      <c r="N57" s="104">
        <v>4.1310000000000002</v>
      </c>
      <c r="O57" s="57">
        <v>7000</v>
      </c>
      <c r="P57" s="58">
        <f t="shared" si="0"/>
        <v>28917</v>
      </c>
    </row>
    <row r="58" spans="1:16" ht="26.25" customHeight="1" x14ac:dyDescent="0.2">
      <c r="A58" s="100"/>
      <c r="B58" s="100"/>
      <c r="C58" s="65" t="s">
        <v>3245</v>
      </c>
      <c r="D58" s="70" t="s">
        <v>57</v>
      </c>
      <c r="E58" s="12">
        <v>44547</v>
      </c>
      <c r="F58" s="68" t="s">
        <v>58</v>
      </c>
      <c r="G58" s="12">
        <v>44550</v>
      </c>
      <c r="H58" s="69" t="s">
        <v>2130</v>
      </c>
      <c r="I58" s="15">
        <v>52</v>
      </c>
      <c r="J58" s="15">
        <v>44</v>
      </c>
      <c r="K58" s="15">
        <v>15</v>
      </c>
      <c r="L58" s="15">
        <v>6</v>
      </c>
      <c r="M58" s="73">
        <v>8.58</v>
      </c>
      <c r="N58" s="104">
        <v>8.58</v>
      </c>
      <c r="O58" s="57">
        <v>7000</v>
      </c>
      <c r="P58" s="58">
        <f t="shared" si="0"/>
        <v>60060</v>
      </c>
    </row>
    <row r="59" spans="1:16" ht="26.25" customHeight="1" x14ac:dyDescent="0.2">
      <c r="A59" s="100"/>
      <c r="B59" s="100"/>
      <c r="C59" s="65" t="s">
        <v>3246</v>
      </c>
      <c r="D59" s="70" t="s">
        <v>57</v>
      </c>
      <c r="E59" s="12">
        <v>44547</v>
      </c>
      <c r="F59" s="68" t="s">
        <v>58</v>
      </c>
      <c r="G59" s="12">
        <v>44550</v>
      </c>
      <c r="H59" s="69" t="s">
        <v>2130</v>
      </c>
      <c r="I59" s="15">
        <v>64</v>
      </c>
      <c r="J59" s="15">
        <v>62</v>
      </c>
      <c r="K59" s="15">
        <v>27</v>
      </c>
      <c r="L59" s="15">
        <v>16</v>
      </c>
      <c r="M59" s="73">
        <v>26.783999999999999</v>
      </c>
      <c r="N59" s="104">
        <v>26.783999999999999</v>
      </c>
      <c r="O59" s="57">
        <v>7000</v>
      </c>
      <c r="P59" s="58">
        <f t="shared" si="0"/>
        <v>187488</v>
      </c>
    </row>
    <row r="60" spans="1:16" ht="26.25" customHeight="1" x14ac:dyDescent="0.2">
      <c r="A60" s="100"/>
      <c r="B60" s="100"/>
      <c r="C60" s="65" t="s">
        <v>3247</v>
      </c>
      <c r="D60" s="70" t="s">
        <v>57</v>
      </c>
      <c r="E60" s="12">
        <v>44547</v>
      </c>
      <c r="F60" s="68" t="s">
        <v>58</v>
      </c>
      <c r="G60" s="12">
        <v>44550</v>
      </c>
      <c r="H60" s="69" t="s">
        <v>2130</v>
      </c>
      <c r="I60" s="15">
        <v>49</v>
      </c>
      <c r="J60" s="15">
        <v>33</v>
      </c>
      <c r="K60" s="15">
        <v>22</v>
      </c>
      <c r="L60" s="15">
        <v>20</v>
      </c>
      <c r="M60" s="73">
        <v>8.8934999999999995</v>
      </c>
      <c r="N60" s="104">
        <v>20</v>
      </c>
      <c r="O60" s="57">
        <v>7000</v>
      </c>
      <c r="P60" s="58">
        <f t="shared" si="0"/>
        <v>140000</v>
      </c>
    </row>
    <row r="61" spans="1:16" ht="26.25" customHeight="1" x14ac:dyDescent="0.2">
      <c r="A61" s="100"/>
      <c r="B61" s="100"/>
      <c r="C61" s="65" t="s">
        <v>3248</v>
      </c>
      <c r="D61" s="70" t="s">
        <v>57</v>
      </c>
      <c r="E61" s="12">
        <v>44547</v>
      </c>
      <c r="F61" s="68" t="s">
        <v>58</v>
      </c>
      <c r="G61" s="12">
        <v>44550</v>
      </c>
      <c r="H61" s="69" t="s">
        <v>2130</v>
      </c>
      <c r="I61" s="15">
        <v>70</v>
      </c>
      <c r="J61" s="15">
        <v>56</v>
      </c>
      <c r="K61" s="15">
        <v>23</v>
      </c>
      <c r="L61" s="15">
        <v>9</v>
      </c>
      <c r="M61" s="73">
        <v>22.54</v>
      </c>
      <c r="N61" s="104">
        <v>22.54</v>
      </c>
      <c r="O61" s="57">
        <v>7000</v>
      </c>
      <c r="P61" s="58">
        <f t="shared" si="0"/>
        <v>157780</v>
      </c>
    </row>
    <row r="62" spans="1:16" ht="26.25" customHeight="1" x14ac:dyDescent="0.2">
      <c r="A62" s="100"/>
      <c r="B62" s="100"/>
      <c r="C62" s="65" t="s">
        <v>3249</v>
      </c>
      <c r="D62" s="70" t="s">
        <v>57</v>
      </c>
      <c r="E62" s="12">
        <v>44547</v>
      </c>
      <c r="F62" s="68" t="s">
        <v>58</v>
      </c>
      <c r="G62" s="12">
        <v>44550</v>
      </c>
      <c r="H62" s="69" t="s">
        <v>2130</v>
      </c>
      <c r="I62" s="15">
        <v>48</v>
      </c>
      <c r="J62" s="15">
        <v>42</v>
      </c>
      <c r="K62" s="15">
        <v>25</v>
      </c>
      <c r="L62" s="15">
        <v>7</v>
      </c>
      <c r="M62" s="73">
        <v>12.6</v>
      </c>
      <c r="N62" s="104">
        <v>12.6</v>
      </c>
      <c r="O62" s="57">
        <v>7000</v>
      </c>
      <c r="P62" s="58">
        <f t="shared" si="0"/>
        <v>88200</v>
      </c>
    </row>
    <row r="63" spans="1:16" ht="26.25" customHeight="1" x14ac:dyDescent="0.2">
      <c r="A63" s="100"/>
      <c r="B63" s="100"/>
      <c r="C63" s="65" t="s">
        <v>3250</v>
      </c>
      <c r="D63" s="70" t="s">
        <v>57</v>
      </c>
      <c r="E63" s="12">
        <v>44547</v>
      </c>
      <c r="F63" s="68" t="s">
        <v>58</v>
      </c>
      <c r="G63" s="12">
        <v>44550</v>
      </c>
      <c r="H63" s="69" t="s">
        <v>2130</v>
      </c>
      <c r="I63" s="15">
        <v>85</v>
      </c>
      <c r="J63" s="15">
        <v>54</v>
      </c>
      <c r="K63" s="15">
        <v>31</v>
      </c>
      <c r="L63" s="15">
        <v>17</v>
      </c>
      <c r="M63" s="73">
        <v>35.572499999999998</v>
      </c>
      <c r="N63" s="104">
        <v>35.572499999999998</v>
      </c>
      <c r="O63" s="57">
        <v>7000</v>
      </c>
      <c r="P63" s="58">
        <f t="shared" si="0"/>
        <v>249007.5</v>
      </c>
    </row>
    <row r="64" spans="1:16" ht="26.25" customHeight="1" x14ac:dyDescent="0.2">
      <c r="A64" s="100"/>
      <c r="B64" s="100"/>
      <c r="C64" s="65" t="s">
        <v>3251</v>
      </c>
      <c r="D64" s="70" t="s">
        <v>57</v>
      </c>
      <c r="E64" s="12">
        <v>44547</v>
      </c>
      <c r="F64" s="68" t="s">
        <v>58</v>
      </c>
      <c r="G64" s="12">
        <v>44550</v>
      </c>
      <c r="H64" s="69" t="s">
        <v>2130</v>
      </c>
      <c r="I64" s="15">
        <v>67</v>
      </c>
      <c r="J64" s="15">
        <v>18</v>
      </c>
      <c r="K64" s="15">
        <v>18</v>
      </c>
      <c r="L64" s="15">
        <v>8</v>
      </c>
      <c r="M64" s="73">
        <v>5.4269999999999996</v>
      </c>
      <c r="N64" s="104">
        <v>9</v>
      </c>
      <c r="O64" s="57">
        <v>7000</v>
      </c>
      <c r="P64" s="58">
        <f t="shared" si="0"/>
        <v>63000</v>
      </c>
    </row>
    <row r="65" spans="1:16" ht="26.25" customHeight="1" x14ac:dyDescent="0.2">
      <c r="A65" s="100"/>
      <c r="B65" s="100"/>
      <c r="C65" s="65" t="s">
        <v>3252</v>
      </c>
      <c r="D65" s="70" t="s">
        <v>57</v>
      </c>
      <c r="E65" s="12">
        <v>44547</v>
      </c>
      <c r="F65" s="68" t="s">
        <v>58</v>
      </c>
      <c r="G65" s="12">
        <v>44550</v>
      </c>
      <c r="H65" s="69" t="s">
        <v>2130</v>
      </c>
      <c r="I65" s="15">
        <v>64</v>
      </c>
      <c r="J65" s="15">
        <v>54</v>
      </c>
      <c r="K65" s="15">
        <v>20</v>
      </c>
      <c r="L65" s="15">
        <v>8</v>
      </c>
      <c r="M65" s="73">
        <v>17.28</v>
      </c>
      <c r="N65" s="104">
        <v>17.28</v>
      </c>
      <c r="O65" s="57">
        <v>7000</v>
      </c>
      <c r="P65" s="58">
        <f t="shared" si="0"/>
        <v>120960.00000000001</v>
      </c>
    </row>
    <row r="66" spans="1:16" ht="26.25" customHeight="1" x14ac:dyDescent="0.2">
      <c r="A66" s="100"/>
      <c r="B66" s="100"/>
      <c r="C66" s="65" t="s">
        <v>3253</v>
      </c>
      <c r="D66" s="70" t="s">
        <v>57</v>
      </c>
      <c r="E66" s="12">
        <v>44547</v>
      </c>
      <c r="F66" s="68" t="s">
        <v>58</v>
      </c>
      <c r="G66" s="12">
        <v>44550</v>
      </c>
      <c r="H66" s="69" t="s">
        <v>2130</v>
      </c>
      <c r="I66" s="15">
        <v>91</v>
      </c>
      <c r="J66" s="15">
        <v>87</v>
      </c>
      <c r="K66" s="15">
        <v>24</v>
      </c>
      <c r="L66" s="15">
        <v>38</v>
      </c>
      <c r="M66" s="73">
        <v>47.502000000000002</v>
      </c>
      <c r="N66" s="104">
        <v>49</v>
      </c>
      <c r="O66" s="57">
        <v>7000</v>
      </c>
      <c r="P66" s="58">
        <f t="shared" si="0"/>
        <v>343000</v>
      </c>
    </row>
    <row r="67" spans="1:16" ht="26.25" customHeight="1" x14ac:dyDescent="0.2">
      <c r="A67" s="100"/>
      <c r="B67" s="100"/>
      <c r="C67" s="65" t="s">
        <v>3254</v>
      </c>
      <c r="D67" s="70" t="s">
        <v>57</v>
      </c>
      <c r="E67" s="12">
        <v>44547</v>
      </c>
      <c r="F67" s="68" t="s">
        <v>58</v>
      </c>
      <c r="G67" s="12">
        <v>44550</v>
      </c>
      <c r="H67" s="69" t="s">
        <v>2130</v>
      </c>
      <c r="I67" s="15">
        <v>61</v>
      </c>
      <c r="J67" s="15">
        <v>40</v>
      </c>
      <c r="K67" s="15">
        <v>23</v>
      </c>
      <c r="L67" s="15">
        <v>10</v>
      </c>
      <c r="M67" s="73">
        <v>14.03</v>
      </c>
      <c r="N67" s="104">
        <v>14.03</v>
      </c>
      <c r="O67" s="57">
        <v>7000</v>
      </c>
      <c r="P67" s="58">
        <f t="shared" ref="P67:P120" si="1">N67*O67</f>
        <v>98210</v>
      </c>
    </row>
    <row r="68" spans="1:16" ht="26.25" customHeight="1" x14ac:dyDescent="0.2">
      <c r="A68" s="100"/>
      <c r="B68" s="100"/>
      <c r="C68" s="65" t="s">
        <v>3255</v>
      </c>
      <c r="D68" s="70" t="s">
        <v>57</v>
      </c>
      <c r="E68" s="12">
        <v>44547</v>
      </c>
      <c r="F68" s="68" t="s">
        <v>58</v>
      </c>
      <c r="G68" s="12">
        <v>44550</v>
      </c>
      <c r="H68" s="69" t="s">
        <v>2130</v>
      </c>
      <c r="I68" s="15">
        <v>104</v>
      </c>
      <c r="J68" s="15">
        <v>11</v>
      </c>
      <c r="K68" s="15">
        <v>7</v>
      </c>
      <c r="L68" s="15">
        <v>1</v>
      </c>
      <c r="M68" s="73">
        <v>2.0019999999999998</v>
      </c>
      <c r="N68" s="104">
        <v>2.0019999999999998</v>
      </c>
      <c r="O68" s="57">
        <v>7000</v>
      </c>
      <c r="P68" s="58">
        <f t="shared" si="1"/>
        <v>14013.999999999998</v>
      </c>
    </row>
    <row r="69" spans="1:16" ht="26.25" customHeight="1" x14ac:dyDescent="0.2">
      <c r="A69" s="100"/>
      <c r="B69" s="100"/>
      <c r="C69" s="65" t="s">
        <v>3256</v>
      </c>
      <c r="D69" s="70" t="s">
        <v>57</v>
      </c>
      <c r="E69" s="12">
        <v>44547</v>
      </c>
      <c r="F69" s="68" t="s">
        <v>58</v>
      </c>
      <c r="G69" s="12">
        <v>44550</v>
      </c>
      <c r="H69" s="69" t="s">
        <v>2130</v>
      </c>
      <c r="I69" s="15">
        <v>100</v>
      </c>
      <c r="J69" s="15">
        <v>8</v>
      </c>
      <c r="K69" s="15">
        <v>6</v>
      </c>
      <c r="L69" s="15">
        <v>1</v>
      </c>
      <c r="M69" s="73">
        <v>1.2</v>
      </c>
      <c r="N69" s="104">
        <v>1.2</v>
      </c>
      <c r="O69" s="57">
        <v>7000</v>
      </c>
      <c r="P69" s="58">
        <f t="shared" si="1"/>
        <v>8400</v>
      </c>
    </row>
    <row r="70" spans="1:16" ht="26.25" customHeight="1" x14ac:dyDescent="0.2">
      <c r="A70" s="100"/>
      <c r="B70" s="100"/>
      <c r="C70" s="65" t="s">
        <v>3257</v>
      </c>
      <c r="D70" s="70" t="s">
        <v>57</v>
      </c>
      <c r="E70" s="12">
        <v>44547</v>
      </c>
      <c r="F70" s="68" t="s">
        <v>58</v>
      </c>
      <c r="G70" s="12">
        <v>44550</v>
      </c>
      <c r="H70" s="69" t="s">
        <v>2130</v>
      </c>
      <c r="I70" s="15">
        <v>110</v>
      </c>
      <c r="J70" s="15">
        <v>51</v>
      </c>
      <c r="K70" s="15">
        <v>14</v>
      </c>
      <c r="L70" s="15">
        <v>5</v>
      </c>
      <c r="M70" s="73">
        <v>19.635000000000002</v>
      </c>
      <c r="N70" s="104">
        <v>19.635000000000002</v>
      </c>
      <c r="O70" s="57">
        <v>7000</v>
      </c>
      <c r="P70" s="58">
        <f t="shared" si="1"/>
        <v>137445</v>
      </c>
    </row>
    <row r="71" spans="1:16" ht="26.25" customHeight="1" x14ac:dyDescent="0.2">
      <c r="A71" s="100"/>
      <c r="B71" s="100"/>
      <c r="C71" s="65" t="s">
        <v>3258</v>
      </c>
      <c r="D71" s="70" t="s">
        <v>57</v>
      </c>
      <c r="E71" s="12">
        <v>44547</v>
      </c>
      <c r="F71" s="68" t="s">
        <v>58</v>
      </c>
      <c r="G71" s="12">
        <v>44550</v>
      </c>
      <c r="H71" s="69" t="s">
        <v>2130</v>
      </c>
      <c r="I71" s="15">
        <v>66</v>
      </c>
      <c r="J71" s="15">
        <v>59</v>
      </c>
      <c r="K71" s="15">
        <v>18</v>
      </c>
      <c r="L71" s="15">
        <v>12</v>
      </c>
      <c r="M71" s="73">
        <v>17.523</v>
      </c>
      <c r="N71" s="104">
        <v>17.523</v>
      </c>
      <c r="O71" s="57">
        <v>7000</v>
      </c>
      <c r="P71" s="58">
        <f t="shared" si="1"/>
        <v>122661</v>
      </c>
    </row>
    <row r="72" spans="1:16" ht="26.25" customHeight="1" x14ac:dyDescent="0.2">
      <c r="A72" s="100"/>
      <c r="B72" s="100"/>
      <c r="C72" s="65" t="s">
        <v>3259</v>
      </c>
      <c r="D72" s="70" t="s">
        <v>57</v>
      </c>
      <c r="E72" s="12">
        <v>44547</v>
      </c>
      <c r="F72" s="68" t="s">
        <v>58</v>
      </c>
      <c r="G72" s="12">
        <v>44550</v>
      </c>
      <c r="H72" s="69" t="s">
        <v>2130</v>
      </c>
      <c r="I72" s="15">
        <v>94</v>
      </c>
      <c r="J72" s="15">
        <v>66</v>
      </c>
      <c r="K72" s="15">
        <v>32</v>
      </c>
      <c r="L72" s="15">
        <v>20</v>
      </c>
      <c r="M72" s="73">
        <v>49.631999999999998</v>
      </c>
      <c r="N72" s="104">
        <v>49.631999999999998</v>
      </c>
      <c r="O72" s="57">
        <v>7000</v>
      </c>
      <c r="P72" s="58">
        <f t="shared" si="1"/>
        <v>347424</v>
      </c>
    </row>
    <row r="73" spans="1:16" ht="26.25" customHeight="1" x14ac:dyDescent="0.2">
      <c r="A73" s="100"/>
      <c r="B73" s="100"/>
      <c r="C73" s="65" t="s">
        <v>3260</v>
      </c>
      <c r="D73" s="70" t="s">
        <v>57</v>
      </c>
      <c r="E73" s="12">
        <v>44547</v>
      </c>
      <c r="F73" s="68" t="s">
        <v>58</v>
      </c>
      <c r="G73" s="12">
        <v>44550</v>
      </c>
      <c r="H73" s="69" t="s">
        <v>2130</v>
      </c>
      <c r="I73" s="15">
        <v>61</v>
      </c>
      <c r="J73" s="15">
        <v>37</v>
      </c>
      <c r="K73" s="15">
        <v>25</v>
      </c>
      <c r="L73" s="15">
        <v>3</v>
      </c>
      <c r="M73" s="73">
        <v>14.106249999999999</v>
      </c>
      <c r="N73" s="104">
        <v>14.106249999999999</v>
      </c>
      <c r="O73" s="57">
        <v>7000</v>
      </c>
      <c r="P73" s="58">
        <f t="shared" si="1"/>
        <v>98743.75</v>
      </c>
    </row>
    <row r="74" spans="1:16" ht="26.25" customHeight="1" x14ac:dyDescent="0.2">
      <c r="A74" s="100"/>
      <c r="B74" s="100"/>
      <c r="C74" s="65" t="s">
        <v>3261</v>
      </c>
      <c r="D74" s="70" t="s">
        <v>57</v>
      </c>
      <c r="E74" s="12">
        <v>44547</v>
      </c>
      <c r="F74" s="68" t="s">
        <v>58</v>
      </c>
      <c r="G74" s="12">
        <v>44550</v>
      </c>
      <c r="H74" s="69" t="s">
        <v>2130</v>
      </c>
      <c r="I74" s="15">
        <v>57</v>
      </c>
      <c r="J74" s="15">
        <v>36</v>
      </c>
      <c r="K74" s="15">
        <v>17</v>
      </c>
      <c r="L74" s="15">
        <v>6</v>
      </c>
      <c r="M74" s="73">
        <v>8.7210000000000001</v>
      </c>
      <c r="N74" s="104">
        <v>8.7210000000000001</v>
      </c>
      <c r="O74" s="57">
        <v>7000</v>
      </c>
      <c r="P74" s="58">
        <f t="shared" si="1"/>
        <v>61047</v>
      </c>
    </row>
    <row r="75" spans="1:16" ht="26.25" customHeight="1" x14ac:dyDescent="0.2">
      <c r="A75" s="100"/>
      <c r="B75" s="100"/>
      <c r="C75" s="65" t="s">
        <v>3262</v>
      </c>
      <c r="D75" s="70" t="s">
        <v>57</v>
      </c>
      <c r="E75" s="12">
        <v>44547</v>
      </c>
      <c r="F75" s="68" t="s">
        <v>58</v>
      </c>
      <c r="G75" s="12">
        <v>44550</v>
      </c>
      <c r="H75" s="69" t="s">
        <v>2130</v>
      </c>
      <c r="I75" s="15">
        <v>51</v>
      </c>
      <c r="J75" s="15">
        <v>35</v>
      </c>
      <c r="K75" s="15">
        <v>21</v>
      </c>
      <c r="L75" s="15">
        <v>6</v>
      </c>
      <c r="M75" s="73">
        <v>9.3712499999999999</v>
      </c>
      <c r="N75" s="104">
        <v>10</v>
      </c>
      <c r="O75" s="57">
        <v>7000</v>
      </c>
      <c r="P75" s="58">
        <f t="shared" si="1"/>
        <v>70000</v>
      </c>
    </row>
    <row r="76" spans="1:16" ht="26.25" customHeight="1" x14ac:dyDescent="0.2">
      <c r="A76" s="100"/>
      <c r="B76" s="100"/>
      <c r="C76" s="65" t="s">
        <v>3263</v>
      </c>
      <c r="D76" s="70" t="s">
        <v>57</v>
      </c>
      <c r="E76" s="12">
        <v>44547</v>
      </c>
      <c r="F76" s="68" t="s">
        <v>58</v>
      </c>
      <c r="G76" s="12">
        <v>44550</v>
      </c>
      <c r="H76" s="69" t="s">
        <v>2130</v>
      </c>
      <c r="I76" s="15">
        <v>78</v>
      </c>
      <c r="J76" s="15">
        <v>40</v>
      </c>
      <c r="K76" s="15">
        <v>40</v>
      </c>
      <c r="L76" s="15">
        <v>1</v>
      </c>
      <c r="M76" s="73">
        <v>31.2</v>
      </c>
      <c r="N76" s="104">
        <v>31.2</v>
      </c>
      <c r="O76" s="57">
        <v>7000</v>
      </c>
      <c r="P76" s="58">
        <f t="shared" si="1"/>
        <v>218400</v>
      </c>
    </row>
    <row r="77" spans="1:16" ht="26.25" customHeight="1" x14ac:dyDescent="0.2">
      <c r="A77" s="100"/>
      <c r="B77" s="100"/>
      <c r="C77" s="65" t="s">
        <v>3264</v>
      </c>
      <c r="D77" s="70" t="s">
        <v>57</v>
      </c>
      <c r="E77" s="12">
        <v>44547</v>
      </c>
      <c r="F77" s="68" t="s">
        <v>58</v>
      </c>
      <c r="G77" s="12">
        <v>44550</v>
      </c>
      <c r="H77" s="69" t="s">
        <v>2130</v>
      </c>
      <c r="I77" s="15">
        <v>56</v>
      </c>
      <c r="J77" s="15">
        <v>42</v>
      </c>
      <c r="K77" s="15">
        <v>27</v>
      </c>
      <c r="L77" s="15">
        <v>10</v>
      </c>
      <c r="M77" s="73">
        <v>15.875999999999999</v>
      </c>
      <c r="N77" s="104">
        <v>15.875999999999999</v>
      </c>
      <c r="O77" s="57">
        <v>7000</v>
      </c>
      <c r="P77" s="58">
        <f t="shared" si="1"/>
        <v>111132</v>
      </c>
    </row>
    <row r="78" spans="1:16" ht="26.25" customHeight="1" x14ac:dyDescent="0.2">
      <c r="A78" s="100"/>
      <c r="B78" s="100"/>
      <c r="C78" s="65" t="s">
        <v>3265</v>
      </c>
      <c r="D78" s="70" t="s">
        <v>57</v>
      </c>
      <c r="E78" s="12">
        <v>44547</v>
      </c>
      <c r="F78" s="68" t="s">
        <v>58</v>
      </c>
      <c r="G78" s="12">
        <v>44550</v>
      </c>
      <c r="H78" s="69" t="s">
        <v>2130</v>
      </c>
      <c r="I78" s="15">
        <v>58</v>
      </c>
      <c r="J78" s="15">
        <v>37</v>
      </c>
      <c r="K78" s="15">
        <v>21</v>
      </c>
      <c r="L78" s="15">
        <v>1</v>
      </c>
      <c r="M78" s="73">
        <v>11.266500000000001</v>
      </c>
      <c r="N78" s="104">
        <v>11.266500000000001</v>
      </c>
      <c r="O78" s="57">
        <v>7000</v>
      </c>
      <c r="P78" s="58">
        <f t="shared" si="1"/>
        <v>78865.5</v>
      </c>
    </row>
    <row r="79" spans="1:16" ht="26.25" customHeight="1" x14ac:dyDescent="0.2">
      <c r="A79" s="100"/>
      <c r="B79" s="100"/>
      <c r="C79" s="65" t="s">
        <v>3266</v>
      </c>
      <c r="D79" s="70" t="s">
        <v>57</v>
      </c>
      <c r="E79" s="12">
        <v>44547</v>
      </c>
      <c r="F79" s="68" t="s">
        <v>58</v>
      </c>
      <c r="G79" s="12">
        <v>44550</v>
      </c>
      <c r="H79" s="69" t="s">
        <v>2130</v>
      </c>
      <c r="I79" s="15">
        <v>41</v>
      </c>
      <c r="J79" s="15">
        <v>35</v>
      </c>
      <c r="K79" s="15">
        <v>22</v>
      </c>
      <c r="L79" s="15">
        <v>5</v>
      </c>
      <c r="M79" s="73">
        <v>7.8925000000000001</v>
      </c>
      <c r="N79" s="104">
        <v>7.8925000000000001</v>
      </c>
      <c r="O79" s="57">
        <v>7000</v>
      </c>
      <c r="P79" s="58">
        <f t="shared" si="1"/>
        <v>55247.5</v>
      </c>
    </row>
    <row r="80" spans="1:16" ht="26.25" customHeight="1" x14ac:dyDescent="0.2">
      <c r="A80" s="100"/>
      <c r="B80" s="100"/>
      <c r="C80" s="65" t="s">
        <v>3267</v>
      </c>
      <c r="D80" s="70" t="s">
        <v>57</v>
      </c>
      <c r="E80" s="12">
        <v>44547</v>
      </c>
      <c r="F80" s="68" t="s">
        <v>58</v>
      </c>
      <c r="G80" s="12">
        <v>44550</v>
      </c>
      <c r="H80" s="69" t="s">
        <v>2130</v>
      </c>
      <c r="I80" s="15">
        <v>57</v>
      </c>
      <c r="J80" s="15">
        <v>43</v>
      </c>
      <c r="K80" s="15">
        <v>11</v>
      </c>
      <c r="L80" s="15">
        <v>2</v>
      </c>
      <c r="M80" s="73">
        <v>6.7402499999999996</v>
      </c>
      <c r="N80" s="104">
        <v>6.7402499999999996</v>
      </c>
      <c r="O80" s="57">
        <v>7000</v>
      </c>
      <c r="P80" s="58">
        <f t="shared" si="1"/>
        <v>47181.75</v>
      </c>
    </row>
    <row r="81" spans="1:16" ht="26.25" customHeight="1" x14ac:dyDescent="0.2">
      <c r="A81" s="100"/>
      <c r="B81" s="100"/>
      <c r="C81" s="65" t="s">
        <v>3268</v>
      </c>
      <c r="D81" s="70" t="s">
        <v>57</v>
      </c>
      <c r="E81" s="12">
        <v>44547</v>
      </c>
      <c r="F81" s="68" t="s">
        <v>58</v>
      </c>
      <c r="G81" s="12">
        <v>44550</v>
      </c>
      <c r="H81" s="69" t="s">
        <v>2130</v>
      </c>
      <c r="I81" s="15">
        <v>102</v>
      </c>
      <c r="J81" s="15">
        <v>21</v>
      </c>
      <c r="K81" s="15">
        <v>12</v>
      </c>
      <c r="L81" s="15">
        <v>2</v>
      </c>
      <c r="M81" s="73">
        <v>6.4260000000000002</v>
      </c>
      <c r="N81" s="104">
        <v>7</v>
      </c>
      <c r="O81" s="57">
        <v>7000</v>
      </c>
      <c r="P81" s="58">
        <f t="shared" si="1"/>
        <v>49000</v>
      </c>
    </row>
    <row r="82" spans="1:16" ht="26.25" customHeight="1" x14ac:dyDescent="0.2">
      <c r="A82" s="100"/>
      <c r="B82" s="100"/>
      <c r="C82" s="65" t="s">
        <v>3269</v>
      </c>
      <c r="D82" s="70" t="s">
        <v>57</v>
      </c>
      <c r="E82" s="12">
        <v>44547</v>
      </c>
      <c r="F82" s="68" t="s">
        <v>58</v>
      </c>
      <c r="G82" s="12">
        <v>44550</v>
      </c>
      <c r="H82" s="69" t="s">
        <v>2130</v>
      </c>
      <c r="I82" s="15">
        <v>31</v>
      </c>
      <c r="J82" s="15">
        <v>24</v>
      </c>
      <c r="K82" s="15">
        <v>21</v>
      </c>
      <c r="L82" s="15">
        <v>5</v>
      </c>
      <c r="M82" s="73">
        <v>3.9060000000000001</v>
      </c>
      <c r="N82" s="104">
        <v>5</v>
      </c>
      <c r="O82" s="57">
        <v>7000</v>
      </c>
      <c r="P82" s="58">
        <f t="shared" si="1"/>
        <v>35000</v>
      </c>
    </row>
    <row r="83" spans="1:16" ht="26.25" customHeight="1" x14ac:dyDescent="0.2">
      <c r="A83" s="100"/>
      <c r="B83" s="100"/>
      <c r="C83" s="65" t="s">
        <v>3270</v>
      </c>
      <c r="D83" s="70" t="s">
        <v>57</v>
      </c>
      <c r="E83" s="12">
        <v>44547</v>
      </c>
      <c r="F83" s="68" t="s">
        <v>58</v>
      </c>
      <c r="G83" s="12">
        <v>44550</v>
      </c>
      <c r="H83" s="69" t="s">
        <v>2130</v>
      </c>
      <c r="I83" s="15">
        <v>73</v>
      </c>
      <c r="J83" s="15">
        <v>57</v>
      </c>
      <c r="K83" s="15">
        <v>30</v>
      </c>
      <c r="L83" s="15">
        <v>12</v>
      </c>
      <c r="M83" s="73">
        <v>31.2075</v>
      </c>
      <c r="N83" s="104">
        <v>31.2075</v>
      </c>
      <c r="O83" s="57">
        <v>7000</v>
      </c>
      <c r="P83" s="58">
        <f t="shared" si="1"/>
        <v>218452.5</v>
      </c>
    </row>
    <row r="84" spans="1:16" ht="26.25" customHeight="1" x14ac:dyDescent="0.2">
      <c r="A84" s="100"/>
      <c r="B84" s="100"/>
      <c r="C84" s="65" t="s">
        <v>3271</v>
      </c>
      <c r="D84" s="70" t="s">
        <v>57</v>
      </c>
      <c r="E84" s="12">
        <v>44547</v>
      </c>
      <c r="F84" s="68" t="s">
        <v>58</v>
      </c>
      <c r="G84" s="12">
        <v>44550</v>
      </c>
      <c r="H84" s="69" t="s">
        <v>2130</v>
      </c>
      <c r="I84" s="15">
        <v>51</v>
      </c>
      <c r="J84" s="15">
        <v>31</v>
      </c>
      <c r="K84" s="15">
        <v>26</v>
      </c>
      <c r="L84" s="15">
        <v>9</v>
      </c>
      <c r="M84" s="73">
        <v>10.2765</v>
      </c>
      <c r="N84" s="104">
        <v>10.2765</v>
      </c>
      <c r="O84" s="57">
        <v>7000</v>
      </c>
      <c r="P84" s="58">
        <f t="shared" si="1"/>
        <v>71935.5</v>
      </c>
    </row>
    <row r="85" spans="1:16" ht="26.25" customHeight="1" x14ac:dyDescent="0.2">
      <c r="A85" s="100"/>
      <c r="B85" s="100"/>
      <c r="C85" s="65" t="s">
        <v>3272</v>
      </c>
      <c r="D85" s="70" t="s">
        <v>57</v>
      </c>
      <c r="E85" s="12">
        <v>44547</v>
      </c>
      <c r="F85" s="68" t="s">
        <v>58</v>
      </c>
      <c r="G85" s="12">
        <v>44550</v>
      </c>
      <c r="H85" s="69" t="s">
        <v>2130</v>
      </c>
      <c r="I85" s="15">
        <v>52</v>
      </c>
      <c r="J85" s="15">
        <v>31</v>
      </c>
      <c r="K85" s="15">
        <v>31</v>
      </c>
      <c r="L85" s="15">
        <v>5</v>
      </c>
      <c r="M85" s="73">
        <v>12.493</v>
      </c>
      <c r="N85" s="104">
        <v>13</v>
      </c>
      <c r="O85" s="57">
        <v>7000</v>
      </c>
      <c r="P85" s="58">
        <f t="shared" si="1"/>
        <v>91000</v>
      </c>
    </row>
    <row r="86" spans="1:16" ht="26.25" customHeight="1" x14ac:dyDescent="0.2">
      <c r="A86" s="100"/>
      <c r="B86" s="100"/>
      <c r="C86" s="65" t="s">
        <v>3273</v>
      </c>
      <c r="D86" s="70" t="s">
        <v>57</v>
      </c>
      <c r="E86" s="12">
        <v>44547</v>
      </c>
      <c r="F86" s="68" t="s">
        <v>58</v>
      </c>
      <c r="G86" s="12">
        <v>44550</v>
      </c>
      <c r="H86" s="69" t="s">
        <v>2130</v>
      </c>
      <c r="I86" s="15">
        <v>26</v>
      </c>
      <c r="J86" s="15">
        <v>26</v>
      </c>
      <c r="K86" s="15">
        <v>50</v>
      </c>
      <c r="L86" s="15">
        <v>1</v>
      </c>
      <c r="M86" s="73">
        <v>8.4499999999999993</v>
      </c>
      <c r="N86" s="104">
        <v>9</v>
      </c>
      <c r="O86" s="57">
        <v>7000</v>
      </c>
      <c r="P86" s="58">
        <f t="shared" si="1"/>
        <v>63000</v>
      </c>
    </row>
    <row r="87" spans="1:16" ht="26.25" customHeight="1" x14ac:dyDescent="0.2">
      <c r="A87" s="100"/>
      <c r="B87" s="100"/>
      <c r="C87" s="65" t="s">
        <v>3274</v>
      </c>
      <c r="D87" s="70" t="s">
        <v>57</v>
      </c>
      <c r="E87" s="12">
        <v>44547</v>
      </c>
      <c r="F87" s="68" t="s">
        <v>58</v>
      </c>
      <c r="G87" s="12">
        <v>44550</v>
      </c>
      <c r="H87" s="69" t="s">
        <v>2130</v>
      </c>
      <c r="I87" s="15">
        <v>31</v>
      </c>
      <c r="J87" s="15">
        <v>22</v>
      </c>
      <c r="K87" s="15">
        <v>19</v>
      </c>
      <c r="L87" s="15">
        <v>1</v>
      </c>
      <c r="M87" s="73">
        <v>3.2395</v>
      </c>
      <c r="N87" s="104">
        <v>3.2395</v>
      </c>
      <c r="O87" s="57">
        <v>7000</v>
      </c>
      <c r="P87" s="58">
        <f t="shared" si="1"/>
        <v>22676.5</v>
      </c>
    </row>
    <row r="88" spans="1:16" ht="26.25" customHeight="1" x14ac:dyDescent="0.2">
      <c r="A88" s="100"/>
      <c r="B88" s="100"/>
      <c r="C88" s="65" t="s">
        <v>3275</v>
      </c>
      <c r="D88" s="70" t="s">
        <v>57</v>
      </c>
      <c r="E88" s="12">
        <v>44547</v>
      </c>
      <c r="F88" s="68" t="s">
        <v>58</v>
      </c>
      <c r="G88" s="12">
        <v>44550</v>
      </c>
      <c r="H88" s="69" t="s">
        <v>2130</v>
      </c>
      <c r="I88" s="15">
        <v>93</v>
      </c>
      <c r="J88" s="15">
        <v>30</v>
      </c>
      <c r="K88" s="15">
        <v>12</v>
      </c>
      <c r="L88" s="15">
        <v>5</v>
      </c>
      <c r="M88" s="73">
        <v>8.3699999999999992</v>
      </c>
      <c r="N88" s="104">
        <v>9</v>
      </c>
      <c r="O88" s="57">
        <v>7000</v>
      </c>
      <c r="P88" s="58">
        <f t="shared" si="1"/>
        <v>63000</v>
      </c>
    </row>
    <row r="89" spans="1:16" ht="26.25" customHeight="1" x14ac:dyDescent="0.2">
      <c r="A89" s="100"/>
      <c r="B89" s="100"/>
      <c r="C89" s="65" t="s">
        <v>3276</v>
      </c>
      <c r="D89" s="70" t="s">
        <v>57</v>
      </c>
      <c r="E89" s="12">
        <v>44547</v>
      </c>
      <c r="F89" s="68" t="s">
        <v>58</v>
      </c>
      <c r="G89" s="12">
        <v>44550</v>
      </c>
      <c r="H89" s="69" t="s">
        <v>2130</v>
      </c>
      <c r="I89" s="15">
        <v>41</v>
      </c>
      <c r="J89" s="15">
        <v>41</v>
      </c>
      <c r="K89" s="15">
        <v>18</v>
      </c>
      <c r="L89" s="15">
        <v>2</v>
      </c>
      <c r="M89" s="73">
        <v>7.5644999999999998</v>
      </c>
      <c r="N89" s="104">
        <v>7.5644999999999998</v>
      </c>
      <c r="O89" s="57">
        <v>7000</v>
      </c>
      <c r="P89" s="58">
        <f t="shared" si="1"/>
        <v>52951.5</v>
      </c>
    </row>
    <row r="90" spans="1:16" ht="26.25" customHeight="1" x14ac:dyDescent="0.2">
      <c r="A90" s="100"/>
      <c r="B90" s="100"/>
      <c r="C90" s="65" t="s">
        <v>3277</v>
      </c>
      <c r="D90" s="70" t="s">
        <v>57</v>
      </c>
      <c r="E90" s="12">
        <v>44547</v>
      </c>
      <c r="F90" s="68" t="s">
        <v>58</v>
      </c>
      <c r="G90" s="12">
        <v>44550</v>
      </c>
      <c r="H90" s="69" t="s">
        <v>2130</v>
      </c>
      <c r="I90" s="15">
        <v>45</v>
      </c>
      <c r="J90" s="15">
        <v>25</v>
      </c>
      <c r="K90" s="15">
        <v>23</v>
      </c>
      <c r="L90" s="15">
        <v>3</v>
      </c>
      <c r="M90" s="73">
        <v>6.46875</v>
      </c>
      <c r="N90" s="104">
        <v>7</v>
      </c>
      <c r="O90" s="57">
        <v>7000</v>
      </c>
      <c r="P90" s="58">
        <f t="shared" si="1"/>
        <v>49000</v>
      </c>
    </row>
    <row r="91" spans="1:16" ht="26.25" customHeight="1" x14ac:dyDescent="0.2">
      <c r="A91" s="100"/>
      <c r="B91" s="100"/>
      <c r="C91" s="65" t="s">
        <v>3278</v>
      </c>
      <c r="D91" s="70" t="s">
        <v>57</v>
      </c>
      <c r="E91" s="12">
        <v>44547</v>
      </c>
      <c r="F91" s="68" t="s">
        <v>58</v>
      </c>
      <c r="G91" s="12">
        <v>44550</v>
      </c>
      <c r="H91" s="69" t="s">
        <v>2130</v>
      </c>
      <c r="I91" s="15">
        <v>77</v>
      </c>
      <c r="J91" s="15">
        <v>66</v>
      </c>
      <c r="K91" s="15">
        <v>21</v>
      </c>
      <c r="L91" s="15">
        <v>12</v>
      </c>
      <c r="M91" s="73">
        <v>26.680499999999999</v>
      </c>
      <c r="N91" s="104">
        <v>26.680499999999999</v>
      </c>
      <c r="O91" s="57">
        <v>7000</v>
      </c>
      <c r="P91" s="58">
        <f t="shared" si="1"/>
        <v>186763.5</v>
      </c>
    </row>
    <row r="92" spans="1:16" ht="26.25" customHeight="1" x14ac:dyDescent="0.2">
      <c r="A92" s="100"/>
      <c r="B92" s="100"/>
      <c r="C92" s="65" t="s">
        <v>3279</v>
      </c>
      <c r="D92" s="70" t="s">
        <v>57</v>
      </c>
      <c r="E92" s="12">
        <v>44547</v>
      </c>
      <c r="F92" s="68" t="s">
        <v>58</v>
      </c>
      <c r="G92" s="12">
        <v>44550</v>
      </c>
      <c r="H92" s="69" t="s">
        <v>2130</v>
      </c>
      <c r="I92" s="15">
        <v>83</v>
      </c>
      <c r="J92" s="15">
        <v>65</v>
      </c>
      <c r="K92" s="15">
        <v>26</v>
      </c>
      <c r="L92" s="15">
        <v>12</v>
      </c>
      <c r="M92" s="73">
        <v>35.067500000000003</v>
      </c>
      <c r="N92" s="104">
        <v>35.067500000000003</v>
      </c>
      <c r="O92" s="57">
        <v>7000</v>
      </c>
      <c r="P92" s="58">
        <f t="shared" si="1"/>
        <v>245472.50000000003</v>
      </c>
    </row>
    <row r="93" spans="1:16" ht="26.25" customHeight="1" x14ac:dyDescent="0.2">
      <c r="A93" s="100"/>
      <c r="B93" s="100"/>
      <c r="C93" s="65" t="s">
        <v>3280</v>
      </c>
      <c r="D93" s="70" t="s">
        <v>57</v>
      </c>
      <c r="E93" s="12">
        <v>44547</v>
      </c>
      <c r="F93" s="68" t="s">
        <v>58</v>
      </c>
      <c r="G93" s="12">
        <v>44550</v>
      </c>
      <c r="H93" s="69" t="s">
        <v>2130</v>
      </c>
      <c r="I93" s="15">
        <v>56</v>
      </c>
      <c r="J93" s="15">
        <v>44</v>
      </c>
      <c r="K93" s="15">
        <v>20</v>
      </c>
      <c r="L93" s="15">
        <v>3</v>
      </c>
      <c r="M93" s="73">
        <v>12.32</v>
      </c>
      <c r="N93" s="104">
        <v>13</v>
      </c>
      <c r="O93" s="57">
        <v>7000</v>
      </c>
      <c r="P93" s="58">
        <f t="shared" si="1"/>
        <v>91000</v>
      </c>
    </row>
    <row r="94" spans="1:16" ht="26.25" customHeight="1" x14ac:dyDescent="0.2">
      <c r="A94" s="100"/>
      <c r="B94" s="100"/>
      <c r="C94" s="65" t="s">
        <v>3281</v>
      </c>
      <c r="D94" s="70" t="s">
        <v>57</v>
      </c>
      <c r="E94" s="12">
        <v>44547</v>
      </c>
      <c r="F94" s="68" t="s">
        <v>58</v>
      </c>
      <c r="G94" s="12">
        <v>44550</v>
      </c>
      <c r="H94" s="69" t="s">
        <v>2130</v>
      </c>
      <c r="I94" s="15">
        <v>99</v>
      </c>
      <c r="J94" s="15">
        <v>60</v>
      </c>
      <c r="K94" s="15">
        <v>28</v>
      </c>
      <c r="L94" s="15">
        <v>24</v>
      </c>
      <c r="M94" s="73">
        <v>41.58</v>
      </c>
      <c r="N94" s="104">
        <v>41.58</v>
      </c>
      <c r="O94" s="57">
        <v>7000</v>
      </c>
      <c r="P94" s="58">
        <f t="shared" si="1"/>
        <v>291060</v>
      </c>
    </row>
    <row r="95" spans="1:16" ht="26.25" customHeight="1" x14ac:dyDescent="0.2">
      <c r="A95" s="100"/>
      <c r="B95" s="100"/>
      <c r="C95" s="65" t="s">
        <v>3282</v>
      </c>
      <c r="D95" s="70" t="s">
        <v>57</v>
      </c>
      <c r="E95" s="12">
        <v>44547</v>
      </c>
      <c r="F95" s="68" t="s">
        <v>58</v>
      </c>
      <c r="G95" s="12">
        <v>44550</v>
      </c>
      <c r="H95" s="69" t="s">
        <v>2130</v>
      </c>
      <c r="I95" s="15">
        <v>72</v>
      </c>
      <c r="J95" s="15">
        <v>38</v>
      </c>
      <c r="K95" s="15">
        <v>21</v>
      </c>
      <c r="L95" s="15">
        <v>4</v>
      </c>
      <c r="M95" s="73">
        <v>14.364000000000001</v>
      </c>
      <c r="N95" s="104">
        <v>15</v>
      </c>
      <c r="O95" s="57">
        <v>7000</v>
      </c>
      <c r="P95" s="58">
        <f t="shared" si="1"/>
        <v>105000</v>
      </c>
    </row>
    <row r="96" spans="1:16" ht="26.25" customHeight="1" x14ac:dyDescent="0.2">
      <c r="A96" s="100"/>
      <c r="B96" s="100"/>
      <c r="C96" s="65" t="s">
        <v>3283</v>
      </c>
      <c r="D96" s="70" t="s">
        <v>57</v>
      </c>
      <c r="E96" s="12">
        <v>44547</v>
      </c>
      <c r="F96" s="68" t="s">
        <v>58</v>
      </c>
      <c r="G96" s="12">
        <v>44550</v>
      </c>
      <c r="H96" s="69" t="s">
        <v>2130</v>
      </c>
      <c r="I96" s="15">
        <v>67</v>
      </c>
      <c r="J96" s="15">
        <v>42</v>
      </c>
      <c r="K96" s="15">
        <v>31</v>
      </c>
      <c r="L96" s="15">
        <v>13</v>
      </c>
      <c r="M96" s="73">
        <v>21.808499999999999</v>
      </c>
      <c r="N96" s="104">
        <v>21.808499999999999</v>
      </c>
      <c r="O96" s="57">
        <v>7000</v>
      </c>
      <c r="P96" s="58">
        <f t="shared" si="1"/>
        <v>152659.5</v>
      </c>
    </row>
    <row r="97" spans="1:16" ht="26.25" customHeight="1" x14ac:dyDescent="0.2">
      <c r="A97" s="100"/>
      <c r="B97" s="100"/>
      <c r="C97" s="65" t="s">
        <v>3284</v>
      </c>
      <c r="D97" s="70" t="s">
        <v>57</v>
      </c>
      <c r="E97" s="12">
        <v>44547</v>
      </c>
      <c r="F97" s="68" t="s">
        <v>58</v>
      </c>
      <c r="G97" s="12">
        <v>44550</v>
      </c>
      <c r="H97" s="69" t="s">
        <v>2130</v>
      </c>
      <c r="I97" s="15">
        <v>46</v>
      </c>
      <c r="J97" s="15">
        <v>41</v>
      </c>
      <c r="K97" s="15">
        <v>17</v>
      </c>
      <c r="L97" s="15">
        <v>6</v>
      </c>
      <c r="M97" s="73">
        <v>8.0154999999999994</v>
      </c>
      <c r="N97" s="104">
        <v>8.0154999999999994</v>
      </c>
      <c r="O97" s="57">
        <v>7000</v>
      </c>
      <c r="P97" s="58">
        <f t="shared" si="1"/>
        <v>56108.499999999993</v>
      </c>
    </row>
    <row r="98" spans="1:16" ht="26.25" customHeight="1" x14ac:dyDescent="0.2">
      <c r="A98" s="100"/>
      <c r="B98" s="100"/>
      <c r="C98" s="65" t="s">
        <v>3285</v>
      </c>
      <c r="D98" s="70" t="s">
        <v>57</v>
      </c>
      <c r="E98" s="12">
        <v>44547</v>
      </c>
      <c r="F98" s="68" t="s">
        <v>58</v>
      </c>
      <c r="G98" s="12">
        <v>44550</v>
      </c>
      <c r="H98" s="69" t="s">
        <v>2130</v>
      </c>
      <c r="I98" s="15">
        <v>71</v>
      </c>
      <c r="J98" s="15">
        <v>25</v>
      </c>
      <c r="K98" s="15">
        <v>20</v>
      </c>
      <c r="L98" s="15">
        <v>6</v>
      </c>
      <c r="M98" s="73">
        <v>8.875</v>
      </c>
      <c r="N98" s="104">
        <v>8.875</v>
      </c>
      <c r="O98" s="57">
        <v>7000</v>
      </c>
      <c r="P98" s="58">
        <f t="shared" si="1"/>
        <v>62125</v>
      </c>
    </row>
    <row r="99" spans="1:16" ht="26.25" customHeight="1" x14ac:dyDescent="0.2">
      <c r="A99" s="100"/>
      <c r="B99" s="100"/>
      <c r="C99" s="65" t="s">
        <v>3286</v>
      </c>
      <c r="D99" s="70" t="s">
        <v>57</v>
      </c>
      <c r="E99" s="12">
        <v>44547</v>
      </c>
      <c r="F99" s="68" t="s">
        <v>58</v>
      </c>
      <c r="G99" s="12">
        <v>44550</v>
      </c>
      <c r="H99" s="69" t="s">
        <v>2130</v>
      </c>
      <c r="I99" s="15">
        <v>21</v>
      </c>
      <c r="J99" s="15">
        <v>21</v>
      </c>
      <c r="K99" s="15">
        <v>58</v>
      </c>
      <c r="L99" s="15">
        <v>3</v>
      </c>
      <c r="M99" s="73">
        <v>6.3944999999999999</v>
      </c>
      <c r="N99" s="104">
        <v>7</v>
      </c>
      <c r="O99" s="57">
        <v>7000</v>
      </c>
      <c r="P99" s="58">
        <f t="shared" si="1"/>
        <v>49000</v>
      </c>
    </row>
    <row r="100" spans="1:16" ht="26.25" customHeight="1" x14ac:dyDescent="0.2">
      <c r="A100" s="100"/>
      <c r="B100" s="100"/>
      <c r="C100" s="65" t="s">
        <v>3287</v>
      </c>
      <c r="D100" s="70" t="s">
        <v>57</v>
      </c>
      <c r="E100" s="12">
        <v>44547</v>
      </c>
      <c r="F100" s="68" t="s">
        <v>58</v>
      </c>
      <c r="G100" s="12">
        <v>44550</v>
      </c>
      <c r="H100" s="69" t="s">
        <v>2130</v>
      </c>
      <c r="I100" s="15">
        <v>35</v>
      </c>
      <c r="J100" s="15">
        <v>28</v>
      </c>
      <c r="K100" s="15">
        <v>33</v>
      </c>
      <c r="L100" s="15">
        <v>6</v>
      </c>
      <c r="M100" s="73">
        <v>8.0850000000000009</v>
      </c>
      <c r="N100" s="104">
        <v>8.0850000000000009</v>
      </c>
      <c r="O100" s="57">
        <v>7000</v>
      </c>
      <c r="P100" s="58">
        <f t="shared" si="1"/>
        <v>56595.000000000007</v>
      </c>
    </row>
    <row r="101" spans="1:16" ht="26.25" customHeight="1" x14ac:dyDescent="0.2">
      <c r="A101" s="100"/>
      <c r="B101" s="100"/>
      <c r="C101" s="65" t="s">
        <v>3288</v>
      </c>
      <c r="D101" s="70" t="s">
        <v>57</v>
      </c>
      <c r="E101" s="12">
        <v>44547</v>
      </c>
      <c r="F101" s="68" t="s">
        <v>58</v>
      </c>
      <c r="G101" s="12">
        <v>44550</v>
      </c>
      <c r="H101" s="69" t="s">
        <v>2130</v>
      </c>
      <c r="I101" s="15">
        <v>51</v>
      </c>
      <c r="J101" s="15">
        <v>41</v>
      </c>
      <c r="K101" s="15">
        <v>26</v>
      </c>
      <c r="L101" s="15">
        <v>3</v>
      </c>
      <c r="M101" s="73">
        <v>13.5915</v>
      </c>
      <c r="N101" s="104">
        <v>13.5915</v>
      </c>
      <c r="O101" s="57">
        <v>7000</v>
      </c>
      <c r="P101" s="58">
        <f t="shared" si="1"/>
        <v>95140.5</v>
      </c>
    </row>
    <row r="102" spans="1:16" ht="26.25" customHeight="1" x14ac:dyDescent="0.2">
      <c r="A102" s="100"/>
      <c r="B102" s="100"/>
      <c r="C102" s="65" t="s">
        <v>3289</v>
      </c>
      <c r="D102" s="70" t="s">
        <v>57</v>
      </c>
      <c r="E102" s="12">
        <v>44547</v>
      </c>
      <c r="F102" s="68" t="s">
        <v>58</v>
      </c>
      <c r="G102" s="12">
        <v>44550</v>
      </c>
      <c r="H102" s="69" t="s">
        <v>2130</v>
      </c>
      <c r="I102" s="15">
        <v>60</v>
      </c>
      <c r="J102" s="15">
        <v>36</v>
      </c>
      <c r="K102" s="15">
        <v>24</v>
      </c>
      <c r="L102" s="15">
        <v>5</v>
      </c>
      <c r="M102" s="73">
        <v>12.96</v>
      </c>
      <c r="N102" s="104">
        <v>12.96</v>
      </c>
      <c r="O102" s="57">
        <v>7000</v>
      </c>
      <c r="P102" s="58">
        <f t="shared" si="1"/>
        <v>90720</v>
      </c>
    </row>
    <row r="103" spans="1:16" ht="26.25" customHeight="1" x14ac:dyDescent="0.2">
      <c r="A103" s="100"/>
      <c r="B103" s="100"/>
      <c r="C103" s="65" t="s">
        <v>3290</v>
      </c>
      <c r="D103" s="70" t="s">
        <v>57</v>
      </c>
      <c r="E103" s="12">
        <v>44547</v>
      </c>
      <c r="F103" s="68" t="s">
        <v>58</v>
      </c>
      <c r="G103" s="12">
        <v>44550</v>
      </c>
      <c r="H103" s="69" t="s">
        <v>2130</v>
      </c>
      <c r="I103" s="15">
        <v>63</v>
      </c>
      <c r="J103" s="15">
        <v>62</v>
      </c>
      <c r="K103" s="15">
        <v>11</v>
      </c>
      <c r="L103" s="15">
        <v>3</v>
      </c>
      <c r="M103" s="73">
        <v>10.7415</v>
      </c>
      <c r="N103" s="104">
        <v>10.7415</v>
      </c>
      <c r="O103" s="57">
        <v>7000</v>
      </c>
      <c r="P103" s="58">
        <f t="shared" si="1"/>
        <v>75190.5</v>
      </c>
    </row>
    <row r="104" spans="1:16" ht="26.25" customHeight="1" x14ac:dyDescent="0.2">
      <c r="A104" s="100"/>
      <c r="B104" s="100"/>
      <c r="C104" s="65" t="s">
        <v>3291</v>
      </c>
      <c r="D104" s="70" t="s">
        <v>57</v>
      </c>
      <c r="E104" s="12">
        <v>44547</v>
      </c>
      <c r="F104" s="68" t="s">
        <v>58</v>
      </c>
      <c r="G104" s="12">
        <v>44550</v>
      </c>
      <c r="H104" s="69" t="s">
        <v>2130</v>
      </c>
      <c r="I104" s="15">
        <v>44</v>
      </c>
      <c r="J104" s="15">
        <v>32</v>
      </c>
      <c r="K104" s="15">
        <v>26</v>
      </c>
      <c r="L104" s="15">
        <v>8</v>
      </c>
      <c r="M104" s="73">
        <v>9.1519999999999992</v>
      </c>
      <c r="N104" s="104">
        <v>9.1519999999999992</v>
      </c>
      <c r="O104" s="57">
        <v>7000</v>
      </c>
      <c r="P104" s="58">
        <f t="shared" si="1"/>
        <v>64063.999999999993</v>
      </c>
    </row>
    <row r="105" spans="1:16" ht="26.25" customHeight="1" x14ac:dyDescent="0.2">
      <c r="A105" s="100"/>
      <c r="B105" s="100"/>
      <c r="C105" s="65" t="s">
        <v>3292</v>
      </c>
      <c r="D105" s="70" t="s">
        <v>57</v>
      </c>
      <c r="E105" s="12">
        <v>44547</v>
      </c>
      <c r="F105" s="68" t="s">
        <v>58</v>
      </c>
      <c r="G105" s="12">
        <v>44550</v>
      </c>
      <c r="H105" s="69" t="s">
        <v>2130</v>
      </c>
      <c r="I105" s="15">
        <v>42</v>
      </c>
      <c r="J105" s="15">
        <v>43</v>
      </c>
      <c r="K105" s="15">
        <v>22</v>
      </c>
      <c r="L105" s="15">
        <v>9</v>
      </c>
      <c r="M105" s="73">
        <v>9.9329999999999998</v>
      </c>
      <c r="N105" s="104">
        <v>9.9329999999999998</v>
      </c>
      <c r="O105" s="57">
        <v>7000</v>
      </c>
      <c r="P105" s="58">
        <f t="shared" si="1"/>
        <v>69531</v>
      </c>
    </row>
    <row r="106" spans="1:16" ht="26.25" customHeight="1" x14ac:dyDescent="0.2">
      <c r="A106" s="100"/>
      <c r="B106" s="100"/>
      <c r="C106" s="65" t="s">
        <v>3293</v>
      </c>
      <c r="D106" s="70" t="s">
        <v>57</v>
      </c>
      <c r="E106" s="12">
        <v>44547</v>
      </c>
      <c r="F106" s="68" t="s">
        <v>58</v>
      </c>
      <c r="G106" s="12">
        <v>44550</v>
      </c>
      <c r="H106" s="69" t="s">
        <v>2130</v>
      </c>
      <c r="I106" s="15">
        <v>49</v>
      </c>
      <c r="J106" s="15">
        <v>39</v>
      </c>
      <c r="K106" s="15">
        <v>25</v>
      </c>
      <c r="L106" s="15">
        <v>9</v>
      </c>
      <c r="M106" s="73">
        <v>11.94375</v>
      </c>
      <c r="N106" s="104">
        <v>11.94375</v>
      </c>
      <c r="O106" s="57">
        <v>7000</v>
      </c>
      <c r="P106" s="58">
        <f t="shared" si="1"/>
        <v>83606.25</v>
      </c>
    </row>
    <row r="107" spans="1:16" ht="26.25" customHeight="1" x14ac:dyDescent="0.2">
      <c r="A107" s="100"/>
      <c r="B107" s="101"/>
      <c r="C107" s="65" t="s">
        <v>3294</v>
      </c>
      <c r="D107" s="70" t="s">
        <v>57</v>
      </c>
      <c r="E107" s="12">
        <v>44547</v>
      </c>
      <c r="F107" s="68" t="s">
        <v>58</v>
      </c>
      <c r="G107" s="12">
        <v>44550</v>
      </c>
      <c r="H107" s="69" t="s">
        <v>2130</v>
      </c>
      <c r="I107" s="15">
        <v>61</v>
      </c>
      <c r="J107" s="15">
        <v>40</v>
      </c>
      <c r="K107" s="15">
        <v>20</v>
      </c>
      <c r="L107" s="15">
        <v>5</v>
      </c>
      <c r="M107" s="73">
        <v>12.2</v>
      </c>
      <c r="N107" s="104">
        <v>12.2</v>
      </c>
      <c r="O107" s="57">
        <v>7000</v>
      </c>
      <c r="P107" s="58">
        <f t="shared" si="1"/>
        <v>85400</v>
      </c>
    </row>
    <row r="108" spans="1:16" ht="26.25" customHeight="1" x14ac:dyDescent="0.2">
      <c r="A108" s="100"/>
      <c r="B108" s="100" t="s">
        <v>3295</v>
      </c>
      <c r="C108" s="65" t="s">
        <v>3296</v>
      </c>
      <c r="D108" s="70" t="s">
        <v>57</v>
      </c>
      <c r="E108" s="12">
        <v>44547</v>
      </c>
      <c r="F108" s="68" t="s">
        <v>58</v>
      </c>
      <c r="G108" s="12">
        <v>44550</v>
      </c>
      <c r="H108" s="69" t="s">
        <v>2130</v>
      </c>
      <c r="I108" s="15">
        <v>80</v>
      </c>
      <c r="J108" s="15">
        <v>65</v>
      </c>
      <c r="K108" s="15">
        <v>25</v>
      </c>
      <c r="L108" s="15">
        <v>17</v>
      </c>
      <c r="M108" s="73">
        <v>32.5</v>
      </c>
      <c r="N108" s="104">
        <v>34</v>
      </c>
      <c r="O108" s="57">
        <v>7000</v>
      </c>
      <c r="P108" s="58">
        <f t="shared" si="1"/>
        <v>238000</v>
      </c>
    </row>
    <row r="109" spans="1:16" ht="26.25" customHeight="1" x14ac:dyDescent="0.2">
      <c r="A109" s="100"/>
      <c r="B109" s="101"/>
      <c r="C109" s="65" t="s">
        <v>3297</v>
      </c>
      <c r="D109" s="70" t="s">
        <v>57</v>
      </c>
      <c r="E109" s="12">
        <v>44547</v>
      </c>
      <c r="F109" s="68" t="s">
        <v>58</v>
      </c>
      <c r="G109" s="12">
        <v>44550</v>
      </c>
      <c r="H109" s="69" t="s">
        <v>2130</v>
      </c>
      <c r="I109" s="15">
        <v>100</v>
      </c>
      <c r="J109" s="15">
        <v>62</v>
      </c>
      <c r="K109" s="15">
        <v>22</v>
      </c>
      <c r="L109" s="15">
        <v>13</v>
      </c>
      <c r="M109" s="73">
        <v>34.1</v>
      </c>
      <c r="N109" s="104">
        <v>34.1</v>
      </c>
      <c r="O109" s="57">
        <v>7000</v>
      </c>
      <c r="P109" s="58">
        <f t="shared" si="1"/>
        <v>238700</v>
      </c>
    </row>
    <row r="110" spans="1:16" ht="26.25" customHeight="1" x14ac:dyDescent="0.2">
      <c r="A110" s="100"/>
      <c r="B110" s="101" t="s">
        <v>3298</v>
      </c>
      <c r="C110" s="65" t="s">
        <v>3299</v>
      </c>
      <c r="D110" s="70" t="s">
        <v>57</v>
      </c>
      <c r="E110" s="12">
        <v>44547</v>
      </c>
      <c r="F110" s="68" t="s">
        <v>58</v>
      </c>
      <c r="G110" s="12">
        <v>44550</v>
      </c>
      <c r="H110" s="69" t="s">
        <v>2130</v>
      </c>
      <c r="I110" s="15">
        <v>65</v>
      </c>
      <c r="J110" s="15">
        <v>45</v>
      </c>
      <c r="K110" s="15">
        <v>14</v>
      </c>
      <c r="L110" s="15">
        <v>6</v>
      </c>
      <c r="M110" s="73">
        <v>10.237500000000001</v>
      </c>
      <c r="N110" s="104">
        <v>10.237500000000001</v>
      </c>
      <c r="O110" s="57">
        <v>7000</v>
      </c>
      <c r="P110" s="58">
        <f t="shared" si="1"/>
        <v>71662.5</v>
      </c>
    </row>
    <row r="111" spans="1:16" ht="26.25" customHeight="1" x14ac:dyDescent="0.2">
      <c r="A111" s="100"/>
      <c r="B111" s="100" t="s">
        <v>3300</v>
      </c>
      <c r="C111" s="65" t="s">
        <v>3301</v>
      </c>
      <c r="D111" s="70" t="s">
        <v>57</v>
      </c>
      <c r="E111" s="12">
        <v>44547</v>
      </c>
      <c r="F111" s="68" t="s">
        <v>58</v>
      </c>
      <c r="G111" s="12">
        <v>44550</v>
      </c>
      <c r="H111" s="69" t="s">
        <v>2130</v>
      </c>
      <c r="I111" s="15">
        <v>81</v>
      </c>
      <c r="J111" s="15">
        <v>52</v>
      </c>
      <c r="K111" s="15">
        <v>25</v>
      </c>
      <c r="L111" s="15">
        <v>14</v>
      </c>
      <c r="M111" s="73">
        <v>26.324999999999999</v>
      </c>
      <c r="N111" s="104">
        <v>27</v>
      </c>
      <c r="O111" s="57">
        <v>7000</v>
      </c>
      <c r="P111" s="58">
        <f t="shared" si="1"/>
        <v>189000</v>
      </c>
    </row>
    <row r="112" spans="1:16" ht="26.25" customHeight="1" x14ac:dyDescent="0.2">
      <c r="A112" s="100"/>
      <c r="B112" s="100"/>
      <c r="C112" s="65" t="s">
        <v>3302</v>
      </c>
      <c r="D112" s="70" t="s">
        <v>57</v>
      </c>
      <c r="E112" s="12">
        <v>44547</v>
      </c>
      <c r="F112" s="68" t="s">
        <v>58</v>
      </c>
      <c r="G112" s="12">
        <v>44550</v>
      </c>
      <c r="H112" s="69" t="s">
        <v>2130</v>
      </c>
      <c r="I112" s="15">
        <v>70</v>
      </c>
      <c r="J112" s="15">
        <v>63</v>
      </c>
      <c r="K112" s="15">
        <v>15</v>
      </c>
      <c r="L112" s="15">
        <v>8</v>
      </c>
      <c r="M112" s="73">
        <v>16.537500000000001</v>
      </c>
      <c r="N112" s="104">
        <v>16.537500000000001</v>
      </c>
      <c r="O112" s="57">
        <v>7000</v>
      </c>
      <c r="P112" s="58">
        <f t="shared" si="1"/>
        <v>115762.50000000001</v>
      </c>
    </row>
    <row r="113" spans="1:16" ht="26.25" customHeight="1" x14ac:dyDescent="0.2">
      <c r="A113" s="100"/>
      <c r="B113" s="100"/>
      <c r="C113" s="65" t="s">
        <v>3303</v>
      </c>
      <c r="D113" s="70" t="s">
        <v>57</v>
      </c>
      <c r="E113" s="12">
        <v>44547</v>
      </c>
      <c r="F113" s="68" t="s">
        <v>58</v>
      </c>
      <c r="G113" s="12">
        <v>44550</v>
      </c>
      <c r="H113" s="69" t="s">
        <v>2130</v>
      </c>
      <c r="I113" s="15">
        <v>63</v>
      </c>
      <c r="J113" s="15">
        <v>43</v>
      </c>
      <c r="K113" s="15">
        <v>21</v>
      </c>
      <c r="L113" s="15">
        <v>5</v>
      </c>
      <c r="M113" s="73">
        <v>14.222250000000001</v>
      </c>
      <c r="N113" s="104">
        <v>14.222250000000001</v>
      </c>
      <c r="O113" s="57">
        <v>7000</v>
      </c>
      <c r="P113" s="58">
        <f t="shared" si="1"/>
        <v>99555.75</v>
      </c>
    </row>
    <row r="114" spans="1:16" ht="26.25" customHeight="1" x14ac:dyDescent="0.2">
      <c r="A114" s="100"/>
      <c r="B114" s="100"/>
      <c r="C114" s="65" t="s">
        <v>3304</v>
      </c>
      <c r="D114" s="70" t="s">
        <v>57</v>
      </c>
      <c r="E114" s="12">
        <v>44547</v>
      </c>
      <c r="F114" s="68" t="s">
        <v>58</v>
      </c>
      <c r="G114" s="12">
        <v>44550</v>
      </c>
      <c r="H114" s="69" t="s">
        <v>2130</v>
      </c>
      <c r="I114" s="15">
        <v>35</v>
      </c>
      <c r="J114" s="15">
        <v>20</v>
      </c>
      <c r="K114" s="15">
        <v>6</v>
      </c>
      <c r="L114" s="15">
        <v>1</v>
      </c>
      <c r="M114" s="73">
        <v>1.05</v>
      </c>
      <c r="N114" s="104">
        <v>1.05</v>
      </c>
      <c r="O114" s="57">
        <v>7000</v>
      </c>
      <c r="P114" s="58">
        <f t="shared" si="1"/>
        <v>7350</v>
      </c>
    </row>
    <row r="115" spans="1:16" ht="26.25" customHeight="1" x14ac:dyDescent="0.2">
      <c r="A115" s="100"/>
      <c r="B115" s="100"/>
      <c r="C115" s="65" t="s">
        <v>3305</v>
      </c>
      <c r="D115" s="70" t="s">
        <v>57</v>
      </c>
      <c r="E115" s="12">
        <v>44547</v>
      </c>
      <c r="F115" s="68" t="s">
        <v>58</v>
      </c>
      <c r="G115" s="12">
        <v>44550</v>
      </c>
      <c r="H115" s="69" t="s">
        <v>2130</v>
      </c>
      <c r="I115" s="15">
        <v>75</v>
      </c>
      <c r="J115" s="15">
        <v>41</v>
      </c>
      <c r="K115" s="15">
        <v>27</v>
      </c>
      <c r="L115" s="15">
        <v>48</v>
      </c>
      <c r="M115" s="73">
        <v>20.756250000000001</v>
      </c>
      <c r="N115" s="104">
        <v>48</v>
      </c>
      <c r="O115" s="57">
        <v>7000</v>
      </c>
      <c r="P115" s="58">
        <f t="shared" si="1"/>
        <v>336000</v>
      </c>
    </row>
    <row r="116" spans="1:16" ht="26.25" customHeight="1" x14ac:dyDescent="0.2">
      <c r="A116" s="100"/>
      <c r="B116" s="100"/>
      <c r="C116" s="65" t="s">
        <v>3306</v>
      </c>
      <c r="D116" s="70" t="s">
        <v>57</v>
      </c>
      <c r="E116" s="12">
        <v>44547</v>
      </c>
      <c r="F116" s="68" t="s">
        <v>58</v>
      </c>
      <c r="G116" s="12">
        <v>44550</v>
      </c>
      <c r="H116" s="69" t="s">
        <v>2130</v>
      </c>
      <c r="I116" s="15">
        <v>84</v>
      </c>
      <c r="J116" s="15">
        <v>52</v>
      </c>
      <c r="K116" s="15">
        <v>22</v>
      </c>
      <c r="L116" s="15">
        <v>10</v>
      </c>
      <c r="M116" s="73">
        <v>24.024000000000001</v>
      </c>
      <c r="N116" s="104">
        <v>24.024000000000001</v>
      </c>
      <c r="O116" s="57">
        <v>7000</v>
      </c>
      <c r="P116" s="58">
        <f t="shared" si="1"/>
        <v>168168</v>
      </c>
    </row>
    <row r="117" spans="1:16" ht="26.25" customHeight="1" x14ac:dyDescent="0.2">
      <c r="A117" s="100"/>
      <c r="B117" s="100"/>
      <c r="C117" s="65" t="s">
        <v>3307</v>
      </c>
      <c r="D117" s="70" t="s">
        <v>57</v>
      </c>
      <c r="E117" s="12">
        <v>44547</v>
      </c>
      <c r="F117" s="68" t="s">
        <v>58</v>
      </c>
      <c r="G117" s="12">
        <v>44550</v>
      </c>
      <c r="H117" s="69" t="s">
        <v>2130</v>
      </c>
      <c r="I117" s="15">
        <v>30</v>
      </c>
      <c r="J117" s="15">
        <v>30</v>
      </c>
      <c r="K117" s="15">
        <v>8</v>
      </c>
      <c r="L117" s="15">
        <v>2</v>
      </c>
      <c r="M117" s="73">
        <v>1.8</v>
      </c>
      <c r="N117" s="104">
        <v>2</v>
      </c>
      <c r="O117" s="57">
        <v>7000</v>
      </c>
      <c r="P117" s="58">
        <f t="shared" si="1"/>
        <v>14000</v>
      </c>
    </row>
    <row r="118" spans="1:16" ht="26.25" customHeight="1" x14ac:dyDescent="0.2">
      <c r="A118" s="100"/>
      <c r="B118" s="100"/>
      <c r="C118" s="65" t="s">
        <v>3308</v>
      </c>
      <c r="D118" s="70" t="s">
        <v>57</v>
      </c>
      <c r="E118" s="12">
        <v>44547</v>
      </c>
      <c r="F118" s="68" t="s">
        <v>58</v>
      </c>
      <c r="G118" s="12">
        <v>44550</v>
      </c>
      <c r="H118" s="69" t="s">
        <v>2130</v>
      </c>
      <c r="I118" s="15">
        <v>22</v>
      </c>
      <c r="J118" s="15">
        <v>22</v>
      </c>
      <c r="K118" s="15">
        <v>10</v>
      </c>
      <c r="L118" s="15">
        <v>1</v>
      </c>
      <c r="M118" s="73">
        <v>1.21</v>
      </c>
      <c r="N118" s="104">
        <v>1.21</v>
      </c>
      <c r="O118" s="57">
        <v>7000</v>
      </c>
      <c r="P118" s="58">
        <f t="shared" si="1"/>
        <v>8470</v>
      </c>
    </row>
    <row r="119" spans="1:16" ht="26.25" customHeight="1" x14ac:dyDescent="0.2">
      <c r="A119" s="100"/>
      <c r="B119" s="101"/>
      <c r="C119" s="65" t="s">
        <v>3309</v>
      </c>
      <c r="D119" s="70" t="s">
        <v>57</v>
      </c>
      <c r="E119" s="12">
        <v>44547</v>
      </c>
      <c r="F119" s="68" t="s">
        <v>58</v>
      </c>
      <c r="G119" s="12">
        <v>44550</v>
      </c>
      <c r="H119" s="69" t="s">
        <v>2130</v>
      </c>
      <c r="I119" s="15">
        <v>65</v>
      </c>
      <c r="J119" s="15">
        <v>45</v>
      </c>
      <c r="K119" s="15">
        <v>15</v>
      </c>
      <c r="L119" s="15">
        <v>11</v>
      </c>
      <c r="M119" s="73">
        <v>10.96875</v>
      </c>
      <c r="N119" s="104">
        <v>11</v>
      </c>
      <c r="O119" s="57">
        <v>7000</v>
      </c>
      <c r="P119" s="58">
        <f t="shared" si="1"/>
        <v>77000</v>
      </c>
    </row>
    <row r="120" spans="1:16" ht="26.25" customHeight="1" x14ac:dyDescent="0.2">
      <c r="A120" s="100"/>
      <c r="B120" s="100" t="s">
        <v>3310</v>
      </c>
      <c r="C120" s="65" t="s">
        <v>3311</v>
      </c>
      <c r="D120" s="70" t="s">
        <v>57</v>
      </c>
      <c r="E120" s="12">
        <v>44547</v>
      </c>
      <c r="F120" s="68" t="s">
        <v>58</v>
      </c>
      <c r="G120" s="12">
        <v>44550</v>
      </c>
      <c r="H120" s="69" t="s">
        <v>2130</v>
      </c>
      <c r="I120" s="15">
        <v>76</v>
      </c>
      <c r="J120" s="15">
        <v>62</v>
      </c>
      <c r="K120" s="15">
        <v>42</v>
      </c>
      <c r="L120" s="15">
        <v>31</v>
      </c>
      <c r="M120" s="73">
        <v>49.475999999999999</v>
      </c>
      <c r="N120" s="104">
        <v>50</v>
      </c>
      <c r="O120" s="57">
        <v>7000</v>
      </c>
      <c r="P120" s="58">
        <f t="shared" si="1"/>
        <v>350000</v>
      </c>
    </row>
    <row r="121" spans="1:16" ht="22.5" customHeight="1" x14ac:dyDescent="0.2">
      <c r="A121" s="159" t="s">
        <v>30</v>
      </c>
      <c r="B121" s="160"/>
      <c r="C121" s="160"/>
      <c r="D121" s="160"/>
      <c r="E121" s="160"/>
      <c r="F121" s="160"/>
      <c r="G121" s="160"/>
      <c r="H121" s="160"/>
      <c r="I121" s="160"/>
      <c r="J121" s="160"/>
      <c r="K121" s="160"/>
      <c r="L121" s="161"/>
      <c r="M121" s="71">
        <f>SUBTOTAL(109,Table22457891011234567891011121314151617181920212223242526272829303132333435373839404142434445464748495051525354[KG VOLUME])</f>
        <v>2332.4214999999981</v>
      </c>
      <c r="N121" s="61">
        <f>SUM(N3:N120)</f>
        <v>2470.9032499999994</v>
      </c>
      <c r="O121" s="162">
        <f>SUM(P3:P120)</f>
        <v>17296322.75</v>
      </c>
      <c r="P121" s="163"/>
    </row>
    <row r="122" spans="1:16" ht="18" customHeight="1" x14ac:dyDescent="0.2">
      <c r="A122" s="78"/>
      <c r="B122" s="49" t="s">
        <v>42</v>
      </c>
      <c r="C122" s="48"/>
      <c r="D122" s="50" t="s">
        <v>43</v>
      </c>
      <c r="E122" s="78"/>
      <c r="F122" s="78"/>
      <c r="G122" s="78"/>
      <c r="H122" s="78"/>
      <c r="I122" s="78"/>
      <c r="J122" s="78"/>
      <c r="K122" s="78"/>
      <c r="L122" s="78"/>
      <c r="M122" s="79"/>
      <c r="N122" s="80" t="s">
        <v>52</v>
      </c>
      <c r="O122" s="81"/>
      <c r="P122" s="81">
        <v>0</v>
      </c>
    </row>
    <row r="123" spans="1:16" ht="18" customHeight="1" thickBot="1" x14ac:dyDescent="0.25">
      <c r="A123" s="78"/>
      <c r="B123" s="49"/>
      <c r="C123" s="48"/>
      <c r="D123" s="50"/>
      <c r="E123" s="78"/>
      <c r="F123" s="78"/>
      <c r="G123" s="78"/>
      <c r="H123" s="78"/>
      <c r="I123" s="78"/>
      <c r="J123" s="78"/>
      <c r="K123" s="78"/>
      <c r="L123" s="78"/>
      <c r="M123" s="79"/>
      <c r="N123" s="82" t="s">
        <v>53</v>
      </c>
      <c r="O123" s="83"/>
      <c r="P123" s="83">
        <f>O121-P122</f>
        <v>17296322.75</v>
      </c>
    </row>
    <row r="124" spans="1:16" ht="18" customHeight="1" x14ac:dyDescent="0.2">
      <c r="A124" s="10"/>
      <c r="H124" s="56"/>
      <c r="N124" s="55" t="s">
        <v>31</v>
      </c>
      <c r="P124" s="62">
        <f>P123*1%</f>
        <v>172963.22750000001</v>
      </c>
    </row>
    <row r="125" spans="1:16" ht="18" customHeight="1" thickBot="1" x14ac:dyDescent="0.25">
      <c r="A125" s="10"/>
      <c r="H125" s="56"/>
      <c r="N125" s="55" t="s">
        <v>54</v>
      </c>
      <c r="P125" s="64">
        <f>P123*2%</f>
        <v>345926.45500000002</v>
      </c>
    </row>
    <row r="126" spans="1:16" ht="18" customHeight="1" x14ac:dyDescent="0.2">
      <c r="A126" s="10"/>
      <c r="H126" s="56"/>
      <c r="N126" s="59" t="s">
        <v>32</v>
      </c>
      <c r="O126" s="60"/>
      <c r="P126" s="63">
        <f>P123+P124-P125</f>
        <v>17123359.522500001</v>
      </c>
    </row>
    <row r="128" spans="1:16" x14ac:dyDescent="0.2">
      <c r="A128" s="10"/>
      <c r="H128" s="56"/>
      <c r="P128" s="64"/>
    </row>
    <row r="129" spans="1:16" x14ac:dyDescent="0.2">
      <c r="A129" s="10"/>
      <c r="H129" s="56"/>
      <c r="O129" s="51"/>
      <c r="P129" s="64"/>
    </row>
    <row r="130" spans="1:16" s="3" customFormat="1" x14ac:dyDescent="0.25">
      <c r="A130" s="10"/>
      <c r="B130" s="2"/>
      <c r="C130" s="2"/>
      <c r="E130" s="11"/>
      <c r="H130" s="56"/>
      <c r="N130" s="14"/>
      <c r="O130" s="14"/>
      <c r="P130" s="14"/>
    </row>
    <row r="131" spans="1:16" s="3" customFormat="1" x14ac:dyDescent="0.25">
      <c r="A131" s="10"/>
      <c r="B131" s="2"/>
      <c r="C131" s="2"/>
      <c r="E131" s="11"/>
      <c r="H131" s="56"/>
      <c r="N131" s="14"/>
      <c r="O131" s="14"/>
      <c r="P131" s="14"/>
    </row>
    <row r="132" spans="1:16" s="3" customFormat="1" x14ac:dyDescent="0.25">
      <c r="A132" s="10"/>
      <c r="B132" s="2"/>
      <c r="C132" s="2"/>
      <c r="E132" s="11"/>
      <c r="H132" s="56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56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6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6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6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6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6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6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6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6"/>
      <c r="N141" s="14"/>
      <c r="O141" s="14"/>
      <c r="P141" s="14"/>
    </row>
  </sheetData>
  <mergeCells count="2">
    <mergeCell ref="A121:L121"/>
    <mergeCell ref="O121:P121"/>
  </mergeCells>
  <conditionalFormatting sqref="C3:C120">
    <cfRule type="duplicateValues" dxfId="751" priority="8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"/>
  <sheetViews>
    <sheetView workbookViewId="0">
      <selection activeCell="N37" sqref="N3: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406123</v>
      </c>
      <c r="B3" s="99" t="s">
        <v>3312</v>
      </c>
      <c r="C3" s="90" t="s">
        <v>3313</v>
      </c>
      <c r="D3" s="102" t="s">
        <v>57</v>
      </c>
      <c r="E3" s="91">
        <v>44548</v>
      </c>
      <c r="F3" s="102" t="s">
        <v>59</v>
      </c>
      <c r="G3" s="91">
        <v>44555</v>
      </c>
      <c r="H3" s="90" t="s">
        <v>3349</v>
      </c>
      <c r="I3" s="90">
        <v>96</v>
      </c>
      <c r="J3" s="90">
        <v>48</v>
      </c>
      <c r="K3" s="90">
        <v>25</v>
      </c>
      <c r="L3" s="90">
        <v>18</v>
      </c>
      <c r="M3" s="90">
        <v>28.8</v>
      </c>
      <c r="N3" s="104">
        <v>28.8</v>
      </c>
      <c r="O3" s="57">
        <v>7000</v>
      </c>
      <c r="P3" s="58">
        <f t="shared" ref="P3:P37" si="0">N3*O3</f>
        <v>201600</v>
      </c>
    </row>
    <row r="4" spans="1:16" ht="26.25" customHeight="1" x14ac:dyDescent="0.2">
      <c r="A4" s="100"/>
      <c r="B4" s="100"/>
      <c r="C4" s="90" t="s">
        <v>3314</v>
      </c>
      <c r="D4" s="102" t="s">
        <v>57</v>
      </c>
      <c r="E4" s="91">
        <v>44548</v>
      </c>
      <c r="F4" s="102" t="s">
        <v>59</v>
      </c>
      <c r="G4" s="91">
        <v>44555</v>
      </c>
      <c r="H4" s="90" t="s">
        <v>3349</v>
      </c>
      <c r="I4" s="90">
        <v>40</v>
      </c>
      <c r="J4" s="90">
        <v>27</v>
      </c>
      <c r="K4" s="90">
        <v>16</v>
      </c>
      <c r="L4" s="90">
        <v>2</v>
      </c>
      <c r="M4" s="90">
        <v>4.32</v>
      </c>
      <c r="N4" s="104">
        <v>5</v>
      </c>
      <c r="O4" s="57">
        <v>7000</v>
      </c>
      <c r="P4" s="58">
        <f t="shared" si="0"/>
        <v>35000</v>
      </c>
    </row>
    <row r="5" spans="1:16" ht="26.25" customHeight="1" x14ac:dyDescent="0.2">
      <c r="A5" s="100"/>
      <c r="B5" s="100"/>
      <c r="C5" s="65" t="s">
        <v>3315</v>
      </c>
      <c r="D5" s="70" t="s">
        <v>57</v>
      </c>
      <c r="E5" s="12">
        <v>44548</v>
      </c>
      <c r="F5" s="68" t="s">
        <v>59</v>
      </c>
      <c r="G5" s="12">
        <v>44555</v>
      </c>
      <c r="H5" s="69" t="s">
        <v>3349</v>
      </c>
      <c r="I5" s="15">
        <v>74</v>
      </c>
      <c r="J5" s="15">
        <v>83</v>
      </c>
      <c r="K5" s="15">
        <v>19</v>
      </c>
      <c r="L5" s="15">
        <v>8</v>
      </c>
      <c r="M5" s="73">
        <v>29.174499999999998</v>
      </c>
      <c r="N5" s="104">
        <v>29.174499999999998</v>
      </c>
      <c r="O5" s="57">
        <v>7000</v>
      </c>
      <c r="P5" s="58">
        <f t="shared" si="0"/>
        <v>204221.5</v>
      </c>
    </row>
    <row r="6" spans="1:16" ht="26.25" customHeight="1" x14ac:dyDescent="0.2">
      <c r="A6" s="100"/>
      <c r="B6" s="100"/>
      <c r="C6" s="65" t="s">
        <v>3316</v>
      </c>
      <c r="D6" s="70" t="s">
        <v>57</v>
      </c>
      <c r="E6" s="12">
        <v>44548</v>
      </c>
      <c r="F6" s="68" t="s">
        <v>59</v>
      </c>
      <c r="G6" s="12">
        <v>44555</v>
      </c>
      <c r="H6" s="69" t="s">
        <v>3349</v>
      </c>
      <c r="I6" s="15">
        <v>61</v>
      </c>
      <c r="J6" s="15">
        <v>34</v>
      </c>
      <c r="K6" s="15">
        <v>23</v>
      </c>
      <c r="L6" s="15">
        <v>6</v>
      </c>
      <c r="M6" s="73">
        <v>11.9255</v>
      </c>
      <c r="N6" s="104">
        <v>11.9255</v>
      </c>
      <c r="O6" s="57">
        <v>7000</v>
      </c>
      <c r="P6" s="58">
        <f t="shared" si="0"/>
        <v>83478.5</v>
      </c>
    </row>
    <row r="7" spans="1:16" ht="26.25" customHeight="1" x14ac:dyDescent="0.2">
      <c r="A7" s="100"/>
      <c r="B7" s="100"/>
      <c r="C7" s="65" t="s">
        <v>3317</v>
      </c>
      <c r="D7" s="70" t="s">
        <v>57</v>
      </c>
      <c r="E7" s="12">
        <v>44548</v>
      </c>
      <c r="F7" s="68" t="s">
        <v>59</v>
      </c>
      <c r="G7" s="12">
        <v>44555</v>
      </c>
      <c r="H7" s="69" t="s">
        <v>3349</v>
      </c>
      <c r="I7" s="15">
        <v>61</v>
      </c>
      <c r="J7" s="15">
        <v>33</v>
      </c>
      <c r="K7" s="15">
        <v>19</v>
      </c>
      <c r="L7" s="15">
        <v>5</v>
      </c>
      <c r="M7" s="73">
        <v>9.56175</v>
      </c>
      <c r="N7" s="104">
        <v>9.56175</v>
      </c>
      <c r="O7" s="57">
        <v>7000</v>
      </c>
      <c r="P7" s="58">
        <f t="shared" si="0"/>
        <v>66932.25</v>
      </c>
    </row>
    <row r="8" spans="1:16" ht="26.25" customHeight="1" x14ac:dyDescent="0.2">
      <c r="A8" s="100"/>
      <c r="B8" s="100"/>
      <c r="C8" s="65" t="s">
        <v>3318</v>
      </c>
      <c r="D8" s="70" t="s">
        <v>57</v>
      </c>
      <c r="E8" s="12">
        <v>44548</v>
      </c>
      <c r="F8" s="68" t="s">
        <v>59</v>
      </c>
      <c r="G8" s="12">
        <v>44555</v>
      </c>
      <c r="H8" s="69" t="s">
        <v>3349</v>
      </c>
      <c r="I8" s="15">
        <v>71</v>
      </c>
      <c r="J8" s="15">
        <v>48</v>
      </c>
      <c r="K8" s="15">
        <v>23</v>
      </c>
      <c r="L8" s="15">
        <v>8</v>
      </c>
      <c r="M8" s="73">
        <v>19.596</v>
      </c>
      <c r="N8" s="104">
        <v>19.596</v>
      </c>
      <c r="O8" s="57">
        <v>7000</v>
      </c>
      <c r="P8" s="58">
        <f t="shared" si="0"/>
        <v>137172</v>
      </c>
    </row>
    <row r="9" spans="1:16" ht="26.25" customHeight="1" x14ac:dyDescent="0.2">
      <c r="A9" s="100"/>
      <c r="B9" s="100"/>
      <c r="C9" s="65" t="s">
        <v>3319</v>
      </c>
      <c r="D9" s="70" t="s">
        <v>57</v>
      </c>
      <c r="E9" s="12">
        <v>44548</v>
      </c>
      <c r="F9" s="68" t="s">
        <v>59</v>
      </c>
      <c r="G9" s="12">
        <v>44555</v>
      </c>
      <c r="H9" s="69" t="s">
        <v>3349</v>
      </c>
      <c r="I9" s="15">
        <v>58</v>
      </c>
      <c r="J9" s="15">
        <v>42</v>
      </c>
      <c r="K9" s="15">
        <v>28</v>
      </c>
      <c r="L9" s="15">
        <v>5</v>
      </c>
      <c r="M9" s="73">
        <v>17.052</v>
      </c>
      <c r="N9" s="104">
        <v>17.052</v>
      </c>
      <c r="O9" s="57">
        <v>7000</v>
      </c>
      <c r="P9" s="58">
        <f t="shared" si="0"/>
        <v>119364</v>
      </c>
    </row>
    <row r="10" spans="1:16" ht="26.25" customHeight="1" x14ac:dyDescent="0.2">
      <c r="A10" s="100"/>
      <c r="B10" s="100"/>
      <c r="C10" s="65" t="s">
        <v>3320</v>
      </c>
      <c r="D10" s="70" t="s">
        <v>57</v>
      </c>
      <c r="E10" s="12">
        <v>44548</v>
      </c>
      <c r="F10" s="68" t="s">
        <v>59</v>
      </c>
      <c r="G10" s="12">
        <v>44555</v>
      </c>
      <c r="H10" s="69" t="s">
        <v>3349</v>
      </c>
      <c r="I10" s="15">
        <v>53</v>
      </c>
      <c r="J10" s="15">
        <v>46</v>
      </c>
      <c r="K10" s="15">
        <v>19</v>
      </c>
      <c r="L10" s="15">
        <v>6</v>
      </c>
      <c r="M10" s="73">
        <v>11.580500000000001</v>
      </c>
      <c r="N10" s="104">
        <v>11.580500000000001</v>
      </c>
      <c r="O10" s="57">
        <v>7000</v>
      </c>
      <c r="P10" s="58">
        <f t="shared" si="0"/>
        <v>81063.5</v>
      </c>
    </row>
    <row r="11" spans="1:16" ht="26.25" customHeight="1" x14ac:dyDescent="0.2">
      <c r="A11" s="100"/>
      <c r="B11" s="100"/>
      <c r="C11" s="65" t="s">
        <v>3321</v>
      </c>
      <c r="D11" s="70" t="s">
        <v>57</v>
      </c>
      <c r="E11" s="12">
        <v>44548</v>
      </c>
      <c r="F11" s="68" t="s">
        <v>59</v>
      </c>
      <c r="G11" s="12">
        <v>44555</v>
      </c>
      <c r="H11" s="69" t="s">
        <v>3349</v>
      </c>
      <c r="I11" s="15">
        <v>44</v>
      </c>
      <c r="J11" s="15">
        <v>31</v>
      </c>
      <c r="K11" s="15">
        <v>22</v>
      </c>
      <c r="L11" s="15">
        <v>5</v>
      </c>
      <c r="M11" s="73">
        <v>7.5019999999999998</v>
      </c>
      <c r="N11" s="104">
        <v>9</v>
      </c>
      <c r="O11" s="57">
        <v>7000</v>
      </c>
      <c r="P11" s="58">
        <f t="shared" si="0"/>
        <v>63000</v>
      </c>
    </row>
    <row r="12" spans="1:16" ht="26.25" customHeight="1" x14ac:dyDescent="0.2">
      <c r="A12" s="100"/>
      <c r="B12" s="100"/>
      <c r="C12" s="65" t="s">
        <v>3322</v>
      </c>
      <c r="D12" s="70" t="s">
        <v>57</v>
      </c>
      <c r="E12" s="12">
        <v>44548</v>
      </c>
      <c r="F12" s="68" t="s">
        <v>59</v>
      </c>
      <c r="G12" s="12">
        <v>44555</v>
      </c>
      <c r="H12" s="69" t="s">
        <v>3349</v>
      </c>
      <c r="I12" s="15">
        <v>72</v>
      </c>
      <c r="J12" s="15">
        <v>49</v>
      </c>
      <c r="K12" s="15">
        <v>29</v>
      </c>
      <c r="L12" s="15">
        <v>8</v>
      </c>
      <c r="M12" s="73">
        <v>25.577999999999999</v>
      </c>
      <c r="N12" s="104">
        <v>25.577999999999999</v>
      </c>
      <c r="O12" s="57">
        <v>7000</v>
      </c>
      <c r="P12" s="58">
        <f t="shared" si="0"/>
        <v>179046</v>
      </c>
    </row>
    <row r="13" spans="1:16" ht="26.25" customHeight="1" x14ac:dyDescent="0.2">
      <c r="A13" s="100"/>
      <c r="B13" s="100"/>
      <c r="C13" s="65" t="s">
        <v>3323</v>
      </c>
      <c r="D13" s="70" t="s">
        <v>57</v>
      </c>
      <c r="E13" s="12">
        <v>44548</v>
      </c>
      <c r="F13" s="68" t="s">
        <v>59</v>
      </c>
      <c r="G13" s="12">
        <v>44555</v>
      </c>
      <c r="H13" s="69" t="s">
        <v>3349</v>
      </c>
      <c r="I13" s="15">
        <v>56</v>
      </c>
      <c r="J13" s="15">
        <v>32</v>
      </c>
      <c r="K13" s="15">
        <v>16</v>
      </c>
      <c r="L13" s="15">
        <v>5</v>
      </c>
      <c r="M13" s="73">
        <v>7.1680000000000001</v>
      </c>
      <c r="N13" s="104">
        <v>7.1680000000000001</v>
      </c>
      <c r="O13" s="57">
        <v>7000</v>
      </c>
      <c r="P13" s="58">
        <f t="shared" si="0"/>
        <v>50176</v>
      </c>
    </row>
    <row r="14" spans="1:16" ht="26.25" customHeight="1" x14ac:dyDescent="0.2">
      <c r="A14" s="100"/>
      <c r="B14" s="100"/>
      <c r="C14" s="65" t="s">
        <v>3324</v>
      </c>
      <c r="D14" s="70" t="s">
        <v>57</v>
      </c>
      <c r="E14" s="12">
        <v>44548</v>
      </c>
      <c r="F14" s="68" t="s">
        <v>59</v>
      </c>
      <c r="G14" s="12">
        <v>44555</v>
      </c>
      <c r="H14" s="69" t="s">
        <v>3349</v>
      </c>
      <c r="I14" s="15">
        <v>61</v>
      </c>
      <c r="J14" s="15">
        <v>43</v>
      </c>
      <c r="K14" s="15">
        <v>26</v>
      </c>
      <c r="L14" s="15">
        <v>6</v>
      </c>
      <c r="M14" s="73">
        <v>17.049499999999998</v>
      </c>
      <c r="N14" s="104">
        <v>17.049499999999998</v>
      </c>
      <c r="O14" s="57">
        <v>7000</v>
      </c>
      <c r="P14" s="58">
        <f t="shared" si="0"/>
        <v>119346.49999999999</v>
      </c>
    </row>
    <row r="15" spans="1:16" ht="26.25" customHeight="1" x14ac:dyDescent="0.2">
      <c r="A15" s="100"/>
      <c r="B15" s="100"/>
      <c r="C15" s="65" t="s">
        <v>3325</v>
      </c>
      <c r="D15" s="70" t="s">
        <v>57</v>
      </c>
      <c r="E15" s="12">
        <v>44548</v>
      </c>
      <c r="F15" s="68" t="s">
        <v>59</v>
      </c>
      <c r="G15" s="12">
        <v>44555</v>
      </c>
      <c r="H15" s="69" t="s">
        <v>3349</v>
      </c>
      <c r="I15" s="15">
        <v>53</v>
      </c>
      <c r="J15" s="15">
        <v>32</v>
      </c>
      <c r="K15" s="15">
        <v>24</v>
      </c>
      <c r="L15" s="15">
        <v>6</v>
      </c>
      <c r="M15" s="73">
        <v>10.176</v>
      </c>
      <c r="N15" s="104">
        <v>10.176</v>
      </c>
      <c r="O15" s="57">
        <v>7000</v>
      </c>
      <c r="P15" s="58">
        <f t="shared" si="0"/>
        <v>71232</v>
      </c>
    </row>
    <row r="16" spans="1:16" ht="26.25" customHeight="1" x14ac:dyDescent="0.2">
      <c r="A16" s="100"/>
      <c r="B16" s="100"/>
      <c r="C16" s="65" t="s">
        <v>3326</v>
      </c>
      <c r="D16" s="70" t="s">
        <v>57</v>
      </c>
      <c r="E16" s="12">
        <v>44548</v>
      </c>
      <c r="F16" s="68" t="s">
        <v>59</v>
      </c>
      <c r="G16" s="12">
        <v>44555</v>
      </c>
      <c r="H16" s="69" t="s">
        <v>3349</v>
      </c>
      <c r="I16" s="15">
        <v>96</v>
      </c>
      <c r="J16" s="15">
        <v>44</v>
      </c>
      <c r="K16" s="15">
        <v>32</v>
      </c>
      <c r="L16" s="15">
        <v>17</v>
      </c>
      <c r="M16" s="73">
        <v>33.792000000000002</v>
      </c>
      <c r="N16" s="104">
        <v>33.792000000000002</v>
      </c>
      <c r="O16" s="57">
        <v>7000</v>
      </c>
      <c r="P16" s="58">
        <f t="shared" si="0"/>
        <v>236544</v>
      </c>
    </row>
    <row r="17" spans="1:16" ht="26.25" customHeight="1" x14ac:dyDescent="0.2">
      <c r="A17" s="100"/>
      <c r="B17" s="100"/>
      <c r="C17" s="65" t="s">
        <v>3327</v>
      </c>
      <c r="D17" s="70" t="s">
        <v>57</v>
      </c>
      <c r="E17" s="12">
        <v>44548</v>
      </c>
      <c r="F17" s="68" t="s">
        <v>59</v>
      </c>
      <c r="G17" s="12">
        <v>44555</v>
      </c>
      <c r="H17" s="69" t="s">
        <v>3349</v>
      </c>
      <c r="I17" s="15">
        <v>72</v>
      </c>
      <c r="J17" s="15">
        <v>58</v>
      </c>
      <c r="K17" s="15">
        <v>20</v>
      </c>
      <c r="L17" s="15">
        <v>4</v>
      </c>
      <c r="M17" s="73">
        <v>20.88</v>
      </c>
      <c r="N17" s="104">
        <v>20.88</v>
      </c>
      <c r="O17" s="57">
        <v>7000</v>
      </c>
      <c r="P17" s="58">
        <f t="shared" si="0"/>
        <v>146160</v>
      </c>
    </row>
    <row r="18" spans="1:16" ht="26.25" customHeight="1" x14ac:dyDescent="0.2">
      <c r="A18" s="100"/>
      <c r="B18" s="100"/>
      <c r="C18" s="65" t="s">
        <v>3328</v>
      </c>
      <c r="D18" s="70" t="s">
        <v>57</v>
      </c>
      <c r="E18" s="12">
        <v>44548</v>
      </c>
      <c r="F18" s="68" t="s">
        <v>59</v>
      </c>
      <c r="G18" s="12">
        <v>44555</v>
      </c>
      <c r="H18" s="69" t="s">
        <v>3349</v>
      </c>
      <c r="I18" s="15">
        <v>35</v>
      </c>
      <c r="J18" s="15">
        <v>24</v>
      </c>
      <c r="K18" s="15">
        <v>15</v>
      </c>
      <c r="L18" s="15">
        <v>3</v>
      </c>
      <c r="M18" s="73">
        <v>3.15</v>
      </c>
      <c r="N18" s="104">
        <v>3.15</v>
      </c>
      <c r="O18" s="57">
        <v>7000</v>
      </c>
      <c r="P18" s="58">
        <f t="shared" si="0"/>
        <v>22050</v>
      </c>
    </row>
    <row r="19" spans="1:16" ht="26.25" customHeight="1" x14ac:dyDescent="0.2">
      <c r="A19" s="100"/>
      <c r="B19" s="100"/>
      <c r="C19" s="65" t="s">
        <v>3329</v>
      </c>
      <c r="D19" s="70" t="s">
        <v>57</v>
      </c>
      <c r="E19" s="12">
        <v>44548</v>
      </c>
      <c r="F19" s="68" t="s">
        <v>59</v>
      </c>
      <c r="G19" s="12">
        <v>44555</v>
      </c>
      <c r="H19" s="69" t="s">
        <v>3349</v>
      </c>
      <c r="I19" s="15">
        <v>91</v>
      </c>
      <c r="J19" s="15">
        <v>55</v>
      </c>
      <c r="K19" s="15">
        <v>25</v>
      </c>
      <c r="L19" s="15">
        <v>20</v>
      </c>
      <c r="M19" s="73">
        <v>31.28125</v>
      </c>
      <c r="N19" s="104">
        <v>31.28125</v>
      </c>
      <c r="O19" s="57">
        <v>7000</v>
      </c>
      <c r="P19" s="58">
        <f t="shared" si="0"/>
        <v>218968.75</v>
      </c>
    </row>
    <row r="20" spans="1:16" ht="26.25" customHeight="1" x14ac:dyDescent="0.2">
      <c r="A20" s="100"/>
      <c r="B20" s="100"/>
      <c r="C20" s="65" t="s">
        <v>3330</v>
      </c>
      <c r="D20" s="70" t="s">
        <v>57</v>
      </c>
      <c r="E20" s="12">
        <v>44548</v>
      </c>
      <c r="F20" s="68" t="s">
        <v>59</v>
      </c>
      <c r="G20" s="12">
        <v>44555</v>
      </c>
      <c r="H20" s="69" t="s">
        <v>3349</v>
      </c>
      <c r="I20" s="15">
        <v>50</v>
      </c>
      <c r="J20" s="15">
        <v>34</v>
      </c>
      <c r="K20" s="15">
        <v>17</v>
      </c>
      <c r="L20" s="15">
        <v>2</v>
      </c>
      <c r="M20" s="73">
        <v>7.2249999999999996</v>
      </c>
      <c r="N20" s="104">
        <v>7.2249999999999996</v>
      </c>
      <c r="O20" s="57">
        <v>7000</v>
      </c>
      <c r="P20" s="58">
        <f t="shared" si="0"/>
        <v>50575</v>
      </c>
    </row>
    <row r="21" spans="1:16" ht="26.25" customHeight="1" x14ac:dyDescent="0.2">
      <c r="A21" s="100"/>
      <c r="B21" s="100"/>
      <c r="C21" s="65" t="s">
        <v>3331</v>
      </c>
      <c r="D21" s="70" t="s">
        <v>57</v>
      </c>
      <c r="E21" s="12">
        <v>44548</v>
      </c>
      <c r="F21" s="68" t="s">
        <v>59</v>
      </c>
      <c r="G21" s="12">
        <v>44555</v>
      </c>
      <c r="H21" s="69" t="s">
        <v>3349</v>
      </c>
      <c r="I21" s="15">
        <v>45</v>
      </c>
      <c r="J21" s="15">
        <v>33</v>
      </c>
      <c r="K21" s="15">
        <v>45</v>
      </c>
      <c r="L21" s="15">
        <v>22</v>
      </c>
      <c r="M21" s="73">
        <v>16.706250000000001</v>
      </c>
      <c r="N21" s="104">
        <v>22</v>
      </c>
      <c r="O21" s="57">
        <v>7000</v>
      </c>
      <c r="P21" s="58">
        <f t="shared" si="0"/>
        <v>154000</v>
      </c>
    </row>
    <row r="22" spans="1:16" ht="26.25" customHeight="1" x14ac:dyDescent="0.2">
      <c r="A22" s="100"/>
      <c r="B22" s="100"/>
      <c r="C22" s="65" t="s">
        <v>3332</v>
      </c>
      <c r="D22" s="70" t="s">
        <v>57</v>
      </c>
      <c r="E22" s="12">
        <v>44548</v>
      </c>
      <c r="F22" s="68" t="s">
        <v>59</v>
      </c>
      <c r="G22" s="12">
        <v>44555</v>
      </c>
      <c r="H22" s="69" t="s">
        <v>3349</v>
      </c>
      <c r="I22" s="15">
        <v>49</v>
      </c>
      <c r="J22" s="15">
        <v>24</v>
      </c>
      <c r="K22" s="15">
        <v>29</v>
      </c>
      <c r="L22" s="15">
        <v>16</v>
      </c>
      <c r="M22" s="73">
        <v>8.5259999999999998</v>
      </c>
      <c r="N22" s="104">
        <v>16</v>
      </c>
      <c r="O22" s="57">
        <v>7000</v>
      </c>
      <c r="P22" s="58">
        <f t="shared" si="0"/>
        <v>112000</v>
      </c>
    </row>
    <row r="23" spans="1:16" ht="26.25" customHeight="1" x14ac:dyDescent="0.2">
      <c r="A23" s="100"/>
      <c r="B23" s="100"/>
      <c r="C23" s="65" t="s">
        <v>3333</v>
      </c>
      <c r="D23" s="70" t="s">
        <v>57</v>
      </c>
      <c r="E23" s="12">
        <v>44548</v>
      </c>
      <c r="F23" s="68" t="s">
        <v>59</v>
      </c>
      <c r="G23" s="12">
        <v>44555</v>
      </c>
      <c r="H23" s="69" t="s">
        <v>3349</v>
      </c>
      <c r="I23" s="15">
        <v>50</v>
      </c>
      <c r="J23" s="15">
        <v>39</v>
      </c>
      <c r="K23" s="15">
        <v>10</v>
      </c>
      <c r="L23" s="15">
        <v>3</v>
      </c>
      <c r="M23" s="73">
        <v>4.875</v>
      </c>
      <c r="N23" s="104">
        <v>4.875</v>
      </c>
      <c r="O23" s="57">
        <v>7000</v>
      </c>
      <c r="P23" s="58">
        <f t="shared" si="0"/>
        <v>34125</v>
      </c>
    </row>
    <row r="24" spans="1:16" ht="26.25" customHeight="1" x14ac:dyDescent="0.2">
      <c r="A24" s="100"/>
      <c r="B24" s="100"/>
      <c r="C24" s="65" t="s">
        <v>3334</v>
      </c>
      <c r="D24" s="70" t="s">
        <v>57</v>
      </c>
      <c r="E24" s="12">
        <v>44548</v>
      </c>
      <c r="F24" s="68" t="s">
        <v>59</v>
      </c>
      <c r="G24" s="12">
        <v>44555</v>
      </c>
      <c r="H24" s="69" t="s">
        <v>3349</v>
      </c>
      <c r="I24" s="15">
        <v>52</v>
      </c>
      <c r="J24" s="15">
        <v>49</v>
      </c>
      <c r="K24" s="15">
        <v>14</v>
      </c>
      <c r="L24" s="15">
        <v>8</v>
      </c>
      <c r="M24" s="73">
        <v>8.9179999999999993</v>
      </c>
      <c r="N24" s="104">
        <v>8.9179999999999993</v>
      </c>
      <c r="O24" s="57">
        <v>7000</v>
      </c>
      <c r="P24" s="58">
        <f t="shared" si="0"/>
        <v>62425.999999999993</v>
      </c>
    </row>
    <row r="25" spans="1:16" ht="26.25" customHeight="1" x14ac:dyDescent="0.2">
      <c r="A25" s="100"/>
      <c r="B25" s="100"/>
      <c r="C25" s="65" t="s">
        <v>3335</v>
      </c>
      <c r="D25" s="70" t="s">
        <v>57</v>
      </c>
      <c r="E25" s="12">
        <v>44548</v>
      </c>
      <c r="F25" s="68" t="s">
        <v>59</v>
      </c>
      <c r="G25" s="12">
        <v>44555</v>
      </c>
      <c r="H25" s="69" t="s">
        <v>3349</v>
      </c>
      <c r="I25" s="15">
        <v>96</v>
      </c>
      <c r="J25" s="15">
        <v>53</v>
      </c>
      <c r="K25" s="15">
        <v>28</v>
      </c>
      <c r="L25" s="15">
        <v>14</v>
      </c>
      <c r="M25" s="73">
        <v>35.616</v>
      </c>
      <c r="N25" s="104">
        <v>35.616</v>
      </c>
      <c r="O25" s="57">
        <v>7000</v>
      </c>
      <c r="P25" s="58">
        <f t="shared" si="0"/>
        <v>249312</v>
      </c>
    </row>
    <row r="26" spans="1:16" ht="26.25" customHeight="1" x14ac:dyDescent="0.2">
      <c r="A26" s="100"/>
      <c r="B26" s="100"/>
      <c r="C26" s="65" t="s">
        <v>3336</v>
      </c>
      <c r="D26" s="70" t="s">
        <v>57</v>
      </c>
      <c r="E26" s="12">
        <v>44548</v>
      </c>
      <c r="F26" s="68" t="s">
        <v>59</v>
      </c>
      <c r="G26" s="12">
        <v>44555</v>
      </c>
      <c r="H26" s="69" t="s">
        <v>3349</v>
      </c>
      <c r="I26" s="15">
        <v>86</v>
      </c>
      <c r="J26" s="15">
        <v>57</v>
      </c>
      <c r="K26" s="15">
        <v>24</v>
      </c>
      <c r="L26" s="15">
        <v>15</v>
      </c>
      <c r="M26" s="73">
        <v>29.411999999999999</v>
      </c>
      <c r="N26" s="104">
        <v>30</v>
      </c>
      <c r="O26" s="57">
        <v>7000</v>
      </c>
      <c r="P26" s="58">
        <f t="shared" si="0"/>
        <v>210000</v>
      </c>
    </row>
    <row r="27" spans="1:16" ht="26.25" customHeight="1" x14ac:dyDescent="0.2">
      <c r="A27" s="100"/>
      <c r="B27" s="100"/>
      <c r="C27" s="90" t="s">
        <v>3337</v>
      </c>
      <c r="D27" s="102" t="s">
        <v>57</v>
      </c>
      <c r="E27" s="91">
        <v>44548</v>
      </c>
      <c r="F27" s="102" t="s">
        <v>59</v>
      </c>
      <c r="G27" s="91">
        <v>44555</v>
      </c>
      <c r="H27" s="90" t="s">
        <v>3349</v>
      </c>
      <c r="I27" s="90">
        <v>44</v>
      </c>
      <c r="J27" s="90">
        <v>32</v>
      </c>
      <c r="K27" s="90">
        <v>16</v>
      </c>
      <c r="L27" s="90">
        <v>1</v>
      </c>
      <c r="M27" s="90">
        <v>5.6319999999999997</v>
      </c>
      <c r="N27" s="104">
        <v>5.6319999999999997</v>
      </c>
      <c r="O27" s="57">
        <v>7000</v>
      </c>
      <c r="P27" s="58">
        <f t="shared" si="0"/>
        <v>39424</v>
      </c>
    </row>
    <row r="28" spans="1:16" ht="26.25" customHeight="1" x14ac:dyDescent="0.2">
      <c r="A28" s="100"/>
      <c r="B28" s="100"/>
      <c r="C28" s="90" t="s">
        <v>3338</v>
      </c>
      <c r="D28" s="102" t="s">
        <v>57</v>
      </c>
      <c r="E28" s="91">
        <v>44548</v>
      </c>
      <c r="F28" s="102" t="s">
        <v>59</v>
      </c>
      <c r="G28" s="91">
        <v>44555</v>
      </c>
      <c r="H28" s="90" t="s">
        <v>3349</v>
      </c>
      <c r="I28" s="90">
        <v>58</v>
      </c>
      <c r="J28" s="90">
        <v>36</v>
      </c>
      <c r="K28" s="90">
        <v>15</v>
      </c>
      <c r="L28" s="90">
        <v>4</v>
      </c>
      <c r="M28" s="90">
        <v>7.83</v>
      </c>
      <c r="N28" s="104">
        <v>7.83</v>
      </c>
      <c r="O28" s="57">
        <v>7000</v>
      </c>
      <c r="P28" s="58">
        <f t="shared" si="0"/>
        <v>54810</v>
      </c>
    </row>
    <row r="29" spans="1:16" ht="26.25" customHeight="1" x14ac:dyDescent="0.2">
      <c r="A29" s="100"/>
      <c r="B29" s="100"/>
      <c r="C29" s="65" t="s">
        <v>3339</v>
      </c>
      <c r="D29" s="70" t="s">
        <v>57</v>
      </c>
      <c r="E29" s="12">
        <v>44548</v>
      </c>
      <c r="F29" s="68" t="s">
        <v>59</v>
      </c>
      <c r="G29" s="12">
        <v>44555</v>
      </c>
      <c r="H29" s="69" t="s">
        <v>3349</v>
      </c>
      <c r="I29" s="15">
        <v>88</v>
      </c>
      <c r="J29" s="15">
        <v>48</v>
      </c>
      <c r="K29" s="15">
        <v>16</v>
      </c>
      <c r="L29" s="15">
        <v>6</v>
      </c>
      <c r="M29" s="73">
        <v>16.896000000000001</v>
      </c>
      <c r="N29" s="104">
        <v>16.896000000000001</v>
      </c>
      <c r="O29" s="57">
        <v>7000</v>
      </c>
      <c r="P29" s="58">
        <f t="shared" si="0"/>
        <v>118272</v>
      </c>
    </row>
    <row r="30" spans="1:16" ht="26.25" customHeight="1" x14ac:dyDescent="0.2">
      <c r="A30" s="100"/>
      <c r="B30" s="100"/>
      <c r="C30" s="65" t="s">
        <v>3340</v>
      </c>
      <c r="D30" s="70" t="s">
        <v>57</v>
      </c>
      <c r="E30" s="12">
        <v>44548</v>
      </c>
      <c r="F30" s="68" t="s">
        <v>59</v>
      </c>
      <c r="G30" s="12">
        <v>44555</v>
      </c>
      <c r="H30" s="69" t="s">
        <v>3349</v>
      </c>
      <c r="I30" s="15">
        <v>98</v>
      </c>
      <c r="J30" s="15">
        <v>57</v>
      </c>
      <c r="K30" s="15">
        <v>28</v>
      </c>
      <c r="L30" s="15">
        <v>23</v>
      </c>
      <c r="M30" s="73">
        <v>39.101999999999997</v>
      </c>
      <c r="N30" s="104">
        <v>39.101999999999997</v>
      </c>
      <c r="O30" s="57">
        <v>7000</v>
      </c>
      <c r="P30" s="58">
        <f t="shared" si="0"/>
        <v>273714</v>
      </c>
    </row>
    <row r="31" spans="1:16" ht="26.25" customHeight="1" x14ac:dyDescent="0.2">
      <c r="A31" s="100"/>
      <c r="B31" s="100"/>
      <c r="C31" s="65" t="s">
        <v>3341</v>
      </c>
      <c r="D31" s="70" t="s">
        <v>57</v>
      </c>
      <c r="E31" s="12">
        <v>44548</v>
      </c>
      <c r="F31" s="68" t="s">
        <v>59</v>
      </c>
      <c r="G31" s="12">
        <v>44555</v>
      </c>
      <c r="H31" s="69" t="s">
        <v>3349</v>
      </c>
      <c r="I31" s="15">
        <v>45</v>
      </c>
      <c r="J31" s="15">
        <v>28</v>
      </c>
      <c r="K31" s="15">
        <v>10</v>
      </c>
      <c r="L31" s="15">
        <v>1</v>
      </c>
      <c r="M31" s="73">
        <v>3.15</v>
      </c>
      <c r="N31" s="104">
        <v>3.15</v>
      </c>
      <c r="O31" s="57">
        <v>7000</v>
      </c>
      <c r="P31" s="58">
        <f t="shared" si="0"/>
        <v>22050</v>
      </c>
    </row>
    <row r="32" spans="1:16" ht="26.25" customHeight="1" x14ac:dyDescent="0.2">
      <c r="A32" s="100"/>
      <c r="B32" s="100"/>
      <c r="C32" s="65" t="s">
        <v>3342</v>
      </c>
      <c r="D32" s="70" t="s">
        <v>57</v>
      </c>
      <c r="E32" s="12">
        <v>44548</v>
      </c>
      <c r="F32" s="68" t="s">
        <v>59</v>
      </c>
      <c r="G32" s="12">
        <v>44555</v>
      </c>
      <c r="H32" s="69" t="s">
        <v>3349</v>
      </c>
      <c r="I32" s="15">
        <v>86</v>
      </c>
      <c r="J32" s="15">
        <v>43</v>
      </c>
      <c r="K32" s="15">
        <v>18</v>
      </c>
      <c r="L32" s="15">
        <v>26</v>
      </c>
      <c r="M32" s="73">
        <v>16.640999999999998</v>
      </c>
      <c r="N32" s="104">
        <v>26</v>
      </c>
      <c r="O32" s="57">
        <v>7000</v>
      </c>
      <c r="P32" s="58">
        <f t="shared" si="0"/>
        <v>182000</v>
      </c>
    </row>
    <row r="33" spans="1:16" ht="26.25" customHeight="1" x14ac:dyDescent="0.2">
      <c r="A33" s="100"/>
      <c r="B33" s="100"/>
      <c r="C33" s="65" t="s">
        <v>3343</v>
      </c>
      <c r="D33" s="70" t="s">
        <v>57</v>
      </c>
      <c r="E33" s="12">
        <v>44548</v>
      </c>
      <c r="F33" s="68" t="s">
        <v>59</v>
      </c>
      <c r="G33" s="12">
        <v>44555</v>
      </c>
      <c r="H33" s="69" t="s">
        <v>3349</v>
      </c>
      <c r="I33" s="15">
        <v>35</v>
      </c>
      <c r="J33" s="15">
        <v>13</v>
      </c>
      <c r="K33" s="15">
        <v>23</v>
      </c>
      <c r="L33" s="15">
        <v>1</v>
      </c>
      <c r="M33" s="73">
        <v>2.61625</v>
      </c>
      <c r="N33" s="104">
        <v>2.61625</v>
      </c>
      <c r="O33" s="57">
        <v>7000</v>
      </c>
      <c r="P33" s="58">
        <f t="shared" si="0"/>
        <v>18313.75</v>
      </c>
    </row>
    <row r="34" spans="1:16" ht="26.25" customHeight="1" x14ac:dyDescent="0.2">
      <c r="A34" s="100"/>
      <c r="B34" s="100"/>
      <c r="C34" s="65" t="s">
        <v>3344</v>
      </c>
      <c r="D34" s="70" t="s">
        <v>57</v>
      </c>
      <c r="E34" s="12">
        <v>44548</v>
      </c>
      <c r="F34" s="68" t="s">
        <v>59</v>
      </c>
      <c r="G34" s="12">
        <v>44555</v>
      </c>
      <c r="H34" s="69" t="s">
        <v>3349</v>
      </c>
      <c r="I34" s="15">
        <v>98</v>
      </c>
      <c r="J34" s="15">
        <v>48</v>
      </c>
      <c r="K34" s="15">
        <v>30</v>
      </c>
      <c r="L34" s="15">
        <v>28</v>
      </c>
      <c r="M34" s="73">
        <v>35.28</v>
      </c>
      <c r="N34" s="104">
        <v>35.28</v>
      </c>
      <c r="O34" s="57">
        <v>7000</v>
      </c>
      <c r="P34" s="58">
        <f t="shared" si="0"/>
        <v>246960</v>
      </c>
    </row>
    <row r="35" spans="1:16" ht="26.25" customHeight="1" x14ac:dyDescent="0.2">
      <c r="A35" s="100"/>
      <c r="B35" s="101"/>
      <c r="C35" s="65" t="s">
        <v>3345</v>
      </c>
      <c r="D35" s="70" t="s">
        <v>57</v>
      </c>
      <c r="E35" s="12">
        <v>44548</v>
      </c>
      <c r="F35" s="68" t="s">
        <v>59</v>
      </c>
      <c r="G35" s="12">
        <v>44555</v>
      </c>
      <c r="H35" s="69" t="s">
        <v>3349</v>
      </c>
      <c r="I35" s="15">
        <v>68</v>
      </c>
      <c r="J35" s="15">
        <v>46</v>
      </c>
      <c r="K35" s="15">
        <v>55</v>
      </c>
      <c r="L35" s="15">
        <v>20</v>
      </c>
      <c r="M35" s="73">
        <v>43.01</v>
      </c>
      <c r="N35" s="104">
        <v>43.01</v>
      </c>
      <c r="O35" s="57">
        <v>7000</v>
      </c>
      <c r="P35" s="58">
        <f t="shared" si="0"/>
        <v>301070</v>
      </c>
    </row>
    <row r="36" spans="1:16" ht="26.25" customHeight="1" x14ac:dyDescent="0.2">
      <c r="A36" s="100"/>
      <c r="B36" s="100" t="s">
        <v>3346</v>
      </c>
      <c r="C36" s="65" t="s">
        <v>3347</v>
      </c>
      <c r="D36" s="70" t="s">
        <v>57</v>
      </c>
      <c r="E36" s="12">
        <v>44548</v>
      </c>
      <c r="F36" s="68" t="s">
        <v>59</v>
      </c>
      <c r="G36" s="12">
        <v>44555</v>
      </c>
      <c r="H36" s="69" t="s">
        <v>3349</v>
      </c>
      <c r="I36" s="15">
        <v>19</v>
      </c>
      <c r="J36" s="15">
        <v>13</v>
      </c>
      <c r="K36" s="15">
        <v>7</v>
      </c>
      <c r="L36" s="15">
        <v>1</v>
      </c>
      <c r="M36" s="73">
        <v>0.43225000000000002</v>
      </c>
      <c r="N36" s="104">
        <v>2</v>
      </c>
      <c r="O36" s="57">
        <v>7000</v>
      </c>
      <c r="P36" s="58">
        <f t="shared" si="0"/>
        <v>14000</v>
      </c>
    </row>
    <row r="37" spans="1:16" ht="26.25" customHeight="1" x14ac:dyDescent="0.2">
      <c r="A37" s="100"/>
      <c r="B37" s="100"/>
      <c r="C37" s="65" t="s">
        <v>3348</v>
      </c>
      <c r="D37" s="70" t="s">
        <v>57</v>
      </c>
      <c r="E37" s="12">
        <v>44548</v>
      </c>
      <c r="F37" s="68" t="s">
        <v>59</v>
      </c>
      <c r="G37" s="12">
        <v>44555</v>
      </c>
      <c r="H37" s="69" t="s">
        <v>3349</v>
      </c>
      <c r="I37" s="15">
        <v>33</v>
      </c>
      <c r="J37" s="15">
        <v>24</v>
      </c>
      <c r="K37" s="15">
        <v>10</v>
      </c>
      <c r="L37" s="15">
        <v>1</v>
      </c>
      <c r="M37" s="73">
        <v>1.98</v>
      </c>
      <c r="N37" s="104">
        <v>1.98</v>
      </c>
      <c r="O37" s="57">
        <v>7000</v>
      </c>
      <c r="P37" s="58">
        <f t="shared" si="0"/>
        <v>13860</v>
      </c>
    </row>
    <row r="38" spans="1:16" ht="22.5" customHeight="1" x14ac:dyDescent="0.2">
      <c r="A38" s="159" t="s">
        <v>30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1"/>
      <c r="M38" s="71">
        <f>SUBTOTAL(109,Table2245789101123456789101112131415161718192021222324252627282930313233343537383940414243444546474849505152535455[KG VOLUME])</f>
        <v>572.43474999999989</v>
      </c>
      <c r="N38" s="61">
        <f>SUM(N3:N37)</f>
        <v>598.89525000000003</v>
      </c>
      <c r="O38" s="162">
        <f>SUM(P3:P37)</f>
        <v>4192266.75</v>
      </c>
      <c r="P38" s="163"/>
    </row>
    <row r="39" spans="1:16" ht="18" customHeight="1" x14ac:dyDescent="0.2">
      <c r="A39" s="78"/>
      <c r="B39" s="49" t="s">
        <v>42</v>
      </c>
      <c r="C39" s="48"/>
      <c r="D39" s="50" t="s">
        <v>43</v>
      </c>
      <c r="E39" s="78"/>
      <c r="F39" s="78"/>
      <c r="G39" s="78"/>
      <c r="H39" s="78"/>
      <c r="I39" s="78"/>
      <c r="J39" s="78"/>
      <c r="K39" s="78"/>
      <c r="L39" s="78"/>
      <c r="M39" s="79"/>
      <c r="N39" s="80" t="s">
        <v>52</v>
      </c>
      <c r="O39" s="81"/>
      <c r="P39" s="81">
        <v>0</v>
      </c>
    </row>
    <row r="40" spans="1:16" ht="18" customHeight="1" thickBot="1" x14ac:dyDescent="0.25">
      <c r="A40" s="78"/>
      <c r="B40" s="49"/>
      <c r="C40" s="48"/>
      <c r="D40" s="50"/>
      <c r="E40" s="78"/>
      <c r="F40" s="78"/>
      <c r="G40" s="78"/>
      <c r="H40" s="78"/>
      <c r="I40" s="78"/>
      <c r="J40" s="78"/>
      <c r="K40" s="78"/>
      <c r="L40" s="78"/>
      <c r="M40" s="79"/>
      <c r="N40" s="82" t="s">
        <v>53</v>
      </c>
      <c r="O40" s="83"/>
      <c r="P40" s="83">
        <f>O38-P39</f>
        <v>4192266.75</v>
      </c>
    </row>
    <row r="41" spans="1:16" ht="18" customHeight="1" x14ac:dyDescent="0.2">
      <c r="A41" s="10"/>
      <c r="H41" s="56"/>
      <c r="N41" s="55" t="s">
        <v>31</v>
      </c>
      <c r="P41" s="62">
        <f>P40*1%</f>
        <v>41922.667500000003</v>
      </c>
    </row>
    <row r="42" spans="1:16" ht="18" customHeight="1" thickBot="1" x14ac:dyDescent="0.25">
      <c r="A42" s="10"/>
      <c r="H42" s="56"/>
      <c r="N42" s="55" t="s">
        <v>54</v>
      </c>
      <c r="P42" s="64">
        <f>P40*2%</f>
        <v>83845.335000000006</v>
      </c>
    </row>
    <row r="43" spans="1:16" ht="18" customHeight="1" x14ac:dyDescent="0.2">
      <c r="A43" s="10"/>
      <c r="H43" s="56"/>
      <c r="N43" s="59" t="s">
        <v>32</v>
      </c>
      <c r="O43" s="60"/>
      <c r="P43" s="63">
        <f>P40+P41-P42</f>
        <v>4150344.0825000005</v>
      </c>
    </row>
    <row r="45" spans="1:16" x14ac:dyDescent="0.2">
      <c r="A45" s="10"/>
      <c r="H45" s="56"/>
      <c r="P45" s="64"/>
    </row>
    <row r="46" spans="1:16" x14ac:dyDescent="0.2">
      <c r="A46" s="10"/>
      <c r="H46" s="56"/>
      <c r="O46" s="51"/>
      <c r="P46" s="6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</sheetData>
  <mergeCells count="2">
    <mergeCell ref="A38:L38"/>
    <mergeCell ref="O38:P38"/>
  </mergeCells>
  <conditionalFormatting sqref="C3:C37">
    <cfRule type="duplicateValues" dxfId="735" priority="8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0"/>
  <sheetViews>
    <sheetView workbookViewId="0">
      <selection activeCell="N39" sqref="N3:N3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403914</v>
      </c>
      <c r="B3" s="99" t="s">
        <v>3350</v>
      </c>
      <c r="C3" s="90" t="s">
        <v>3351</v>
      </c>
      <c r="D3" s="102" t="s">
        <v>57</v>
      </c>
      <c r="E3" s="91">
        <v>44548</v>
      </c>
      <c r="F3" s="102" t="s">
        <v>59</v>
      </c>
      <c r="G3" s="91">
        <v>44555</v>
      </c>
      <c r="H3" s="90" t="s">
        <v>3349</v>
      </c>
      <c r="I3" s="90">
        <v>34</v>
      </c>
      <c r="J3" s="90">
        <v>35</v>
      </c>
      <c r="K3" s="90">
        <v>34</v>
      </c>
      <c r="L3" s="90">
        <v>4</v>
      </c>
      <c r="M3" s="90">
        <v>10.115</v>
      </c>
      <c r="N3" s="104">
        <v>10.115</v>
      </c>
      <c r="O3" s="57">
        <v>7000</v>
      </c>
      <c r="P3" s="58">
        <f t="shared" ref="P3:P39" si="0">N3*O3</f>
        <v>70805</v>
      </c>
    </row>
    <row r="4" spans="1:16" ht="26.25" customHeight="1" x14ac:dyDescent="0.2">
      <c r="A4" s="100"/>
      <c r="B4" s="100"/>
      <c r="C4" s="90" t="s">
        <v>3352</v>
      </c>
      <c r="D4" s="102" t="s">
        <v>57</v>
      </c>
      <c r="E4" s="91">
        <v>44548</v>
      </c>
      <c r="F4" s="102" t="s">
        <v>59</v>
      </c>
      <c r="G4" s="91">
        <v>44555</v>
      </c>
      <c r="H4" s="90" t="s">
        <v>3349</v>
      </c>
      <c r="I4" s="90">
        <v>60</v>
      </c>
      <c r="J4" s="90">
        <v>52</v>
      </c>
      <c r="K4" s="90">
        <v>60</v>
      </c>
      <c r="L4" s="90">
        <v>5</v>
      </c>
      <c r="M4" s="90">
        <v>46.8</v>
      </c>
      <c r="N4" s="104">
        <v>46.8</v>
      </c>
      <c r="O4" s="57">
        <v>7000</v>
      </c>
      <c r="P4" s="58">
        <f t="shared" si="0"/>
        <v>327600</v>
      </c>
    </row>
    <row r="5" spans="1:16" ht="26.25" customHeight="1" x14ac:dyDescent="0.2">
      <c r="A5" s="100"/>
      <c r="B5" s="100"/>
      <c r="C5" s="65" t="s">
        <v>3353</v>
      </c>
      <c r="D5" s="70" t="s">
        <v>57</v>
      </c>
      <c r="E5" s="12">
        <v>44548</v>
      </c>
      <c r="F5" s="68" t="s">
        <v>59</v>
      </c>
      <c r="G5" s="12">
        <v>44555</v>
      </c>
      <c r="H5" s="69" t="s">
        <v>3349</v>
      </c>
      <c r="I5" s="15">
        <v>20</v>
      </c>
      <c r="J5" s="15">
        <v>20</v>
      </c>
      <c r="K5" s="15">
        <v>6</v>
      </c>
      <c r="L5" s="15">
        <v>1</v>
      </c>
      <c r="M5" s="73">
        <v>0.6</v>
      </c>
      <c r="N5" s="104">
        <v>1</v>
      </c>
      <c r="O5" s="57">
        <v>7000</v>
      </c>
      <c r="P5" s="58">
        <f t="shared" si="0"/>
        <v>7000</v>
      </c>
    </row>
    <row r="6" spans="1:16" ht="26.25" customHeight="1" x14ac:dyDescent="0.2">
      <c r="A6" s="100"/>
      <c r="B6" s="100"/>
      <c r="C6" s="65" t="s">
        <v>3354</v>
      </c>
      <c r="D6" s="70" t="s">
        <v>57</v>
      </c>
      <c r="E6" s="12">
        <v>44548</v>
      </c>
      <c r="F6" s="68" t="s">
        <v>59</v>
      </c>
      <c r="G6" s="12">
        <v>44555</v>
      </c>
      <c r="H6" s="69" t="s">
        <v>3349</v>
      </c>
      <c r="I6" s="15">
        <v>89</v>
      </c>
      <c r="J6" s="15">
        <v>50</v>
      </c>
      <c r="K6" s="15">
        <v>36</v>
      </c>
      <c r="L6" s="15">
        <v>13</v>
      </c>
      <c r="M6" s="73">
        <v>40.049999999999997</v>
      </c>
      <c r="N6" s="104">
        <v>40.049999999999997</v>
      </c>
      <c r="O6" s="57">
        <v>7000</v>
      </c>
      <c r="P6" s="58">
        <f t="shared" si="0"/>
        <v>280350</v>
      </c>
    </row>
    <row r="7" spans="1:16" ht="26.25" customHeight="1" x14ac:dyDescent="0.2">
      <c r="A7" s="100"/>
      <c r="B7" s="100"/>
      <c r="C7" s="65" t="s">
        <v>3355</v>
      </c>
      <c r="D7" s="70" t="s">
        <v>57</v>
      </c>
      <c r="E7" s="12">
        <v>44548</v>
      </c>
      <c r="F7" s="68" t="s">
        <v>59</v>
      </c>
      <c r="G7" s="12">
        <v>44555</v>
      </c>
      <c r="H7" s="69" t="s">
        <v>3349</v>
      </c>
      <c r="I7" s="15">
        <v>100</v>
      </c>
      <c r="J7" s="15">
        <v>25</v>
      </c>
      <c r="K7" s="15">
        <v>10</v>
      </c>
      <c r="L7" s="15">
        <v>7</v>
      </c>
      <c r="M7" s="73">
        <v>6.25</v>
      </c>
      <c r="N7" s="104">
        <v>7</v>
      </c>
      <c r="O7" s="57">
        <v>7000</v>
      </c>
      <c r="P7" s="58">
        <f t="shared" si="0"/>
        <v>49000</v>
      </c>
    </row>
    <row r="8" spans="1:16" ht="26.25" customHeight="1" x14ac:dyDescent="0.2">
      <c r="A8" s="100"/>
      <c r="B8" s="100"/>
      <c r="C8" s="65" t="s">
        <v>3356</v>
      </c>
      <c r="D8" s="70" t="s">
        <v>57</v>
      </c>
      <c r="E8" s="12">
        <v>44548</v>
      </c>
      <c r="F8" s="68" t="s">
        <v>59</v>
      </c>
      <c r="G8" s="12">
        <v>44555</v>
      </c>
      <c r="H8" s="69" t="s">
        <v>3349</v>
      </c>
      <c r="I8" s="15">
        <v>35</v>
      </c>
      <c r="J8" s="15">
        <v>31</v>
      </c>
      <c r="K8" s="15">
        <v>15</v>
      </c>
      <c r="L8" s="15">
        <v>4</v>
      </c>
      <c r="M8" s="73">
        <v>4.0687499999999996</v>
      </c>
      <c r="N8" s="104">
        <v>4.0687499999999996</v>
      </c>
      <c r="O8" s="57">
        <v>7000</v>
      </c>
      <c r="P8" s="58">
        <f t="shared" si="0"/>
        <v>28481.249999999996</v>
      </c>
    </row>
    <row r="9" spans="1:16" ht="26.25" customHeight="1" x14ac:dyDescent="0.2">
      <c r="A9" s="100"/>
      <c r="B9" s="100"/>
      <c r="C9" s="65" t="s">
        <v>3357</v>
      </c>
      <c r="D9" s="70" t="s">
        <v>57</v>
      </c>
      <c r="E9" s="12">
        <v>44548</v>
      </c>
      <c r="F9" s="68" t="s">
        <v>59</v>
      </c>
      <c r="G9" s="12">
        <v>44555</v>
      </c>
      <c r="H9" s="69" t="s">
        <v>3349</v>
      </c>
      <c r="I9" s="15">
        <v>50</v>
      </c>
      <c r="J9" s="15">
        <v>32</v>
      </c>
      <c r="K9" s="15">
        <v>22</v>
      </c>
      <c r="L9" s="15">
        <v>6</v>
      </c>
      <c r="M9" s="73">
        <v>8.8000000000000007</v>
      </c>
      <c r="N9" s="104">
        <v>8.8000000000000007</v>
      </c>
      <c r="O9" s="57">
        <v>7000</v>
      </c>
      <c r="P9" s="58">
        <f t="shared" si="0"/>
        <v>61600.000000000007</v>
      </c>
    </row>
    <row r="10" spans="1:16" ht="26.25" customHeight="1" x14ac:dyDescent="0.2">
      <c r="A10" s="100"/>
      <c r="B10" s="100"/>
      <c r="C10" s="65" t="s">
        <v>3358</v>
      </c>
      <c r="D10" s="70" t="s">
        <v>57</v>
      </c>
      <c r="E10" s="12">
        <v>44548</v>
      </c>
      <c r="F10" s="68" t="s">
        <v>59</v>
      </c>
      <c r="G10" s="12">
        <v>44555</v>
      </c>
      <c r="H10" s="69" t="s">
        <v>3349</v>
      </c>
      <c r="I10" s="15">
        <v>70</v>
      </c>
      <c r="J10" s="15">
        <v>55</v>
      </c>
      <c r="K10" s="15">
        <v>17</v>
      </c>
      <c r="L10" s="15">
        <v>5</v>
      </c>
      <c r="M10" s="73">
        <v>16.362500000000001</v>
      </c>
      <c r="N10" s="104">
        <v>17</v>
      </c>
      <c r="O10" s="57">
        <v>7000</v>
      </c>
      <c r="P10" s="58">
        <f t="shared" si="0"/>
        <v>119000</v>
      </c>
    </row>
    <row r="11" spans="1:16" ht="26.25" customHeight="1" x14ac:dyDescent="0.2">
      <c r="A11" s="100"/>
      <c r="B11" s="100"/>
      <c r="C11" s="65" t="s">
        <v>3359</v>
      </c>
      <c r="D11" s="70" t="s">
        <v>57</v>
      </c>
      <c r="E11" s="12">
        <v>44548</v>
      </c>
      <c r="F11" s="68" t="s">
        <v>59</v>
      </c>
      <c r="G11" s="12">
        <v>44555</v>
      </c>
      <c r="H11" s="69" t="s">
        <v>3349</v>
      </c>
      <c r="I11" s="15">
        <v>62</v>
      </c>
      <c r="J11" s="15">
        <v>40</v>
      </c>
      <c r="K11" s="15">
        <v>12</v>
      </c>
      <c r="L11" s="15">
        <v>3</v>
      </c>
      <c r="M11" s="73">
        <v>7.44</v>
      </c>
      <c r="N11" s="104">
        <v>8</v>
      </c>
      <c r="O11" s="57">
        <v>7000</v>
      </c>
      <c r="P11" s="58">
        <f t="shared" si="0"/>
        <v>56000</v>
      </c>
    </row>
    <row r="12" spans="1:16" ht="26.25" customHeight="1" x14ac:dyDescent="0.2">
      <c r="A12" s="100"/>
      <c r="B12" s="100"/>
      <c r="C12" s="65" t="s">
        <v>3360</v>
      </c>
      <c r="D12" s="70" t="s">
        <v>57</v>
      </c>
      <c r="E12" s="12">
        <v>44548</v>
      </c>
      <c r="F12" s="68" t="s">
        <v>59</v>
      </c>
      <c r="G12" s="12">
        <v>44555</v>
      </c>
      <c r="H12" s="69" t="s">
        <v>3349</v>
      </c>
      <c r="I12" s="15">
        <v>36</v>
      </c>
      <c r="J12" s="15">
        <v>35</v>
      </c>
      <c r="K12" s="15">
        <v>3</v>
      </c>
      <c r="L12" s="15">
        <v>4</v>
      </c>
      <c r="M12" s="73">
        <v>0.94499999999999995</v>
      </c>
      <c r="N12" s="104">
        <v>4</v>
      </c>
      <c r="O12" s="57">
        <v>7000</v>
      </c>
      <c r="P12" s="58">
        <f t="shared" si="0"/>
        <v>28000</v>
      </c>
    </row>
    <row r="13" spans="1:16" ht="26.25" customHeight="1" x14ac:dyDescent="0.2">
      <c r="A13" s="100"/>
      <c r="B13" s="100"/>
      <c r="C13" s="65" t="s">
        <v>3361</v>
      </c>
      <c r="D13" s="70" t="s">
        <v>57</v>
      </c>
      <c r="E13" s="12">
        <v>44548</v>
      </c>
      <c r="F13" s="68" t="s">
        <v>59</v>
      </c>
      <c r="G13" s="12">
        <v>44555</v>
      </c>
      <c r="H13" s="69" t="s">
        <v>3349</v>
      </c>
      <c r="I13" s="15">
        <v>36</v>
      </c>
      <c r="J13" s="15">
        <v>30</v>
      </c>
      <c r="K13" s="15">
        <v>10</v>
      </c>
      <c r="L13" s="15">
        <v>1</v>
      </c>
      <c r="M13" s="73">
        <v>2.7</v>
      </c>
      <c r="N13" s="104">
        <v>2.7</v>
      </c>
      <c r="O13" s="57">
        <v>7000</v>
      </c>
      <c r="P13" s="58">
        <f t="shared" si="0"/>
        <v>18900</v>
      </c>
    </row>
    <row r="14" spans="1:16" ht="26.25" customHeight="1" x14ac:dyDescent="0.2">
      <c r="A14" s="100"/>
      <c r="B14" s="100"/>
      <c r="C14" s="65" t="s">
        <v>3362</v>
      </c>
      <c r="D14" s="70" t="s">
        <v>57</v>
      </c>
      <c r="E14" s="12">
        <v>44548</v>
      </c>
      <c r="F14" s="68" t="s">
        <v>59</v>
      </c>
      <c r="G14" s="12">
        <v>44555</v>
      </c>
      <c r="H14" s="69" t="s">
        <v>3349</v>
      </c>
      <c r="I14" s="15">
        <v>60</v>
      </c>
      <c r="J14" s="15">
        <v>5</v>
      </c>
      <c r="K14" s="15">
        <v>22</v>
      </c>
      <c r="L14" s="15">
        <v>6</v>
      </c>
      <c r="M14" s="73">
        <v>1.65</v>
      </c>
      <c r="N14" s="104">
        <v>6</v>
      </c>
      <c r="O14" s="57">
        <v>7000</v>
      </c>
      <c r="P14" s="58">
        <f t="shared" si="0"/>
        <v>42000</v>
      </c>
    </row>
    <row r="15" spans="1:16" ht="26.25" customHeight="1" x14ac:dyDescent="0.2">
      <c r="A15" s="100"/>
      <c r="B15" s="100"/>
      <c r="C15" s="65" t="s">
        <v>3363</v>
      </c>
      <c r="D15" s="70" t="s">
        <v>57</v>
      </c>
      <c r="E15" s="12">
        <v>44548</v>
      </c>
      <c r="F15" s="68" t="s">
        <v>59</v>
      </c>
      <c r="G15" s="12">
        <v>44555</v>
      </c>
      <c r="H15" s="69" t="s">
        <v>3349</v>
      </c>
      <c r="I15" s="15">
        <v>40</v>
      </c>
      <c r="J15" s="15">
        <v>40</v>
      </c>
      <c r="K15" s="15">
        <v>8</v>
      </c>
      <c r="L15" s="15">
        <v>6</v>
      </c>
      <c r="M15" s="73">
        <v>3.2</v>
      </c>
      <c r="N15" s="104">
        <v>6</v>
      </c>
      <c r="O15" s="57">
        <v>7000</v>
      </c>
      <c r="P15" s="58">
        <f t="shared" si="0"/>
        <v>42000</v>
      </c>
    </row>
    <row r="16" spans="1:16" ht="26.25" customHeight="1" x14ac:dyDescent="0.2">
      <c r="A16" s="100"/>
      <c r="B16" s="100"/>
      <c r="C16" s="65" t="s">
        <v>3364</v>
      </c>
      <c r="D16" s="70" t="s">
        <v>57</v>
      </c>
      <c r="E16" s="12">
        <v>44548</v>
      </c>
      <c r="F16" s="68" t="s">
        <v>59</v>
      </c>
      <c r="G16" s="12">
        <v>44555</v>
      </c>
      <c r="H16" s="69" t="s">
        <v>3349</v>
      </c>
      <c r="I16" s="15">
        <v>45</v>
      </c>
      <c r="J16" s="15">
        <v>40</v>
      </c>
      <c r="K16" s="15">
        <v>15</v>
      </c>
      <c r="L16" s="15">
        <v>21</v>
      </c>
      <c r="M16" s="73">
        <v>6.75</v>
      </c>
      <c r="N16" s="104">
        <v>21</v>
      </c>
      <c r="O16" s="57">
        <v>7000</v>
      </c>
      <c r="P16" s="58">
        <f t="shared" si="0"/>
        <v>147000</v>
      </c>
    </row>
    <row r="17" spans="1:16" ht="26.25" customHeight="1" x14ac:dyDescent="0.2">
      <c r="A17" s="100"/>
      <c r="B17" s="100"/>
      <c r="C17" s="65" t="s">
        <v>3365</v>
      </c>
      <c r="D17" s="70" t="s">
        <v>57</v>
      </c>
      <c r="E17" s="12">
        <v>44548</v>
      </c>
      <c r="F17" s="68" t="s">
        <v>59</v>
      </c>
      <c r="G17" s="12">
        <v>44555</v>
      </c>
      <c r="H17" s="69" t="s">
        <v>3349</v>
      </c>
      <c r="I17" s="15">
        <v>40</v>
      </c>
      <c r="J17" s="15">
        <v>40</v>
      </c>
      <c r="K17" s="15">
        <v>10</v>
      </c>
      <c r="L17" s="15">
        <v>1</v>
      </c>
      <c r="M17" s="73">
        <v>4</v>
      </c>
      <c r="N17" s="104">
        <v>4</v>
      </c>
      <c r="O17" s="57">
        <v>7000</v>
      </c>
      <c r="P17" s="58">
        <f t="shared" si="0"/>
        <v>28000</v>
      </c>
    </row>
    <row r="18" spans="1:16" ht="26.25" customHeight="1" x14ac:dyDescent="0.2">
      <c r="A18" s="100"/>
      <c r="B18" s="100"/>
      <c r="C18" s="65" t="s">
        <v>3366</v>
      </c>
      <c r="D18" s="70" t="s">
        <v>57</v>
      </c>
      <c r="E18" s="12">
        <v>44548</v>
      </c>
      <c r="F18" s="68" t="s">
        <v>59</v>
      </c>
      <c r="G18" s="12">
        <v>44555</v>
      </c>
      <c r="H18" s="69" t="s">
        <v>3349</v>
      </c>
      <c r="I18" s="15">
        <v>60</v>
      </c>
      <c r="J18" s="15">
        <v>40</v>
      </c>
      <c r="K18" s="15">
        <v>15</v>
      </c>
      <c r="L18" s="15">
        <v>3</v>
      </c>
      <c r="M18" s="73">
        <v>9</v>
      </c>
      <c r="N18" s="104">
        <v>9</v>
      </c>
      <c r="O18" s="57">
        <v>7000</v>
      </c>
      <c r="P18" s="58">
        <f t="shared" si="0"/>
        <v>63000</v>
      </c>
    </row>
    <row r="19" spans="1:16" ht="26.25" customHeight="1" x14ac:dyDescent="0.2">
      <c r="A19" s="100"/>
      <c r="B19" s="100"/>
      <c r="C19" s="65" t="s">
        <v>3367</v>
      </c>
      <c r="D19" s="70" t="s">
        <v>57</v>
      </c>
      <c r="E19" s="12">
        <v>44548</v>
      </c>
      <c r="F19" s="68" t="s">
        <v>59</v>
      </c>
      <c r="G19" s="12">
        <v>44555</v>
      </c>
      <c r="H19" s="69" t="s">
        <v>3349</v>
      </c>
      <c r="I19" s="15">
        <v>43</v>
      </c>
      <c r="J19" s="15">
        <v>32</v>
      </c>
      <c r="K19" s="15">
        <v>15</v>
      </c>
      <c r="L19" s="15">
        <v>1</v>
      </c>
      <c r="M19" s="73">
        <v>5.16</v>
      </c>
      <c r="N19" s="104">
        <v>5.16</v>
      </c>
      <c r="O19" s="57">
        <v>7000</v>
      </c>
      <c r="P19" s="58">
        <f t="shared" si="0"/>
        <v>36120</v>
      </c>
    </row>
    <row r="20" spans="1:16" ht="26.25" customHeight="1" x14ac:dyDescent="0.2">
      <c r="A20" s="100"/>
      <c r="B20" s="100"/>
      <c r="C20" s="65" t="s">
        <v>3368</v>
      </c>
      <c r="D20" s="70" t="s">
        <v>57</v>
      </c>
      <c r="E20" s="12">
        <v>44548</v>
      </c>
      <c r="F20" s="68" t="s">
        <v>59</v>
      </c>
      <c r="G20" s="12">
        <v>44555</v>
      </c>
      <c r="H20" s="69" t="s">
        <v>3349</v>
      </c>
      <c r="I20" s="15">
        <v>75</v>
      </c>
      <c r="J20" s="15">
        <v>65</v>
      </c>
      <c r="K20" s="15">
        <v>22</v>
      </c>
      <c r="L20" s="15">
        <v>4</v>
      </c>
      <c r="M20" s="73">
        <v>26.8125</v>
      </c>
      <c r="N20" s="104">
        <v>26.8125</v>
      </c>
      <c r="O20" s="57">
        <v>7000</v>
      </c>
      <c r="P20" s="58">
        <f t="shared" si="0"/>
        <v>187687.5</v>
      </c>
    </row>
    <row r="21" spans="1:16" ht="26.25" customHeight="1" x14ac:dyDescent="0.2">
      <c r="A21" s="100"/>
      <c r="B21" s="100"/>
      <c r="C21" s="65" t="s">
        <v>3369</v>
      </c>
      <c r="D21" s="70" t="s">
        <v>57</v>
      </c>
      <c r="E21" s="12">
        <v>44548</v>
      </c>
      <c r="F21" s="68" t="s">
        <v>59</v>
      </c>
      <c r="G21" s="12">
        <v>44555</v>
      </c>
      <c r="H21" s="69" t="s">
        <v>3349</v>
      </c>
      <c r="I21" s="15">
        <v>105</v>
      </c>
      <c r="J21" s="15">
        <v>62</v>
      </c>
      <c r="K21" s="15">
        <v>26</v>
      </c>
      <c r="L21" s="15">
        <v>17</v>
      </c>
      <c r="M21" s="73">
        <v>42.314999999999998</v>
      </c>
      <c r="N21" s="104">
        <v>43</v>
      </c>
      <c r="O21" s="57">
        <v>7000</v>
      </c>
      <c r="P21" s="58">
        <f t="shared" si="0"/>
        <v>301000</v>
      </c>
    </row>
    <row r="22" spans="1:16" ht="26.25" customHeight="1" x14ac:dyDescent="0.2">
      <c r="A22" s="100"/>
      <c r="B22" s="100"/>
      <c r="C22" s="65" t="s">
        <v>3370</v>
      </c>
      <c r="D22" s="70" t="s">
        <v>57</v>
      </c>
      <c r="E22" s="12">
        <v>44548</v>
      </c>
      <c r="F22" s="68" t="s">
        <v>59</v>
      </c>
      <c r="G22" s="12">
        <v>44555</v>
      </c>
      <c r="H22" s="69" t="s">
        <v>3349</v>
      </c>
      <c r="I22" s="15">
        <v>39</v>
      </c>
      <c r="J22" s="15">
        <v>35</v>
      </c>
      <c r="K22" s="15">
        <v>12</v>
      </c>
      <c r="L22" s="15">
        <v>12</v>
      </c>
      <c r="M22" s="73">
        <v>4.0949999999999998</v>
      </c>
      <c r="N22" s="104">
        <v>12</v>
      </c>
      <c r="O22" s="57">
        <v>7000</v>
      </c>
      <c r="P22" s="58">
        <f t="shared" si="0"/>
        <v>84000</v>
      </c>
    </row>
    <row r="23" spans="1:16" ht="26.25" customHeight="1" x14ac:dyDescent="0.2">
      <c r="A23" s="100"/>
      <c r="B23" s="100"/>
      <c r="C23" s="65" t="s">
        <v>3371</v>
      </c>
      <c r="D23" s="70" t="s">
        <v>57</v>
      </c>
      <c r="E23" s="12">
        <v>44548</v>
      </c>
      <c r="F23" s="68" t="s">
        <v>59</v>
      </c>
      <c r="G23" s="12">
        <v>44555</v>
      </c>
      <c r="H23" s="69" t="s">
        <v>3349</v>
      </c>
      <c r="I23" s="15">
        <v>40</v>
      </c>
      <c r="J23" s="15">
        <v>44</v>
      </c>
      <c r="K23" s="15">
        <v>12</v>
      </c>
      <c r="L23" s="15">
        <v>2</v>
      </c>
      <c r="M23" s="73">
        <v>5.28</v>
      </c>
      <c r="N23" s="104">
        <v>5.28</v>
      </c>
      <c r="O23" s="57">
        <v>7000</v>
      </c>
      <c r="P23" s="58">
        <f t="shared" si="0"/>
        <v>36960</v>
      </c>
    </row>
    <row r="24" spans="1:16" ht="26.25" customHeight="1" x14ac:dyDescent="0.2">
      <c r="A24" s="100"/>
      <c r="B24" s="100"/>
      <c r="C24" s="65" t="s">
        <v>3372</v>
      </c>
      <c r="D24" s="70" t="s">
        <v>57</v>
      </c>
      <c r="E24" s="12">
        <v>44548</v>
      </c>
      <c r="F24" s="68" t="s">
        <v>59</v>
      </c>
      <c r="G24" s="12">
        <v>44555</v>
      </c>
      <c r="H24" s="69" t="s">
        <v>3349</v>
      </c>
      <c r="I24" s="15">
        <v>73</v>
      </c>
      <c r="J24" s="15">
        <v>65</v>
      </c>
      <c r="K24" s="15">
        <v>24</v>
      </c>
      <c r="L24" s="15">
        <v>12</v>
      </c>
      <c r="M24" s="73">
        <v>28.47</v>
      </c>
      <c r="N24" s="104">
        <v>29</v>
      </c>
      <c r="O24" s="57">
        <v>7000</v>
      </c>
      <c r="P24" s="58">
        <f t="shared" si="0"/>
        <v>203000</v>
      </c>
    </row>
    <row r="25" spans="1:16" ht="26.25" customHeight="1" x14ac:dyDescent="0.2">
      <c r="A25" s="100"/>
      <c r="B25" s="100"/>
      <c r="C25" s="65" t="s">
        <v>3373</v>
      </c>
      <c r="D25" s="70" t="s">
        <v>57</v>
      </c>
      <c r="E25" s="12">
        <v>44548</v>
      </c>
      <c r="F25" s="68" t="s">
        <v>59</v>
      </c>
      <c r="G25" s="12">
        <v>44555</v>
      </c>
      <c r="H25" s="69" t="s">
        <v>3349</v>
      </c>
      <c r="I25" s="15">
        <v>28</v>
      </c>
      <c r="J25" s="15">
        <v>26</v>
      </c>
      <c r="K25" s="15">
        <v>24</v>
      </c>
      <c r="L25" s="15">
        <v>3</v>
      </c>
      <c r="M25" s="73">
        <v>4.3680000000000003</v>
      </c>
      <c r="N25" s="104">
        <v>5</v>
      </c>
      <c r="O25" s="57">
        <v>7000</v>
      </c>
      <c r="P25" s="58">
        <f t="shared" si="0"/>
        <v>35000</v>
      </c>
    </row>
    <row r="26" spans="1:16" ht="26.25" customHeight="1" x14ac:dyDescent="0.2">
      <c r="A26" s="100"/>
      <c r="B26" s="100"/>
      <c r="C26" s="65" t="s">
        <v>3374</v>
      </c>
      <c r="D26" s="70" t="s">
        <v>57</v>
      </c>
      <c r="E26" s="12">
        <v>44548</v>
      </c>
      <c r="F26" s="68" t="s">
        <v>59</v>
      </c>
      <c r="G26" s="12">
        <v>44555</v>
      </c>
      <c r="H26" s="69" t="s">
        <v>3349</v>
      </c>
      <c r="I26" s="15">
        <v>50</v>
      </c>
      <c r="J26" s="15">
        <v>35</v>
      </c>
      <c r="K26" s="15">
        <v>25</v>
      </c>
      <c r="L26" s="15">
        <v>12</v>
      </c>
      <c r="M26" s="73">
        <v>10.9375</v>
      </c>
      <c r="N26" s="104">
        <v>12</v>
      </c>
      <c r="O26" s="57">
        <v>7000</v>
      </c>
      <c r="P26" s="58">
        <f t="shared" si="0"/>
        <v>84000</v>
      </c>
    </row>
    <row r="27" spans="1:16" ht="26.25" customHeight="1" x14ac:dyDescent="0.2">
      <c r="A27" s="100"/>
      <c r="B27" s="100"/>
      <c r="C27" s="65" t="s">
        <v>3375</v>
      </c>
      <c r="D27" s="70" t="s">
        <v>57</v>
      </c>
      <c r="E27" s="12">
        <v>44548</v>
      </c>
      <c r="F27" s="68" t="s">
        <v>59</v>
      </c>
      <c r="G27" s="12">
        <v>44555</v>
      </c>
      <c r="H27" s="69" t="s">
        <v>3349</v>
      </c>
      <c r="I27" s="15">
        <v>125</v>
      </c>
      <c r="J27" s="15">
        <v>20</v>
      </c>
      <c r="K27" s="15">
        <v>20</v>
      </c>
      <c r="L27" s="15">
        <v>7</v>
      </c>
      <c r="M27" s="73">
        <v>12.5</v>
      </c>
      <c r="N27" s="104">
        <v>14</v>
      </c>
      <c r="O27" s="57">
        <v>7000</v>
      </c>
      <c r="P27" s="58">
        <f t="shared" si="0"/>
        <v>98000</v>
      </c>
    </row>
    <row r="28" spans="1:16" ht="26.25" customHeight="1" x14ac:dyDescent="0.2">
      <c r="A28" s="100"/>
      <c r="B28" s="100"/>
      <c r="C28" s="65" t="s">
        <v>3376</v>
      </c>
      <c r="D28" s="70" t="s">
        <v>57</v>
      </c>
      <c r="E28" s="12">
        <v>44548</v>
      </c>
      <c r="F28" s="68" t="s">
        <v>59</v>
      </c>
      <c r="G28" s="12">
        <v>44555</v>
      </c>
      <c r="H28" s="69" t="s">
        <v>3349</v>
      </c>
      <c r="I28" s="15">
        <v>44</v>
      </c>
      <c r="J28" s="15">
        <v>34</v>
      </c>
      <c r="K28" s="15">
        <v>16</v>
      </c>
      <c r="L28" s="15">
        <v>9</v>
      </c>
      <c r="M28" s="73">
        <v>5.984</v>
      </c>
      <c r="N28" s="104">
        <v>9</v>
      </c>
      <c r="O28" s="57">
        <v>7000</v>
      </c>
      <c r="P28" s="58">
        <f t="shared" si="0"/>
        <v>63000</v>
      </c>
    </row>
    <row r="29" spans="1:16" ht="26.25" customHeight="1" x14ac:dyDescent="0.2">
      <c r="A29" s="100"/>
      <c r="B29" s="100"/>
      <c r="C29" s="65" t="s">
        <v>3377</v>
      </c>
      <c r="D29" s="70" t="s">
        <v>57</v>
      </c>
      <c r="E29" s="12">
        <v>44548</v>
      </c>
      <c r="F29" s="68" t="s">
        <v>59</v>
      </c>
      <c r="G29" s="12">
        <v>44555</v>
      </c>
      <c r="H29" s="69" t="s">
        <v>3349</v>
      </c>
      <c r="I29" s="15">
        <v>62</v>
      </c>
      <c r="J29" s="15">
        <v>40</v>
      </c>
      <c r="K29" s="15">
        <v>25</v>
      </c>
      <c r="L29" s="15">
        <v>4</v>
      </c>
      <c r="M29" s="73">
        <v>15.5</v>
      </c>
      <c r="N29" s="104">
        <v>17</v>
      </c>
      <c r="O29" s="57">
        <v>7000</v>
      </c>
      <c r="P29" s="58">
        <f t="shared" si="0"/>
        <v>119000</v>
      </c>
    </row>
    <row r="30" spans="1:16" ht="26.25" customHeight="1" x14ac:dyDescent="0.2">
      <c r="A30" s="100"/>
      <c r="B30" s="100"/>
      <c r="C30" s="65" t="s">
        <v>3378</v>
      </c>
      <c r="D30" s="70" t="s">
        <v>57</v>
      </c>
      <c r="E30" s="12">
        <v>44548</v>
      </c>
      <c r="F30" s="68" t="s">
        <v>59</v>
      </c>
      <c r="G30" s="12">
        <v>44555</v>
      </c>
      <c r="H30" s="69" t="s">
        <v>3349</v>
      </c>
      <c r="I30" s="15">
        <v>45</v>
      </c>
      <c r="J30" s="15">
        <v>40</v>
      </c>
      <c r="K30" s="15">
        <v>33</v>
      </c>
      <c r="L30" s="15">
        <v>9</v>
      </c>
      <c r="M30" s="73">
        <v>14.85</v>
      </c>
      <c r="N30" s="104">
        <v>14.85</v>
      </c>
      <c r="O30" s="57">
        <v>7000</v>
      </c>
      <c r="P30" s="58">
        <f t="shared" si="0"/>
        <v>103950</v>
      </c>
    </row>
    <row r="31" spans="1:16" ht="26.25" customHeight="1" x14ac:dyDescent="0.2">
      <c r="A31" s="100"/>
      <c r="B31" s="100"/>
      <c r="C31" s="65" t="s">
        <v>3379</v>
      </c>
      <c r="D31" s="70" t="s">
        <v>57</v>
      </c>
      <c r="E31" s="12">
        <v>44548</v>
      </c>
      <c r="F31" s="68" t="s">
        <v>59</v>
      </c>
      <c r="G31" s="12">
        <v>44555</v>
      </c>
      <c r="H31" s="69" t="s">
        <v>3349</v>
      </c>
      <c r="I31" s="15">
        <v>99</v>
      </c>
      <c r="J31" s="15">
        <v>51</v>
      </c>
      <c r="K31" s="15">
        <v>23</v>
      </c>
      <c r="L31" s="15">
        <v>20</v>
      </c>
      <c r="M31" s="73">
        <v>29.031749999999999</v>
      </c>
      <c r="N31" s="104">
        <v>29.031749999999999</v>
      </c>
      <c r="O31" s="57">
        <v>7000</v>
      </c>
      <c r="P31" s="58">
        <f t="shared" si="0"/>
        <v>203222.25</v>
      </c>
    </row>
    <row r="32" spans="1:16" ht="26.25" customHeight="1" x14ac:dyDescent="0.2">
      <c r="A32" s="100"/>
      <c r="B32" s="100"/>
      <c r="C32" s="65" t="s">
        <v>3380</v>
      </c>
      <c r="D32" s="70" t="s">
        <v>57</v>
      </c>
      <c r="E32" s="12">
        <v>44548</v>
      </c>
      <c r="F32" s="68" t="s">
        <v>59</v>
      </c>
      <c r="G32" s="12">
        <v>44555</v>
      </c>
      <c r="H32" s="69" t="s">
        <v>3349</v>
      </c>
      <c r="I32" s="15">
        <v>72</v>
      </c>
      <c r="J32" s="15">
        <v>50</v>
      </c>
      <c r="K32" s="15">
        <v>15</v>
      </c>
      <c r="L32" s="15">
        <v>5</v>
      </c>
      <c r="M32" s="73">
        <v>13.5</v>
      </c>
      <c r="N32" s="104">
        <v>15</v>
      </c>
      <c r="O32" s="57">
        <v>7000</v>
      </c>
      <c r="P32" s="58">
        <f t="shared" si="0"/>
        <v>105000</v>
      </c>
    </row>
    <row r="33" spans="1:16" ht="26.25" customHeight="1" x14ac:dyDescent="0.2">
      <c r="A33" s="100"/>
      <c r="B33" s="100"/>
      <c r="C33" s="65" t="s">
        <v>3381</v>
      </c>
      <c r="D33" s="70" t="s">
        <v>57</v>
      </c>
      <c r="E33" s="12">
        <v>44548</v>
      </c>
      <c r="F33" s="68" t="s">
        <v>59</v>
      </c>
      <c r="G33" s="12">
        <v>44555</v>
      </c>
      <c r="H33" s="69" t="s">
        <v>3349</v>
      </c>
      <c r="I33" s="15">
        <v>88</v>
      </c>
      <c r="J33" s="15">
        <v>65</v>
      </c>
      <c r="K33" s="15">
        <v>13</v>
      </c>
      <c r="L33" s="15">
        <v>15</v>
      </c>
      <c r="M33" s="73">
        <v>18.59</v>
      </c>
      <c r="N33" s="104">
        <v>18.59</v>
      </c>
      <c r="O33" s="57">
        <v>7000</v>
      </c>
      <c r="P33" s="58">
        <f t="shared" si="0"/>
        <v>130130</v>
      </c>
    </row>
    <row r="34" spans="1:16" ht="26.25" customHeight="1" x14ac:dyDescent="0.2">
      <c r="A34" s="100"/>
      <c r="B34" s="100"/>
      <c r="C34" s="65" t="s">
        <v>3382</v>
      </c>
      <c r="D34" s="70" t="s">
        <v>57</v>
      </c>
      <c r="E34" s="12">
        <v>44548</v>
      </c>
      <c r="F34" s="68" t="s">
        <v>59</v>
      </c>
      <c r="G34" s="12">
        <v>44555</v>
      </c>
      <c r="H34" s="69" t="s">
        <v>3349</v>
      </c>
      <c r="I34" s="15">
        <v>100</v>
      </c>
      <c r="J34" s="15">
        <v>60</v>
      </c>
      <c r="K34" s="15">
        <v>23</v>
      </c>
      <c r="L34" s="15">
        <v>15</v>
      </c>
      <c r="M34" s="73">
        <v>34.5</v>
      </c>
      <c r="N34" s="104">
        <v>36</v>
      </c>
      <c r="O34" s="57">
        <v>7000</v>
      </c>
      <c r="P34" s="58">
        <f t="shared" si="0"/>
        <v>252000</v>
      </c>
    </row>
    <row r="35" spans="1:16" ht="26.25" customHeight="1" x14ac:dyDescent="0.2">
      <c r="A35" s="100"/>
      <c r="B35" s="100"/>
      <c r="C35" s="65" t="s">
        <v>3383</v>
      </c>
      <c r="D35" s="70" t="s">
        <v>57</v>
      </c>
      <c r="E35" s="12">
        <v>44548</v>
      </c>
      <c r="F35" s="68" t="s">
        <v>59</v>
      </c>
      <c r="G35" s="12">
        <v>44555</v>
      </c>
      <c r="H35" s="69" t="s">
        <v>3349</v>
      </c>
      <c r="I35" s="15">
        <v>67</v>
      </c>
      <c r="J35" s="15">
        <v>50</v>
      </c>
      <c r="K35" s="15">
        <v>10</v>
      </c>
      <c r="L35" s="15">
        <v>4</v>
      </c>
      <c r="M35" s="73">
        <v>8.375</v>
      </c>
      <c r="N35" s="104">
        <v>9</v>
      </c>
      <c r="O35" s="57">
        <v>7000</v>
      </c>
      <c r="P35" s="58">
        <f t="shared" si="0"/>
        <v>63000</v>
      </c>
    </row>
    <row r="36" spans="1:16" ht="26.25" customHeight="1" x14ac:dyDescent="0.2">
      <c r="A36" s="100"/>
      <c r="B36" s="100"/>
      <c r="C36" s="65" t="s">
        <v>3384</v>
      </c>
      <c r="D36" s="70" t="s">
        <v>57</v>
      </c>
      <c r="E36" s="12">
        <v>44548</v>
      </c>
      <c r="F36" s="68" t="s">
        <v>59</v>
      </c>
      <c r="G36" s="12">
        <v>44555</v>
      </c>
      <c r="H36" s="69" t="s">
        <v>3349</v>
      </c>
      <c r="I36" s="15">
        <v>35</v>
      </c>
      <c r="J36" s="15">
        <v>25</v>
      </c>
      <c r="K36" s="15">
        <v>20</v>
      </c>
      <c r="L36" s="15">
        <v>4</v>
      </c>
      <c r="M36" s="73">
        <v>4.375</v>
      </c>
      <c r="N36" s="104">
        <v>5</v>
      </c>
      <c r="O36" s="57">
        <v>7000</v>
      </c>
      <c r="P36" s="58">
        <f t="shared" si="0"/>
        <v>35000</v>
      </c>
    </row>
    <row r="37" spans="1:16" ht="26.25" customHeight="1" x14ac:dyDescent="0.2">
      <c r="A37" s="100"/>
      <c r="B37" s="100"/>
      <c r="C37" s="65" t="s">
        <v>3385</v>
      </c>
      <c r="D37" s="70" t="s">
        <v>57</v>
      </c>
      <c r="E37" s="12">
        <v>44548</v>
      </c>
      <c r="F37" s="68" t="s">
        <v>59</v>
      </c>
      <c r="G37" s="12">
        <v>44555</v>
      </c>
      <c r="H37" s="69" t="s">
        <v>3349</v>
      </c>
      <c r="I37" s="15">
        <v>33</v>
      </c>
      <c r="J37" s="15">
        <v>30</v>
      </c>
      <c r="K37" s="15">
        <v>12</v>
      </c>
      <c r="L37" s="15">
        <v>6</v>
      </c>
      <c r="M37" s="73">
        <v>2.97</v>
      </c>
      <c r="N37" s="104">
        <v>6</v>
      </c>
      <c r="O37" s="57">
        <v>7000</v>
      </c>
      <c r="P37" s="58">
        <f t="shared" si="0"/>
        <v>42000</v>
      </c>
    </row>
    <row r="38" spans="1:16" ht="26.25" customHeight="1" x14ac:dyDescent="0.2">
      <c r="A38" s="100"/>
      <c r="B38" s="101"/>
      <c r="C38" s="65" t="s">
        <v>3386</v>
      </c>
      <c r="D38" s="70" t="s">
        <v>57</v>
      </c>
      <c r="E38" s="12">
        <v>44548</v>
      </c>
      <c r="F38" s="68" t="s">
        <v>59</v>
      </c>
      <c r="G38" s="12">
        <v>44555</v>
      </c>
      <c r="H38" s="69" t="s">
        <v>3349</v>
      </c>
      <c r="I38" s="15">
        <v>70</v>
      </c>
      <c r="J38" s="15">
        <v>34</v>
      </c>
      <c r="K38" s="15">
        <v>14</v>
      </c>
      <c r="L38" s="15">
        <v>7</v>
      </c>
      <c r="M38" s="73">
        <v>8.33</v>
      </c>
      <c r="N38" s="104">
        <v>9</v>
      </c>
      <c r="O38" s="57">
        <v>7000</v>
      </c>
      <c r="P38" s="58">
        <f t="shared" si="0"/>
        <v>63000</v>
      </c>
    </row>
    <row r="39" spans="1:16" ht="26.25" customHeight="1" x14ac:dyDescent="0.2">
      <c r="A39" s="100"/>
      <c r="B39" s="100" t="s">
        <v>3387</v>
      </c>
      <c r="C39" s="65" t="s">
        <v>3388</v>
      </c>
      <c r="D39" s="70" t="s">
        <v>57</v>
      </c>
      <c r="E39" s="12">
        <v>44548</v>
      </c>
      <c r="F39" s="68" t="s">
        <v>59</v>
      </c>
      <c r="G39" s="12">
        <v>44555</v>
      </c>
      <c r="H39" s="69" t="s">
        <v>3349</v>
      </c>
      <c r="I39" s="15">
        <v>24</v>
      </c>
      <c r="J39" s="15">
        <v>16</v>
      </c>
      <c r="K39" s="15">
        <v>10</v>
      </c>
      <c r="L39" s="15">
        <v>2</v>
      </c>
      <c r="M39" s="73">
        <v>0.96</v>
      </c>
      <c r="N39" s="104">
        <v>2</v>
      </c>
      <c r="O39" s="57">
        <v>7000</v>
      </c>
      <c r="P39" s="58">
        <f t="shared" si="0"/>
        <v>14000</v>
      </c>
    </row>
    <row r="40" spans="1:16" ht="22.5" customHeight="1" x14ac:dyDescent="0.2">
      <c r="A40" s="159" t="s">
        <v>30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1"/>
      <c r="M40" s="71">
        <f>SUBTOTAL(109,Table224578910112345678910111213141516171819202122232425262728293031323334353738394041424344454647484950515253545556[KG VOLUME])</f>
        <v>465.63499999999993</v>
      </c>
      <c r="N40" s="61">
        <f>SUM(N3:N39)</f>
        <v>518.25800000000004</v>
      </c>
      <c r="O40" s="162">
        <f>SUM(P3:P39)</f>
        <v>3627806</v>
      </c>
      <c r="P40" s="163"/>
    </row>
    <row r="41" spans="1:16" ht="18" customHeight="1" x14ac:dyDescent="0.2">
      <c r="A41" s="78"/>
      <c r="B41" s="49" t="s">
        <v>42</v>
      </c>
      <c r="C41" s="48"/>
      <c r="D41" s="50" t="s">
        <v>43</v>
      </c>
      <c r="E41" s="78"/>
      <c r="F41" s="78"/>
      <c r="G41" s="78"/>
      <c r="H41" s="78"/>
      <c r="I41" s="78"/>
      <c r="J41" s="78"/>
      <c r="K41" s="78"/>
      <c r="L41" s="78"/>
      <c r="M41" s="79"/>
      <c r="N41" s="80" t="s">
        <v>52</v>
      </c>
      <c r="O41" s="81"/>
      <c r="P41" s="81">
        <v>0</v>
      </c>
    </row>
    <row r="42" spans="1:16" ht="18" customHeight="1" thickBot="1" x14ac:dyDescent="0.25">
      <c r="A42" s="78"/>
      <c r="B42" s="49"/>
      <c r="C42" s="48"/>
      <c r="D42" s="50"/>
      <c r="E42" s="78"/>
      <c r="F42" s="78"/>
      <c r="G42" s="78"/>
      <c r="H42" s="78"/>
      <c r="I42" s="78"/>
      <c r="J42" s="78"/>
      <c r="K42" s="78"/>
      <c r="L42" s="78"/>
      <c r="M42" s="79"/>
      <c r="N42" s="82" t="s">
        <v>53</v>
      </c>
      <c r="O42" s="83"/>
      <c r="P42" s="83">
        <f>O40-P41</f>
        <v>3627806</v>
      </c>
    </row>
    <row r="43" spans="1:16" ht="18" customHeight="1" x14ac:dyDescent="0.2">
      <c r="A43" s="10"/>
      <c r="H43" s="56"/>
      <c r="N43" s="55" t="s">
        <v>31</v>
      </c>
      <c r="P43" s="62">
        <f>P42*1%</f>
        <v>36278.06</v>
      </c>
    </row>
    <row r="44" spans="1:16" ht="18" customHeight="1" thickBot="1" x14ac:dyDescent="0.25">
      <c r="A44" s="10"/>
      <c r="H44" s="56"/>
      <c r="N44" s="55" t="s">
        <v>54</v>
      </c>
      <c r="P44" s="64">
        <f>P42*2%</f>
        <v>72556.12</v>
      </c>
    </row>
    <row r="45" spans="1:16" ht="18" customHeight="1" x14ac:dyDescent="0.2">
      <c r="A45" s="10"/>
      <c r="H45" s="56"/>
      <c r="N45" s="59" t="s">
        <v>32</v>
      </c>
      <c r="O45" s="60"/>
      <c r="P45" s="63">
        <f>P42+P43-P44</f>
        <v>3591527.94</v>
      </c>
    </row>
    <row r="47" spans="1:16" x14ac:dyDescent="0.2">
      <c r="A47" s="10"/>
      <c r="H47" s="56"/>
      <c r="P47" s="64"/>
    </row>
    <row r="48" spans="1:16" x14ac:dyDescent="0.2">
      <c r="A48" s="10"/>
      <c r="H48" s="56"/>
      <c r="O48" s="51"/>
      <c r="P48" s="6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</sheetData>
  <mergeCells count="2">
    <mergeCell ref="A40:L40"/>
    <mergeCell ref="O40:P40"/>
  </mergeCells>
  <conditionalFormatting sqref="C3:C39">
    <cfRule type="duplicateValues" dxfId="719" priority="8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8"/>
  <sheetViews>
    <sheetView workbookViewId="0">
      <selection activeCell="N147" sqref="N3:N14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402687</v>
      </c>
      <c r="B3" s="99" t="s">
        <v>3389</v>
      </c>
      <c r="C3" s="90" t="s">
        <v>3390</v>
      </c>
      <c r="D3" s="102" t="s">
        <v>57</v>
      </c>
      <c r="E3" s="91">
        <v>44548</v>
      </c>
      <c r="F3" s="102" t="s">
        <v>59</v>
      </c>
      <c r="G3" s="91">
        <v>44555</v>
      </c>
      <c r="H3" s="90" t="s">
        <v>3349</v>
      </c>
      <c r="I3" s="90">
        <v>84</v>
      </c>
      <c r="J3" s="90">
        <v>50</v>
      </c>
      <c r="K3" s="90">
        <v>20</v>
      </c>
      <c r="L3" s="90">
        <v>17</v>
      </c>
      <c r="M3" s="90">
        <v>21</v>
      </c>
      <c r="N3" s="104">
        <v>21</v>
      </c>
      <c r="O3" s="57">
        <v>7000</v>
      </c>
      <c r="P3" s="58">
        <f t="shared" ref="P3:P66" si="0">N3*O3</f>
        <v>147000</v>
      </c>
    </row>
    <row r="4" spans="1:16" ht="26.25" customHeight="1" x14ac:dyDescent="0.2">
      <c r="A4" s="100"/>
      <c r="B4" s="100"/>
      <c r="C4" s="90" t="s">
        <v>3391</v>
      </c>
      <c r="D4" s="102" t="s">
        <v>57</v>
      </c>
      <c r="E4" s="91">
        <v>44548</v>
      </c>
      <c r="F4" s="102" t="s">
        <v>59</v>
      </c>
      <c r="G4" s="91">
        <v>44555</v>
      </c>
      <c r="H4" s="90" t="s">
        <v>3349</v>
      </c>
      <c r="I4" s="90">
        <v>90</v>
      </c>
      <c r="J4" s="90">
        <v>55</v>
      </c>
      <c r="K4" s="90">
        <v>22</v>
      </c>
      <c r="L4" s="90">
        <v>13</v>
      </c>
      <c r="M4" s="90">
        <v>27.225000000000001</v>
      </c>
      <c r="N4" s="104">
        <v>27.225000000000001</v>
      </c>
      <c r="O4" s="57">
        <v>7000</v>
      </c>
      <c r="P4" s="58">
        <f t="shared" si="0"/>
        <v>190575</v>
      </c>
    </row>
    <row r="5" spans="1:16" ht="26.25" customHeight="1" x14ac:dyDescent="0.2">
      <c r="A5" s="100"/>
      <c r="B5" s="100"/>
      <c r="C5" s="65" t="s">
        <v>3392</v>
      </c>
      <c r="D5" s="70" t="s">
        <v>57</v>
      </c>
      <c r="E5" s="12">
        <v>44548</v>
      </c>
      <c r="F5" s="68" t="s">
        <v>59</v>
      </c>
      <c r="G5" s="12">
        <v>44555</v>
      </c>
      <c r="H5" s="69" t="s">
        <v>3349</v>
      </c>
      <c r="I5" s="15">
        <v>96</v>
      </c>
      <c r="J5" s="15">
        <v>50</v>
      </c>
      <c r="K5" s="15">
        <v>30</v>
      </c>
      <c r="L5" s="15">
        <v>18</v>
      </c>
      <c r="M5" s="73">
        <v>36</v>
      </c>
      <c r="N5" s="104">
        <v>36</v>
      </c>
      <c r="O5" s="57">
        <v>7000</v>
      </c>
      <c r="P5" s="58">
        <f t="shared" si="0"/>
        <v>252000</v>
      </c>
    </row>
    <row r="6" spans="1:16" ht="26.25" customHeight="1" x14ac:dyDescent="0.2">
      <c r="A6" s="100"/>
      <c r="B6" s="100"/>
      <c r="C6" s="65" t="s">
        <v>3393</v>
      </c>
      <c r="D6" s="70" t="s">
        <v>57</v>
      </c>
      <c r="E6" s="12">
        <v>44548</v>
      </c>
      <c r="F6" s="68" t="s">
        <v>59</v>
      </c>
      <c r="G6" s="12">
        <v>44555</v>
      </c>
      <c r="H6" s="69" t="s">
        <v>3349</v>
      </c>
      <c r="I6" s="15">
        <v>100</v>
      </c>
      <c r="J6" s="15">
        <v>55</v>
      </c>
      <c r="K6" s="15">
        <v>26</v>
      </c>
      <c r="L6" s="15">
        <v>16</v>
      </c>
      <c r="M6" s="73">
        <v>35.75</v>
      </c>
      <c r="N6" s="104">
        <v>35.75</v>
      </c>
      <c r="O6" s="57">
        <v>7000</v>
      </c>
      <c r="P6" s="58">
        <f t="shared" si="0"/>
        <v>250250</v>
      </c>
    </row>
    <row r="7" spans="1:16" ht="26.25" customHeight="1" x14ac:dyDescent="0.2">
      <c r="A7" s="100"/>
      <c r="B7" s="100"/>
      <c r="C7" s="65" t="s">
        <v>3394</v>
      </c>
      <c r="D7" s="70" t="s">
        <v>57</v>
      </c>
      <c r="E7" s="12">
        <v>44548</v>
      </c>
      <c r="F7" s="68" t="s">
        <v>59</v>
      </c>
      <c r="G7" s="12">
        <v>44555</v>
      </c>
      <c r="H7" s="69" t="s">
        <v>3349</v>
      </c>
      <c r="I7" s="15">
        <v>70</v>
      </c>
      <c r="J7" s="15">
        <v>53</v>
      </c>
      <c r="K7" s="15">
        <v>15</v>
      </c>
      <c r="L7" s="15">
        <v>5</v>
      </c>
      <c r="M7" s="73">
        <v>13.9125</v>
      </c>
      <c r="N7" s="104">
        <v>13.9125</v>
      </c>
      <c r="O7" s="57">
        <v>7000</v>
      </c>
      <c r="P7" s="58">
        <f t="shared" si="0"/>
        <v>97387.5</v>
      </c>
    </row>
    <row r="8" spans="1:16" ht="26.25" customHeight="1" x14ac:dyDescent="0.2">
      <c r="A8" s="100"/>
      <c r="B8" s="100"/>
      <c r="C8" s="65" t="s">
        <v>3395</v>
      </c>
      <c r="D8" s="70" t="s">
        <v>57</v>
      </c>
      <c r="E8" s="12">
        <v>44548</v>
      </c>
      <c r="F8" s="68" t="s">
        <v>59</v>
      </c>
      <c r="G8" s="12">
        <v>44555</v>
      </c>
      <c r="H8" s="69" t="s">
        <v>3349</v>
      </c>
      <c r="I8" s="15">
        <v>81</v>
      </c>
      <c r="J8" s="15">
        <v>60</v>
      </c>
      <c r="K8" s="15">
        <v>14</v>
      </c>
      <c r="L8" s="15">
        <v>7</v>
      </c>
      <c r="M8" s="73">
        <v>17.010000000000002</v>
      </c>
      <c r="N8" s="104">
        <v>17.010000000000002</v>
      </c>
      <c r="O8" s="57">
        <v>7000</v>
      </c>
      <c r="P8" s="58">
        <f t="shared" si="0"/>
        <v>119070.00000000001</v>
      </c>
    </row>
    <row r="9" spans="1:16" ht="26.25" customHeight="1" x14ac:dyDescent="0.2">
      <c r="A9" s="100"/>
      <c r="B9" s="100"/>
      <c r="C9" s="65" t="s">
        <v>3396</v>
      </c>
      <c r="D9" s="70" t="s">
        <v>57</v>
      </c>
      <c r="E9" s="12">
        <v>44548</v>
      </c>
      <c r="F9" s="68" t="s">
        <v>59</v>
      </c>
      <c r="G9" s="12">
        <v>44555</v>
      </c>
      <c r="H9" s="69" t="s">
        <v>3349</v>
      </c>
      <c r="I9" s="15">
        <v>80</v>
      </c>
      <c r="J9" s="15">
        <v>60</v>
      </c>
      <c r="K9" s="15">
        <v>16</v>
      </c>
      <c r="L9" s="15">
        <v>10</v>
      </c>
      <c r="M9" s="73">
        <v>19.2</v>
      </c>
      <c r="N9" s="104">
        <v>19.2</v>
      </c>
      <c r="O9" s="57">
        <v>7000</v>
      </c>
      <c r="P9" s="58">
        <f t="shared" si="0"/>
        <v>134400</v>
      </c>
    </row>
    <row r="10" spans="1:16" ht="26.25" customHeight="1" x14ac:dyDescent="0.2">
      <c r="A10" s="100"/>
      <c r="B10" s="100"/>
      <c r="C10" s="65" t="s">
        <v>3397</v>
      </c>
      <c r="D10" s="70" t="s">
        <v>57</v>
      </c>
      <c r="E10" s="12">
        <v>44548</v>
      </c>
      <c r="F10" s="68" t="s">
        <v>59</v>
      </c>
      <c r="G10" s="12">
        <v>44555</v>
      </c>
      <c r="H10" s="69" t="s">
        <v>3349</v>
      </c>
      <c r="I10" s="15">
        <v>62</v>
      </c>
      <c r="J10" s="15">
        <v>60</v>
      </c>
      <c r="K10" s="15">
        <v>14</v>
      </c>
      <c r="L10" s="15">
        <v>8</v>
      </c>
      <c r="M10" s="73">
        <v>13.02</v>
      </c>
      <c r="N10" s="104">
        <v>13.02</v>
      </c>
      <c r="O10" s="57">
        <v>7000</v>
      </c>
      <c r="P10" s="58">
        <f t="shared" si="0"/>
        <v>91140</v>
      </c>
    </row>
    <row r="11" spans="1:16" ht="26.25" customHeight="1" x14ac:dyDescent="0.2">
      <c r="A11" s="100"/>
      <c r="B11" s="100"/>
      <c r="C11" s="65" t="s">
        <v>3398</v>
      </c>
      <c r="D11" s="70" t="s">
        <v>57</v>
      </c>
      <c r="E11" s="12">
        <v>44548</v>
      </c>
      <c r="F11" s="68" t="s">
        <v>59</v>
      </c>
      <c r="G11" s="12">
        <v>44555</v>
      </c>
      <c r="H11" s="69" t="s">
        <v>3349</v>
      </c>
      <c r="I11" s="15">
        <v>95</v>
      </c>
      <c r="J11" s="15">
        <v>61</v>
      </c>
      <c r="K11" s="15">
        <v>16</v>
      </c>
      <c r="L11" s="15">
        <v>20</v>
      </c>
      <c r="M11" s="73">
        <v>23.18</v>
      </c>
      <c r="N11" s="104">
        <v>23.18</v>
      </c>
      <c r="O11" s="57">
        <v>7000</v>
      </c>
      <c r="P11" s="58">
        <f t="shared" si="0"/>
        <v>162260</v>
      </c>
    </row>
    <row r="12" spans="1:16" ht="26.25" customHeight="1" x14ac:dyDescent="0.2">
      <c r="A12" s="100"/>
      <c r="B12" s="100"/>
      <c r="C12" s="65" t="s">
        <v>3399</v>
      </c>
      <c r="D12" s="70" t="s">
        <v>57</v>
      </c>
      <c r="E12" s="12">
        <v>44548</v>
      </c>
      <c r="F12" s="68" t="s">
        <v>59</v>
      </c>
      <c r="G12" s="12">
        <v>44555</v>
      </c>
      <c r="H12" s="69" t="s">
        <v>3349</v>
      </c>
      <c r="I12" s="15">
        <v>60</v>
      </c>
      <c r="J12" s="15">
        <v>41</v>
      </c>
      <c r="K12" s="15">
        <v>10</v>
      </c>
      <c r="L12" s="15">
        <v>1</v>
      </c>
      <c r="M12" s="73">
        <v>6.15</v>
      </c>
      <c r="N12" s="104">
        <v>6.15</v>
      </c>
      <c r="O12" s="57">
        <v>7000</v>
      </c>
      <c r="P12" s="58">
        <f t="shared" si="0"/>
        <v>43050</v>
      </c>
    </row>
    <row r="13" spans="1:16" ht="26.25" customHeight="1" x14ac:dyDescent="0.2">
      <c r="A13" s="100"/>
      <c r="B13" s="100"/>
      <c r="C13" s="65" t="s">
        <v>3400</v>
      </c>
      <c r="D13" s="70" t="s">
        <v>57</v>
      </c>
      <c r="E13" s="12">
        <v>44548</v>
      </c>
      <c r="F13" s="68" t="s">
        <v>59</v>
      </c>
      <c r="G13" s="12">
        <v>44555</v>
      </c>
      <c r="H13" s="69" t="s">
        <v>3349</v>
      </c>
      <c r="I13" s="15">
        <v>52</v>
      </c>
      <c r="J13" s="15">
        <v>40</v>
      </c>
      <c r="K13" s="15">
        <v>10</v>
      </c>
      <c r="L13" s="15">
        <v>2</v>
      </c>
      <c r="M13" s="73">
        <v>5.2</v>
      </c>
      <c r="N13" s="104">
        <v>5.2</v>
      </c>
      <c r="O13" s="57">
        <v>7000</v>
      </c>
      <c r="P13" s="58">
        <f t="shared" si="0"/>
        <v>36400</v>
      </c>
    </row>
    <row r="14" spans="1:16" ht="26.25" customHeight="1" x14ac:dyDescent="0.2">
      <c r="A14" s="100"/>
      <c r="B14" s="100"/>
      <c r="C14" s="65" t="s">
        <v>3401</v>
      </c>
      <c r="D14" s="70" t="s">
        <v>57</v>
      </c>
      <c r="E14" s="12">
        <v>44548</v>
      </c>
      <c r="F14" s="68" t="s">
        <v>59</v>
      </c>
      <c r="G14" s="12">
        <v>44555</v>
      </c>
      <c r="H14" s="69" t="s">
        <v>3349</v>
      </c>
      <c r="I14" s="15">
        <v>52</v>
      </c>
      <c r="J14" s="15">
        <v>40</v>
      </c>
      <c r="K14" s="15">
        <v>10</v>
      </c>
      <c r="L14" s="15">
        <v>4</v>
      </c>
      <c r="M14" s="73">
        <v>5.2</v>
      </c>
      <c r="N14" s="104">
        <v>5.2</v>
      </c>
      <c r="O14" s="57">
        <v>7000</v>
      </c>
      <c r="P14" s="58">
        <f t="shared" si="0"/>
        <v>36400</v>
      </c>
    </row>
    <row r="15" spans="1:16" ht="26.25" customHeight="1" x14ac:dyDescent="0.2">
      <c r="A15" s="100"/>
      <c r="B15" s="100"/>
      <c r="C15" s="65" t="s">
        <v>3402</v>
      </c>
      <c r="D15" s="70" t="s">
        <v>57</v>
      </c>
      <c r="E15" s="12">
        <v>44548</v>
      </c>
      <c r="F15" s="68" t="s">
        <v>59</v>
      </c>
      <c r="G15" s="12">
        <v>44555</v>
      </c>
      <c r="H15" s="69" t="s">
        <v>3349</v>
      </c>
      <c r="I15" s="15">
        <v>54</v>
      </c>
      <c r="J15" s="15">
        <v>30</v>
      </c>
      <c r="K15" s="15">
        <v>6</v>
      </c>
      <c r="L15" s="15">
        <v>1</v>
      </c>
      <c r="M15" s="73">
        <v>2.4300000000000002</v>
      </c>
      <c r="N15" s="104">
        <v>3</v>
      </c>
      <c r="O15" s="57">
        <v>7000</v>
      </c>
      <c r="P15" s="58">
        <f t="shared" si="0"/>
        <v>21000</v>
      </c>
    </row>
    <row r="16" spans="1:16" ht="26.25" customHeight="1" x14ac:dyDescent="0.2">
      <c r="A16" s="100"/>
      <c r="B16" s="100"/>
      <c r="C16" s="65" t="s">
        <v>3403</v>
      </c>
      <c r="D16" s="70" t="s">
        <v>57</v>
      </c>
      <c r="E16" s="12">
        <v>44548</v>
      </c>
      <c r="F16" s="68" t="s">
        <v>59</v>
      </c>
      <c r="G16" s="12">
        <v>44555</v>
      </c>
      <c r="H16" s="69" t="s">
        <v>3349</v>
      </c>
      <c r="I16" s="15">
        <v>30</v>
      </c>
      <c r="J16" s="15">
        <v>20</v>
      </c>
      <c r="K16" s="15">
        <v>5</v>
      </c>
      <c r="L16" s="15">
        <v>1</v>
      </c>
      <c r="M16" s="73">
        <v>0.75</v>
      </c>
      <c r="N16" s="104">
        <v>1</v>
      </c>
      <c r="O16" s="57">
        <v>7000</v>
      </c>
      <c r="P16" s="58">
        <f t="shared" si="0"/>
        <v>7000</v>
      </c>
    </row>
    <row r="17" spans="1:16" ht="26.25" customHeight="1" x14ac:dyDescent="0.2">
      <c r="A17" s="100"/>
      <c r="B17" s="100"/>
      <c r="C17" s="65" t="s">
        <v>3404</v>
      </c>
      <c r="D17" s="70" t="s">
        <v>57</v>
      </c>
      <c r="E17" s="12">
        <v>44548</v>
      </c>
      <c r="F17" s="68" t="s">
        <v>59</v>
      </c>
      <c r="G17" s="12">
        <v>44555</v>
      </c>
      <c r="H17" s="69" t="s">
        <v>3349</v>
      </c>
      <c r="I17" s="15">
        <v>51</v>
      </c>
      <c r="J17" s="15">
        <v>44</v>
      </c>
      <c r="K17" s="15">
        <v>26</v>
      </c>
      <c r="L17" s="15">
        <v>20</v>
      </c>
      <c r="M17" s="73">
        <v>14.586</v>
      </c>
      <c r="N17" s="104">
        <v>20</v>
      </c>
      <c r="O17" s="57">
        <v>7000</v>
      </c>
      <c r="P17" s="58">
        <f t="shared" si="0"/>
        <v>140000</v>
      </c>
    </row>
    <row r="18" spans="1:16" ht="26.25" customHeight="1" x14ac:dyDescent="0.2">
      <c r="A18" s="100"/>
      <c r="B18" s="100"/>
      <c r="C18" s="65" t="s">
        <v>3405</v>
      </c>
      <c r="D18" s="70" t="s">
        <v>57</v>
      </c>
      <c r="E18" s="12">
        <v>44548</v>
      </c>
      <c r="F18" s="68" t="s">
        <v>59</v>
      </c>
      <c r="G18" s="12">
        <v>44555</v>
      </c>
      <c r="H18" s="69" t="s">
        <v>3349</v>
      </c>
      <c r="I18" s="15">
        <v>60</v>
      </c>
      <c r="J18" s="15">
        <v>41</v>
      </c>
      <c r="K18" s="15">
        <v>10</v>
      </c>
      <c r="L18" s="15">
        <v>3</v>
      </c>
      <c r="M18" s="73">
        <v>6.15</v>
      </c>
      <c r="N18" s="104">
        <v>6.15</v>
      </c>
      <c r="O18" s="57">
        <v>7000</v>
      </c>
      <c r="P18" s="58">
        <f t="shared" si="0"/>
        <v>43050</v>
      </c>
    </row>
    <row r="19" spans="1:16" ht="26.25" customHeight="1" x14ac:dyDescent="0.2">
      <c r="A19" s="100"/>
      <c r="B19" s="100"/>
      <c r="C19" s="65" t="s">
        <v>3406</v>
      </c>
      <c r="D19" s="70" t="s">
        <v>57</v>
      </c>
      <c r="E19" s="12">
        <v>44548</v>
      </c>
      <c r="F19" s="68" t="s">
        <v>59</v>
      </c>
      <c r="G19" s="12">
        <v>44555</v>
      </c>
      <c r="H19" s="69" t="s">
        <v>3349</v>
      </c>
      <c r="I19" s="15">
        <v>90</v>
      </c>
      <c r="J19" s="15">
        <v>50</v>
      </c>
      <c r="K19" s="15">
        <v>13</v>
      </c>
      <c r="L19" s="15">
        <v>11</v>
      </c>
      <c r="M19" s="73">
        <v>14.625</v>
      </c>
      <c r="N19" s="104">
        <v>14.625</v>
      </c>
      <c r="O19" s="57">
        <v>7000</v>
      </c>
      <c r="P19" s="58">
        <f t="shared" si="0"/>
        <v>102375</v>
      </c>
    </row>
    <row r="20" spans="1:16" ht="26.25" customHeight="1" x14ac:dyDescent="0.2">
      <c r="A20" s="100"/>
      <c r="B20" s="100"/>
      <c r="C20" s="65" t="s">
        <v>3407</v>
      </c>
      <c r="D20" s="70" t="s">
        <v>57</v>
      </c>
      <c r="E20" s="12">
        <v>44548</v>
      </c>
      <c r="F20" s="68" t="s">
        <v>59</v>
      </c>
      <c r="G20" s="12">
        <v>44555</v>
      </c>
      <c r="H20" s="69" t="s">
        <v>3349</v>
      </c>
      <c r="I20" s="15">
        <v>51</v>
      </c>
      <c r="J20" s="15">
        <v>41</v>
      </c>
      <c r="K20" s="15">
        <v>5</v>
      </c>
      <c r="L20" s="15">
        <v>3</v>
      </c>
      <c r="M20" s="73">
        <v>2.61375</v>
      </c>
      <c r="N20" s="104">
        <v>3</v>
      </c>
      <c r="O20" s="57">
        <v>7000</v>
      </c>
      <c r="P20" s="58">
        <f t="shared" si="0"/>
        <v>21000</v>
      </c>
    </row>
    <row r="21" spans="1:16" ht="26.25" customHeight="1" x14ac:dyDescent="0.2">
      <c r="A21" s="100"/>
      <c r="B21" s="100"/>
      <c r="C21" s="65" t="s">
        <v>3408</v>
      </c>
      <c r="D21" s="70" t="s">
        <v>57</v>
      </c>
      <c r="E21" s="12">
        <v>44548</v>
      </c>
      <c r="F21" s="68" t="s">
        <v>59</v>
      </c>
      <c r="G21" s="12">
        <v>44555</v>
      </c>
      <c r="H21" s="69" t="s">
        <v>3349</v>
      </c>
      <c r="I21" s="15">
        <v>92</v>
      </c>
      <c r="J21" s="15">
        <v>16</v>
      </c>
      <c r="K21" s="15">
        <v>10</v>
      </c>
      <c r="L21" s="15">
        <v>1</v>
      </c>
      <c r="M21" s="73">
        <v>3.68</v>
      </c>
      <c r="N21" s="104">
        <v>3.68</v>
      </c>
      <c r="O21" s="57">
        <v>7000</v>
      </c>
      <c r="P21" s="58">
        <f t="shared" si="0"/>
        <v>25760</v>
      </c>
    </row>
    <row r="22" spans="1:16" ht="26.25" customHeight="1" x14ac:dyDescent="0.2">
      <c r="A22" s="100"/>
      <c r="B22" s="100"/>
      <c r="C22" s="65" t="s">
        <v>3409</v>
      </c>
      <c r="D22" s="70" t="s">
        <v>57</v>
      </c>
      <c r="E22" s="12">
        <v>44548</v>
      </c>
      <c r="F22" s="68" t="s">
        <v>59</v>
      </c>
      <c r="G22" s="12">
        <v>44555</v>
      </c>
      <c r="H22" s="69" t="s">
        <v>3349</v>
      </c>
      <c r="I22" s="15">
        <v>50</v>
      </c>
      <c r="J22" s="15">
        <v>35</v>
      </c>
      <c r="K22" s="15">
        <v>11</v>
      </c>
      <c r="L22" s="15">
        <v>2</v>
      </c>
      <c r="M22" s="73">
        <v>4.8125</v>
      </c>
      <c r="N22" s="104">
        <v>4.8125</v>
      </c>
      <c r="O22" s="57">
        <v>7000</v>
      </c>
      <c r="P22" s="58">
        <f t="shared" si="0"/>
        <v>33687.5</v>
      </c>
    </row>
    <row r="23" spans="1:16" ht="26.25" customHeight="1" x14ac:dyDescent="0.2">
      <c r="A23" s="100"/>
      <c r="B23" s="100"/>
      <c r="C23" s="65" t="s">
        <v>3410</v>
      </c>
      <c r="D23" s="70" t="s">
        <v>57</v>
      </c>
      <c r="E23" s="12">
        <v>44548</v>
      </c>
      <c r="F23" s="68" t="s">
        <v>59</v>
      </c>
      <c r="G23" s="12">
        <v>44555</v>
      </c>
      <c r="H23" s="69" t="s">
        <v>3349</v>
      </c>
      <c r="I23" s="15">
        <v>95</v>
      </c>
      <c r="J23" s="15">
        <v>55</v>
      </c>
      <c r="K23" s="15">
        <v>10</v>
      </c>
      <c r="L23" s="15">
        <v>18</v>
      </c>
      <c r="M23" s="73">
        <v>13.0625</v>
      </c>
      <c r="N23" s="104">
        <v>18</v>
      </c>
      <c r="O23" s="57">
        <v>7000</v>
      </c>
      <c r="P23" s="58">
        <f t="shared" si="0"/>
        <v>126000</v>
      </c>
    </row>
    <row r="24" spans="1:16" ht="26.25" customHeight="1" x14ac:dyDescent="0.2">
      <c r="A24" s="100"/>
      <c r="B24" s="100"/>
      <c r="C24" s="65" t="s">
        <v>3411</v>
      </c>
      <c r="D24" s="70" t="s">
        <v>57</v>
      </c>
      <c r="E24" s="12">
        <v>44548</v>
      </c>
      <c r="F24" s="68" t="s">
        <v>59</v>
      </c>
      <c r="G24" s="12">
        <v>44555</v>
      </c>
      <c r="H24" s="69" t="s">
        <v>3349</v>
      </c>
      <c r="I24" s="15">
        <v>100</v>
      </c>
      <c r="J24" s="15">
        <v>52</v>
      </c>
      <c r="K24" s="15">
        <v>20</v>
      </c>
      <c r="L24" s="15">
        <v>9</v>
      </c>
      <c r="M24" s="73">
        <v>26</v>
      </c>
      <c r="N24" s="104">
        <v>26</v>
      </c>
      <c r="O24" s="57">
        <v>7000</v>
      </c>
      <c r="P24" s="58">
        <f t="shared" si="0"/>
        <v>182000</v>
      </c>
    </row>
    <row r="25" spans="1:16" ht="26.25" customHeight="1" x14ac:dyDescent="0.2">
      <c r="A25" s="100"/>
      <c r="B25" s="100"/>
      <c r="C25" s="65" t="s">
        <v>3412</v>
      </c>
      <c r="D25" s="70" t="s">
        <v>57</v>
      </c>
      <c r="E25" s="12">
        <v>44548</v>
      </c>
      <c r="F25" s="68" t="s">
        <v>59</v>
      </c>
      <c r="G25" s="12">
        <v>44555</v>
      </c>
      <c r="H25" s="69" t="s">
        <v>3349</v>
      </c>
      <c r="I25" s="15">
        <v>50</v>
      </c>
      <c r="J25" s="15">
        <v>40</v>
      </c>
      <c r="K25" s="15">
        <v>15</v>
      </c>
      <c r="L25" s="15">
        <v>3</v>
      </c>
      <c r="M25" s="73">
        <v>7.5</v>
      </c>
      <c r="N25" s="104">
        <v>9</v>
      </c>
      <c r="O25" s="57">
        <v>7000</v>
      </c>
      <c r="P25" s="58">
        <f t="shared" si="0"/>
        <v>63000</v>
      </c>
    </row>
    <row r="26" spans="1:16" ht="26.25" customHeight="1" x14ac:dyDescent="0.2">
      <c r="A26" s="100"/>
      <c r="B26" s="100"/>
      <c r="C26" s="65" t="s">
        <v>3413</v>
      </c>
      <c r="D26" s="70" t="s">
        <v>57</v>
      </c>
      <c r="E26" s="12">
        <v>44548</v>
      </c>
      <c r="F26" s="68" t="s">
        <v>59</v>
      </c>
      <c r="G26" s="12">
        <v>44555</v>
      </c>
      <c r="H26" s="69" t="s">
        <v>3349</v>
      </c>
      <c r="I26" s="15">
        <v>70</v>
      </c>
      <c r="J26" s="15">
        <v>42</v>
      </c>
      <c r="K26" s="15">
        <v>25</v>
      </c>
      <c r="L26" s="15">
        <v>18</v>
      </c>
      <c r="M26" s="73">
        <v>18.375</v>
      </c>
      <c r="N26" s="104">
        <v>19</v>
      </c>
      <c r="O26" s="57">
        <v>7000</v>
      </c>
      <c r="P26" s="58">
        <f t="shared" si="0"/>
        <v>133000</v>
      </c>
    </row>
    <row r="27" spans="1:16" ht="26.25" customHeight="1" x14ac:dyDescent="0.2">
      <c r="A27" s="100"/>
      <c r="B27" s="100"/>
      <c r="C27" s="65" t="s">
        <v>3414</v>
      </c>
      <c r="D27" s="70" t="s">
        <v>57</v>
      </c>
      <c r="E27" s="12">
        <v>44548</v>
      </c>
      <c r="F27" s="68" t="s">
        <v>59</v>
      </c>
      <c r="G27" s="12">
        <v>44555</v>
      </c>
      <c r="H27" s="69" t="s">
        <v>3349</v>
      </c>
      <c r="I27" s="15">
        <v>80</v>
      </c>
      <c r="J27" s="15">
        <v>60</v>
      </c>
      <c r="K27" s="15">
        <v>15</v>
      </c>
      <c r="L27" s="15">
        <v>11</v>
      </c>
      <c r="M27" s="73">
        <v>18</v>
      </c>
      <c r="N27" s="104">
        <v>18</v>
      </c>
      <c r="O27" s="57">
        <v>7000</v>
      </c>
      <c r="P27" s="58">
        <f t="shared" si="0"/>
        <v>126000</v>
      </c>
    </row>
    <row r="28" spans="1:16" ht="26.25" customHeight="1" x14ac:dyDescent="0.2">
      <c r="A28" s="100"/>
      <c r="B28" s="100"/>
      <c r="C28" s="65" t="s">
        <v>3415</v>
      </c>
      <c r="D28" s="70" t="s">
        <v>57</v>
      </c>
      <c r="E28" s="12">
        <v>44548</v>
      </c>
      <c r="F28" s="68" t="s">
        <v>59</v>
      </c>
      <c r="G28" s="12">
        <v>44555</v>
      </c>
      <c r="H28" s="69" t="s">
        <v>3349</v>
      </c>
      <c r="I28" s="15">
        <v>60</v>
      </c>
      <c r="J28" s="15">
        <v>20</v>
      </c>
      <c r="K28" s="15">
        <v>5</v>
      </c>
      <c r="L28" s="15">
        <v>1</v>
      </c>
      <c r="M28" s="73">
        <v>1.5</v>
      </c>
      <c r="N28" s="104">
        <v>3</v>
      </c>
      <c r="O28" s="57">
        <v>7000</v>
      </c>
      <c r="P28" s="58">
        <f t="shared" si="0"/>
        <v>21000</v>
      </c>
    </row>
    <row r="29" spans="1:16" ht="26.25" customHeight="1" x14ac:dyDescent="0.2">
      <c r="A29" s="100"/>
      <c r="B29" s="100"/>
      <c r="C29" s="65" t="s">
        <v>3416</v>
      </c>
      <c r="D29" s="70" t="s">
        <v>57</v>
      </c>
      <c r="E29" s="12">
        <v>44548</v>
      </c>
      <c r="F29" s="68" t="s">
        <v>59</v>
      </c>
      <c r="G29" s="12">
        <v>44555</v>
      </c>
      <c r="H29" s="69" t="s">
        <v>3349</v>
      </c>
      <c r="I29" s="15">
        <v>50</v>
      </c>
      <c r="J29" s="15">
        <v>40</v>
      </c>
      <c r="K29" s="15">
        <v>24</v>
      </c>
      <c r="L29" s="15">
        <v>5</v>
      </c>
      <c r="M29" s="73">
        <v>12</v>
      </c>
      <c r="N29" s="104">
        <v>12</v>
      </c>
      <c r="O29" s="57">
        <v>7000</v>
      </c>
      <c r="P29" s="58">
        <f t="shared" si="0"/>
        <v>84000</v>
      </c>
    </row>
    <row r="30" spans="1:16" ht="26.25" customHeight="1" x14ac:dyDescent="0.2">
      <c r="A30" s="100"/>
      <c r="B30" s="100"/>
      <c r="C30" s="65" t="s">
        <v>3417</v>
      </c>
      <c r="D30" s="70" t="s">
        <v>57</v>
      </c>
      <c r="E30" s="12">
        <v>44548</v>
      </c>
      <c r="F30" s="68" t="s">
        <v>59</v>
      </c>
      <c r="G30" s="12">
        <v>44555</v>
      </c>
      <c r="H30" s="69" t="s">
        <v>3349</v>
      </c>
      <c r="I30" s="15">
        <v>42</v>
      </c>
      <c r="J30" s="15">
        <v>30</v>
      </c>
      <c r="K30" s="15">
        <v>15</v>
      </c>
      <c r="L30" s="15">
        <v>8</v>
      </c>
      <c r="M30" s="73">
        <v>4.7249999999999996</v>
      </c>
      <c r="N30" s="104">
        <v>8</v>
      </c>
      <c r="O30" s="57">
        <v>7000</v>
      </c>
      <c r="P30" s="58">
        <f t="shared" si="0"/>
        <v>56000</v>
      </c>
    </row>
    <row r="31" spans="1:16" ht="26.25" customHeight="1" x14ac:dyDescent="0.2">
      <c r="A31" s="100"/>
      <c r="B31" s="100"/>
      <c r="C31" s="65" t="s">
        <v>3418</v>
      </c>
      <c r="D31" s="70" t="s">
        <v>57</v>
      </c>
      <c r="E31" s="12">
        <v>44548</v>
      </c>
      <c r="F31" s="68" t="s">
        <v>59</v>
      </c>
      <c r="G31" s="12">
        <v>44555</v>
      </c>
      <c r="H31" s="69" t="s">
        <v>3349</v>
      </c>
      <c r="I31" s="15">
        <v>54</v>
      </c>
      <c r="J31" s="15">
        <v>35</v>
      </c>
      <c r="K31" s="15">
        <v>40</v>
      </c>
      <c r="L31" s="15">
        <v>14</v>
      </c>
      <c r="M31" s="73">
        <v>18.899999999999999</v>
      </c>
      <c r="N31" s="104">
        <v>18.899999999999999</v>
      </c>
      <c r="O31" s="57">
        <v>7000</v>
      </c>
      <c r="P31" s="58">
        <f t="shared" si="0"/>
        <v>132300</v>
      </c>
    </row>
    <row r="32" spans="1:16" ht="26.25" customHeight="1" x14ac:dyDescent="0.2">
      <c r="A32" s="100"/>
      <c r="B32" s="100"/>
      <c r="C32" s="65" t="s">
        <v>3419</v>
      </c>
      <c r="D32" s="70" t="s">
        <v>57</v>
      </c>
      <c r="E32" s="12">
        <v>44548</v>
      </c>
      <c r="F32" s="68" t="s">
        <v>59</v>
      </c>
      <c r="G32" s="12">
        <v>44555</v>
      </c>
      <c r="H32" s="69" t="s">
        <v>3349</v>
      </c>
      <c r="I32" s="15">
        <v>33</v>
      </c>
      <c r="J32" s="15">
        <v>23</v>
      </c>
      <c r="K32" s="15">
        <v>20</v>
      </c>
      <c r="L32" s="15">
        <v>5</v>
      </c>
      <c r="M32" s="73">
        <v>3.7949999999999999</v>
      </c>
      <c r="N32" s="104">
        <v>5</v>
      </c>
      <c r="O32" s="57">
        <v>7000</v>
      </c>
      <c r="P32" s="58">
        <f t="shared" si="0"/>
        <v>35000</v>
      </c>
    </row>
    <row r="33" spans="1:16" ht="26.25" customHeight="1" x14ac:dyDescent="0.2">
      <c r="A33" s="100"/>
      <c r="B33" s="100"/>
      <c r="C33" s="65" t="s">
        <v>3420</v>
      </c>
      <c r="D33" s="70" t="s">
        <v>57</v>
      </c>
      <c r="E33" s="12">
        <v>44548</v>
      </c>
      <c r="F33" s="68" t="s">
        <v>59</v>
      </c>
      <c r="G33" s="12">
        <v>44555</v>
      </c>
      <c r="H33" s="69" t="s">
        <v>3349</v>
      </c>
      <c r="I33" s="15">
        <v>40</v>
      </c>
      <c r="J33" s="15">
        <v>30</v>
      </c>
      <c r="K33" s="15">
        <v>24</v>
      </c>
      <c r="L33" s="15">
        <v>16</v>
      </c>
      <c r="M33" s="73">
        <v>7.2</v>
      </c>
      <c r="N33" s="104">
        <v>16</v>
      </c>
      <c r="O33" s="57">
        <v>7000</v>
      </c>
      <c r="P33" s="58">
        <f t="shared" si="0"/>
        <v>112000</v>
      </c>
    </row>
    <row r="34" spans="1:16" ht="26.25" customHeight="1" x14ac:dyDescent="0.2">
      <c r="A34" s="100"/>
      <c r="B34" s="100"/>
      <c r="C34" s="65" t="s">
        <v>3421</v>
      </c>
      <c r="D34" s="70" t="s">
        <v>57</v>
      </c>
      <c r="E34" s="12">
        <v>44548</v>
      </c>
      <c r="F34" s="68" t="s">
        <v>59</v>
      </c>
      <c r="G34" s="12">
        <v>44555</v>
      </c>
      <c r="H34" s="69" t="s">
        <v>3349</v>
      </c>
      <c r="I34" s="15">
        <v>112</v>
      </c>
      <c r="J34" s="15">
        <v>85</v>
      </c>
      <c r="K34" s="15">
        <v>15</v>
      </c>
      <c r="L34" s="15">
        <v>30</v>
      </c>
      <c r="M34" s="73">
        <v>35.700000000000003</v>
      </c>
      <c r="N34" s="104">
        <v>35.700000000000003</v>
      </c>
      <c r="O34" s="57">
        <v>7000</v>
      </c>
      <c r="P34" s="58">
        <f t="shared" si="0"/>
        <v>249900.00000000003</v>
      </c>
    </row>
    <row r="35" spans="1:16" ht="26.25" customHeight="1" x14ac:dyDescent="0.2">
      <c r="A35" s="100"/>
      <c r="B35" s="100"/>
      <c r="C35" s="65" t="s">
        <v>3422</v>
      </c>
      <c r="D35" s="70" t="s">
        <v>57</v>
      </c>
      <c r="E35" s="12">
        <v>44548</v>
      </c>
      <c r="F35" s="68" t="s">
        <v>59</v>
      </c>
      <c r="G35" s="12">
        <v>44555</v>
      </c>
      <c r="H35" s="69" t="s">
        <v>3349</v>
      </c>
      <c r="I35" s="15">
        <v>130</v>
      </c>
      <c r="J35" s="15">
        <v>65</v>
      </c>
      <c r="K35" s="15">
        <v>35</v>
      </c>
      <c r="L35" s="15">
        <v>23</v>
      </c>
      <c r="M35" s="73">
        <v>73.9375</v>
      </c>
      <c r="N35" s="104">
        <v>73.9375</v>
      </c>
      <c r="O35" s="57">
        <v>7000</v>
      </c>
      <c r="P35" s="58">
        <f t="shared" si="0"/>
        <v>517562.5</v>
      </c>
    </row>
    <row r="36" spans="1:16" ht="26.25" customHeight="1" x14ac:dyDescent="0.2">
      <c r="A36" s="100"/>
      <c r="B36" s="100"/>
      <c r="C36" s="65" t="s">
        <v>3423</v>
      </c>
      <c r="D36" s="70" t="s">
        <v>57</v>
      </c>
      <c r="E36" s="12">
        <v>44548</v>
      </c>
      <c r="F36" s="68" t="s">
        <v>59</v>
      </c>
      <c r="G36" s="12">
        <v>44555</v>
      </c>
      <c r="H36" s="69" t="s">
        <v>3349</v>
      </c>
      <c r="I36" s="15">
        <v>90</v>
      </c>
      <c r="J36" s="15">
        <v>66</v>
      </c>
      <c r="K36" s="15">
        <v>15</v>
      </c>
      <c r="L36" s="15">
        <v>15</v>
      </c>
      <c r="M36" s="73">
        <v>22.274999999999999</v>
      </c>
      <c r="N36" s="104">
        <v>22.274999999999999</v>
      </c>
      <c r="O36" s="57">
        <v>7000</v>
      </c>
      <c r="P36" s="58">
        <f t="shared" si="0"/>
        <v>155925</v>
      </c>
    </row>
    <row r="37" spans="1:16" ht="26.25" customHeight="1" x14ac:dyDescent="0.2">
      <c r="A37" s="100"/>
      <c r="B37" s="100"/>
      <c r="C37" s="65" t="s">
        <v>3424</v>
      </c>
      <c r="D37" s="70" t="s">
        <v>57</v>
      </c>
      <c r="E37" s="12">
        <v>44548</v>
      </c>
      <c r="F37" s="68" t="s">
        <v>59</v>
      </c>
      <c r="G37" s="12">
        <v>44555</v>
      </c>
      <c r="H37" s="69" t="s">
        <v>3349</v>
      </c>
      <c r="I37" s="15">
        <v>72</v>
      </c>
      <c r="J37" s="15">
        <v>62</v>
      </c>
      <c r="K37" s="15">
        <v>14</v>
      </c>
      <c r="L37" s="15">
        <v>9</v>
      </c>
      <c r="M37" s="73">
        <v>15.624000000000001</v>
      </c>
      <c r="N37" s="104">
        <v>15.624000000000001</v>
      </c>
      <c r="O37" s="57">
        <v>7000</v>
      </c>
      <c r="P37" s="58">
        <f t="shared" si="0"/>
        <v>109368</v>
      </c>
    </row>
    <row r="38" spans="1:16" ht="26.25" customHeight="1" x14ac:dyDescent="0.2">
      <c r="A38" s="100"/>
      <c r="B38" s="100"/>
      <c r="C38" s="65" t="s">
        <v>3425</v>
      </c>
      <c r="D38" s="70" t="s">
        <v>57</v>
      </c>
      <c r="E38" s="12">
        <v>44548</v>
      </c>
      <c r="F38" s="68" t="s">
        <v>59</v>
      </c>
      <c r="G38" s="12">
        <v>44555</v>
      </c>
      <c r="H38" s="69" t="s">
        <v>3349</v>
      </c>
      <c r="I38" s="15">
        <v>82</v>
      </c>
      <c r="J38" s="15">
        <v>60</v>
      </c>
      <c r="K38" s="15">
        <v>20</v>
      </c>
      <c r="L38" s="15">
        <v>16</v>
      </c>
      <c r="M38" s="73">
        <v>24.6</v>
      </c>
      <c r="N38" s="104">
        <v>24.6</v>
      </c>
      <c r="O38" s="57">
        <v>7000</v>
      </c>
      <c r="P38" s="58">
        <f t="shared" si="0"/>
        <v>172200</v>
      </c>
    </row>
    <row r="39" spans="1:16" ht="26.25" customHeight="1" x14ac:dyDescent="0.2">
      <c r="A39" s="100"/>
      <c r="B39" s="100"/>
      <c r="C39" s="65" t="s">
        <v>3426</v>
      </c>
      <c r="D39" s="70" t="s">
        <v>57</v>
      </c>
      <c r="E39" s="12">
        <v>44548</v>
      </c>
      <c r="F39" s="68" t="s">
        <v>59</v>
      </c>
      <c r="G39" s="12">
        <v>44555</v>
      </c>
      <c r="H39" s="69" t="s">
        <v>3349</v>
      </c>
      <c r="I39" s="15">
        <v>80</v>
      </c>
      <c r="J39" s="15">
        <v>60</v>
      </c>
      <c r="K39" s="15">
        <v>25</v>
      </c>
      <c r="L39" s="15">
        <v>25</v>
      </c>
      <c r="M39" s="73">
        <v>30</v>
      </c>
      <c r="N39" s="104">
        <v>30</v>
      </c>
      <c r="O39" s="57">
        <v>7000</v>
      </c>
      <c r="P39" s="58">
        <f t="shared" si="0"/>
        <v>210000</v>
      </c>
    </row>
    <row r="40" spans="1:16" ht="26.25" customHeight="1" x14ac:dyDescent="0.2">
      <c r="A40" s="100"/>
      <c r="B40" s="100"/>
      <c r="C40" s="65" t="s">
        <v>3427</v>
      </c>
      <c r="D40" s="70" t="s">
        <v>57</v>
      </c>
      <c r="E40" s="12">
        <v>44548</v>
      </c>
      <c r="F40" s="68" t="s">
        <v>59</v>
      </c>
      <c r="G40" s="12">
        <v>44555</v>
      </c>
      <c r="H40" s="69" t="s">
        <v>3349</v>
      </c>
      <c r="I40" s="15">
        <v>100</v>
      </c>
      <c r="J40" s="15">
        <v>65</v>
      </c>
      <c r="K40" s="15">
        <v>28</v>
      </c>
      <c r="L40" s="15">
        <v>28</v>
      </c>
      <c r="M40" s="73">
        <v>45.5</v>
      </c>
      <c r="N40" s="104">
        <v>47</v>
      </c>
      <c r="O40" s="57">
        <v>7000</v>
      </c>
      <c r="P40" s="58">
        <f t="shared" si="0"/>
        <v>329000</v>
      </c>
    </row>
    <row r="41" spans="1:16" ht="26.25" customHeight="1" x14ac:dyDescent="0.2">
      <c r="A41" s="100"/>
      <c r="B41" s="100"/>
      <c r="C41" s="65" t="s">
        <v>3428</v>
      </c>
      <c r="D41" s="70" t="s">
        <v>57</v>
      </c>
      <c r="E41" s="12">
        <v>44548</v>
      </c>
      <c r="F41" s="68" t="s">
        <v>59</v>
      </c>
      <c r="G41" s="12">
        <v>44555</v>
      </c>
      <c r="H41" s="69" t="s">
        <v>3349</v>
      </c>
      <c r="I41" s="15">
        <v>80</v>
      </c>
      <c r="J41" s="15">
        <v>60</v>
      </c>
      <c r="K41" s="15">
        <v>20</v>
      </c>
      <c r="L41" s="15">
        <v>13</v>
      </c>
      <c r="M41" s="73">
        <v>24</v>
      </c>
      <c r="N41" s="104">
        <v>24</v>
      </c>
      <c r="O41" s="57">
        <v>7000</v>
      </c>
      <c r="P41" s="58">
        <f t="shared" si="0"/>
        <v>168000</v>
      </c>
    </row>
    <row r="42" spans="1:16" ht="26.25" customHeight="1" x14ac:dyDescent="0.2">
      <c r="A42" s="100"/>
      <c r="B42" s="100"/>
      <c r="C42" s="65" t="s">
        <v>3429</v>
      </c>
      <c r="D42" s="70" t="s">
        <v>57</v>
      </c>
      <c r="E42" s="12">
        <v>44548</v>
      </c>
      <c r="F42" s="68" t="s">
        <v>59</v>
      </c>
      <c r="G42" s="12">
        <v>44555</v>
      </c>
      <c r="H42" s="69" t="s">
        <v>3349</v>
      </c>
      <c r="I42" s="15">
        <v>80</v>
      </c>
      <c r="J42" s="15">
        <v>60</v>
      </c>
      <c r="K42" s="15">
        <v>23</v>
      </c>
      <c r="L42" s="15">
        <v>25</v>
      </c>
      <c r="M42" s="73">
        <v>27.6</v>
      </c>
      <c r="N42" s="104">
        <v>27.6</v>
      </c>
      <c r="O42" s="57">
        <v>7000</v>
      </c>
      <c r="P42" s="58">
        <f t="shared" si="0"/>
        <v>193200</v>
      </c>
    </row>
    <row r="43" spans="1:16" ht="26.25" customHeight="1" x14ac:dyDescent="0.2">
      <c r="A43" s="100"/>
      <c r="B43" s="100"/>
      <c r="C43" s="65" t="s">
        <v>3430</v>
      </c>
      <c r="D43" s="70" t="s">
        <v>57</v>
      </c>
      <c r="E43" s="12">
        <v>44548</v>
      </c>
      <c r="F43" s="68" t="s">
        <v>59</v>
      </c>
      <c r="G43" s="12">
        <v>44555</v>
      </c>
      <c r="H43" s="69" t="s">
        <v>3349</v>
      </c>
      <c r="I43" s="15">
        <v>95</v>
      </c>
      <c r="J43" s="15">
        <v>60</v>
      </c>
      <c r="K43" s="15">
        <v>30</v>
      </c>
      <c r="L43" s="15">
        <v>37</v>
      </c>
      <c r="M43" s="73">
        <v>42.75</v>
      </c>
      <c r="N43" s="104">
        <v>42.75</v>
      </c>
      <c r="O43" s="57">
        <v>7000</v>
      </c>
      <c r="P43" s="58">
        <f t="shared" si="0"/>
        <v>299250</v>
      </c>
    </row>
    <row r="44" spans="1:16" ht="26.25" customHeight="1" x14ac:dyDescent="0.2">
      <c r="A44" s="100"/>
      <c r="B44" s="100"/>
      <c r="C44" s="65" t="s">
        <v>3431</v>
      </c>
      <c r="D44" s="70" t="s">
        <v>57</v>
      </c>
      <c r="E44" s="12">
        <v>44548</v>
      </c>
      <c r="F44" s="68" t="s">
        <v>59</v>
      </c>
      <c r="G44" s="12">
        <v>44555</v>
      </c>
      <c r="H44" s="69" t="s">
        <v>3349</v>
      </c>
      <c r="I44" s="15">
        <v>80</v>
      </c>
      <c r="J44" s="15">
        <v>60</v>
      </c>
      <c r="K44" s="15">
        <v>20</v>
      </c>
      <c r="L44" s="15">
        <v>8</v>
      </c>
      <c r="M44" s="73">
        <v>24</v>
      </c>
      <c r="N44" s="104">
        <v>24</v>
      </c>
      <c r="O44" s="57">
        <v>7000</v>
      </c>
      <c r="P44" s="58">
        <f t="shared" si="0"/>
        <v>168000</v>
      </c>
    </row>
    <row r="45" spans="1:16" ht="26.25" customHeight="1" x14ac:dyDescent="0.2">
      <c r="A45" s="100"/>
      <c r="B45" s="100"/>
      <c r="C45" s="65" t="s">
        <v>3432</v>
      </c>
      <c r="D45" s="70" t="s">
        <v>57</v>
      </c>
      <c r="E45" s="12">
        <v>44548</v>
      </c>
      <c r="F45" s="68" t="s">
        <v>59</v>
      </c>
      <c r="G45" s="12">
        <v>44555</v>
      </c>
      <c r="H45" s="69" t="s">
        <v>3349</v>
      </c>
      <c r="I45" s="15">
        <v>55</v>
      </c>
      <c r="J45" s="15">
        <v>40</v>
      </c>
      <c r="K45" s="15">
        <v>8</v>
      </c>
      <c r="L45" s="15">
        <v>3</v>
      </c>
      <c r="M45" s="73">
        <v>4.4000000000000004</v>
      </c>
      <c r="N45" s="104">
        <v>5</v>
      </c>
      <c r="O45" s="57">
        <v>7000</v>
      </c>
      <c r="P45" s="58">
        <f t="shared" si="0"/>
        <v>35000</v>
      </c>
    </row>
    <row r="46" spans="1:16" ht="26.25" customHeight="1" x14ac:dyDescent="0.2">
      <c r="A46" s="100"/>
      <c r="B46" s="100"/>
      <c r="C46" s="65" t="s">
        <v>3433</v>
      </c>
      <c r="D46" s="70" t="s">
        <v>57</v>
      </c>
      <c r="E46" s="12">
        <v>44548</v>
      </c>
      <c r="F46" s="68" t="s">
        <v>59</v>
      </c>
      <c r="G46" s="12">
        <v>44555</v>
      </c>
      <c r="H46" s="69" t="s">
        <v>3349</v>
      </c>
      <c r="I46" s="15">
        <v>82</v>
      </c>
      <c r="J46" s="15">
        <v>62</v>
      </c>
      <c r="K46" s="15">
        <v>20</v>
      </c>
      <c r="L46" s="15">
        <v>16</v>
      </c>
      <c r="M46" s="73">
        <v>25.42</v>
      </c>
      <c r="N46" s="104">
        <v>26</v>
      </c>
      <c r="O46" s="57">
        <v>7000</v>
      </c>
      <c r="P46" s="58">
        <f t="shared" si="0"/>
        <v>182000</v>
      </c>
    </row>
    <row r="47" spans="1:16" ht="26.25" customHeight="1" x14ac:dyDescent="0.2">
      <c r="A47" s="100"/>
      <c r="B47" s="100"/>
      <c r="C47" s="65" t="s">
        <v>3434</v>
      </c>
      <c r="D47" s="70" t="s">
        <v>57</v>
      </c>
      <c r="E47" s="12">
        <v>44548</v>
      </c>
      <c r="F47" s="68" t="s">
        <v>59</v>
      </c>
      <c r="G47" s="12">
        <v>44555</v>
      </c>
      <c r="H47" s="69" t="s">
        <v>3349</v>
      </c>
      <c r="I47" s="15">
        <v>57</v>
      </c>
      <c r="J47" s="15">
        <v>30</v>
      </c>
      <c r="K47" s="15">
        <v>23</v>
      </c>
      <c r="L47" s="15">
        <v>4</v>
      </c>
      <c r="M47" s="73">
        <v>9.8324999999999996</v>
      </c>
      <c r="N47" s="104">
        <v>9.8324999999999996</v>
      </c>
      <c r="O47" s="57">
        <v>7000</v>
      </c>
      <c r="P47" s="58">
        <f t="shared" si="0"/>
        <v>68827.5</v>
      </c>
    </row>
    <row r="48" spans="1:16" ht="26.25" customHeight="1" x14ac:dyDescent="0.2">
      <c r="A48" s="100"/>
      <c r="B48" s="100"/>
      <c r="C48" s="65" t="s">
        <v>3435</v>
      </c>
      <c r="D48" s="70" t="s">
        <v>57</v>
      </c>
      <c r="E48" s="12">
        <v>44548</v>
      </c>
      <c r="F48" s="68" t="s">
        <v>59</v>
      </c>
      <c r="G48" s="12">
        <v>44555</v>
      </c>
      <c r="H48" s="69" t="s">
        <v>3349</v>
      </c>
      <c r="I48" s="15">
        <v>75</v>
      </c>
      <c r="J48" s="15">
        <v>60</v>
      </c>
      <c r="K48" s="15">
        <v>16</v>
      </c>
      <c r="L48" s="15">
        <v>12</v>
      </c>
      <c r="M48" s="73">
        <v>18</v>
      </c>
      <c r="N48" s="104">
        <v>18</v>
      </c>
      <c r="O48" s="57">
        <v>7000</v>
      </c>
      <c r="P48" s="58">
        <f t="shared" si="0"/>
        <v>126000</v>
      </c>
    </row>
    <row r="49" spans="1:16" ht="26.25" customHeight="1" x14ac:dyDescent="0.2">
      <c r="A49" s="100"/>
      <c r="B49" s="100"/>
      <c r="C49" s="65" t="s">
        <v>3436</v>
      </c>
      <c r="D49" s="70" t="s">
        <v>57</v>
      </c>
      <c r="E49" s="12">
        <v>44548</v>
      </c>
      <c r="F49" s="68" t="s">
        <v>59</v>
      </c>
      <c r="G49" s="12">
        <v>44555</v>
      </c>
      <c r="H49" s="69" t="s">
        <v>3349</v>
      </c>
      <c r="I49" s="15">
        <v>85</v>
      </c>
      <c r="J49" s="15">
        <v>55</v>
      </c>
      <c r="K49" s="15">
        <v>25</v>
      </c>
      <c r="L49" s="15">
        <v>8</v>
      </c>
      <c r="M49" s="73">
        <v>29.21875</v>
      </c>
      <c r="N49" s="104">
        <v>29.21875</v>
      </c>
      <c r="O49" s="57">
        <v>7000</v>
      </c>
      <c r="P49" s="58">
        <f t="shared" si="0"/>
        <v>204531.25</v>
      </c>
    </row>
    <row r="50" spans="1:16" ht="26.25" customHeight="1" x14ac:dyDescent="0.2">
      <c r="A50" s="100"/>
      <c r="B50" s="100"/>
      <c r="C50" s="65" t="s">
        <v>3437</v>
      </c>
      <c r="D50" s="70" t="s">
        <v>57</v>
      </c>
      <c r="E50" s="12">
        <v>44548</v>
      </c>
      <c r="F50" s="68" t="s">
        <v>59</v>
      </c>
      <c r="G50" s="12">
        <v>44555</v>
      </c>
      <c r="H50" s="69" t="s">
        <v>3349</v>
      </c>
      <c r="I50" s="15">
        <v>90</v>
      </c>
      <c r="J50" s="15">
        <v>50</v>
      </c>
      <c r="K50" s="15">
        <v>25</v>
      </c>
      <c r="L50" s="15">
        <v>18</v>
      </c>
      <c r="M50" s="73">
        <v>28.125</v>
      </c>
      <c r="N50" s="104">
        <v>28.125</v>
      </c>
      <c r="O50" s="57">
        <v>7000</v>
      </c>
      <c r="P50" s="58">
        <f t="shared" si="0"/>
        <v>196875</v>
      </c>
    </row>
    <row r="51" spans="1:16" ht="26.25" customHeight="1" x14ac:dyDescent="0.2">
      <c r="A51" s="100"/>
      <c r="B51" s="100"/>
      <c r="C51" s="65" t="s">
        <v>3438</v>
      </c>
      <c r="D51" s="70" t="s">
        <v>57</v>
      </c>
      <c r="E51" s="12">
        <v>44548</v>
      </c>
      <c r="F51" s="68" t="s">
        <v>59</v>
      </c>
      <c r="G51" s="12">
        <v>44555</v>
      </c>
      <c r="H51" s="69" t="s">
        <v>3349</v>
      </c>
      <c r="I51" s="15">
        <v>50</v>
      </c>
      <c r="J51" s="15">
        <v>40</v>
      </c>
      <c r="K51" s="15">
        <v>6</v>
      </c>
      <c r="L51" s="15">
        <v>2</v>
      </c>
      <c r="M51" s="73">
        <v>3</v>
      </c>
      <c r="N51" s="104">
        <v>3</v>
      </c>
      <c r="O51" s="57">
        <v>7000</v>
      </c>
      <c r="P51" s="58">
        <f t="shared" si="0"/>
        <v>21000</v>
      </c>
    </row>
    <row r="52" spans="1:16" ht="26.25" customHeight="1" x14ac:dyDescent="0.2">
      <c r="A52" s="100"/>
      <c r="B52" s="100"/>
      <c r="C52" s="65" t="s">
        <v>3439</v>
      </c>
      <c r="D52" s="70" t="s">
        <v>57</v>
      </c>
      <c r="E52" s="12">
        <v>44548</v>
      </c>
      <c r="F52" s="68" t="s">
        <v>59</v>
      </c>
      <c r="G52" s="12">
        <v>44555</v>
      </c>
      <c r="H52" s="69" t="s">
        <v>3349</v>
      </c>
      <c r="I52" s="15">
        <v>32</v>
      </c>
      <c r="J52" s="15">
        <v>25</v>
      </c>
      <c r="K52" s="15">
        <v>11</v>
      </c>
      <c r="L52" s="15">
        <v>2</v>
      </c>
      <c r="M52" s="73">
        <v>2.2000000000000002</v>
      </c>
      <c r="N52" s="104">
        <v>2.2000000000000002</v>
      </c>
      <c r="O52" s="57">
        <v>7000</v>
      </c>
      <c r="P52" s="58">
        <f t="shared" si="0"/>
        <v>15400.000000000002</v>
      </c>
    </row>
    <row r="53" spans="1:16" ht="26.25" customHeight="1" x14ac:dyDescent="0.2">
      <c r="A53" s="100"/>
      <c r="B53" s="100"/>
      <c r="C53" s="65" t="s">
        <v>3440</v>
      </c>
      <c r="D53" s="70" t="s">
        <v>57</v>
      </c>
      <c r="E53" s="12">
        <v>44548</v>
      </c>
      <c r="F53" s="68" t="s">
        <v>59</v>
      </c>
      <c r="G53" s="12">
        <v>44555</v>
      </c>
      <c r="H53" s="69" t="s">
        <v>3349</v>
      </c>
      <c r="I53" s="15">
        <v>27</v>
      </c>
      <c r="J53" s="15">
        <v>14</v>
      </c>
      <c r="K53" s="15">
        <v>23</v>
      </c>
      <c r="L53" s="15">
        <v>36</v>
      </c>
      <c r="M53" s="73">
        <v>2.1735000000000002</v>
      </c>
      <c r="N53" s="104">
        <v>36</v>
      </c>
      <c r="O53" s="57">
        <v>7000</v>
      </c>
      <c r="P53" s="58">
        <f t="shared" si="0"/>
        <v>252000</v>
      </c>
    </row>
    <row r="54" spans="1:16" ht="26.25" customHeight="1" x14ac:dyDescent="0.2">
      <c r="A54" s="100"/>
      <c r="B54" s="100"/>
      <c r="C54" s="65" t="s">
        <v>3441</v>
      </c>
      <c r="D54" s="70" t="s">
        <v>57</v>
      </c>
      <c r="E54" s="12">
        <v>44548</v>
      </c>
      <c r="F54" s="68" t="s">
        <v>59</v>
      </c>
      <c r="G54" s="12">
        <v>44555</v>
      </c>
      <c r="H54" s="69" t="s">
        <v>3349</v>
      </c>
      <c r="I54" s="15">
        <v>100</v>
      </c>
      <c r="J54" s="15">
        <v>62</v>
      </c>
      <c r="K54" s="15">
        <v>22</v>
      </c>
      <c r="L54" s="15">
        <v>24</v>
      </c>
      <c r="M54" s="73">
        <v>34.1</v>
      </c>
      <c r="N54" s="104">
        <v>34.1</v>
      </c>
      <c r="O54" s="57">
        <v>7000</v>
      </c>
      <c r="P54" s="58">
        <f t="shared" si="0"/>
        <v>238700</v>
      </c>
    </row>
    <row r="55" spans="1:16" ht="26.25" customHeight="1" x14ac:dyDescent="0.2">
      <c r="A55" s="100"/>
      <c r="B55" s="100"/>
      <c r="C55" s="65" t="s">
        <v>3442</v>
      </c>
      <c r="D55" s="70" t="s">
        <v>57</v>
      </c>
      <c r="E55" s="12">
        <v>44548</v>
      </c>
      <c r="F55" s="68" t="s">
        <v>59</v>
      </c>
      <c r="G55" s="12">
        <v>44555</v>
      </c>
      <c r="H55" s="69" t="s">
        <v>3349</v>
      </c>
      <c r="I55" s="15">
        <v>65</v>
      </c>
      <c r="J55" s="15">
        <v>40</v>
      </c>
      <c r="K55" s="15">
        <v>20</v>
      </c>
      <c r="L55" s="15">
        <v>8</v>
      </c>
      <c r="M55" s="73">
        <v>13</v>
      </c>
      <c r="N55" s="104">
        <v>13</v>
      </c>
      <c r="O55" s="57">
        <v>7000</v>
      </c>
      <c r="P55" s="58">
        <f t="shared" si="0"/>
        <v>91000</v>
      </c>
    </row>
    <row r="56" spans="1:16" ht="26.25" customHeight="1" x14ac:dyDescent="0.2">
      <c r="A56" s="100"/>
      <c r="B56" s="100"/>
      <c r="C56" s="65" t="s">
        <v>3443</v>
      </c>
      <c r="D56" s="70" t="s">
        <v>57</v>
      </c>
      <c r="E56" s="12">
        <v>44548</v>
      </c>
      <c r="F56" s="68" t="s">
        <v>59</v>
      </c>
      <c r="G56" s="12">
        <v>44555</v>
      </c>
      <c r="H56" s="69" t="s">
        <v>3349</v>
      </c>
      <c r="I56" s="15">
        <v>45</v>
      </c>
      <c r="J56" s="15">
        <v>30</v>
      </c>
      <c r="K56" s="15">
        <v>33</v>
      </c>
      <c r="L56" s="15">
        <v>6</v>
      </c>
      <c r="M56" s="73">
        <v>11.137499999999999</v>
      </c>
      <c r="N56" s="104">
        <v>11.137499999999999</v>
      </c>
      <c r="O56" s="57">
        <v>7000</v>
      </c>
      <c r="P56" s="58">
        <f t="shared" si="0"/>
        <v>77962.5</v>
      </c>
    </row>
    <row r="57" spans="1:16" ht="26.25" customHeight="1" x14ac:dyDescent="0.2">
      <c r="A57" s="100"/>
      <c r="B57" s="100"/>
      <c r="C57" s="65" t="s">
        <v>3444</v>
      </c>
      <c r="D57" s="70" t="s">
        <v>57</v>
      </c>
      <c r="E57" s="12">
        <v>44548</v>
      </c>
      <c r="F57" s="68" t="s">
        <v>59</v>
      </c>
      <c r="G57" s="12">
        <v>44555</v>
      </c>
      <c r="H57" s="69" t="s">
        <v>3349</v>
      </c>
      <c r="I57" s="15">
        <v>46</v>
      </c>
      <c r="J57" s="15">
        <v>35</v>
      </c>
      <c r="K57" s="15">
        <v>33</v>
      </c>
      <c r="L57" s="15">
        <v>9</v>
      </c>
      <c r="M57" s="73">
        <v>13.282500000000001</v>
      </c>
      <c r="N57" s="104">
        <v>13.282500000000001</v>
      </c>
      <c r="O57" s="57">
        <v>7000</v>
      </c>
      <c r="P57" s="58">
        <f t="shared" si="0"/>
        <v>92977.5</v>
      </c>
    </row>
    <row r="58" spans="1:16" ht="26.25" customHeight="1" x14ac:dyDescent="0.2">
      <c r="A58" s="100"/>
      <c r="B58" s="100"/>
      <c r="C58" s="65" t="s">
        <v>3445</v>
      </c>
      <c r="D58" s="70" t="s">
        <v>57</v>
      </c>
      <c r="E58" s="12">
        <v>44548</v>
      </c>
      <c r="F58" s="68" t="s">
        <v>59</v>
      </c>
      <c r="G58" s="12">
        <v>44555</v>
      </c>
      <c r="H58" s="69" t="s">
        <v>3349</v>
      </c>
      <c r="I58" s="15">
        <v>53</v>
      </c>
      <c r="J58" s="15">
        <v>53</v>
      </c>
      <c r="K58" s="15">
        <v>27</v>
      </c>
      <c r="L58" s="15">
        <v>25</v>
      </c>
      <c r="M58" s="73">
        <v>18.960750000000001</v>
      </c>
      <c r="N58" s="104">
        <v>25</v>
      </c>
      <c r="O58" s="57">
        <v>7000</v>
      </c>
      <c r="P58" s="58">
        <f t="shared" si="0"/>
        <v>175000</v>
      </c>
    </row>
    <row r="59" spans="1:16" ht="26.25" customHeight="1" x14ac:dyDescent="0.2">
      <c r="A59" s="100"/>
      <c r="B59" s="100"/>
      <c r="C59" s="65" t="s">
        <v>3446</v>
      </c>
      <c r="D59" s="70" t="s">
        <v>57</v>
      </c>
      <c r="E59" s="12">
        <v>44548</v>
      </c>
      <c r="F59" s="68" t="s">
        <v>59</v>
      </c>
      <c r="G59" s="12">
        <v>44555</v>
      </c>
      <c r="H59" s="69" t="s">
        <v>3349</v>
      </c>
      <c r="I59" s="15">
        <v>70</v>
      </c>
      <c r="J59" s="15">
        <v>50</v>
      </c>
      <c r="K59" s="15">
        <v>20</v>
      </c>
      <c r="L59" s="15">
        <v>11</v>
      </c>
      <c r="M59" s="73">
        <v>17.5</v>
      </c>
      <c r="N59" s="104">
        <v>19</v>
      </c>
      <c r="O59" s="57">
        <v>7000</v>
      </c>
      <c r="P59" s="58">
        <f t="shared" si="0"/>
        <v>133000</v>
      </c>
    </row>
    <row r="60" spans="1:16" ht="26.25" customHeight="1" x14ac:dyDescent="0.2">
      <c r="A60" s="100"/>
      <c r="B60" s="100"/>
      <c r="C60" s="65" t="s">
        <v>3447</v>
      </c>
      <c r="D60" s="70" t="s">
        <v>57</v>
      </c>
      <c r="E60" s="12">
        <v>44548</v>
      </c>
      <c r="F60" s="68" t="s">
        <v>59</v>
      </c>
      <c r="G60" s="12">
        <v>44555</v>
      </c>
      <c r="H60" s="69" t="s">
        <v>3349</v>
      </c>
      <c r="I60" s="15">
        <v>100</v>
      </c>
      <c r="J60" s="15">
        <v>65</v>
      </c>
      <c r="K60" s="15">
        <v>30</v>
      </c>
      <c r="L60" s="15">
        <v>22</v>
      </c>
      <c r="M60" s="73">
        <v>48.75</v>
      </c>
      <c r="N60" s="104">
        <v>48.75</v>
      </c>
      <c r="O60" s="57">
        <v>7000</v>
      </c>
      <c r="P60" s="58">
        <f t="shared" si="0"/>
        <v>341250</v>
      </c>
    </row>
    <row r="61" spans="1:16" ht="26.25" customHeight="1" x14ac:dyDescent="0.2">
      <c r="A61" s="100"/>
      <c r="B61" s="100"/>
      <c r="C61" s="65" t="s">
        <v>3448</v>
      </c>
      <c r="D61" s="70" t="s">
        <v>57</v>
      </c>
      <c r="E61" s="12">
        <v>44548</v>
      </c>
      <c r="F61" s="68" t="s">
        <v>59</v>
      </c>
      <c r="G61" s="12">
        <v>44555</v>
      </c>
      <c r="H61" s="69" t="s">
        <v>3349</v>
      </c>
      <c r="I61" s="15">
        <v>95</v>
      </c>
      <c r="J61" s="15">
        <v>60</v>
      </c>
      <c r="K61" s="15">
        <v>27</v>
      </c>
      <c r="L61" s="15">
        <v>33</v>
      </c>
      <c r="M61" s="73">
        <v>38.475000000000001</v>
      </c>
      <c r="N61" s="104">
        <v>39</v>
      </c>
      <c r="O61" s="57">
        <v>7000</v>
      </c>
      <c r="P61" s="58">
        <f t="shared" si="0"/>
        <v>273000</v>
      </c>
    </row>
    <row r="62" spans="1:16" ht="26.25" customHeight="1" x14ac:dyDescent="0.2">
      <c r="A62" s="100"/>
      <c r="B62" s="100"/>
      <c r="C62" s="65" t="s">
        <v>3449</v>
      </c>
      <c r="D62" s="70" t="s">
        <v>57</v>
      </c>
      <c r="E62" s="12">
        <v>44548</v>
      </c>
      <c r="F62" s="68" t="s">
        <v>59</v>
      </c>
      <c r="G62" s="12">
        <v>44555</v>
      </c>
      <c r="H62" s="69" t="s">
        <v>3349</v>
      </c>
      <c r="I62" s="15">
        <v>55</v>
      </c>
      <c r="J62" s="15">
        <v>40</v>
      </c>
      <c r="K62" s="15">
        <v>10</v>
      </c>
      <c r="L62" s="15">
        <v>2</v>
      </c>
      <c r="M62" s="73">
        <v>5.5</v>
      </c>
      <c r="N62" s="104">
        <v>7</v>
      </c>
      <c r="O62" s="57">
        <v>7000</v>
      </c>
      <c r="P62" s="58">
        <f t="shared" si="0"/>
        <v>49000</v>
      </c>
    </row>
    <row r="63" spans="1:16" ht="26.25" customHeight="1" x14ac:dyDescent="0.2">
      <c r="A63" s="100"/>
      <c r="B63" s="100"/>
      <c r="C63" s="65" t="s">
        <v>3450</v>
      </c>
      <c r="D63" s="70" t="s">
        <v>57</v>
      </c>
      <c r="E63" s="12">
        <v>44548</v>
      </c>
      <c r="F63" s="68" t="s">
        <v>59</v>
      </c>
      <c r="G63" s="12">
        <v>44555</v>
      </c>
      <c r="H63" s="69" t="s">
        <v>3349</v>
      </c>
      <c r="I63" s="15">
        <v>80</v>
      </c>
      <c r="J63" s="15">
        <v>60</v>
      </c>
      <c r="K63" s="15">
        <v>50</v>
      </c>
      <c r="L63" s="15">
        <v>8</v>
      </c>
      <c r="M63" s="73">
        <v>60</v>
      </c>
      <c r="N63" s="104">
        <v>60</v>
      </c>
      <c r="O63" s="57">
        <v>7000</v>
      </c>
      <c r="P63" s="58">
        <f t="shared" si="0"/>
        <v>420000</v>
      </c>
    </row>
    <row r="64" spans="1:16" ht="26.25" customHeight="1" x14ac:dyDescent="0.2">
      <c r="A64" s="100"/>
      <c r="B64" s="100"/>
      <c r="C64" s="65" t="s">
        <v>3451</v>
      </c>
      <c r="D64" s="70" t="s">
        <v>57</v>
      </c>
      <c r="E64" s="12">
        <v>44548</v>
      </c>
      <c r="F64" s="68" t="s">
        <v>59</v>
      </c>
      <c r="G64" s="12">
        <v>44555</v>
      </c>
      <c r="H64" s="69" t="s">
        <v>3349</v>
      </c>
      <c r="I64" s="15">
        <v>50</v>
      </c>
      <c r="J64" s="15">
        <v>40</v>
      </c>
      <c r="K64" s="15">
        <v>13</v>
      </c>
      <c r="L64" s="15">
        <v>2</v>
      </c>
      <c r="M64" s="73">
        <v>6.5</v>
      </c>
      <c r="N64" s="104">
        <v>8</v>
      </c>
      <c r="O64" s="57">
        <v>7000</v>
      </c>
      <c r="P64" s="58">
        <f t="shared" si="0"/>
        <v>56000</v>
      </c>
    </row>
    <row r="65" spans="1:16" ht="26.25" customHeight="1" x14ac:dyDescent="0.2">
      <c r="A65" s="100"/>
      <c r="B65" s="100"/>
      <c r="C65" s="65" t="s">
        <v>3452</v>
      </c>
      <c r="D65" s="70" t="s">
        <v>57</v>
      </c>
      <c r="E65" s="12">
        <v>44548</v>
      </c>
      <c r="F65" s="68" t="s">
        <v>59</v>
      </c>
      <c r="G65" s="12">
        <v>44555</v>
      </c>
      <c r="H65" s="69" t="s">
        <v>3349</v>
      </c>
      <c r="I65" s="15">
        <v>100</v>
      </c>
      <c r="J65" s="15">
        <v>52</v>
      </c>
      <c r="K65" s="15">
        <v>30</v>
      </c>
      <c r="L65" s="15">
        <v>19</v>
      </c>
      <c r="M65" s="73">
        <v>39</v>
      </c>
      <c r="N65" s="104">
        <v>39</v>
      </c>
      <c r="O65" s="57">
        <v>7000</v>
      </c>
      <c r="P65" s="58">
        <f t="shared" si="0"/>
        <v>273000</v>
      </c>
    </row>
    <row r="66" spans="1:16" ht="26.25" customHeight="1" x14ac:dyDescent="0.2">
      <c r="A66" s="100"/>
      <c r="B66" s="100"/>
      <c r="C66" s="65" t="s">
        <v>3453</v>
      </c>
      <c r="D66" s="70" t="s">
        <v>57</v>
      </c>
      <c r="E66" s="12">
        <v>44548</v>
      </c>
      <c r="F66" s="68" t="s">
        <v>59</v>
      </c>
      <c r="G66" s="12">
        <v>44555</v>
      </c>
      <c r="H66" s="69" t="s">
        <v>3349</v>
      </c>
      <c r="I66" s="15">
        <v>90</v>
      </c>
      <c r="J66" s="15">
        <v>52</v>
      </c>
      <c r="K66" s="15">
        <v>20</v>
      </c>
      <c r="L66" s="15">
        <v>17</v>
      </c>
      <c r="M66" s="73">
        <v>23.4</v>
      </c>
      <c r="N66" s="104">
        <v>24</v>
      </c>
      <c r="O66" s="57">
        <v>7000</v>
      </c>
      <c r="P66" s="58">
        <f t="shared" si="0"/>
        <v>168000</v>
      </c>
    </row>
    <row r="67" spans="1:16" ht="26.25" customHeight="1" x14ac:dyDescent="0.2">
      <c r="A67" s="100"/>
      <c r="B67" s="100"/>
      <c r="C67" s="65" t="s">
        <v>3454</v>
      </c>
      <c r="D67" s="70" t="s">
        <v>57</v>
      </c>
      <c r="E67" s="12">
        <v>44548</v>
      </c>
      <c r="F67" s="68" t="s">
        <v>59</v>
      </c>
      <c r="G67" s="12">
        <v>44555</v>
      </c>
      <c r="H67" s="69" t="s">
        <v>3349</v>
      </c>
      <c r="I67" s="15">
        <v>85</v>
      </c>
      <c r="J67" s="15">
        <v>50</v>
      </c>
      <c r="K67" s="15">
        <v>25</v>
      </c>
      <c r="L67" s="15">
        <v>20</v>
      </c>
      <c r="M67" s="73">
        <v>26.5625</v>
      </c>
      <c r="N67" s="104">
        <v>26.5625</v>
      </c>
      <c r="O67" s="57">
        <v>7000</v>
      </c>
      <c r="P67" s="58">
        <f t="shared" ref="P67:P130" si="1">N67*O67</f>
        <v>185937.5</v>
      </c>
    </row>
    <row r="68" spans="1:16" ht="26.25" customHeight="1" x14ac:dyDescent="0.2">
      <c r="A68" s="100"/>
      <c r="B68" s="100"/>
      <c r="C68" s="65" t="s">
        <v>3455</v>
      </c>
      <c r="D68" s="70" t="s">
        <v>57</v>
      </c>
      <c r="E68" s="12">
        <v>44548</v>
      </c>
      <c r="F68" s="68" t="s">
        <v>59</v>
      </c>
      <c r="G68" s="12">
        <v>44555</v>
      </c>
      <c r="H68" s="69" t="s">
        <v>3349</v>
      </c>
      <c r="I68" s="15">
        <v>60</v>
      </c>
      <c r="J68" s="15">
        <v>60</v>
      </c>
      <c r="K68" s="15">
        <v>10</v>
      </c>
      <c r="L68" s="15">
        <v>5</v>
      </c>
      <c r="M68" s="73">
        <v>9</v>
      </c>
      <c r="N68" s="104">
        <v>9</v>
      </c>
      <c r="O68" s="57">
        <v>7000</v>
      </c>
      <c r="P68" s="58">
        <f t="shared" si="1"/>
        <v>63000</v>
      </c>
    </row>
    <row r="69" spans="1:16" ht="26.25" customHeight="1" x14ac:dyDescent="0.2">
      <c r="A69" s="100"/>
      <c r="B69" s="100"/>
      <c r="C69" s="65" t="s">
        <v>3456</v>
      </c>
      <c r="D69" s="70" t="s">
        <v>57</v>
      </c>
      <c r="E69" s="12">
        <v>44548</v>
      </c>
      <c r="F69" s="68" t="s">
        <v>59</v>
      </c>
      <c r="G69" s="12">
        <v>44555</v>
      </c>
      <c r="H69" s="69" t="s">
        <v>3349</v>
      </c>
      <c r="I69" s="15">
        <v>100</v>
      </c>
      <c r="J69" s="15">
        <v>56</v>
      </c>
      <c r="K69" s="15">
        <v>20</v>
      </c>
      <c r="L69" s="15">
        <v>8</v>
      </c>
      <c r="M69" s="73">
        <v>28</v>
      </c>
      <c r="N69" s="104">
        <v>28</v>
      </c>
      <c r="O69" s="57">
        <v>7000</v>
      </c>
      <c r="P69" s="58">
        <f t="shared" si="1"/>
        <v>196000</v>
      </c>
    </row>
    <row r="70" spans="1:16" ht="26.25" customHeight="1" x14ac:dyDescent="0.2">
      <c r="A70" s="100"/>
      <c r="B70" s="100"/>
      <c r="C70" s="65" t="s">
        <v>3457</v>
      </c>
      <c r="D70" s="70" t="s">
        <v>57</v>
      </c>
      <c r="E70" s="12">
        <v>44548</v>
      </c>
      <c r="F70" s="68" t="s">
        <v>59</v>
      </c>
      <c r="G70" s="12">
        <v>44555</v>
      </c>
      <c r="H70" s="69" t="s">
        <v>3349</v>
      </c>
      <c r="I70" s="15">
        <v>80</v>
      </c>
      <c r="J70" s="15">
        <v>60</v>
      </c>
      <c r="K70" s="15">
        <v>16</v>
      </c>
      <c r="L70" s="15">
        <v>12</v>
      </c>
      <c r="M70" s="73">
        <v>19.2</v>
      </c>
      <c r="N70" s="104">
        <v>19.2</v>
      </c>
      <c r="O70" s="57">
        <v>7000</v>
      </c>
      <c r="P70" s="58">
        <f t="shared" si="1"/>
        <v>134400</v>
      </c>
    </row>
    <row r="71" spans="1:16" ht="26.25" customHeight="1" x14ac:dyDescent="0.2">
      <c r="A71" s="100"/>
      <c r="B71" s="100"/>
      <c r="C71" s="65" t="s">
        <v>3458</v>
      </c>
      <c r="D71" s="70" t="s">
        <v>57</v>
      </c>
      <c r="E71" s="12">
        <v>44548</v>
      </c>
      <c r="F71" s="68" t="s">
        <v>59</v>
      </c>
      <c r="G71" s="12">
        <v>44555</v>
      </c>
      <c r="H71" s="69" t="s">
        <v>3349</v>
      </c>
      <c r="I71" s="15">
        <v>89</v>
      </c>
      <c r="J71" s="15">
        <v>55</v>
      </c>
      <c r="K71" s="15">
        <v>20</v>
      </c>
      <c r="L71" s="15">
        <v>17</v>
      </c>
      <c r="M71" s="73">
        <v>24.475000000000001</v>
      </c>
      <c r="N71" s="104">
        <v>25</v>
      </c>
      <c r="O71" s="57">
        <v>7000</v>
      </c>
      <c r="P71" s="58">
        <f t="shared" si="1"/>
        <v>175000</v>
      </c>
    </row>
    <row r="72" spans="1:16" ht="26.25" customHeight="1" x14ac:dyDescent="0.2">
      <c r="A72" s="100"/>
      <c r="B72" s="100"/>
      <c r="C72" s="65" t="s">
        <v>3459</v>
      </c>
      <c r="D72" s="70" t="s">
        <v>57</v>
      </c>
      <c r="E72" s="12">
        <v>44548</v>
      </c>
      <c r="F72" s="68" t="s">
        <v>59</v>
      </c>
      <c r="G72" s="12">
        <v>44555</v>
      </c>
      <c r="H72" s="69" t="s">
        <v>3349</v>
      </c>
      <c r="I72" s="15">
        <v>70</v>
      </c>
      <c r="J72" s="15">
        <v>60</v>
      </c>
      <c r="K72" s="15">
        <v>13</v>
      </c>
      <c r="L72" s="15">
        <v>8</v>
      </c>
      <c r="M72" s="73">
        <v>13.65</v>
      </c>
      <c r="N72" s="104">
        <v>13.65</v>
      </c>
      <c r="O72" s="57">
        <v>7000</v>
      </c>
      <c r="P72" s="58">
        <f t="shared" si="1"/>
        <v>95550</v>
      </c>
    </row>
    <row r="73" spans="1:16" ht="26.25" customHeight="1" x14ac:dyDescent="0.2">
      <c r="A73" s="100"/>
      <c r="B73" s="100"/>
      <c r="C73" s="65" t="s">
        <v>3460</v>
      </c>
      <c r="D73" s="70" t="s">
        <v>57</v>
      </c>
      <c r="E73" s="12">
        <v>44548</v>
      </c>
      <c r="F73" s="68" t="s">
        <v>59</v>
      </c>
      <c r="G73" s="12">
        <v>44555</v>
      </c>
      <c r="H73" s="69" t="s">
        <v>3349</v>
      </c>
      <c r="I73" s="15">
        <v>95</v>
      </c>
      <c r="J73" s="15">
        <v>56</v>
      </c>
      <c r="K73" s="15">
        <v>37</v>
      </c>
      <c r="L73" s="15">
        <v>22</v>
      </c>
      <c r="M73" s="73">
        <v>49.21</v>
      </c>
      <c r="N73" s="104">
        <v>49.21</v>
      </c>
      <c r="O73" s="57">
        <v>7000</v>
      </c>
      <c r="P73" s="58">
        <f t="shared" si="1"/>
        <v>344470</v>
      </c>
    </row>
    <row r="74" spans="1:16" ht="26.25" customHeight="1" x14ac:dyDescent="0.2">
      <c r="A74" s="100"/>
      <c r="B74" s="100"/>
      <c r="C74" s="65" t="s">
        <v>3461</v>
      </c>
      <c r="D74" s="70" t="s">
        <v>57</v>
      </c>
      <c r="E74" s="12">
        <v>44548</v>
      </c>
      <c r="F74" s="68" t="s">
        <v>59</v>
      </c>
      <c r="G74" s="12">
        <v>44555</v>
      </c>
      <c r="H74" s="69" t="s">
        <v>3349</v>
      </c>
      <c r="I74" s="15">
        <v>65</v>
      </c>
      <c r="J74" s="15">
        <v>60</v>
      </c>
      <c r="K74" s="15">
        <v>13</v>
      </c>
      <c r="L74" s="15">
        <v>2</v>
      </c>
      <c r="M74" s="73">
        <v>12.675000000000001</v>
      </c>
      <c r="N74" s="104">
        <v>12.675000000000001</v>
      </c>
      <c r="O74" s="57">
        <v>7000</v>
      </c>
      <c r="P74" s="58">
        <f t="shared" si="1"/>
        <v>88725</v>
      </c>
    </row>
    <row r="75" spans="1:16" ht="26.25" customHeight="1" x14ac:dyDescent="0.2">
      <c r="A75" s="100"/>
      <c r="B75" s="100"/>
      <c r="C75" s="65" t="s">
        <v>3462</v>
      </c>
      <c r="D75" s="70" t="s">
        <v>57</v>
      </c>
      <c r="E75" s="12">
        <v>44548</v>
      </c>
      <c r="F75" s="68" t="s">
        <v>59</v>
      </c>
      <c r="G75" s="12">
        <v>44555</v>
      </c>
      <c r="H75" s="69" t="s">
        <v>3349</v>
      </c>
      <c r="I75" s="15">
        <v>81</v>
      </c>
      <c r="J75" s="15">
        <v>62</v>
      </c>
      <c r="K75" s="15">
        <v>22</v>
      </c>
      <c r="L75" s="15">
        <v>13</v>
      </c>
      <c r="M75" s="73">
        <v>27.620999999999999</v>
      </c>
      <c r="N75" s="104">
        <v>27.620999999999999</v>
      </c>
      <c r="O75" s="57">
        <v>7000</v>
      </c>
      <c r="P75" s="58">
        <f t="shared" si="1"/>
        <v>193347</v>
      </c>
    </row>
    <row r="76" spans="1:16" ht="26.25" customHeight="1" x14ac:dyDescent="0.2">
      <c r="A76" s="100"/>
      <c r="B76" s="100"/>
      <c r="C76" s="65" t="s">
        <v>3463</v>
      </c>
      <c r="D76" s="70" t="s">
        <v>57</v>
      </c>
      <c r="E76" s="12">
        <v>44548</v>
      </c>
      <c r="F76" s="68" t="s">
        <v>59</v>
      </c>
      <c r="G76" s="12">
        <v>44555</v>
      </c>
      <c r="H76" s="69" t="s">
        <v>3349</v>
      </c>
      <c r="I76" s="15">
        <v>85</v>
      </c>
      <c r="J76" s="15">
        <v>33</v>
      </c>
      <c r="K76" s="15">
        <v>20</v>
      </c>
      <c r="L76" s="15">
        <v>10</v>
      </c>
      <c r="M76" s="73">
        <v>14.025</v>
      </c>
      <c r="N76" s="104">
        <v>14.025</v>
      </c>
      <c r="O76" s="57">
        <v>7000</v>
      </c>
      <c r="P76" s="58">
        <f t="shared" si="1"/>
        <v>98175</v>
      </c>
    </row>
    <row r="77" spans="1:16" ht="26.25" customHeight="1" x14ac:dyDescent="0.2">
      <c r="A77" s="100"/>
      <c r="B77" s="100"/>
      <c r="C77" s="65" t="s">
        <v>3464</v>
      </c>
      <c r="D77" s="70" t="s">
        <v>57</v>
      </c>
      <c r="E77" s="12">
        <v>44548</v>
      </c>
      <c r="F77" s="68" t="s">
        <v>59</v>
      </c>
      <c r="G77" s="12">
        <v>44555</v>
      </c>
      <c r="H77" s="69" t="s">
        <v>3349</v>
      </c>
      <c r="I77" s="15">
        <v>40</v>
      </c>
      <c r="J77" s="15">
        <v>20</v>
      </c>
      <c r="K77" s="15">
        <v>20</v>
      </c>
      <c r="L77" s="15">
        <v>7</v>
      </c>
      <c r="M77" s="73">
        <v>4</v>
      </c>
      <c r="N77" s="104">
        <v>7</v>
      </c>
      <c r="O77" s="57">
        <v>7000</v>
      </c>
      <c r="P77" s="58">
        <f t="shared" si="1"/>
        <v>49000</v>
      </c>
    </row>
    <row r="78" spans="1:16" ht="26.25" customHeight="1" x14ac:dyDescent="0.2">
      <c r="A78" s="100"/>
      <c r="B78" s="100"/>
      <c r="C78" s="65" t="s">
        <v>3465</v>
      </c>
      <c r="D78" s="70" t="s">
        <v>57</v>
      </c>
      <c r="E78" s="12">
        <v>44548</v>
      </c>
      <c r="F78" s="68" t="s">
        <v>59</v>
      </c>
      <c r="G78" s="12">
        <v>44555</v>
      </c>
      <c r="H78" s="69" t="s">
        <v>3349</v>
      </c>
      <c r="I78" s="15">
        <v>60</v>
      </c>
      <c r="J78" s="15">
        <v>60</v>
      </c>
      <c r="K78" s="15">
        <v>17</v>
      </c>
      <c r="L78" s="15">
        <v>11</v>
      </c>
      <c r="M78" s="73">
        <v>15.3</v>
      </c>
      <c r="N78" s="104">
        <v>16</v>
      </c>
      <c r="O78" s="57">
        <v>7000</v>
      </c>
      <c r="P78" s="58">
        <f t="shared" si="1"/>
        <v>112000</v>
      </c>
    </row>
    <row r="79" spans="1:16" ht="26.25" customHeight="1" x14ac:dyDescent="0.2">
      <c r="A79" s="100"/>
      <c r="B79" s="100"/>
      <c r="C79" s="65" t="s">
        <v>3466</v>
      </c>
      <c r="D79" s="70" t="s">
        <v>57</v>
      </c>
      <c r="E79" s="12">
        <v>44548</v>
      </c>
      <c r="F79" s="68" t="s">
        <v>59</v>
      </c>
      <c r="G79" s="12">
        <v>44555</v>
      </c>
      <c r="H79" s="69" t="s">
        <v>3349</v>
      </c>
      <c r="I79" s="15">
        <v>77</v>
      </c>
      <c r="J79" s="15">
        <v>33</v>
      </c>
      <c r="K79" s="15">
        <v>15</v>
      </c>
      <c r="L79" s="15">
        <v>5</v>
      </c>
      <c r="M79" s="73">
        <v>9.5287500000000005</v>
      </c>
      <c r="N79" s="104">
        <v>9.5287500000000005</v>
      </c>
      <c r="O79" s="57">
        <v>7000</v>
      </c>
      <c r="P79" s="58">
        <f t="shared" si="1"/>
        <v>66701.25</v>
      </c>
    </row>
    <row r="80" spans="1:16" ht="26.25" customHeight="1" x14ac:dyDescent="0.2">
      <c r="A80" s="100"/>
      <c r="B80" s="100"/>
      <c r="C80" s="65" t="s">
        <v>3467</v>
      </c>
      <c r="D80" s="70" t="s">
        <v>57</v>
      </c>
      <c r="E80" s="12">
        <v>44548</v>
      </c>
      <c r="F80" s="68" t="s">
        <v>59</v>
      </c>
      <c r="G80" s="12">
        <v>44555</v>
      </c>
      <c r="H80" s="69" t="s">
        <v>3349</v>
      </c>
      <c r="I80" s="15">
        <v>56</v>
      </c>
      <c r="J80" s="15">
        <v>35</v>
      </c>
      <c r="K80" s="15">
        <v>15</v>
      </c>
      <c r="L80" s="15">
        <v>5</v>
      </c>
      <c r="M80" s="73">
        <v>7.35</v>
      </c>
      <c r="N80" s="104">
        <v>8</v>
      </c>
      <c r="O80" s="57">
        <v>7000</v>
      </c>
      <c r="P80" s="58">
        <f t="shared" si="1"/>
        <v>56000</v>
      </c>
    </row>
    <row r="81" spans="1:16" ht="26.25" customHeight="1" x14ac:dyDescent="0.2">
      <c r="A81" s="100"/>
      <c r="B81" s="100"/>
      <c r="C81" s="65" t="s">
        <v>3468</v>
      </c>
      <c r="D81" s="70" t="s">
        <v>57</v>
      </c>
      <c r="E81" s="12">
        <v>44548</v>
      </c>
      <c r="F81" s="68" t="s">
        <v>59</v>
      </c>
      <c r="G81" s="12">
        <v>44555</v>
      </c>
      <c r="H81" s="69" t="s">
        <v>3349</v>
      </c>
      <c r="I81" s="15">
        <v>67</v>
      </c>
      <c r="J81" s="15">
        <v>61</v>
      </c>
      <c r="K81" s="15">
        <v>25</v>
      </c>
      <c r="L81" s="15">
        <v>9</v>
      </c>
      <c r="M81" s="73">
        <v>25.543749999999999</v>
      </c>
      <c r="N81" s="104">
        <v>25.543749999999999</v>
      </c>
      <c r="O81" s="57">
        <v>7000</v>
      </c>
      <c r="P81" s="58">
        <f t="shared" si="1"/>
        <v>178806.25</v>
      </c>
    </row>
    <row r="82" spans="1:16" ht="26.25" customHeight="1" x14ac:dyDescent="0.2">
      <c r="A82" s="100"/>
      <c r="B82" s="100"/>
      <c r="C82" s="65" t="s">
        <v>3469</v>
      </c>
      <c r="D82" s="70" t="s">
        <v>57</v>
      </c>
      <c r="E82" s="12">
        <v>44548</v>
      </c>
      <c r="F82" s="68" t="s">
        <v>59</v>
      </c>
      <c r="G82" s="12">
        <v>44555</v>
      </c>
      <c r="H82" s="69" t="s">
        <v>3349</v>
      </c>
      <c r="I82" s="15">
        <v>107</v>
      </c>
      <c r="J82" s="15">
        <v>62</v>
      </c>
      <c r="K82" s="15">
        <v>22</v>
      </c>
      <c r="L82" s="15">
        <v>20</v>
      </c>
      <c r="M82" s="73">
        <v>36.487000000000002</v>
      </c>
      <c r="N82" s="104">
        <v>37</v>
      </c>
      <c r="O82" s="57">
        <v>7000</v>
      </c>
      <c r="P82" s="58">
        <f t="shared" si="1"/>
        <v>259000</v>
      </c>
    </row>
    <row r="83" spans="1:16" ht="26.25" customHeight="1" x14ac:dyDescent="0.2">
      <c r="A83" s="100"/>
      <c r="B83" s="100"/>
      <c r="C83" s="65" t="s">
        <v>3470</v>
      </c>
      <c r="D83" s="70" t="s">
        <v>57</v>
      </c>
      <c r="E83" s="12">
        <v>44548</v>
      </c>
      <c r="F83" s="68" t="s">
        <v>59</v>
      </c>
      <c r="G83" s="12">
        <v>44555</v>
      </c>
      <c r="H83" s="69" t="s">
        <v>3349</v>
      </c>
      <c r="I83" s="15">
        <v>65</v>
      </c>
      <c r="J83" s="15">
        <v>61</v>
      </c>
      <c r="K83" s="15">
        <v>26</v>
      </c>
      <c r="L83" s="15">
        <v>7</v>
      </c>
      <c r="M83" s="73">
        <v>25.772500000000001</v>
      </c>
      <c r="N83" s="104">
        <v>25.772500000000001</v>
      </c>
      <c r="O83" s="57">
        <v>7000</v>
      </c>
      <c r="P83" s="58">
        <f t="shared" si="1"/>
        <v>180407.5</v>
      </c>
    </row>
    <row r="84" spans="1:16" ht="26.25" customHeight="1" x14ac:dyDescent="0.2">
      <c r="A84" s="100"/>
      <c r="B84" s="100"/>
      <c r="C84" s="65" t="s">
        <v>3471</v>
      </c>
      <c r="D84" s="70" t="s">
        <v>57</v>
      </c>
      <c r="E84" s="12">
        <v>44548</v>
      </c>
      <c r="F84" s="68" t="s">
        <v>59</v>
      </c>
      <c r="G84" s="12">
        <v>44555</v>
      </c>
      <c r="H84" s="69" t="s">
        <v>3349</v>
      </c>
      <c r="I84" s="15">
        <v>45</v>
      </c>
      <c r="J84" s="15">
        <v>53</v>
      </c>
      <c r="K84" s="15">
        <v>15</v>
      </c>
      <c r="L84" s="15">
        <v>3</v>
      </c>
      <c r="M84" s="73">
        <v>8.9437499999999996</v>
      </c>
      <c r="N84" s="104">
        <v>8.9437499999999996</v>
      </c>
      <c r="O84" s="57">
        <v>7000</v>
      </c>
      <c r="P84" s="58">
        <f t="shared" si="1"/>
        <v>62606.25</v>
      </c>
    </row>
    <row r="85" spans="1:16" ht="26.25" customHeight="1" x14ac:dyDescent="0.2">
      <c r="A85" s="100"/>
      <c r="B85" s="100"/>
      <c r="C85" s="65" t="s">
        <v>3472</v>
      </c>
      <c r="D85" s="70" t="s">
        <v>57</v>
      </c>
      <c r="E85" s="12">
        <v>44548</v>
      </c>
      <c r="F85" s="68" t="s">
        <v>59</v>
      </c>
      <c r="G85" s="12">
        <v>44555</v>
      </c>
      <c r="H85" s="69" t="s">
        <v>3349</v>
      </c>
      <c r="I85" s="15">
        <v>102</v>
      </c>
      <c r="J85" s="15">
        <v>65</v>
      </c>
      <c r="K85" s="15">
        <v>13</v>
      </c>
      <c r="L85" s="15">
        <v>25</v>
      </c>
      <c r="M85" s="73">
        <v>21.547499999999999</v>
      </c>
      <c r="N85" s="104">
        <v>25</v>
      </c>
      <c r="O85" s="57">
        <v>7000</v>
      </c>
      <c r="P85" s="58">
        <f t="shared" si="1"/>
        <v>175000</v>
      </c>
    </row>
    <row r="86" spans="1:16" ht="26.25" customHeight="1" x14ac:dyDescent="0.2">
      <c r="A86" s="100"/>
      <c r="B86" s="100"/>
      <c r="C86" s="65" t="s">
        <v>3473</v>
      </c>
      <c r="D86" s="70" t="s">
        <v>57</v>
      </c>
      <c r="E86" s="12">
        <v>44548</v>
      </c>
      <c r="F86" s="68" t="s">
        <v>59</v>
      </c>
      <c r="G86" s="12">
        <v>44555</v>
      </c>
      <c r="H86" s="69" t="s">
        <v>3349</v>
      </c>
      <c r="I86" s="15">
        <v>72</v>
      </c>
      <c r="J86" s="15">
        <v>61</v>
      </c>
      <c r="K86" s="15">
        <v>10</v>
      </c>
      <c r="L86" s="15">
        <v>8</v>
      </c>
      <c r="M86" s="73">
        <v>10.98</v>
      </c>
      <c r="N86" s="104">
        <v>10.98</v>
      </c>
      <c r="O86" s="57">
        <v>7000</v>
      </c>
      <c r="P86" s="58">
        <f t="shared" si="1"/>
        <v>76860</v>
      </c>
    </row>
    <row r="87" spans="1:16" ht="26.25" customHeight="1" x14ac:dyDescent="0.2">
      <c r="A87" s="100"/>
      <c r="B87" s="100"/>
      <c r="C87" s="65" t="s">
        <v>3474</v>
      </c>
      <c r="D87" s="70" t="s">
        <v>57</v>
      </c>
      <c r="E87" s="12">
        <v>44548</v>
      </c>
      <c r="F87" s="68" t="s">
        <v>59</v>
      </c>
      <c r="G87" s="12">
        <v>44555</v>
      </c>
      <c r="H87" s="69" t="s">
        <v>3349</v>
      </c>
      <c r="I87" s="15">
        <v>80</v>
      </c>
      <c r="J87" s="15">
        <v>61</v>
      </c>
      <c r="K87" s="15">
        <v>17</v>
      </c>
      <c r="L87" s="15">
        <v>11</v>
      </c>
      <c r="M87" s="73">
        <v>20.74</v>
      </c>
      <c r="N87" s="104">
        <v>20.74</v>
      </c>
      <c r="O87" s="57">
        <v>7000</v>
      </c>
      <c r="P87" s="58">
        <f t="shared" si="1"/>
        <v>145180</v>
      </c>
    </row>
    <row r="88" spans="1:16" ht="26.25" customHeight="1" x14ac:dyDescent="0.2">
      <c r="A88" s="100"/>
      <c r="B88" s="100"/>
      <c r="C88" s="65" t="s">
        <v>3475</v>
      </c>
      <c r="D88" s="70" t="s">
        <v>57</v>
      </c>
      <c r="E88" s="12">
        <v>44548</v>
      </c>
      <c r="F88" s="68" t="s">
        <v>59</v>
      </c>
      <c r="G88" s="12">
        <v>44555</v>
      </c>
      <c r="H88" s="69" t="s">
        <v>3349</v>
      </c>
      <c r="I88" s="15">
        <v>51</v>
      </c>
      <c r="J88" s="15">
        <v>40</v>
      </c>
      <c r="K88" s="15">
        <v>12</v>
      </c>
      <c r="L88" s="15">
        <v>6</v>
      </c>
      <c r="M88" s="73">
        <v>6.12</v>
      </c>
      <c r="N88" s="104">
        <v>6.12</v>
      </c>
      <c r="O88" s="57">
        <v>7000</v>
      </c>
      <c r="P88" s="58">
        <f t="shared" si="1"/>
        <v>42840</v>
      </c>
    </row>
    <row r="89" spans="1:16" ht="26.25" customHeight="1" x14ac:dyDescent="0.2">
      <c r="A89" s="100"/>
      <c r="B89" s="100"/>
      <c r="C89" s="65" t="s">
        <v>3476</v>
      </c>
      <c r="D89" s="70" t="s">
        <v>57</v>
      </c>
      <c r="E89" s="12">
        <v>44548</v>
      </c>
      <c r="F89" s="68" t="s">
        <v>59</v>
      </c>
      <c r="G89" s="12">
        <v>44555</v>
      </c>
      <c r="H89" s="69" t="s">
        <v>3349</v>
      </c>
      <c r="I89" s="15">
        <v>44</v>
      </c>
      <c r="J89" s="15">
        <v>36</v>
      </c>
      <c r="K89" s="15">
        <v>30</v>
      </c>
      <c r="L89" s="15">
        <v>8</v>
      </c>
      <c r="M89" s="73">
        <v>11.88</v>
      </c>
      <c r="N89" s="104">
        <v>11.88</v>
      </c>
      <c r="O89" s="57">
        <v>7000</v>
      </c>
      <c r="P89" s="58">
        <f t="shared" si="1"/>
        <v>83160</v>
      </c>
    </row>
    <row r="90" spans="1:16" ht="26.25" customHeight="1" x14ac:dyDescent="0.2">
      <c r="A90" s="100"/>
      <c r="B90" s="100"/>
      <c r="C90" s="65" t="s">
        <v>3477</v>
      </c>
      <c r="D90" s="70" t="s">
        <v>57</v>
      </c>
      <c r="E90" s="12">
        <v>44548</v>
      </c>
      <c r="F90" s="68" t="s">
        <v>59</v>
      </c>
      <c r="G90" s="12">
        <v>44555</v>
      </c>
      <c r="H90" s="69" t="s">
        <v>3349</v>
      </c>
      <c r="I90" s="15">
        <v>80</v>
      </c>
      <c r="J90" s="15">
        <v>20</v>
      </c>
      <c r="K90" s="15">
        <v>15</v>
      </c>
      <c r="L90" s="15">
        <v>4</v>
      </c>
      <c r="M90" s="73">
        <v>6</v>
      </c>
      <c r="N90" s="104">
        <v>6</v>
      </c>
      <c r="O90" s="57">
        <v>7000</v>
      </c>
      <c r="P90" s="58">
        <f t="shared" si="1"/>
        <v>42000</v>
      </c>
    </row>
    <row r="91" spans="1:16" ht="26.25" customHeight="1" x14ac:dyDescent="0.2">
      <c r="A91" s="100"/>
      <c r="B91" s="100"/>
      <c r="C91" s="65" t="s">
        <v>3478</v>
      </c>
      <c r="D91" s="70" t="s">
        <v>57</v>
      </c>
      <c r="E91" s="12">
        <v>44548</v>
      </c>
      <c r="F91" s="68" t="s">
        <v>59</v>
      </c>
      <c r="G91" s="12">
        <v>44555</v>
      </c>
      <c r="H91" s="69" t="s">
        <v>3349</v>
      </c>
      <c r="I91" s="15">
        <v>102</v>
      </c>
      <c r="J91" s="15">
        <v>70</v>
      </c>
      <c r="K91" s="15">
        <v>13</v>
      </c>
      <c r="L91" s="15">
        <v>11</v>
      </c>
      <c r="M91" s="73">
        <v>23.204999999999998</v>
      </c>
      <c r="N91" s="104">
        <v>23.204999999999998</v>
      </c>
      <c r="O91" s="57">
        <v>7000</v>
      </c>
      <c r="P91" s="58">
        <f t="shared" si="1"/>
        <v>162435</v>
      </c>
    </row>
    <row r="92" spans="1:16" ht="26.25" customHeight="1" x14ac:dyDescent="0.2">
      <c r="A92" s="100"/>
      <c r="B92" s="100"/>
      <c r="C92" s="65" t="s">
        <v>3479</v>
      </c>
      <c r="D92" s="70" t="s">
        <v>57</v>
      </c>
      <c r="E92" s="12">
        <v>44548</v>
      </c>
      <c r="F92" s="68" t="s">
        <v>59</v>
      </c>
      <c r="G92" s="12">
        <v>44555</v>
      </c>
      <c r="H92" s="69" t="s">
        <v>3349</v>
      </c>
      <c r="I92" s="15">
        <v>45</v>
      </c>
      <c r="J92" s="15">
        <v>30</v>
      </c>
      <c r="K92" s="15">
        <v>28</v>
      </c>
      <c r="L92" s="15">
        <v>5</v>
      </c>
      <c r="M92" s="73">
        <v>9.4499999999999993</v>
      </c>
      <c r="N92" s="104">
        <v>10</v>
      </c>
      <c r="O92" s="57">
        <v>7000</v>
      </c>
      <c r="P92" s="58">
        <f t="shared" si="1"/>
        <v>70000</v>
      </c>
    </row>
    <row r="93" spans="1:16" ht="26.25" customHeight="1" x14ac:dyDescent="0.2">
      <c r="A93" s="100"/>
      <c r="B93" s="100"/>
      <c r="C93" s="65" t="s">
        <v>3480</v>
      </c>
      <c r="D93" s="70" t="s">
        <v>57</v>
      </c>
      <c r="E93" s="12">
        <v>44548</v>
      </c>
      <c r="F93" s="68" t="s">
        <v>59</v>
      </c>
      <c r="G93" s="12">
        <v>44555</v>
      </c>
      <c r="H93" s="69" t="s">
        <v>3349</v>
      </c>
      <c r="I93" s="15">
        <v>60</v>
      </c>
      <c r="J93" s="15">
        <v>35</v>
      </c>
      <c r="K93" s="15">
        <v>26</v>
      </c>
      <c r="L93" s="15">
        <v>5</v>
      </c>
      <c r="M93" s="73">
        <v>13.65</v>
      </c>
      <c r="N93" s="104">
        <v>13.65</v>
      </c>
      <c r="O93" s="57">
        <v>7000</v>
      </c>
      <c r="P93" s="58">
        <f t="shared" si="1"/>
        <v>95550</v>
      </c>
    </row>
    <row r="94" spans="1:16" ht="26.25" customHeight="1" x14ac:dyDescent="0.2">
      <c r="A94" s="100"/>
      <c r="B94" s="100"/>
      <c r="C94" s="65" t="s">
        <v>3481</v>
      </c>
      <c r="D94" s="70" t="s">
        <v>57</v>
      </c>
      <c r="E94" s="12">
        <v>44548</v>
      </c>
      <c r="F94" s="68" t="s">
        <v>59</v>
      </c>
      <c r="G94" s="12">
        <v>44555</v>
      </c>
      <c r="H94" s="69" t="s">
        <v>3349</v>
      </c>
      <c r="I94" s="15">
        <v>65</v>
      </c>
      <c r="J94" s="15">
        <v>56</v>
      </c>
      <c r="K94" s="15">
        <v>19</v>
      </c>
      <c r="L94" s="15">
        <v>10</v>
      </c>
      <c r="M94" s="73">
        <v>17.29</v>
      </c>
      <c r="N94" s="104">
        <v>17.29</v>
      </c>
      <c r="O94" s="57">
        <v>7000</v>
      </c>
      <c r="P94" s="58">
        <f t="shared" si="1"/>
        <v>121030</v>
      </c>
    </row>
    <row r="95" spans="1:16" ht="26.25" customHeight="1" x14ac:dyDescent="0.2">
      <c r="A95" s="100"/>
      <c r="B95" s="100"/>
      <c r="C95" s="65" t="s">
        <v>3482</v>
      </c>
      <c r="D95" s="70" t="s">
        <v>57</v>
      </c>
      <c r="E95" s="12">
        <v>44548</v>
      </c>
      <c r="F95" s="68" t="s">
        <v>59</v>
      </c>
      <c r="G95" s="12">
        <v>44555</v>
      </c>
      <c r="H95" s="69" t="s">
        <v>3349</v>
      </c>
      <c r="I95" s="15">
        <v>60</v>
      </c>
      <c r="J95" s="15">
        <v>60</v>
      </c>
      <c r="K95" s="15">
        <v>16</v>
      </c>
      <c r="L95" s="15">
        <v>10</v>
      </c>
      <c r="M95" s="73">
        <v>14.4</v>
      </c>
      <c r="N95" s="104">
        <v>15</v>
      </c>
      <c r="O95" s="57">
        <v>7000</v>
      </c>
      <c r="P95" s="58">
        <f t="shared" si="1"/>
        <v>105000</v>
      </c>
    </row>
    <row r="96" spans="1:16" ht="26.25" customHeight="1" x14ac:dyDescent="0.2">
      <c r="A96" s="100"/>
      <c r="B96" s="100"/>
      <c r="C96" s="65" t="s">
        <v>3483</v>
      </c>
      <c r="D96" s="70" t="s">
        <v>57</v>
      </c>
      <c r="E96" s="12">
        <v>44548</v>
      </c>
      <c r="F96" s="68" t="s">
        <v>59</v>
      </c>
      <c r="G96" s="12">
        <v>44555</v>
      </c>
      <c r="H96" s="69" t="s">
        <v>3349</v>
      </c>
      <c r="I96" s="15">
        <v>66</v>
      </c>
      <c r="J96" s="15">
        <v>20</v>
      </c>
      <c r="K96" s="15">
        <v>10</v>
      </c>
      <c r="L96" s="15">
        <v>1</v>
      </c>
      <c r="M96" s="73">
        <v>3.3</v>
      </c>
      <c r="N96" s="104">
        <v>4</v>
      </c>
      <c r="O96" s="57">
        <v>7000</v>
      </c>
      <c r="P96" s="58">
        <f t="shared" si="1"/>
        <v>28000</v>
      </c>
    </row>
    <row r="97" spans="1:16" ht="26.25" customHeight="1" x14ac:dyDescent="0.2">
      <c r="A97" s="100"/>
      <c r="B97" s="100"/>
      <c r="C97" s="65" t="s">
        <v>3484</v>
      </c>
      <c r="D97" s="70" t="s">
        <v>57</v>
      </c>
      <c r="E97" s="12">
        <v>44548</v>
      </c>
      <c r="F97" s="68" t="s">
        <v>59</v>
      </c>
      <c r="G97" s="12">
        <v>44555</v>
      </c>
      <c r="H97" s="69" t="s">
        <v>3349</v>
      </c>
      <c r="I97" s="15">
        <v>68</v>
      </c>
      <c r="J97" s="15">
        <v>25</v>
      </c>
      <c r="K97" s="15">
        <v>16</v>
      </c>
      <c r="L97" s="15">
        <v>5</v>
      </c>
      <c r="M97" s="73">
        <v>6.8</v>
      </c>
      <c r="N97" s="104">
        <v>6.8</v>
      </c>
      <c r="O97" s="57">
        <v>7000</v>
      </c>
      <c r="P97" s="58">
        <f t="shared" si="1"/>
        <v>47600</v>
      </c>
    </row>
    <row r="98" spans="1:16" ht="26.25" customHeight="1" x14ac:dyDescent="0.2">
      <c r="A98" s="100"/>
      <c r="B98" s="100"/>
      <c r="C98" s="65" t="s">
        <v>3485</v>
      </c>
      <c r="D98" s="70" t="s">
        <v>57</v>
      </c>
      <c r="E98" s="12">
        <v>44548</v>
      </c>
      <c r="F98" s="68" t="s">
        <v>59</v>
      </c>
      <c r="G98" s="12">
        <v>44555</v>
      </c>
      <c r="H98" s="69" t="s">
        <v>3349</v>
      </c>
      <c r="I98" s="15">
        <v>70</v>
      </c>
      <c r="J98" s="15">
        <v>45</v>
      </c>
      <c r="K98" s="15">
        <v>46</v>
      </c>
      <c r="L98" s="15">
        <v>10</v>
      </c>
      <c r="M98" s="73">
        <v>36.225000000000001</v>
      </c>
      <c r="N98" s="104">
        <v>36.225000000000001</v>
      </c>
      <c r="O98" s="57">
        <v>7000</v>
      </c>
      <c r="P98" s="58">
        <f t="shared" si="1"/>
        <v>253575</v>
      </c>
    </row>
    <row r="99" spans="1:16" ht="26.25" customHeight="1" x14ac:dyDescent="0.2">
      <c r="A99" s="100"/>
      <c r="B99" s="100"/>
      <c r="C99" s="65" t="s">
        <v>3486</v>
      </c>
      <c r="D99" s="70" t="s">
        <v>57</v>
      </c>
      <c r="E99" s="12">
        <v>44548</v>
      </c>
      <c r="F99" s="68" t="s">
        <v>59</v>
      </c>
      <c r="G99" s="12">
        <v>44555</v>
      </c>
      <c r="H99" s="69" t="s">
        <v>3349</v>
      </c>
      <c r="I99" s="15">
        <v>70</v>
      </c>
      <c r="J99" s="15">
        <v>36</v>
      </c>
      <c r="K99" s="15">
        <v>12</v>
      </c>
      <c r="L99" s="15">
        <v>1</v>
      </c>
      <c r="M99" s="73">
        <v>7.56</v>
      </c>
      <c r="N99" s="104">
        <v>7.56</v>
      </c>
      <c r="O99" s="57">
        <v>7000</v>
      </c>
      <c r="P99" s="58">
        <f t="shared" si="1"/>
        <v>52920</v>
      </c>
    </row>
    <row r="100" spans="1:16" ht="26.25" customHeight="1" x14ac:dyDescent="0.2">
      <c r="A100" s="100"/>
      <c r="B100" s="100"/>
      <c r="C100" s="65" t="s">
        <v>3487</v>
      </c>
      <c r="D100" s="70" t="s">
        <v>57</v>
      </c>
      <c r="E100" s="12">
        <v>44548</v>
      </c>
      <c r="F100" s="68" t="s">
        <v>59</v>
      </c>
      <c r="G100" s="12">
        <v>44555</v>
      </c>
      <c r="H100" s="69" t="s">
        <v>3349</v>
      </c>
      <c r="I100" s="15">
        <v>62</v>
      </c>
      <c r="J100" s="15">
        <v>63</v>
      </c>
      <c r="K100" s="15">
        <v>13</v>
      </c>
      <c r="L100" s="15">
        <v>12</v>
      </c>
      <c r="M100" s="73">
        <v>12.6945</v>
      </c>
      <c r="N100" s="104">
        <v>12.6945</v>
      </c>
      <c r="O100" s="57">
        <v>7000</v>
      </c>
      <c r="P100" s="58">
        <f t="shared" si="1"/>
        <v>88861.5</v>
      </c>
    </row>
    <row r="101" spans="1:16" ht="26.25" customHeight="1" x14ac:dyDescent="0.2">
      <c r="A101" s="100"/>
      <c r="B101" s="100"/>
      <c r="C101" s="65" t="s">
        <v>3488</v>
      </c>
      <c r="D101" s="70" t="s">
        <v>57</v>
      </c>
      <c r="E101" s="12">
        <v>44548</v>
      </c>
      <c r="F101" s="68" t="s">
        <v>59</v>
      </c>
      <c r="G101" s="12">
        <v>44555</v>
      </c>
      <c r="H101" s="69" t="s">
        <v>3349</v>
      </c>
      <c r="I101" s="15">
        <v>90</v>
      </c>
      <c r="J101" s="15">
        <v>50</v>
      </c>
      <c r="K101" s="15">
        <v>9</v>
      </c>
      <c r="L101" s="15">
        <v>6</v>
      </c>
      <c r="M101" s="73">
        <v>10.125</v>
      </c>
      <c r="N101" s="104">
        <v>10.125</v>
      </c>
      <c r="O101" s="57">
        <v>7000</v>
      </c>
      <c r="P101" s="58">
        <f t="shared" si="1"/>
        <v>70875</v>
      </c>
    </row>
    <row r="102" spans="1:16" ht="26.25" customHeight="1" x14ac:dyDescent="0.2">
      <c r="A102" s="100"/>
      <c r="B102" s="100"/>
      <c r="C102" s="65" t="s">
        <v>3489</v>
      </c>
      <c r="D102" s="70" t="s">
        <v>57</v>
      </c>
      <c r="E102" s="12">
        <v>44548</v>
      </c>
      <c r="F102" s="68" t="s">
        <v>59</v>
      </c>
      <c r="G102" s="12">
        <v>44555</v>
      </c>
      <c r="H102" s="69" t="s">
        <v>3349</v>
      </c>
      <c r="I102" s="15">
        <v>122</v>
      </c>
      <c r="J102" s="15">
        <v>5</v>
      </c>
      <c r="K102" s="15">
        <v>5</v>
      </c>
      <c r="L102" s="15">
        <v>1</v>
      </c>
      <c r="M102" s="73">
        <v>0.76249999999999996</v>
      </c>
      <c r="N102" s="104">
        <v>1</v>
      </c>
      <c r="O102" s="57">
        <v>7000</v>
      </c>
      <c r="P102" s="58">
        <f t="shared" si="1"/>
        <v>7000</v>
      </c>
    </row>
    <row r="103" spans="1:16" ht="26.25" customHeight="1" x14ac:dyDescent="0.2">
      <c r="A103" s="100"/>
      <c r="B103" s="100"/>
      <c r="C103" s="65" t="s">
        <v>3490</v>
      </c>
      <c r="D103" s="70" t="s">
        <v>57</v>
      </c>
      <c r="E103" s="12">
        <v>44548</v>
      </c>
      <c r="F103" s="68" t="s">
        <v>59</v>
      </c>
      <c r="G103" s="12">
        <v>44555</v>
      </c>
      <c r="H103" s="69" t="s">
        <v>3349</v>
      </c>
      <c r="I103" s="15">
        <v>122</v>
      </c>
      <c r="J103" s="15">
        <v>5</v>
      </c>
      <c r="K103" s="15">
        <v>5</v>
      </c>
      <c r="L103" s="15">
        <v>1</v>
      </c>
      <c r="M103" s="73">
        <v>0.76249999999999996</v>
      </c>
      <c r="N103" s="104">
        <v>1</v>
      </c>
      <c r="O103" s="57">
        <v>7000</v>
      </c>
      <c r="P103" s="58">
        <f t="shared" si="1"/>
        <v>7000</v>
      </c>
    </row>
    <row r="104" spans="1:16" ht="26.25" customHeight="1" x14ac:dyDescent="0.2">
      <c r="A104" s="100"/>
      <c r="B104" s="100"/>
      <c r="C104" s="65" t="s">
        <v>3491</v>
      </c>
      <c r="D104" s="70" t="s">
        <v>57</v>
      </c>
      <c r="E104" s="12">
        <v>44548</v>
      </c>
      <c r="F104" s="68" t="s">
        <v>59</v>
      </c>
      <c r="G104" s="12">
        <v>44555</v>
      </c>
      <c r="H104" s="69" t="s">
        <v>3349</v>
      </c>
      <c r="I104" s="15">
        <v>82</v>
      </c>
      <c r="J104" s="15">
        <v>57</v>
      </c>
      <c r="K104" s="15">
        <v>25</v>
      </c>
      <c r="L104" s="15">
        <v>15</v>
      </c>
      <c r="M104" s="73">
        <v>29.212499999999999</v>
      </c>
      <c r="N104" s="104">
        <v>29.212499999999999</v>
      </c>
      <c r="O104" s="57">
        <v>7000</v>
      </c>
      <c r="P104" s="58">
        <f t="shared" si="1"/>
        <v>204487.5</v>
      </c>
    </row>
    <row r="105" spans="1:16" ht="26.25" customHeight="1" x14ac:dyDescent="0.2">
      <c r="A105" s="100"/>
      <c r="B105" s="100"/>
      <c r="C105" s="65" t="s">
        <v>3492</v>
      </c>
      <c r="D105" s="70" t="s">
        <v>57</v>
      </c>
      <c r="E105" s="12">
        <v>44548</v>
      </c>
      <c r="F105" s="68" t="s">
        <v>59</v>
      </c>
      <c r="G105" s="12">
        <v>44555</v>
      </c>
      <c r="H105" s="69" t="s">
        <v>3349</v>
      </c>
      <c r="I105" s="15">
        <v>65</v>
      </c>
      <c r="J105" s="15">
        <v>25</v>
      </c>
      <c r="K105" s="15">
        <v>7</v>
      </c>
      <c r="L105" s="15">
        <v>23</v>
      </c>
      <c r="M105" s="73">
        <v>2.84375</v>
      </c>
      <c r="N105" s="104">
        <v>23</v>
      </c>
      <c r="O105" s="57">
        <v>7000</v>
      </c>
      <c r="P105" s="58">
        <f t="shared" si="1"/>
        <v>161000</v>
      </c>
    </row>
    <row r="106" spans="1:16" ht="26.25" customHeight="1" x14ac:dyDescent="0.2">
      <c r="A106" s="100"/>
      <c r="B106" s="100"/>
      <c r="C106" s="65" t="s">
        <v>3493</v>
      </c>
      <c r="D106" s="70" t="s">
        <v>57</v>
      </c>
      <c r="E106" s="12">
        <v>44548</v>
      </c>
      <c r="F106" s="68" t="s">
        <v>59</v>
      </c>
      <c r="G106" s="12">
        <v>44555</v>
      </c>
      <c r="H106" s="69" t="s">
        <v>3349</v>
      </c>
      <c r="I106" s="15">
        <v>54</v>
      </c>
      <c r="J106" s="15">
        <v>30</v>
      </c>
      <c r="K106" s="15">
        <v>8</v>
      </c>
      <c r="L106" s="15">
        <v>2</v>
      </c>
      <c r="M106" s="73">
        <v>3.24</v>
      </c>
      <c r="N106" s="104">
        <v>3.24</v>
      </c>
      <c r="O106" s="57">
        <v>7000</v>
      </c>
      <c r="P106" s="58">
        <f t="shared" si="1"/>
        <v>22680</v>
      </c>
    </row>
    <row r="107" spans="1:16" ht="26.25" customHeight="1" x14ac:dyDescent="0.2">
      <c r="A107" s="100"/>
      <c r="B107" s="100"/>
      <c r="C107" s="65" t="s">
        <v>3494</v>
      </c>
      <c r="D107" s="70" t="s">
        <v>57</v>
      </c>
      <c r="E107" s="12">
        <v>44548</v>
      </c>
      <c r="F107" s="68" t="s">
        <v>59</v>
      </c>
      <c r="G107" s="12">
        <v>44555</v>
      </c>
      <c r="H107" s="69" t="s">
        <v>3349</v>
      </c>
      <c r="I107" s="15">
        <v>60</v>
      </c>
      <c r="J107" s="15">
        <v>25</v>
      </c>
      <c r="K107" s="15">
        <v>15</v>
      </c>
      <c r="L107" s="15">
        <v>4</v>
      </c>
      <c r="M107" s="73">
        <v>5.625</v>
      </c>
      <c r="N107" s="104">
        <v>5.625</v>
      </c>
      <c r="O107" s="57">
        <v>7000</v>
      </c>
      <c r="P107" s="58">
        <f t="shared" si="1"/>
        <v>39375</v>
      </c>
    </row>
    <row r="108" spans="1:16" ht="26.25" customHeight="1" x14ac:dyDescent="0.2">
      <c r="A108" s="100"/>
      <c r="B108" s="100"/>
      <c r="C108" s="65" t="s">
        <v>3495</v>
      </c>
      <c r="D108" s="70" t="s">
        <v>57</v>
      </c>
      <c r="E108" s="12">
        <v>44548</v>
      </c>
      <c r="F108" s="68" t="s">
        <v>59</v>
      </c>
      <c r="G108" s="12">
        <v>44555</v>
      </c>
      <c r="H108" s="69" t="s">
        <v>3349</v>
      </c>
      <c r="I108" s="15">
        <v>60</v>
      </c>
      <c r="J108" s="15">
        <v>62</v>
      </c>
      <c r="K108" s="15">
        <v>17</v>
      </c>
      <c r="L108" s="15">
        <v>9</v>
      </c>
      <c r="M108" s="73">
        <v>15.81</v>
      </c>
      <c r="N108" s="104">
        <v>15.81</v>
      </c>
      <c r="O108" s="57">
        <v>7000</v>
      </c>
      <c r="P108" s="58">
        <f t="shared" si="1"/>
        <v>110670</v>
      </c>
    </row>
    <row r="109" spans="1:16" ht="26.25" customHeight="1" x14ac:dyDescent="0.2">
      <c r="A109" s="100"/>
      <c r="B109" s="100"/>
      <c r="C109" s="65" t="s">
        <v>3496</v>
      </c>
      <c r="D109" s="70" t="s">
        <v>57</v>
      </c>
      <c r="E109" s="12">
        <v>44548</v>
      </c>
      <c r="F109" s="68" t="s">
        <v>59</v>
      </c>
      <c r="G109" s="12">
        <v>44555</v>
      </c>
      <c r="H109" s="69" t="s">
        <v>3349</v>
      </c>
      <c r="I109" s="15">
        <v>38</v>
      </c>
      <c r="J109" s="15">
        <v>28</v>
      </c>
      <c r="K109" s="15">
        <v>25</v>
      </c>
      <c r="L109" s="15">
        <v>7</v>
      </c>
      <c r="M109" s="73">
        <v>6.65</v>
      </c>
      <c r="N109" s="104">
        <v>7</v>
      </c>
      <c r="O109" s="57">
        <v>7000</v>
      </c>
      <c r="P109" s="58">
        <f t="shared" si="1"/>
        <v>49000</v>
      </c>
    </row>
    <row r="110" spans="1:16" ht="26.25" customHeight="1" x14ac:dyDescent="0.2">
      <c r="A110" s="100"/>
      <c r="B110" s="100"/>
      <c r="C110" s="65" t="s">
        <v>3497</v>
      </c>
      <c r="D110" s="70" t="s">
        <v>57</v>
      </c>
      <c r="E110" s="12">
        <v>44548</v>
      </c>
      <c r="F110" s="68" t="s">
        <v>59</v>
      </c>
      <c r="G110" s="12">
        <v>44555</v>
      </c>
      <c r="H110" s="69" t="s">
        <v>3349</v>
      </c>
      <c r="I110" s="15">
        <v>65</v>
      </c>
      <c r="J110" s="15">
        <v>48</v>
      </c>
      <c r="K110" s="15">
        <v>18</v>
      </c>
      <c r="L110" s="15">
        <v>6</v>
      </c>
      <c r="M110" s="73">
        <v>14.04</v>
      </c>
      <c r="N110" s="104">
        <v>14.04</v>
      </c>
      <c r="O110" s="57">
        <v>7000</v>
      </c>
      <c r="P110" s="58">
        <f t="shared" si="1"/>
        <v>98280</v>
      </c>
    </row>
    <row r="111" spans="1:16" ht="26.25" customHeight="1" x14ac:dyDescent="0.2">
      <c r="A111" s="100"/>
      <c r="B111" s="100"/>
      <c r="C111" s="65" t="s">
        <v>3498</v>
      </c>
      <c r="D111" s="70" t="s">
        <v>57</v>
      </c>
      <c r="E111" s="12">
        <v>44548</v>
      </c>
      <c r="F111" s="68" t="s">
        <v>59</v>
      </c>
      <c r="G111" s="12">
        <v>44555</v>
      </c>
      <c r="H111" s="69" t="s">
        <v>3349</v>
      </c>
      <c r="I111" s="15">
        <v>55</v>
      </c>
      <c r="J111" s="15">
        <v>43</v>
      </c>
      <c r="K111" s="15">
        <v>29</v>
      </c>
      <c r="L111" s="15">
        <v>6</v>
      </c>
      <c r="M111" s="73">
        <v>17.146249999999998</v>
      </c>
      <c r="N111" s="104">
        <v>17.146249999999998</v>
      </c>
      <c r="O111" s="57">
        <v>7000</v>
      </c>
      <c r="P111" s="58">
        <f t="shared" si="1"/>
        <v>120023.74999999999</v>
      </c>
    </row>
    <row r="112" spans="1:16" ht="26.25" customHeight="1" x14ac:dyDescent="0.2">
      <c r="A112" s="100"/>
      <c r="B112" s="100"/>
      <c r="C112" s="65" t="s">
        <v>3499</v>
      </c>
      <c r="D112" s="70" t="s">
        <v>57</v>
      </c>
      <c r="E112" s="12">
        <v>44548</v>
      </c>
      <c r="F112" s="68" t="s">
        <v>59</v>
      </c>
      <c r="G112" s="12">
        <v>44555</v>
      </c>
      <c r="H112" s="69" t="s">
        <v>3349</v>
      </c>
      <c r="I112" s="15">
        <v>80</v>
      </c>
      <c r="J112" s="15">
        <v>67</v>
      </c>
      <c r="K112" s="15">
        <v>15</v>
      </c>
      <c r="L112" s="15">
        <v>12</v>
      </c>
      <c r="M112" s="73">
        <v>20.100000000000001</v>
      </c>
      <c r="N112" s="104">
        <v>20.100000000000001</v>
      </c>
      <c r="O112" s="57">
        <v>7000</v>
      </c>
      <c r="P112" s="58">
        <f t="shared" si="1"/>
        <v>140700</v>
      </c>
    </row>
    <row r="113" spans="1:16" ht="26.25" customHeight="1" x14ac:dyDescent="0.2">
      <c r="A113" s="100"/>
      <c r="B113" s="100"/>
      <c r="C113" s="65" t="s">
        <v>3500</v>
      </c>
      <c r="D113" s="70" t="s">
        <v>57</v>
      </c>
      <c r="E113" s="12">
        <v>44548</v>
      </c>
      <c r="F113" s="68" t="s">
        <v>59</v>
      </c>
      <c r="G113" s="12">
        <v>44555</v>
      </c>
      <c r="H113" s="69" t="s">
        <v>3349</v>
      </c>
      <c r="I113" s="15">
        <v>47</v>
      </c>
      <c r="J113" s="15">
        <v>35</v>
      </c>
      <c r="K113" s="15">
        <v>40</v>
      </c>
      <c r="L113" s="15">
        <v>1</v>
      </c>
      <c r="M113" s="73">
        <v>16.45</v>
      </c>
      <c r="N113" s="104">
        <v>17</v>
      </c>
      <c r="O113" s="57">
        <v>7000</v>
      </c>
      <c r="P113" s="58">
        <f t="shared" si="1"/>
        <v>119000</v>
      </c>
    </row>
    <row r="114" spans="1:16" ht="26.25" customHeight="1" x14ac:dyDescent="0.2">
      <c r="A114" s="100"/>
      <c r="B114" s="100"/>
      <c r="C114" s="65" t="s">
        <v>3501</v>
      </c>
      <c r="D114" s="70" t="s">
        <v>57</v>
      </c>
      <c r="E114" s="12">
        <v>44548</v>
      </c>
      <c r="F114" s="68" t="s">
        <v>59</v>
      </c>
      <c r="G114" s="12">
        <v>44555</v>
      </c>
      <c r="H114" s="69" t="s">
        <v>3349</v>
      </c>
      <c r="I114" s="15">
        <v>80</v>
      </c>
      <c r="J114" s="15">
        <v>51</v>
      </c>
      <c r="K114" s="15">
        <v>8</v>
      </c>
      <c r="L114" s="15">
        <v>1</v>
      </c>
      <c r="M114" s="73">
        <v>8.16</v>
      </c>
      <c r="N114" s="104">
        <v>8.16</v>
      </c>
      <c r="O114" s="57">
        <v>7000</v>
      </c>
      <c r="P114" s="58">
        <f t="shared" si="1"/>
        <v>57120</v>
      </c>
    </row>
    <row r="115" spans="1:16" ht="26.25" customHeight="1" x14ac:dyDescent="0.2">
      <c r="A115" s="100"/>
      <c r="B115" s="100"/>
      <c r="C115" s="65" t="s">
        <v>3502</v>
      </c>
      <c r="D115" s="70" t="s">
        <v>57</v>
      </c>
      <c r="E115" s="12">
        <v>44548</v>
      </c>
      <c r="F115" s="68" t="s">
        <v>59</v>
      </c>
      <c r="G115" s="12">
        <v>44555</v>
      </c>
      <c r="H115" s="69" t="s">
        <v>3349</v>
      </c>
      <c r="I115" s="15">
        <v>35</v>
      </c>
      <c r="J115" s="15">
        <v>37</v>
      </c>
      <c r="K115" s="15">
        <v>13</v>
      </c>
      <c r="L115" s="15">
        <v>3</v>
      </c>
      <c r="M115" s="73">
        <v>4.2087500000000002</v>
      </c>
      <c r="N115" s="104">
        <v>4.2087500000000002</v>
      </c>
      <c r="O115" s="57">
        <v>7000</v>
      </c>
      <c r="P115" s="58">
        <f t="shared" si="1"/>
        <v>29461.25</v>
      </c>
    </row>
    <row r="116" spans="1:16" ht="26.25" customHeight="1" x14ac:dyDescent="0.2">
      <c r="A116" s="100"/>
      <c r="B116" s="100"/>
      <c r="C116" s="65" t="s">
        <v>3503</v>
      </c>
      <c r="D116" s="70" t="s">
        <v>57</v>
      </c>
      <c r="E116" s="12">
        <v>44548</v>
      </c>
      <c r="F116" s="68" t="s">
        <v>59</v>
      </c>
      <c r="G116" s="12">
        <v>44555</v>
      </c>
      <c r="H116" s="69" t="s">
        <v>3349</v>
      </c>
      <c r="I116" s="15">
        <v>85</v>
      </c>
      <c r="J116" s="15">
        <v>57</v>
      </c>
      <c r="K116" s="15">
        <v>26</v>
      </c>
      <c r="L116" s="15">
        <v>6</v>
      </c>
      <c r="M116" s="73">
        <v>31.4925</v>
      </c>
      <c r="N116" s="104">
        <v>32</v>
      </c>
      <c r="O116" s="57">
        <v>7000</v>
      </c>
      <c r="P116" s="58">
        <f t="shared" si="1"/>
        <v>224000</v>
      </c>
    </row>
    <row r="117" spans="1:16" ht="26.25" customHeight="1" x14ac:dyDescent="0.2">
      <c r="A117" s="100"/>
      <c r="B117" s="100"/>
      <c r="C117" s="65" t="s">
        <v>3504</v>
      </c>
      <c r="D117" s="70" t="s">
        <v>57</v>
      </c>
      <c r="E117" s="12">
        <v>44548</v>
      </c>
      <c r="F117" s="68" t="s">
        <v>59</v>
      </c>
      <c r="G117" s="12">
        <v>44555</v>
      </c>
      <c r="H117" s="69" t="s">
        <v>3349</v>
      </c>
      <c r="I117" s="15">
        <v>40</v>
      </c>
      <c r="J117" s="15">
        <v>28</v>
      </c>
      <c r="K117" s="15">
        <v>21</v>
      </c>
      <c r="L117" s="15">
        <v>5</v>
      </c>
      <c r="M117" s="73">
        <v>5.88</v>
      </c>
      <c r="N117" s="104">
        <v>5.88</v>
      </c>
      <c r="O117" s="57">
        <v>7000</v>
      </c>
      <c r="P117" s="58">
        <f t="shared" si="1"/>
        <v>41160</v>
      </c>
    </row>
    <row r="118" spans="1:16" ht="26.25" customHeight="1" x14ac:dyDescent="0.2">
      <c r="A118" s="100"/>
      <c r="B118" s="100"/>
      <c r="C118" s="65" t="s">
        <v>3505</v>
      </c>
      <c r="D118" s="70" t="s">
        <v>57</v>
      </c>
      <c r="E118" s="12">
        <v>44548</v>
      </c>
      <c r="F118" s="68" t="s">
        <v>59</v>
      </c>
      <c r="G118" s="12">
        <v>44555</v>
      </c>
      <c r="H118" s="69" t="s">
        <v>3349</v>
      </c>
      <c r="I118" s="15">
        <v>52</v>
      </c>
      <c r="J118" s="15">
        <v>29</v>
      </c>
      <c r="K118" s="15">
        <v>25</v>
      </c>
      <c r="L118" s="15">
        <v>3</v>
      </c>
      <c r="M118" s="73">
        <v>9.4250000000000007</v>
      </c>
      <c r="N118" s="104">
        <v>10</v>
      </c>
      <c r="O118" s="57">
        <v>7000</v>
      </c>
      <c r="P118" s="58">
        <f t="shared" si="1"/>
        <v>70000</v>
      </c>
    </row>
    <row r="119" spans="1:16" ht="26.25" customHeight="1" x14ac:dyDescent="0.2">
      <c r="A119" s="100"/>
      <c r="B119" s="100"/>
      <c r="C119" s="65" t="s">
        <v>3506</v>
      </c>
      <c r="D119" s="70" t="s">
        <v>57</v>
      </c>
      <c r="E119" s="12">
        <v>44548</v>
      </c>
      <c r="F119" s="68" t="s">
        <v>59</v>
      </c>
      <c r="G119" s="12">
        <v>44555</v>
      </c>
      <c r="H119" s="69" t="s">
        <v>3349</v>
      </c>
      <c r="I119" s="15">
        <v>90</v>
      </c>
      <c r="J119" s="15">
        <v>58</v>
      </c>
      <c r="K119" s="15">
        <v>38</v>
      </c>
      <c r="L119" s="15">
        <v>11</v>
      </c>
      <c r="M119" s="73">
        <v>49.59</v>
      </c>
      <c r="N119" s="104">
        <v>49.59</v>
      </c>
      <c r="O119" s="57">
        <v>7000</v>
      </c>
      <c r="P119" s="58">
        <f t="shared" si="1"/>
        <v>347130</v>
      </c>
    </row>
    <row r="120" spans="1:16" ht="26.25" customHeight="1" x14ac:dyDescent="0.2">
      <c r="A120" s="100"/>
      <c r="B120" s="100"/>
      <c r="C120" s="65" t="s">
        <v>3507</v>
      </c>
      <c r="D120" s="70" t="s">
        <v>57</v>
      </c>
      <c r="E120" s="12">
        <v>44548</v>
      </c>
      <c r="F120" s="68" t="s">
        <v>59</v>
      </c>
      <c r="G120" s="12">
        <v>44555</v>
      </c>
      <c r="H120" s="69" t="s">
        <v>3349</v>
      </c>
      <c r="I120" s="15">
        <v>117</v>
      </c>
      <c r="J120" s="15">
        <v>9</v>
      </c>
      <c r="K120" s="15">
        <v>5</v>
      </c>
      <c r="L120" s="15">
        <v>1</v>
      </c>
      <c r="M120" s="73">
        <v>1.3162499999999999</v>
      </c>
      <c r="N120" s="104">
        <v>2</v>
      </c>
      <c r="O120" s="57">
        <v>7000</v>
      </c>
      <c r="P120" s="58">
        <f t="shared" si="1"/>
        <v>14000</v>
      </c>
    </row>
    <row r="121" spans="1:16" ht="26.25" customHeight="1" x14ac:dyDescent="0.2">
      <c r="A121" s="100"/>
      <c r="B121" s="100"/>
      <c r="C121" s="65" t="s">
        <v>3508</v>
      </c>
      <c r="D121" s="70" t="s">
        <v>57</v>
      </c>
      <c r="E121" s="12">
        <v>44548</v>
      </c>
      <c r="F121" s="68" t="s">
        <v>59</v>
      </c>
      <c r="G121" s="12">
        <v>44555</v>
      </c>
      <c r="H121" s="69" t="s">
        <v>3349</v>
      </c>
      <c r="I121" s="15">
        <v>107</v>
      </c>
      <c r="J121" s="15">
        <v>52</v>
      </c>
      <c r="K121" s="15">
        <v>35</v>
      </c>
      <c r="L121" s="15">
        <v>17</v>
      </c>
      <c r="M121" s="73">
        <v>48.685000000000002</v>
      </c>
      <c r="N121" s="104">
        <v>48.685000000000002</v>
      </c>
      <c r="O121" s="57">
        <v>7000</v>
      </c>
      <c r="P121" s="58">
        <f t="shared" si="1"/>
        <v>340795</v>
      </c>
    </row>
    <row r="122" spans="1:16" ht="26.25" customHeight="1" x14ac:dyDescent="0.2">
      <c r="A122" s="100"/>
      <c r="B122" s="100"/>
      <c r="C122" s="65" t="s">
        <v>3509</v>
      </c>
      <c r="D122" s="70" t="s">
        <v>57</v>
      </c>
      <c r="E122" s="12">
        <v>44548</v>
      </c>
      <c r="F122" s="68" t="s">
        <v>59</v>
      </c>
      <c r="G122" s="12">
        <v>44555</v>
      </c>
      <c r="H122" s="69" t="s">
        <v>3349</v>
      </c>
      <c r="I122" s="15">
        <v>53</v>
      </c>
      <c r="J122" s="15">
        <v>42</v>
      </c>
      <c r="K122" s="15">
        <v>17</v>
      </c>
      <c r="L122" s="15">
        <v>4</v>
      </c>
      <c r="M122" s="73">
        <v>9.4604999999999997</v>
      </c>
      <c r="N122" s="104">
        <v>10</v>
      </c>
      <c r="O122" s="57">
        <v>7000</v>
      </c>
      <c r="P122" s="58">
        <f t="shared" si="1"/>
        <v>70000</v>
      </c>
    </row>
    <row r="123" spans="1:16" ht="26.25" customHeight="1" x14ac:dyDescent="0.2">
      <c r="A123" s="100"/>
      <c r="B123" s="100"/>
      <c r="C123" s="65" t="s">
        <v>3510</v>
      </c>
      <c r="D123" s="70" t="s">
        <v>57</v>
      </c>
      <c r="E123" s="12">
        <v>44548</v>
      </c>
      <c r="F123" s="68" t="s">
        <v>59</v>
      </c>
      <c r="G123" s="12">
        <v>44555</v>
      </c>
      <c r="H123" s="69" t="s">
        <v>3349</v>
      </c>
      <c r="I123" s="15">
        <v>74</v>
      </c>
      <c r="J123" s="15">
        <v>54</v>
      </c>
      <c r="K123" s="15">
        <v>24</v>
      </c>
      <c r="L123" s="15">
        <v>11</v>
      </c>
      <c r="M123" s="73">
        <v>23.975999999999999</v>
      </c>
      <c r="N123" s="104">
        <v>23.975999999999999</v>
      </c>
      <c r="O123" s="57">
        <v>7000</v>
      </c>
      <c r="P123" s="58">
        <f t="shared" si="1"/>
        <v>167832</v>
      </c>
    </row>
    <row r="124" spans="1:16" ht="26.25" customHeight="1" x14ac:dyDescent="0.2">
      <c r="A124" s="100"/>
      <c r="B124" s="100"/>
      <c r="C124" s="65" t="s">
        <v>3511</v>
      </c>
      <c r="D124" s="70" t="s">
        <v>57</v>
      </c>
      <c r="E124" s="12">
        <v>44548</v>
      </c>
      <c r="F124" s="68" t="s">
        <v>59</v>
      </c>
      <c r="G124" s="12">
        <v>44555</v>
      </c>
      <c r="H124" s="69" t="s">
        <v>3349</v>
      </c>
      <c r="I124" s="15">
        <v>58</v>
      </c>
      <c r="J124" s="15">
        <v>36</v>
      </c>
      <c r="K124" s="15">
        <v>27</v>
      </c>
      <c r="L124" s="15">
        <v>25</v>
      </c>
      <c r="M124" s="73">
        <v>14.093999999999999</v>
      </c>
      <c r="N124" s="104">
        <v>25</v>
      </c>
      <c r="O124" s="57">
        <v>7000</v>
      </c>
      <c r="P124" s="58">
        <f t="shared" si="1"/>
        <v>175000</v>
      </c>
    </row>
    <row r="125" spans="1:16" ht="26.25" customHeight="1" x14ac:dyDescent="0.2">
      <c r="A125" s="100"/>
      <c r="B125" s="100"/>
      <c r="C125" s="65" t="s">
        <v>3512</v>
      </c>
      <c r="D125" s="70" t="s">
        <v>57</v>
      </c>
      <c r="E125" s="12">
        <v>44548</v>
      </c>
      <c r="F125" s="68" t="s">
        <v>59</v>
      </c>
      <c r="G125" s="12">
        <v>44555</v>
      </c>
      <c r="H125" s="69" t="s">
        <v>3349</v>
      </c>
      <c r="I125" s="15">
        <v>87</v>
      </c>
      <c r="J125" s="15">
        <v>22</v>
      </c>
      <c r="K125" s="15">
        <v>17</v>
      </c>
      <c r="L125" s="15">
        <v>4</v>
      </c>
      <c r="M125" s="73">
        <v>8.1344999999999992</v>
      </c>
      <c r="N125" s="104">
        <v>8.1344999999999992</v>
      </c>
      <c r="O125" s="57">
        <v>7000</v>
      </c>
      <c r="P125" s="58">
        <f t="shared" si="1"/>
        <v>56941.499999999993</v>
      </c>
    </row>
    <row r="126" spans="1:16" ht="26.25" customHeight="1" x14ac:dyDescent="0.2">
      <c r="A126" s="100"/>
      <c r="B126" s="100"/>
      <c r="C126" s="65" t="s">
        <v>3513</v>
      </c>
      <c r="D126" s="70" t="s">
        <v>57</v>
      </c>
      <c r="E126" s="12">
        <v>44548</v>
      </c>
      <c r="F126" s="68" t="s">
        <v>59</v>
      </c>
      <c r="G126" s="12">
        <v>44555</v>
      </c>
      <c r="H126" s="69" t="s">
        <v>3349</v>
      </c>
      <c r="I126" s="15">
        <v>56</v>
      </c>
      <c r="J126" s="15">
        <v>76</v>
      </c>
      <c r="K126" s="15">
        <v>16</v>
      </c>
      <c r="L126" s="15">
        <v>3</v>
      </c>
      <c r="M126" s="73">
        <v>17.024000000000001</v>
      </c>
      <c r="N126" s="104">
        <v>17.024000000000001</v>
      </c>
      <c r="O126" s="57">
        <v>7000</v>
      </c>
      <c r="P126" s="58">
        <f t="shared" si="1"/>
        <v>119168</v>
      </c>
    </row>
    <row r="127" spans="1:16" ht="26.25" customHeight="1" x14ac:dyDescent="0.2">
      <c r="A127" s="100"/>
      <c r="B127" s="100"/>
      <c r="C127" s="65" t="s">
        <v>3514</v>
      </c>
      <c r="D127" s="70" t="s">
        <v>57</v>
      </c>
      <c r="E127" s="12">
        <v>44548</v>
      </c>
      <c r="F127" s="68" t="s">
        <v>59</v>
      </c>
      <c r="G127" s="12">
        <v>44555</v>
      </c>
      <c r="H127" s="69" t="s">
        <v>3349</v>
      </c>
      <c r="I127" s="15">
        <v>78</v>
      </c>
      <c r="J127" s="15">
        <v>51</v>
      </c>
      <c r="K127" s="15">
        <v>31</v>
      </c>
      <c r="L127" s="15">
        <v>12</v>
      </c>
      <c r="M127" s="73">
        <v>30.829499999999999</v>
      </c>
      <c r="N127" s="104">
        <v>30.829499999999999</v>
      </c>
      <c r="O127" s="57">
        <v>7000</v>
      </c>
      <c r="P127" s="58">
        <f t="shared" si="1"/>
        <v>215806.5</v>
      </c>
    </row>
    <row r="128" spans="1:16" ht="26.25" customHeight="1" x14ac:dyDescent="0.2">
      <c r="A128" s="100"/>
      <c r="B128" s="100"/>
      <c r="C128" s="65" t="s">
        <v>3515</v>
      </c>
      <c r="D128" s="70" t="s">
        <v>57</v>
      </c>
      <c r="E128" s="12">
        <v>44548</v>
      </c>
      <c r="F128" s="68" t="s">
        <v>59</v>
      </c>
      <c r="G128" s="12">
        <v>44555</v>
      </c>
      <c r="H128" s="69" t="s">
        <v>3349</v>
      </c>
      <c r="I128" s="15">
        <v>38</v>
      </c>
      <c r="J128" s="15">
        <v>38</v>
      </c>
      <c r="K128" s="15">
        <v>38</v>
      </c>
      <c r="L128" s="15">
        <v>27</v>
      </c>
      <c r="M128" s="73">
        <v>13.718</v>
      </c>
      <c r="N128" s="104">
        <v>27</v>
      </c>
      <c r="O128" s="57">
        <v>7000</v>
      </c>
      <c r="P128" s="58">
        <f t="shared" si="1"/>
        <v>189000</v>
      </c>
    </row>
    <row r="129" spans="1:16" ht="26.25" customHeight="1" x14ac:dyDescent="0.2">
      <c r="A129" s="100"/>
      <c r="B129" s="100"/>
      <c r="C129" s="65" t="s">
        <v>3516</v>
      </c>
      <c r="D129" s="70" t="s">
        <v>57</v>
      </c>
      <c r="E129" s="12">
        <v>44548</v>
      </c>
      <c r="F129" s="68" t="s">
        <v>59</v>
      </c>
      <c r="G129" s="12">
        <v>44555</v>
      </c>
      <c r="H129" s="69" t="s">
        <v>3349</v>
      </c>
      <c r="I129" s="15">
        <v>72</v>
      </c>
      <c r="J129" s="15">
        <v>41</v>
      </c>
      <c r="K129" s="15">
        <v>18</v>
      </c>
      <c r="L129" s="15">
        <v>1</v>
      </c>
      <c r="M129" s="73">
        <v>13.284000000000001</v>
      </c>
      <c r="N129" s="104">
        <v>13.284000000000001</v>
      </c>
      <c r="O129" s="57">
        <v>7000</v>
      </c>
      <c r="P129" s="58">
        <f t="shared" si="1"/>
        <v>92988</v>
      </c>
    </row>
    <row r="130" spans="1:16" ht="26.25" customHeight="1" x14ac:dyDescent="0.2">
      <c r="A130" s="100"/>
      <c r="B130" s="100"/>
      <c r="C130" s="65" t="s">
        <v>3517</v>
      </c>
      <c r="D130" s="70" t="s">
        <v>57</v>
      </c>
      <c r="E130" s="12">
        <v>44548</v>
      </c>
      <c r="F130" s="68" t="s">
        <v>59</v>
      </c>
      <c r="G130" s="12">
        <v>44555</v>
      </c>
      <c r="H130" s="69" t="s">
        <v>3349</v>
      </c>
      <c r="I130" s="15">
        <v>72</v>
      </c>
      <c r="J130" s="15">
        <v>62</v>
      </c>
      <c r="K130" s="15">
        <v>15</v>
      </c>
      <c r="L130" s="15">
        <v>7</v>
      </c>
      <c r="M130" s="73">
        <v>16.739999999999998</v>
      </c>
      <c r="N130" s="104">
        <v>16.739999999999998</v>
      </c>
      <c r="O130" s="57">
        <v>7000</v>
      </c>
      <c r="P130" s="58">
        <f t="shared" si="1"/>
        <v>117179.99999999999</v>
      </c>
    </row>
    <row r="131" spans="1:16" ht="26.25" customHeight="1" x14ac:dyDescent="0.2">
      <c r="A131" s="100"/>
      <c r="B131" s="100"/>
      <c r="C131" s="90" t="s">
        <v>3518</v>
      </c>
      <c r="D131" s="102" t="s">
        <v>57</v>
      </c>
      <c r="E131" s="91">
        <v>44548</v>
      </c>
      <c r="F131" s="102" t="s">
        <v>59</v>
      </c>
      <c r="G131" s="91">
        <v>44555</v>
      </c>
      <c r="H131" s="90" t="s">
        <v>3349</v>
      </c>
      <c r="I131" s="90">
        <v>41</v>
      </c>
      <c r="J131" s="90">
        <v>30</v>
      </c>
      <c r="K131" s="90">
        <v>17</v>
      </c>
      <c r="L131" s="90">
        <v>3</v>
      </c>
      <c r="M131" s="90">
        <v>5.2275</v>
      </c>
      <c r="N131" s="104">
        <v>5.2275</v>
      </c>
      <c r="O131" s="57">
        <v>7000</v>
      </c>
      <c r="P131" s="58">
        <f t="shared" ref="P131:P147" si="2">N131*O131</f>
        <v>36592.5</v>
      </c>
    </row>
    <row r="132" spans="1:16" ht="26.25" customHeight="1" x14ac:dyDescent="0.2">
      <c r="A132" s="100"/>
      <c r="B132" s="100"/>
      <c r="C132" s="90" t="s">
        <v>3519</v>
      </c>
      <c r="D132" s="102" t="s">
        <v>57</v>
      </c>
      <c r="E132" s="91">
        <v>44548</v>
      </c>
      <c r="F132" s="102" t="s">
        <v>59</v>
      </c>
      <c r="G132" s="91">
        <v>44555</v>
      </c>
      <c r="H132" s="90" t="s">
        <v>3349</v>
      </c>
      <c r="I132" s="90">
        <v>54</v>
      </c>
      <c r="J132" s="90">
        <v>25</v>
      </c>
      <c r="K132" s="90">
        <v>16</v>
      </c>
      <c r="L132" s="90">
        <v>18</v>
      </c>
      <c r="M132" s="90">
        <v>5.4</v>
      </c>
      <c r="N132" s="104">
        <v>19</v>
      </c>
      <c r="O132" s="57">
        <v>7000</v>
      </c>
      <c r="P132" s="58">
        <f t="shared" si="2"/>
        <v>133000</v>
      </c>
    </row>
    <row r="133" spans="1:16" ht="26.25" customHeight="1" x14ac:dyDescent="0.2">
      <c r="A133" s="100"/>
      <c r="B133" s="100"/>
      <c r="C133" s="65" t="s">
        <v>3520</v>
      </c>
      <c r="D133" s="70" t="s">
        <v>57</v>
      </c>
      <c r="E133" s="12">
        <v>44548</v>
      </c>
      <c r="F133" s="68" t="s">
        <v>59</v>
      </c>
      <c r="G133" s="12">
        <v>44555</v>
      </c>
      <c r="H133" s="69" t="s">
        <v>3349</v>
      </c>
      <c r="I133" s="15">
        <v>53</v>
      </c>
      <c r="J133" s="15">
        <v>16</v>
      </c>
      <c r="K133" s="15">
        <v>16</v>
      </c>
      <c r="L133" s="15">
        <v>2</v>
      </c>
      <c r="M133" s="73">
        <v>3.3919999999999999</v>
      </c>
      <c r="N133" s="104">
        <v>4</v>
      </c>
      <c r="O133" s="57">
        <v>7000</v>
      </c>
      <c r="P133" s="58">
        <f t="shared" si="2"/>
        <v>28000</v>
      </c>
    </row>
    <row r="134" spans="1:16" ht="26.25" customHeight="1" x14ac:dyDescent="0.2">
      <c r="A134" s="100"/>
      <c r="B134" s="100"/>
      <c r="C134" s="65" t="s">
        <v>3521</v>
      </c>
      <c r="D134" s="70" t="s">
        <v>57</v>
      </c>
      <c r="E134" s="12">
        <v>44548</v>
      </c>
      <c r="F134" s="68" t="s">
        <v>59</v>
      </c>
      <c r="G134" s="12">
        <v>44555</v>
      </c>
      <c r="H134" s="69" t="s">
        <v>3349</v>
      </c>
      <c r="I134" s="15">
        <v>60</v>
      </c>
      <c r="J134" s="15">
        <v>60</v>
      </c>
      <c r="K134" s="15">
        <v>16</v>
      </c>
      <c r="L134" s="15">
        <v>17</v>
      </c>
      <c r="M134" s="73">
        <v>14.4</v>
      </c>
      <c r="N134" s="104">
        <v>18</v>
      </c>
      <c r="O134" s="57">
        <v>7000</v>
      </c>
      <c r="P134" s="58">
        <f t="shared" si="2"/>
        <v>126000</v>
      </c>
    </row>
    <row r="135" spans="1:16" ht="26.25" customHeight="1" x14ac:dyDescent="0.2">
      <c r="A135" s="100"/>
      <c r="B135" s="100"/>
      <c r="C135" s="65" t="s">
        <v>3522</v>
      </c>
      <c r="D135" s="70" t="s">
        <v>57</v>
      </c>
      <c r="E135" s="12">
        <v>44548</v>
      </c>
      <c r="F135" s="68" t="s">
        <v>59</v>
      </c>
      <c r="G135" s="12">
        <v>44555</v>
      </c>
      <c r="H135" s="69" t="s">
        <v>3349</v>
      </c>
      <c r="I135" s="15">
        <v>45</v>
      </c>
      <c r="J135" s="15">
        <v>32</v>
      </c>
      <c r="K135" s="15">
        <v>15</v>
      </c>
      <c r="L135" s="15">
        <v>3</v>
      </c>
      <c r="M135" s="73">
        <v>5.4</v>
      </c>
      <c r="N135" s="104">
        <v>6</v>
      </c>
      <c r="O135" s="57">
        <v>7000</v>
      </c>
      <c r="P135" s="58">
        <f t="shared" si="2"/>
        <v>42000</v>
      </c>
    </row>
    <row r="136" spans="1:16" ht="26.25" customHeight="1" x14ac:dyDescent="0.2">
      <c r="A136" s="100"/>
      <c r="B136" s="100"/>
      <c r="C136" s="65" t="s">
        <v>3523</v>
      </c>
      <c r="D136" s="70" t="s">
        <v>57</v>
      </c>
      <c r="E136" s="12">
        <v>44548</v>
      </c>
      <c r="F136" s="68" t="s">
        <v>59</v>
      </c>
      <c r="G136" s="12">
        <v>44555</v>
      </c>
      <c r="H136" s="69" t="s">
        <v>3349</v>
      </c>
      <c r="I136" s="15">
        <v>40</v>
      </c>
      <c r="J136" s="15">
        <v>22</v>
      </c>
      <c r="K136" s="15">
        <v>14</v>
      </c>
      <c r="L136" s="15">
        <v>1</v>
      </c>
      <c r="M136" s="73">
        <v>3.08</v>
      </c>
      <c r="N136" s="104">
        <v>3.08</v>
      </c>
      <c r="O136" s="57">
        <v>7000</v>
      </c>
      <c r="P136" s="58">
        <f t="shared" si="2"/>
        <v>21560</v>
      </c>
    </row>
    <row r="137" spans="1:16" ht="26.25" customHeight="1" x14ac:dyDescent="0.2">
      <c r="A137" s="100"/>
      <c r="B137" s="100"/>
      <c r="C137" s="65" t="s">
        <v>3524</v>
      </c>
      <c r="D137" s="70" t="s">
        <v>57</v>
      </c>
      <c r="E137" s="12">
        <v>44548</v>
      </c>
      <c r="F137" s="68" t="s">
        <v>59</v>
      </c>
      <c r="G137" s="12">
        <v>44555</v>
      </c>
      <c r="H137" s="69" t="s">
        <v>3349</v>
      </c>
      <c r="I137" s="15">
        <v>51</v>
      </c>
      <c r="J137" s="15">
        <v>32</v>
      </c>
      <c r="K137" s="15">
        <v>19</v>
      </c>
      <c r="L137" s="15">
        <v>13</v>
      </c>
      <c r="M137" s="73">
        <v>7.7519999999999998</v>
      </c>
      <c r="N137" s="104">
        <v>13</v>
      </c>
      <c r="O137" s="57">
        <v>7000</v>
      </c>
      <c r="P137" s="58">
        <f t="shared" si="2"/>
        <v>91000</v>
      </c>
    </row>
    <row r="138" spans="1:16" ht="26.25" customHeight="1" x14ac:dyDescent="0.2">
      <c r="A138" s="100"/>
      <c r="B138" s="101"/>
      <c r="C138" s="65" t="s">
        <v>3525</v>
      </c>
      <c r="D138" s="70" t="s">
        <v>57</v>
      </c>
      <c r="E138" s="12">
        <v>44548</v>
      </c>
      <c r="F138" s="68" t="s">
        <v>59</v>
      </c>
      <c r="G138" s="12">
        <v>44555</v>
      </c>
      <c r="H138" s="69" t="s">
        <v>3349</v>
      </c>
      <c r="I138" s="15">
        <v>90</v>
      </c>
      <c r="J138" s="15">
        <v>55</v>
      </c>
      <c r="K138" s="15">
        <v>25</v>
      </c>
      <c r="L138" s="15">
        <v>40</v>
      </c>
      <c r="M138" s="73">
        <v>30.9375</v>
      </c>
      <c r="N138" s="104">
        <v>40</v>
      </c>
      <c r="O138" s="57">
        <v>7000</v>
      </c>
      <c r="P138" s="58">
        <f t="shared" si="2"/>
        <v>280000</v>
      </c>
    </row>
    <row r="139" spans="1:16" ht="26.25" customHeight="1" x14ac:dyDescent="0.2">
      <c r="A139" s="100"/>
      <c r="B139" s="101" t="s">
        <v>3526</v>
      </c>
      <c r="C139" s="65" t="s">
        <v>3527</v>
      </c>
      <c r="D139" s="70" t="s">
        <v>57</v>
      </c>
      <c r="E139" s="12">
        <v>44548</v>
      </c>
      <c r="F139" s="68" t="s">
        <v>59</v>
      </c>
      <c r="G139" s="12">
        <v>44555</v>
      </c>
      <c r="H139" s="69" t="s">
        <v>3349</v>
      </c>
      <c r="I139" s="15">
        <v>100</v>
      </c>
      <c r="J139" s="15">
        <v>65</v>
      </c>
      <c r="K139" s="15">
        <v>34</v>
      </c>
      <c r="L139" s="15">
        <v>35</v>
      </c>
      <c r="M139" s="73">
        <v>55.25</v>
      </c>
      <c r="N139" s="104">
        <v>55.25</v>
      </c>
      <c r="O139" s="57">
        <v>7000</v>
      </c>
      <c r="P139" s="58">
        <f t="shared" si="2"/>
        <v>386750</v>
      </c>
    </row>
    <row r="140" spans="1:16" ht="26.25" customHeight="1" x14ac:dyDescent="0.2">
      <c r="A140" s="100"/>
      <c r="B140" s="100" t="s">
        <v>3528</v>
      </c>
      <c r="C140" s="65" t="s">
        <v>3529</v>
      </c>
      <c r="D140" s="70" t="s">
        <v>57</v>
      </c>
      <c r="E140" s="12">
        <v>44548</v>
      </c>
      <c r="F140" s="68" t="s">
        <v>59</v>
      </c>
      <c r="G140" s="12">
        <v>44555</v>
      </c>
      <c r="H140" s="69" t="s">
        <v>3349</v>
      </c>
      <c r="I140" s="15">
        <v>81</v>
      </c>
      <c r="J140" s="15">
        <v>53</v>
      </c>
      <c r="K140" s="15">
        <v>27</v>
      </c>
      <c r="L140" s="15">
        <v>18</v>
      </c>
      <c r="M140" s="73">
        <v>28.97775</v>
      </c>
      <c r="N140" s="104">
        <v>28.97775</v>
      </c>
      <c r="O140" s="57">
        <v>7000</v>
      </c>
      <c r="P140" s="58">
        <f t="shared" si="2"/>
        <v>202844.25</v>
      </c>
    </row>
    <row r="141" spans="1:16" ht="26.25" customHeight="1" x14ac:dyDescent="0.2">
      <c r="A141" s="100"/>
      <c r="B141" s="100"/>
      <c r="C141" s="65" t="s">
        <v>3530</v>
      </c>
      <c r="D141" s="70" t="s">
        <v>57</v>
      </c>
      <c r="E141" s="12">
        <v>44548</v>
      </c>
      <c r="F141" s="68" t="s">
        <v>59</v>
      </c>
      <c r="G141" s="12">
        <v>44555</v>
      </c>
      <c r="H141" s="69" t="s">
        <v>3349</v>
      </c>
      <c r="I141" s="15">
        <v>40</v>
      </c>
      <c r="J141" s="15">
        <v>30</v>
      </c>
      <c r="K141" s="15">
        <v>4</v>
      </c>
      <c r="L141" s="15">
        <v>1</v>
      </c>
      <c r="M141" s="73">
        <v>1.2</v>
      </c>
      <c r="N141" s="104">
        <v>1.2</v>
      </c>
      <c r="O141" s="57">
        <v>7000</v>
      </c>
      <c r="P141" s="58">
        <f t="shared" si="2"/>
        <v>8400</v>
      </c>
    </row>
    <row r="142" spans="1:16" ht="26.25" customHeight="1" x14ac:dyDescent="0.2">
      <c r="A142" s="100"/>
      <c r="B142" s="100"/>
      <c r="C142" s="65" t="s">
        <v>3531</v>
      </c>
      <c r="D142" s="70" t="s">
        <v>57</v>
      </c>
      <c r="E142" s="12">
        <v>44548</v>
      </c>
      <c r="F142" s="68" t="s">
        <v>59</v>
      </c>
      <c r="G142" s="12">
        <v>44555</v>
      </c>
      <c r="H142" s="69" t="s">
        <v>3349</v>
      </c>
      <c r="I142" s="15">
        <v>60</v>
      </c>
      <c r="J142" s="15">
        <v>40</v>
      </c>
      <c r="K142" s="15">
        <v>10</v>
      </c>
      <c r="L142" s="15">
        <v>1</v>
      </c>
      <c r="M142" s="73">
        <v>6</v>
      </c>
      <c r="N142" s="104">
        <v>6</v>
      </c>
      <c r="O142" s="57">
        <v>7000</v>
      </c>
      <c r="P142" s="58">
        <f t="shared" si="2"/>
        <v>42000</v>
      </c>
    </row>
    <row r="143" spans="1:16" ht="26.25" customHeight="1" x14ac:dyDescent="0.2">
      <c r="A143" s="100"/>
      <c r="B143" s="100"/>
      <c r="C143" s="65" t="s">
        <v>3532</v>
      </c>
      <c r="D143" s="70" t="s">
        <v>57</v>
      </c>
      <c r="E143" s="12">
        <v>44548</v>
      </c>
      <c r="F143" s="68" t="s">
        <v>59</v>
      </c>
      <c r="G143" s="12">
        <v>44555</v>
      </c>
      <c r="H143" s="69" t="s">
        <v>3349</v>
      </c>
      <c r="I143" s="15">
        <v>65</v>
      </c>
      <c r="J143" s="15">
        <v>45</v>
      </c>
      <c r="K143" s="15">
        <v>15</v>
      </c>
      <c r="L143" s="15">
        <v>7</v>
      </c>
      <c r="M143" s="73">
        <v>10.96875</v>
      </c>
      <c r="N143" s="104">
        <v>10.96875</v>
      </c>
      <c r="O143" s="57">
        <v>7000</v>
      </c>
      <c r="P143" s="58">
        <f t="shared" si="2"/>
        <v>76781.25</v>
      </c>
    </row>
    <row r="144" spans="1:16" ht="26.25" customHeight="1" x14ac:dyDescent="0.2">
      <c r="A144" s="100"/>
      <c r="B144" s="100"/>
      <c r="C144" s="65" t="s">
        <v>3533</v>
      </c>
      <c r="D144" s="70" t="s">
        <v>57</v>
      </c>
      <c r="E144" s="12">
        <v>44548</v>
      </c>
      <c r="F144" s="68" t="s">
        <v>59</v>
      </c>
      <c r="G144" s="12">
        <v>44555</v>
      </c>
      <c r="H144" s="69" t="s">
        <v>3349</v>
      </c>
      <c r="I144" s="15">
        <v>56</v>
      </c>
      <c r="J144" s="15">
        <v>50</v>
      </c>
      <c r="K144" s="15">
        <v>15</v>
      </c>
      <c r="L144" s="15">
        <v>4</v>
      </c>
      <c r="M144" s="73">
        <v>10.5</v>
      </c>
      <c r="N144" s="104">
        <v>12</v>
      </c>
      <c r="O144" s="57">
        <v>7000</v>
      </c>
      <c r="P144" s="58">
        <f t="shared" si="2"/>
        <v>84000</v>
      </c>
    </row>
    <row r="145" spans="1:16" ht="26.25" customHeight="1" x14ac:dyDescent="0.2">
      <c r="A145" s="100"/>
      <c r="B145" s="100"/>
      <c r="C145" s="65" t="s">
        <v>3534</v>
      </c>
      <c r="D145" s="70" t="s">
        <v>57</v>
      </c>
      <c r="E145" s="12">
        <v>44548</v>
      </c>
      <c r="F145" s="68" t="s">
        <v>59</v>
      </c>
      <c r="G145" s="12">
        <v>44555</v>
      </c>
      <c r="H145" s="69" t="s">
        <v>3349</v>
      </c>
      <c r="I145" s="15">
        <v>44</v>
      </c>
      <c r="J145" s="15">
        <v>45</v>
      </c>
      <c r="K145" s="15">
        <v>13</v>
      </c>
      <c r="L145" s="15">
        <v>2</v>
      </c>
      <c r="M145" s="73">
        <v>6.4349999999999996</v>
      </c>
      <c r="N145" s="104">
        <v>7</v>
      </c>
      <c r="O145" s="57">
        <v>7000</v>
      </c>
      <c r="P145" s="58">
        <f t="shared" si="2"/>
        <v>49000</v>
      </c>
    </row>
    <row r="146" spans="1:16" ht="26.25" customHeight="1" x14ac:dyDescent="0.2">
      <c r="A146" s="100"/>
      <c r="B146" s="100"/>
      <c r="C146" s="65" t="s">
        <v>3535</v>
      </c>
      <c r="D146" s="70" t="s">
        <v>57</v>
      </c>
      <c r="E146" s="12">
        <v>44548</v>
      </c>
      <c r="F146" s="68" t="s">
        <v>59</v>
      </c>
      <c r="G146" s="12">
        <v>44555</v>
      </c>
      <c r="H146" s="69" t="s">
        <v>3349</v>
      </c>
      <c r="I146" s="15">
        <v>72</v>
      </c>
      <c r="J146" s="15">
        <v>30</v>
      </c>
      <c r="K146" s="15">
        <v>20</v>
      </c>
      <c r="L146" s="15">
        <v>6</v>
      </c>
      <c r="M146" s="73">
        <v>10.8</v>
      </c>
      <c r="N146" s="104">
        <v>10.8</v>
      </c>
      <c r="O146" s="57">
        <v>7000</v>
      </c>
      <c r="P146" s="58">
        <f t="shared" si="2"/>
        <v>75600</v>
      </c>
    </row>
    <row r="147" spans="1:16" ht="26.25" customHeight="1" x14ac:dyDescent="0.2">
      <c r="A147" s="100"/>
      <c r="B147" s="100"/>
      <c r="C147" s="65" t="s">
        <v>3536</v>
      </c>
      <c r="D147" s="70" t="s">
        <v>57</v>
      </c>
      <c r="E147" s="12">
        <v>44548</v>
      </c>
      <c r="F147" s="68" t="s">
        <v>59</v>
      </c>
      <c r="G147" s="12">
        <v>44555</v>
      </c>
      <c r="H147" s="69" t="s">
        <v>3349</v>
      </c>
      <c r="I147" s="15">
        <v>85</v>
      </c>
      <c r="J147" s="15">
        <v>56</v>
      </c>
      <c r="K147" s="15">
        <v>24</v>
      </c>
      <c r="L147" s="15">
        <v>21</v>
      </c>
      <c r="M147" s="73">
        <v>28.56</v>
      </c>
      <c r="N147" s="104">
        <v>28.56</v>
      </c>
      <c r="O147" s="57">
        <v>7000</v>
      </c>
      <c r="P147" s="58">
        <f t="shared" si="2"/>
        <v>199920</v>
      </c>
    </row>
    <row r="148" spans="1:16" ht="22.5" customHeight="1" x14ac:dyDescent="0.2">
      <c r="A148" s="159" t="s">
        <v>30</v>
      </c>
      <c r="B148" s="160"/>
      <c r="C148" s="160"/>
      <c r="D148" s="160"/>
      <c r="E148" s="160"/>
      <c r="F148" s="160"/>
      <c r="G148" s="160"/>
      <c r="H148" s="160"/>
      <c r="I148" s="160"/>
      <c r="J148" s="160"/>
      <c r="K148" s="160"/>
      <c r="L148" s="161"/>
      <c r="M148" s="71">
        <f>SUBTOTAL(109,Table22457891011234567891011121314151617181920212223242526272829303132333435373839404142434445464748495051525354555657[KG VOLUME])</f>
        <v>2483.7665000000002</v>
      </c>
      <c r="N148" s="61">
        <f>SUM(N3:N147)</f>
        <v>2653.8989999999999</v>
      </c>
      <c r="O148" s="162">
        <f>SUM(P3:P147)</f>
        <v>18577293</v>
      </c>
      <c r="P148" s="163"/>
    </row>
    <row r="149" spans="1:16" ht="18" customHeight="1" x14ac:dyDescent="0.2">
      <c r="A149" s="78"/>
      <c r="B149" s="49" t="s">
        <v>42</v>
      </c>
      <c r="C149" s="48"/>
      <c r="D149" s="50" t="s">
        <v>43</v>
      </c>
      <c r="E149" s="78"/>
      <c r="F149" s="78"/>
      <c r="G149" s="78"/>
      <c r="H149" s="78"/>
      <c r="I149" s="78"/>
      <c r="J149" s="78"/>
      <c r="K149" s="78"/>
      <c r="L149" s="78"/>
      <c r="M149" s="79"/>
      <c r="N149" s="80" t="s">
        <v>52</v>
      </c>
      <c r="O149" s="81"/>
      <c r="P149" s="81">
        <v>0</v>
      </c>
    </row>
    <row r="150" spans="1:16" ht="18" customHeight="1" thickBot="1" x14ac:dyDescent="0.25">
      <c r="A150" s="78"/>
      <c r="B150" s="49"/>
      <c r="C150" s="48"/>
      <c r="D150" s="50"/>
      <c r="E150" s="78"/>
      <c r="F150" s="78"/>
      <c r="G150" s="78"/>
      <c r="H150" s="78"/>
      <c r="I150" s="78"/>
      <c r="J150" s="78"/>
      <c r="K150" s="78"/>
      <c r="L150" s="78"/>
      <c r="M150" s="79"/>
      <c r="N150" s="82" t="s">
        <v>53</v>
      </c>
      <c r="O150" s="83"/>
      <c r="P150" s="83">
        <f>O148-P149</f>
        <v>18577293</v>
      </c>
    </row>
    <row r="151" spans="1:16" ht="18" customHeight="1" x14ac:dyDescent="0.2">
      <c r="A151" s="10"/>
      <c r="H151" s="56"/>
      <c r="N151" s="55" t="s">
        <v>31</v>
      </c>
      <c r="P151" s="62">
        <f>P150*1%</f>
        <v>185772.93</v>
      </c>
    </row>
    <row r="152" spans="1:16" ht="18" customHeight="1" thickBot="1" x14ac:dyDescent="0.25">
      <c r="A152" s="10"/>
      <c r="H152" s="56"/>
      <c r="N152" s="55" t="s">
        <v>54</v>
      </c>
      <c r="P152" s="64">
        <f>P150*2%</f>
        <v>371545.86</v>
      </c>
    </row>
    <row r="153" spans="1:16" ht="18" customHeight="1" x14ac:dyDescent="0.2">
      <c r="A153" s="10"/>
      <c r="H153" s="56"/>
      <c r="N153" s="59" t="s">
        <v>32</v>
      </c>
      <c r="O153" s="60"/>
      <c r="P153" s="63">
        <f>P150+P151-P152</f>
        <v>18391520.07</v>
      </c>
    </row>
    <row r="155" spans="1:16" x14ac:dyDescent="0.2">
      <c r="A155" s="10"/>
      <c r="H155" s="56"/>
      <c r="P155" s="64"/>
    </row>
    <row r="156" spans="1:16" x14ac:dyDescent="0.2">
      <c r="A156" s="10"/>
      <c r="H156" s="56"/>
      <c r="O156" s="51"/>
      <c r="P156" s="64"/>
    </row>
    <row r="157" spans="1:16" s="3" customFormat="1" x14ac:dyDescent="0.25">
      <c r="A157" s="10"/>
      <c r="B157" s="2"/>
      <c r="C157" s="2"/>
      <c r="E157" s="11"/>
      <c r="H157" s="56"/>
      <c r="N157" s="14"/>
      <c r="O157" s="14"/>
      <c r="P157" s="14"/>
    </row>
    <row r="158" spans="1:16" s="3" customFormat="1" x14ac:dyDescent="0.25">
      <c r="A158" s="10"/>
      <c r="B158" s="2"/>
      <c r="C158" s="2"/>
      <c r="E158" s="11"/>
      <c r="H158" s="56"/>
      <c r="N158" s="14"/>
      <c r="O158" s="14"/>
      <c r="P158" s="1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  <row r="160" spans="1:16" s="3" customFormat="1" x14ac:dyDescent="0.25">
      <c r="A160" s="10"/>
      <c r="B160" s="2"/>
      <c r="C160" s="2"/>
      <c r="E160" s="11"/>
      <c r="H160" s="56"/>
      <c r="N160" s="14"/>
      <c r="O160" s="14"/>
      <c r="P160" s="14"/>
    </row>
    <row r="161" spans="1:16" s="3" customFormat="1" x14ac:dyDescent="0.25">
      <c r="A161" s="10"/>
      <c r="B161" s="2"/>
      <c r="C161" s="2"/>
      <c r="E161" s="11"/>
      <c r="H161" s="56"/>
      <c r="N161" s="14"/>
      <c r="O161" s="14"/>
      <c r="P161" s="14"/>
    </row>
    <row r="162" spans="1:16" s="3" customFormat="1" x14ac:dyDescent="0.25">
      <c r="A162" s="10"/>
      <c r="B162" s="2"/>
      <c r="C162" s="2"/>
      <c r="E162" s="11"/>
      <c r="H162" s="56"/>
      <c r="N162" s="14"/>
      <c r="O162" s="14"/>
      <c r="P162" s="14"/>
    </row>
    <row r="163" spans="1:16" s="3" customFormat="1" x14ac:dyDescent="0.25">
      <c r="A163" s="10"/>
      <c r="B163" s="2"/>
      <c r="C163" s="2"/>
      <c r="E163" s="11"/>
      <c r="H163" s="56"/>
      <c r="N163" s="14"/>
      <c r="O163" s="14"/>
      <c r="P163" s="14"/>
    </row>
    <row r="164" spans="1:16" s="3" customFormat="1" x14ac:dyDescent="0.25">
      <c r="A164" s="10"/>
      <c r="B164" s="2"/>
      <c r="C164" s="2"/>
      <c r="E164" s="11"/>
      <c r="H164" s="56"/>
      <c r="N164" s="14"/>
      <c r="O164" s="14"/>
      <c r="P164" s="14"/>
    </row>
    <row r="165" spans="1:16" s="3" customFormat="1" x14ac:dyDescent="0.25">
      <c r="A165" s="10"/>
      <c r="B165" s="2"/>
      <c r="C165" s="2"/>
      <c r="E165" s="11"/>
      <c r="H165" s="56"/>
      <c r="N165" s="14"/>
      <c r="O165" s="14"/>
      <c r="P165" s="14"/>
    </row>
    <row r="166" spans="1:16" s="3" customFormat="1" x14ac:dyDescent="0.25">
      <c r="A166" s="10"/>
      <c r="B166" s="2"/>
      <c r="C166" s="2"/>
      <c r="E166" s="11"/>
      <c r="H166" s="56"/>
      <c r="N166" s="14"/>
      <c r="O166" s="14"/>
      <c r="P166" s="14"/>
    </row>
    <row r="167" spans="1:16" s="3" customFormat="1" x14ac:dyDescent="0.25">
      <c r="A167" s="10"/>
      <c r="B167" s="2"/>
      <c r="C167" s="2"/>
      <c r="E167" s="11"/>
      <c r="H167" s="56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56"/>
      <c r="N168" s="14"/>
      <c r="O168" s="14"/>
      <c r="P168" s="14"/>
    </row>
  </sheetData>
  <mergeCells count="2">
    <mergeCell ref="A148:L148"/>
    <mergeCell ref="O148:P148"/>
  </mergeCells>
  <conditionalFormatting sqref="C3:C147">
    <cfRule type="duplicateValues" dxfId="703" priority="8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topLeftCell="A24" workbookViewId="0">
      <selection activeCell="A3" sqref="A3:XFD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30" customHeight="1" x14ac:dyDescent="0.2">
      <c r="A3" s="99">
        <v>402688</v>
      </c>
      <c r="B3" s="99" t="s">
        <v>3537</v>
      </c>
      <c r="C3" s="90" t="s">
        <v>3538</v>
      </c>
      <c r="D3" s="102" t="s">
        <v>57</v>
      </c>
      <c r="E3" s="91">
        <v>44548</v>
      </c>
      <c r="F3" s="102" t="s">
        <v>59</v>
      </c>
      <c r="G3" s="91">
        <v>44555</v>
      </c>
      <c r="H3" s="90" t="s">
        <v>3349</v>
      </c>
      <c r="I3" s="90">
        <v>74</v>
      </c>
      <c r="J3" s="90">
        <v>62</v>
      </c>
      <c r="K3" s="90">
        <v>28</v>
      </c>
      <c r="L3" s="90">
        <v>11</v>
      </c>
      <c r="M3" s="90">
        <v>32.116</v>
      </c>
      <c r="N3" s="104">
        <v>32.116</v>
      </c>
      <c r="O3" s="57">
        <v>7000</v>
      </c>
      <c r="P3" s="58">
        <f t="shared" ref="P3:P26" si="0">N3*O3</f>
        <v>224812</v>
      </c>
    </row>
    <row r="4" spans="1:16" ht="30" customHeight="1" x14ac:dyDescent="0.2">
      <c r="A4" s="100"/>
      <c r="B4" s="100"/>
      <c r="C4" s="90" t="s">
        <v>3539</v>
      </c>
      <c r="D4" s="102" t="s">
        <v>57</v>
      </c>
      <c r="E4" s="91">
        <v>44548</v>
      </c>
      <c r="F4" s="102" t="s">
        <v>59</v>
      </c>
      <c r="G4" s="91">
        <v>44555</v>
      </c>
      <c r="H4" s="90" t="s">
        <v>3349</v>
      </c>
      <c r="I4" s="90">
        <v>88</v>
      </c>
      <c r="J4" s="90">
        <v>67</v>
      </c>
      <c r="K4" s="90">
        <v>18</v>
      </c>
      <c r="L4" s="90">
        <v>6</v>
      </c>
      <c r="M4" s="90">
        <v>26.532</v>
      </c>
      <c r="N4" s="104">
        <v>26.532</v>
      </c>
      <c r="O4" s="57">
        <v>7000</v>
      </c>
      <c r="P4" s="58">
        <f t="shared" si="0"/>
        <v>185724</v>
      </c>
    </row>
    <row r="5" spans="1:16" ht="30" customHeight="1" x14ac:dyDescent="0.2">
      <c r="A5" s="100"/>
      <c r="B5" s="100"/>
      <c r="C5" s="90" t="s">
        <v>3540</v>
      </c>
      <c r="D5" s="102" t="s">
        <v>57</v>
      </c>
      <c r="E5" s="91">
        <v>44548</v>
      </c>
      <c r="F5" s="102" t="s">
        <v>59</v>
      </c>
      <c r="G5" s="91">
        <v>44555</v>
      </c>
      <c r="H5" s="90" t="s">
        <v>3349</v>
      </c>
      <c r="I5" s="90">
        <v>97</v>
      </c>
      <c r="J5" s="90">
        <v>57</v>
      </c>
      <c r="K5" s="90">
        <v>35</v>
      </c>
      <c r="L5" s="90">
        <v>24</v>
      </c>
      <c r="M5" s="90">
        <v>48.378749999999997</v>
      </c>
      <c r="N5" s="104">
        <v>49</v>
      </c>
      <c r="O5" s="57">
        <v>7000</v>
      </c>
      <c r="P5" s="58">
        <f t="shared" si="0"/>
        <v>343000</v>
      </c>
    </row>
    <row r="6" spans="1:16" ht="30" customHeight="1" x14ac:dyDescent="0.2">
      <c r="A6" s="100"/>
      <c r="B6" s="100"/>
      <c r="C6" s="90" t="s">
        <v>3541</v>
      </c>
      <c r="D6" s="102" t="s">
        <v>57</v>
      </c>
      <c r="E6" s="91">
        <v>44548</v>
      </c>
      <c r="F6" s="102" t="s">
        <v>59</v>
      </c>
      <c r="G6" s="91">
        <v>44555</v>
      </c>
      <c r="H6" s="90" t="s">
        <v>3349</v>
      </c>
      <c r="I6" s="90">
        <v>80</v>
      </c>
      <c r="J6" s="90">
        <v>54</v>
      </c>
      <c r="K6" s="90">
        <v>17</v>
      </c>
      <c r="L6" s="90">
        <v>8</v>
      </c>
      <c r="M6" s="90">
        <v>18.36</v>
      </c>
      <c r="N6" s="104">
        <v>19</v>
      </c>
      <c r="O6" s="57">
        <v>7000</v>
      </c>
      <c r="P6" s="58">
        <f t="shared" si="0"/>
        <v>133000</v>
      </c>
    </row>
    <row r="7" spans="1:16" ht="30" customHeight="1" x14ac:dyDescent="0.2">
      <c r="A7" s="100"/>
      <c r="B7" s="100"/>
      <c r="C7" s="65" t="s">
        <v>3542</v>
      </c>
      <c r="D7" s="70" t="s">
        <v>57</v>
      </c>
      <c r="E7" s="12">
        <v>44548</v>
      </c>
      <c r="F7" s="68" t="s">
        <v>59</v>
      </c>
      <c r="G7" s="12">
        <v>44555</v>
      </c>
      <c r="H7" s="69" t="s">
        <v>3349</v>
      </c>
      <c r="I7" s="15">
        <v>70</v>
      </c>
      <c r="J7" s="15">
        <v>50</v>
      </c>
      <c r="K7" s="15">
        <v>20</v>
      </c>
      <c r="L7" s="15">
        <v>10</v>
      </c>
      <c r="M7" s="73">
        <v>17.5</v>
      </c>
      <c r="N7" s="104">
        <v>19</v>
      </c>
      <c r="O7" s="57">
        <v>7000</v>
      </c>
      <c r="P7" s="58">
        <f t="shared" si="0"/>
        <v>133000</v>
      </c>
    </row>
    <row r="8" spans="1:16" ht="30" customHeight="1" x14ac:dyDescent="0.2">
      <c r="A8" s="100"/>
      <c r="B8" s="100"/>
      <c r="C8" s="65" t="s">
        <v>3543</v>
      </c>
      <c r="D8" s="70" t="s">
        <v>57</v>
      </c>
      <c r="E8" s="12">
        <v>44548</v>
      </c>
      <c r="F8" s="68" t="s">
        <v>59</v>
      </c>
      <c r="G8" s="12">
        <v>44555</v>
      </c>
      <c r="H8" s="69" t="s">
        <v>3349</v>
      </c>
      <c r="I8" s="15">
        <v>86</v>
      </c>
      <c r="J8" s="15">
        <v>63</v>
      </c>
      <c r="K8" s="15">
        <v>20</v>
      </c>
      <c r="L8" s="15">
        <v>14</v>
      </c>
      <c r="M8" s="73">
        <v>27.09</v>
      </c>
      <c r="N8" s="104">
        <v>27.09</v>
      </c>
      <c r="O8" s="57">
        <v>7000</v>
      </c>
      <c r="P8" s="58">
        <f t="shared" si="0"/>
        <v>189630</v>
      </c>
    </row>
    <row r="9" spans="1:16" ht="30" customHeight="1" x14ac:dyDescent="0.2">
      <c r="A9" s="100"/>
      <c r="B9" s="100"/>
      <c r="C9" s="65" t="s">
        <v>3544</v>
      </c>
      <c r="D9" s="70" t="s">
        <v>57</v>
      </c>
      <c r="E9" s="12">
        <v>44548</v>
      </c>
      <c r="F9" s="68" t="s">
        <v>59</v>
      </c>
      <c r="G9" s="12">
        <v>44555</v>
      </c>
      <c r="H9" s="69" t="s">
        <v>3349</v>
      </c>
      <c r="I9" s="15">
        <v>92</v>
      </c>
      <c r="J9" s="15">
        <v>60</v>
      </c>
      <c r="K9" s="15">
        <v>17</v>
      </c>
      <c r="L9" s="15">
        <v>15</v>
      </c>
      <c r="M9" s="73">
        <v>23.46</v>
      </c>
      <c r="N9" s="104">
        <v>24</v>
      </c>
      <c r="O9" s="57">
        <v>7000</v>
      </c>
      <c r="P9" s="58">
        <f t="shared" si="0"/>
        <v>168000</v>
      </c>
    </row>
    <row r="10" spans="1:16" ht="30" customHeight="1" x14ac:dyDescent="0.2">
      <c r="A10" s="100"/>
      <c r="B10" s="100"/>
      <c r="C10" s="65" t="s">
        <v>3545</v>
      </c>
      <c r="D10" s="70" t="s">
        <v>57</v>
      </c>
      <c r="E10" s="12">
        <v>44548</v>
      </c>
      <c r="F10" s="68" t="s">
        <v>59</v>
      </c>
      <c r="G10" s="12">
        <v>44555</v>
      </c>
      <c r="H10" s="69" t="s">
        <v>3349</v>
      </c>
      <c r="I10" s="15">
        <v>70</v>
      </c>
      <c r="J10" s="15">
        <v>45</v>
      </c>
      <c r="K10" s="15">
        <v>14</v>
      </c>
      <c r="L10" s="15">
        <v>7</v>
      </c>
      <c r="M10" s="73">
        <v>11.025</v>
      </c>
      <c r="N10" s="104">
        <v>11.025</v>
      </c>
      <c r="O10" s="57">
        <v>7000</v>
      </c>
      <c r="P10" s="58">
        <f t="shared" si="0"/>
        <v>77175</v>
      </c>
    </row>
    <row r="11" spans="1:16" ht="30" customHeight="1" x14ac:dyDescent="0.2">
      <c r="A11" s="100"/>
      <c r="B11" s="100"/>
      <c r="C11" s="65" t="s">
        <v>3546</v>
      </c>
      <c r="D11" s="70" t="s">
        <v>57</v>
      </c>
      <c r="E11" s="12">
        <v>44548</v>
      </c>
      <c r="F11" s="68" t="s">
        <v>59</v>
      </c>
      <c r="G11" s="12">
        <v>44555</v>
      </c>
      <c r="H11" s="69" t="s">
        <v>3349</v>
      </c>
      <c r="I11" s="15">
        <v>77</v>
      </c>
      <c r="J11" s="15">
        <v>55</v>
      </c>
      <c r="K11" s="15">
        <v>22</v>
      </c>
      <c r="L11" s="15">
        <v>11</v>
      </c>
      <c r="M11" s="73">
        <v>23.2925</v>
      </c>
      <c r="N11" s="104">
        <v>23.2925</v>
      </c>
      <c r="O11" s="57">
        <v>7000</v>
      </c>
      <c r="P11" s="58">
        <f t="shared" si="0"/>
        <v>163047.5</v>
      </c>
    </row>
    <row r="12" spans="1:16" ht="30" customHeight="1" x14ac:dyDescent="0.2">
      <c r="A12" s="100"/>
      <c r="B12" s="100"/>
      <c r="C12" s="65" t="s">
        <v>3547</v>
      </c>
      <c r="D12" s="70" t="s">
        <v>57</v>
      </c>
      <c r="E12" s="12">
        <v>44548</v>
      </c>
      <c r="F12" s="68" t="s">
        <v>59</v>
      </c>
      <c r="G12" s="12">
        <v>44555</v>
      </c>
      <c r="H12" s="69" t="s">
        <v>3349</v>
      </c>
      <c r="I12" s="15">
        <v>88</v>
      </c>
      <c r="J12" s="15">
        <v>65</v>
      </c>
      <c r="K12" s="15">
        <v>25</v>
      </c>
      <c r="L12" s="15">
        <v>18</v>
      </c>
      <c r="M12" s="73">
        <v>35.75</v>
      </c>
      <c r="N12" s="104">
        <v>35.75</v>
      </c>
      <c r="O12" s="57">
        <v>7000</v>
      </c>
      <c r="P12" s="58">
        <f t="shared" si="0"/>
        <v>250250</v>
      </c>
    </row>
    <row r="13" spans="1:16" ht="30" customHeight="1" x14ac:dyDescent="0.2">
      <c r="A13" s="100"/>
      <c r="B13" s="100"/>
      <c r="C13" s="65" t="s">
        <v>3548</v>
      </c>
      <c r="D13" s="70" t="s">
        <v>57</v>
      </c>
      <c r="E13" s="12">
        <v>44548</v>
      </c>
      <c r="F13" s="68" t="s">
        <v>59</v>
      </c>
      <c r="G13" s="12">
        <v>44555</v>
      </c>
      <c r="H13" s="69" t="s">
        <v>3349</v>
      </c>
      <c r="I13" s="15">
        <v>92</v>
      </c>
      <c r="J13" s="15">
        <v>57</v>
      </c>
      <c r="K13" s="15">
        <v>26</v>
      </c>
      <c r="L13" s="15">
        <v>16</v>
      </c>
      <c r="M13" s="73">
        <v>34.085999999999999</v>
      </c>
      <c r="N13" s="104">
        <v>34.085999999999999</v>
      </c>
      <c r="O13" s="57">
        <v>7000</v>
      </c>
      <c r="P13" s="58">
        <f t="shared" si="0"/>
        <v>238602</v>
      </c>
    </row>
    <row r="14" spans="1:16" ht="30" customHeight="1" x14ac:dyDescent="0.2">
      <c r="A14" s="100"/>
      <c r="B14" s="100"/>
      <c r="C14" s="65" t="s">
        <v>3549</v>
      </c>
      <c r="D14" s="70" t="s">
        <v>57</v>
      </c>
      <c r="E14" s="12">
        <v>44548</v>
      </c>
      <c r="F14" s="68" t="s">
        <v>59</v>
      </c>
      <c r="G14" s="12">
        <v>44555</v>
      </c>
      <c r="H14" s="69" t="s">
        <v>3349</v>
      </c>
      <c r="I14" s="15">
        <v>90</v>
      </c>
      <c r="J14" s="15">
        <v>57</v>
      </c>
      <c r="K14" s="15">
        <v>25</v>
      </c>
      <c r="L14" s="15">
        <v>20</v>
      </c>
      <c r="M14" s="73">
        <v>32.0625</v>
      </c>
      <c r="N14" s="104">
        <v>32.0625</v>
      </c>
      <c r="O14" s="57">
        <v>7000</v>
      </c>
      <c r="P14" s="58">
        <f t="shared" si="0"/>
        <v>224437.5</v>
      </c>
    </row>
    <row r="15" spans="1:16" ht="30" customHeight="1" x14ac:dyDescent="0.2">
      <c r="A15" s="100"/>
      <c r="B15" s="101"/>
      <c r="C15" s="65" t="s">
        <v>3550</v>
      </c>
      <c r="D15" s="70" t="s">
        <v>57</v>
      </c>
      <c r="E15" s="12">
        <v>44548</v>
      </c>
      <c r="F15" s="68" t="s">
        <v>59</v>
      </c>
      <c r="G15" s="12">
        <v>44555</v>
      </c>
      <c r="H15" s="69" t="s">
        <v>3349</v>
      </c>
      <c r="I15" s="15">
        <v>97</v>
      </c>
      <c r="J15" s="15">
        <v>57</v>
      </c>
      <c r="K15" s="15">
        <v>26</v>
      </c>
      <c r="L15" s="15">
        <v>18</v>
      </c>
      <c r="M15" s="73">
        <v>35.938499999999998</v>
      </c>
      <c r="N15" s="104">
        <v>35.938499999999998</v>
      </c>
      <c r="O15" s="57">
        <v>7000</v>
      </c>
      <c r="P15" s="58">
        <f t="shared" si="0"/>
        <v>251569.49999999997</v>
      </c>
    </row>
    <row r="16" spans="1:16" ht="30" customHeight="1" x14ac:dyDescent="0.2">
      <c r="A16" s="100"/>
      <c r="B16" s="100" t="s">
        <v>3551</v>
      </c>
      <c r="C16" s="65" t="s">
        <v>3552</v>
      </c>
      <c r="D16" s="70" t="s">
        <v>57</v>
      </c>
      <c r="E16" s="12">
        <v>44548</v>
      </c>
      <c r="F16" s="68" t="s">
        <v>59</v>
      </c>
      <c r="G16" s="12">
        <v>44555</v>
      </c>
      <c r="H16" s="69" t="s">
        <v>3349</v>
      </c>
      <c r="I16" s="15">
        <v>33</v>
      </c>
      <c r="J16" s="15">
        <v>22</v>
      </c>
      <c r="K16" s="15">
        <v>18</v>
      </c>
      <c r="L16" s="15">
        <v>7</v>
      </c>
      <c r="M16" s="73">
        <v>3.2669999999999999</v>
      </c>
      <c r="N16" s="104">
        <v>7</v>
      </c>
      <c r="O16" s="57">
        <v>7000</v>
      </c>
      <c r="P16" s="58">
        <f t="shared" si="0"/>
        <v>49000</v>
      </c>
    </row>
    <row r="17" spans="1:16" ht="30" customHeight="1" x14ac:dyDescent="0.2">
      <c r="A17" s="100"/>
      <c r="B17" s="100"/>
      <c r="C17" s="65" t="s">
        <v>3553</v>
      </c>
      <c r="D17" s="70" t="s">
        <v>57</v>
      </c>
      <c r="E17" s="12">
        <v>44548</v>
      </c>
      <c r="F17" s="68" t="s">
        <v>59</v>
      </c>
      <c r="G17" s="12">
        <v>44555</v>
      </c>
      <c r="H17" s="69" t="s">
        <v>3349</v>
      </c>
      <c r="I17" s="15">
        <v>33</v>
      </c>
      <c r="J17" s="15">
        <v>22</v>
      </c>
      <c r="K17" s="15">
        <v>18</v>
      </c>
      <c r="L17" s="15">
        <v>7</v>
      </c>
      <c r="M17" s="73">
        <v>3.2669999999999999</v>
      </c>
      <c r="N17" s="104">
        <v>7</v>
      </c>
      <c r="O17" s="57">
        <v>7000</v>
      </c>
      <c r="P17" s="58">
        <f t="shared" si="0"/>
        <v>49000</v>
      </c>
    </row>
    <row r="18" spans="1:16" ht="30" customHeight="1" x14ac:dyDescent="0.2">
      <c r="A18" s="100"/>
      <c r="B18" s="100"/>
      <c r="C18" s="65" t="s">
        <v>3554</v>
      </c>
      <c r="D18" s="70" t="s">
        <v>57</v>
      </c>
      <c r="E18" s="12">
        <v>44548</v>
      </c>
      <c r="F18" s="68" t="s">
        <v>59</v>
      </c>
      <c r="G18" s="12">
        <v>44555</v>
      </c>
      <c r="H18" s="69" t="s">
        <v>3349</v>
      </c>
      <c r="I18" s="15">
        <v>33</v>
      </c>
      <c r="J18" s="15">
        <v>22</v>
      </c>
      <c r="K18" s="15">
        <v>18</v>
      </c>
      <c r="L18" s="15">
        <v>7</v>
      </c>
      <c r="M18" s="73">
        <v>3.2669999999999999</v>
      </c>
      <c r="N18" s="104">
        <v>7</v>
      </c>
      <c r="O18" s="57">
        <v>7000</v>
      </c>
      <c r="P18" s="58">
        <f t="shared" si="0"/>
        <v>49000</v>
      </c>
    </row>
    <row r="19" spans="1:16" ht="30" customHeight="1" x14ac:dyDescent="0.2">
      <c r="A19" s="100"/>
      <c r="B19" s="100"/>
      <c r="C19" s="65" t="s">
        <v>3555</v>
      </c>
      <c r="D19" s="70" t="s">
        <v>57</v>
      </c>
      <c r="E19" s="12">
        <v>44548</v>
      </c>
      <c r="F19" s="68" t="s">
        <v>59</v>
      </c>
      <c r="G19" s="12">
        <v>44555</v>
      </c>
      <c r="H19" s="69" t="s">
        <v>3349</v>
      </c>
      <c r="I19" s="15">
        <v>33</v>
      </c>
      <c r="J19" s="15">
        <v>22</v>
      </c>
      <c r="K19" s="15">
        <v>18</v>
      </c>
      <c r="L19" s="15">
        <v>7</v>
      </c>
      <c r="M19" s="73">
        <v>3.2669999999999999</v>
      </c>
      <c r="N19" s="104">
        <v>7</v>
      </c>
      <c r="O19" s="57">
        <v>7000</v>
      </c>
      <c r="P19" s="58">
        <f t="shared" si="0"/>
        <v>49000</v>
      </c>
    </row>
    <row r="20" spans="1:16" ht="30" customHeight="1" x14ac:dyDescent="0.2">
      <c r="A20" s="100"/>
      <c r="B20" s="100"/>
      <c r="C20" s="65" t="s">
        <v>3556</v>
      </c>
      <c r="D20" s="70" t="s">
        <v>57</v>
      </c>
      <c r="E20" s="12">
        <v>44548</v>
      </c>
      <c r="F20" s="68" t="s">
        <v>59</v>
      </c>
      <c r="G20" s="12">
        <v>44555</v>
      </c>
      <c r="H20" s="69" t="s">
        <v>3349</v>
      </c>
      <c r="I20" s="15">
        <v>33</v>
      </c>
      <c r="J20" s="15">
        <v>22</v>
      </c>
      <c r="K20" s="15">
        <v>18</v>
      </c>
      <c r="L20" s="15">
        <v>7</v>
      </c>
      <c r="M20" s="73">
        <v>3.2669999999999999</v>
      </c>
      <c r="N20" s="104">
        <v>7</v>
      </c>
      <c r="O20" s="57">
        <v>7000</v>
      </c>
      <c r="P20" s="58">
        <f t="shared" si="0"/>
        <v>49000</v>
      </c>
    </row>
    <row r="21" spans="1:16" ht="30" customHeight="1" x14ac:dyDescent="0.2">
      <c r="A21" s="100"/>
      <c r="B21" s="100"/>
      <c r="C21" s="65" t="s">
        <v>3557</v>
      </c>
      <c r="D21" s="70" t="s">
        <v>57</v>
      </c>
      <c r="E21" s="12">
        <v>44548</v>
      </c>
      <c r="F21" s="68" t="s">
        <v>59</v>
      </c>
      <c r="G21" s="12">
        <v>44555</v>
      </c>
      <c r="H21" s="69" t="s">
        <v>3349</v>
      </c>
      <c r="I21" s="15">
        <v>33</v>
      </c>
      <c r="J21" s="15">
        <v>22</v>
      </c>
      <c r="K21" s="15">
        <v>18</v>
      </c>
      <c r="L21" s="15">
        <v>7</v>
      </c>
      <c r="M21" s="73">
        <v>3.2669999999999999</v>
      </c>
      <c r="N21" s="104">
        <v>7</v>
      </c>
      <c r="O21" s="57">
        <v>7000</v>
      </c>
      <c r="P21" s="58">
        <f t="shared" si="0"/>
        <v>49000</v>
      </c>
    </row>
    <row r="22" spans="1:16" ht="30" customHeight="1" x14ac:dyDescent="0.2">
      <c r="A22" s="100"/>
      <c r="B22" s="100"/>
      <c r="C22" s="65" t="s">
        <v>3558</v>
      </c>
      <c r="D22" s="70" t="s">
        <v>57</v>
      </c>
      <c r="E22" s="12">
        <v>44548</v>
      </c>
      <c r="F22" s="68" t="s">
        <v>59</v>
      </c>
      <c r="G22" s="12">
        <v>44555</v>
      </c>
      <c r="H22" s="69" t="s">
        <v>3349</v>
      </c>
      <c r="I22" s="15">
        <v>33</v>
      </c>
      <c r="J22" s="15">
        <v>22</v>
      </c>
      <c r="K22" s="15">
        <v>18</v>
      </c>
      <c r="L22" s="15">
        <v>7</v>
      </c>
      <c r="M22" s="73">
        <v>3.2669999999999999</v>
      </c>
      <c r="N22" s="104">
        <v>7</v>
      </c>
      <c r="O22" s="57">
        <v>7000</v>
      </c>
      <c r="P22" s="58">
        <f t="shared" si="0"/>
        <v>49000</v>
      </c>
    </row>
    <row r="23" spans="1:16" ht="30" customHeight="1" x14ac:dyDescent="0.2">
      <c r="A23" s="100"/>
      <c r="B23" s="100"/>
      <c r="C23" s="65" t="s">
        <v>3559</v>
      </c>
      <c r="D23" s="70" t="s">
        <v>57</v>
      </c>
      <c r="E23" s="12">
        <v>44548</v>
      </c>
      <c r="F23" s="68" t="s">
        <v>59</v>
      </c>
      <c r="G23" s="12">
        <v>44555</v>
      </c>
      <c r="H23" s="69" t="s">
        <v>3349</v>
      </c>
      <c r="I23" s="15">
        <v>33</v>
      </c>
      <c r="J23" s="15">
        <v>22</v>
      </c>
      <c r="K23" s="15">
        <v>18</v>
      </c>
      <c r="L23" s="15">
        <v>7</v>
      </c>
      <c r="M23" s="73">
        <v>3.2669999999999999</v>
      </c>
      <c r="N23" s="104">
        <v>7</v>
      </c>
      <c r="O23" s="57">
        <v>7000</v>
      </c>
      <c r="P23" s="58">
        <f t="shared" si="0"/>
        <v>49000</v>
      </c>
    </row>
    <row r="24" spans="1:16" ht="30" customHeight="1" x14ac:dyDescent="0.2">
      <c r="A24" s="100"/>
      <c r="B24" s="101"/>
      <c r="C24" s="65" t="s">
        <v>3560</v>
      </c>
      <c r="D24" s="70" t="s">
        <v>57</v>
      </c>
      <c r="E24" s="12">
        <v>44548</v>
      </c>
      <c r="F24" s="68" t="s">
        <v>59</v>
      </c>
      <c r="G24" s="12">
        <v>44555</v>
      </c>
      <c r="H24" s="69" t="s">
        <v>3349</v>
      </c>
      <c r="I24" s="15">
        <v>148</v>
      </c>
      <c r="J24" s="15">
        <v>64</v>
      </c>
      <c r="K24" s="15">
        <v>10</v>
      </c>
      <c r="L24" s="15">
        <v>18</v>
      </c>
      <c r="M24" s="73">
        <v>23.68</v>
      </c>
      <c r="N24" s="104">
        <v>23.68</v>
      </c>
      <c r="O24" s="57">
        <v>7000</v>
      </c>
      <c r="P24" s="58">
        <f t="shared" si="0"/>
        <v>165760</v>
      </c>
    </row>
    <row r="25" spans="1:16" ht="30" customHeight="1" x14ac:dyDescent="0.2">
      <c r="A25" s="100"/>
      <c r="B25" s="100" t="s">
        <v>3561</v>
      </c>
      <c r="C25" s="65" t="s">
        <v>3562</v>
      </c>
      <c r="D25" s="70" t="s">
        <v>57</v>
      </c>
      <c r="E25" s="12">
        <v>44548</v>
      </c>
      <c r="F25" s="68" t="s">
        <v>59</v>
      </c>
      <c r="G25" s="12">
        <v>44555</v>
      </c>
      <c r="H25" s="69" t="s">
        <v>3349</v>
      </c>
      <c r="I25" s="15">
        <v>33</v>
      </c>
      <c r="J25" s="15">
        <v>22</v>
      </c>
      <c r="K25" s="15">
        <v>18</v>
      </c>
      <c r="L25" s="15">
        <v>7</v>
      </c>
      <c r="M25" s="73">
        <v>3.2669999999999999</v>
      </c>
      <c r="N25" s="104">
        <v>7</v>
      </c>
      <c r="O25" s="57">
        <v>7000</v>
      </c>
      <c r="P25" s="58">
        <f t="shared" si="0"/>
        <v>49000</v>
      </c>
    </row>
    <row r="26" spans="1:16" ht="30" customHeight="1" x14ac:dyDescent="0.2">
      <c r="A26" s="100"/>
      <c r="B26" s="100"/>
      <c r="C26" s="65" t="s">
        <v>3563</v>
      </c>
      <c r="D26" s="70" t="s">
        <v>57</v>
      </c>
      <c r="E26" s="12">
        <v>44548</v>
      </c>
      <c r="F26" s="68" t="s">
        <v>59</v>
      </c>
      <c r="G26" s="12">
        <v>44555</v>
      </c>
      <c r="H26" s="69" t="s">
        <v>3349</v>
      </c>
      <c r="I26" s="15">
        <v>43</v>
      </c>
      <c r="J26" s="15">
        <v>24</v>
      </c>
      <c r="K26" s="15">
        <v>18</v>
      </c>
      <c r="L26" s="15">
        <v>6</v>
      </c>
      <c r="M26" s="73">
        <v>4.6440000000000001</v>
      </c>
      <c r="N26" s="104">
        <v>6</v>
      </c>
      <c r="O26" s="57">
        <v>7000</v>
      </c>
      <c r="P26" s="58">
        <f t="shared" si="0"/>
        <v>42000</v>
      </c>
    </row>
    <row r="27" spans="1:16" ht="22.5" customHeight="1" x14ac:dyDescent="0.2">
      <c r="A27" s="159" t="s">
        <v>30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M27" s="71">
        <f>SUBTOTAL(109,Table2245789101123456789101112131415161718192021222324252627282930313233343537383940414243444546474849505152535455565758[KG VOLUME])</f>
        <v>423.31824999999998</v>
      </c>
      <c r="N27" s="61">
        <f>SUM(N3:N26)</f>
        <v>461.57249999999999</v>
      </c>
      <c r="O27" s="162">
        <f>SUM(P3:P26)</f>
        <v>3231007.5</v>
      </c>
      <c r="P27" s="163"/>
    </row>
    <row r="28" spans="1:16" ht="18" customHeight="1" x14ac:dyDescent="0.2">
      <c r="A28" s="78"/>
      <c r="B28" s="49" t="s">
        <v>42</v>
      </c>
      <c r="C28" s="48"/>
      <c r="D28" s="50" t="s">
        <v>43</v>
      </c>
      <c r="E28" s="78"/>
      <c r="F28" s="78"/>
      <c r="G28" s="78"/>
      <c r="H28" s="78"/>
      <c r="I28" s="78"/>
      <c r="J28" s="78"/>
      <c r="K28" s="78"/>
      <c r="L28" s="78"/>
      <c r="M28" s="79"/>
      <c r="N28" s="80" t="s">
        <v>52</v>
      </c>
      <c r="O28" s="81"/>
      <c r="P28" s="81">
        <v>0</v>
      </c>
    </row>
    <row r="29" spans="1:16" ht="18" customHeight="1" thickBot="1" x14ac:dyDescent="0.25">
      <c r="A29" s="78"/>
      <c r="B29" s="49"/>
      <c r="C29" s="48"/>
      <c r="D29" s="50"/>
      <c r="E29" s="78"/>
      <c r="F29" s="78"/>
      <c r="G29" s="78"/>
      <c r="H29" s="78"/>
      <c r="I29" s="78"/>
      <c r="J29" s="78"/>
      <c r="K29" s="78"/>
      <c r="L29" s="78"/>
      <c r="M29" s="79"/>
      <c r="N29" s="82" t="s">
        <v>53</v>
      </c>
      <c r="O29" s="83"/>
      <c r="P29" s="83">
        <f>O27-P28</f>
        <v>3231007.5</v>
      </c>
    </row>
    <row r="30" spans="1:16" ht="18" customHeight="1" x14ac:dyDescent="0.2">
      <c r="A30" s="10"/>
      <c r="H30" s="56"/>
      <c r="N30" s="55" t="s">
        <v>31</v>
      </c>
      <c r="P30" s="62">
        <f>P29*1%</f>
        <v>32310.075000000001</v>
      </c>
    </row>
    <row r="31" spans="1:16" ht="18" customHeight="1" thickBot="1" x14ac:dyDescent="0.25">
      <c r="A31" s="10"/>
      <c r="H31" s="56"/>
      <c r="N31" s="55" t="s">
        <v>54</v>
      </c>
      <c r="P31" s="64">
        <f>P29*2%</f>
        <v>64620.15</v>
      </c>
    </row>
    <row r="32" spans="1:16" ht="18" customHeight="1" x14ac:dyDescent="0.2">
      <c r="A32" s="10"/>
      <c r="H32" s="56"/>
      <c r="N32" s="59" t="s">
        <v>32</v>
      </c>
      <c r="O32" s="60"/>
      <c r="P32" s="63">
        <f>P29+P30-P31</f>
        <v>3198697.4250000003</v>
      </c>
    </row>
    <row r="34" spans="1:16" x14ac:dyDescent="0.2">
      <c r="A34" s="10"/>
      <c r="H34" s="56"/>
      <c r="P34" s="64"/>
    </row>
    <row r="35" spans="1:16" x14ac:dyDescent="0.2">
      <c r="A35" s="10"/>
      <c r="H35" s="56"/>
      <c r="O35" s="51"/>
      <c r="P35" s="6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</sheetData>
  <mergeCells count="2">
    <mergeCell ref="A27:L27"/>
    <mergeCell ref="O27:P27"/>
  </mergeCells>
  <conditionalFormatting sqref="C3:C26">
    <cfRule type="duplicateValues" dxfId="687" priority="8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workbookViewId="0">
      <selection activeCell="N38" sqref="N3:N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406126</v>
      </c>
      <c r="B3" s="99" t="s">
        <v>3564</v>
      </c>
      <c r="C3" s="90" t="s">
        <v>3565</v>
      </c>
      <c r="D3" s="102" t="s">
        <v>57</v>
      </c>
      <c r="E3" s="91">
        <v>44549</v>
      </c>
      <c r="F3" s="102" t="s">
        <v>59</v>
      </c>
      <c r="G3" s="91">
        <v>44555</v>
      </c>
      <c r="H3" s="90" t="s">
        <v>3349</v>
      </c>
      <c r="I3" s="90">
        <v>92</v>
      </c>
      <c r="J3" s="90">
        <v>54</v>
      </c>
      <c r="K3" s="90">
        <v>20</v>
      </c>
      <c r="L3" s="90">
        <v>10</v>
      </c>
      <c r="M3" s="90">
        <v>24.84</v>
      </c>
      <c r="N3" s="104">
        <v>24.84</v>
      </c>
      <c r="O3" s="57">
        <v>7000</v>
      </c>
      <c r="P3" s="58">
        <f t="shared" ref="P3:P38" si="0">N3*O3</f>
        <v>173880</v>
      </c>
    </row>
    <row r="4" spans="1:16" ht="26.25" customHeight="1" x14ac:dyDescent="0.2">
      <c r="A4" s="100"/>
      <c r="B4" s="100"/>
      <c r="C4" s="90" t="s">
        <v>3566</v>
      </c>
      <c r="D4" s="102" t="s">
        <v>57</v>
      </c>
      <c r="E4" s="91">
        <v>44549</v>
      </c>
      <c r="F4" s="102" t="s">
        <v>59</v>
      </c>
      <c r="G4" s="91">
        <v>44555</v>
      </c>
      <c r="H4" s="90" t="s">
        <v>3349</v>
      </c>
      <c r="I4" s="90">
        <v>60</v>
      </c>
      <c r="J4" s="90">
        <v>52</v>
      </c>
      <c r="K4" s="90">
        <v>21</v>
      </c>
      <c r="L4" s="90">
        <v>6</v>
      </c>
      <c r="M4" s="90">
        <v>16.38</v>
      </c>
      <c r="N4" s="104">
        <v>17</v>
      </c>
      <c r="O4" s="57">
        <v>7000</v>
      </c>
      <c r="P4" s="58">
        <f t="shared" si="0"/>
        <v>119000</v>
      </c>
    </row>
    <row r="5" spans="1:16" ht="26.25" customHeight="1" x14ac:dyDescent="0.2">
      <c r="A5" s="100"/>
      <c r="B5" s="100"/>
      <c r="C5" s="90" t="s">
        <v>3567</v>
      </c>
      <c r="D5" s="102" t="s">
        <v>57</v>
      </c>
      <c r="E5" s="91">
        <v>44549</v>
      </c>
      <c r="F5" s="102" t="s">
        <v>59</v>
      </c>
      <c r="G5" s="91">
        <v>44555</v>
      </c>
      <c r="H5" s="90" t="s">
        <v>3349</v>
      </c>
      <c r="I5" s="90">
        <v>84</v>
      </c>
      <c r="J5" s="90">
        <v>50</v>
      </c>
      <c r="K5" s="90">
        <v>20</v>
      </c>
      <c r="L5" s="90">
        <v>10</v>
      </c>
      <c r="M5" s="90">
        <v>21</v>
      </c>
      <c r="N5" s="104">
        <v>21</v>
      </c>
      <c r="O5" s="57">
        <v>7000</v>
      </c>
      <c r="P5" s="58">
        <f t="shared" si="0"/>
        <v>147000</v>
      </c>
    </row>
    <row r="6" spans="1:16" ht="26.25" customHeight="1" x14ac:dyDescent="0.2">
      <c r="A6" s="100"/>
      <c r="B6" s="100"/>
      <c r="C6" s="90" t="s">
        <v>3568</v>
      </c>
      <c r="D6" s="102" t="s">
        <v>57</v>
      </c>
      <c r="E6" s="91">
        <v>44549</v>
      </c>
      <c r="F6" s="102" t="s">
        <v>59</v>
      </c>
      <c r="G6" s="91">
        <v>44555</v>
      </c>
      <c r="H6" s="90" t="s">
        <v>3349</v>
      </c>
      <c r="I6" s="90">
        <v>91</v>
      </c>
      <c r="J6" s="90">
        <v>54</v>
      </c>
      <c r="K6" s="90">
        <v>17</v>
      </c>
      <c r="L6" s="90">
        <v>3</v>
      </c>
      <c r="M6" s="90">
        <v>20.884499999999999</v>
      </c>
      <c r="N6" s="104">
        <v>20.884499999999999</v>
      </c>
      <c r="O6" s="57">
        <v>7000</v>
      </c>
      <c r="P6" s="58">
        <f t="shared" si="0"/>
        <v>146191.5</v>
      </c>
    </row>
    <row r="7" spans="1:16" ht="26.25" customHeight="1" x14ac:dyDescent="0.2">
      <c r="A7" s="100"/>
      <c r="B7" s="100"/>
      <c r="C7" s="65" t="s">
        <v>3569</v>
      </c>
      <c r="D7" s="70" t="s">
        <v>57</v>
      </c>
      <c r="E7" s="12">
        <v>44549</v>
      </c>
      <c r="F7" s="68" t="s">
        <v>59</v>
      </c>
      <c r="G7" s="12">
        <v>44555</v>
      </c>
      <c r="H7" s="69" t="s">
        <v>3349</v>
      </c>
      <c r="I7" s="15">
        <v>92</v>
      </c>
      <c r="J7" s="15">
        <v>53</v>
      </c>
      <c r="K7" s="15">
        <v>19</v>
      </c>
      <c r="L7" s="15">
        <v>5</v>
      </c>
      <c r="M7" s="73">
        <v>23.161000000000001</v>
      </c>
      <c r="N7" s="104">
        <v>23.161000000000001</v>
      </c>
      <c r="O7" s="57">
        <v>7000</v>
      </c>
      <c r="P7" s="58">
        <f t="shared" si="0"/>
        <v>162127</v>
      </c>
    </row>
    <row r="8" spans="1:16" ht="26.25" customHeight="1" x14ac:dyDescent="0.2">
      <c r="A8" s="100"/>
      <c r="B8" s="100"/>
      <c r="C8" s="65" t="s">
        <v>3570</v>
      </c>
      <c r="D8" s="70" t="s">
        <v>57</v>
      </c>
      <c r="E8" s="12">
        <v>44549</v>
      </c>
      <c r="F8" s="68" t="s">
        <v>59</v>
      </c>
      <c r="G8" s="12">
        <v>44555</v>
      </c>
      <c r="H8" s="69" t="s">
        <v>3349</v>
      </c>
      <c r="I8" s="15">
        <v>95</v>
      </c>
      <c r="J8" s="15">
        <v>60</v>
      </c>
      <c r="K8" s="15">
        <v>23</v>
      </c>
      <c r="L8" s="15">
        <v>17</v>
      </c>
      <c r="M8" s="73">
        <v>32.774999999999999</v>
      </c>
      <c r="N8" s="104">
        <v>32.774999999999999</v>
      </c>
      <c r="O8" s="57">
        <v>7000</v>
      </c>
      <c r="P8" s="58">
        <f t="shared" si="0"/>
        <v>229425</v>
      </c>
    </row>
    <row r="9" spans="1:16" ht="26.25" customHeight="1" x14ac:dyDescent="0.2">
      <c r="A9" s="100"/>
      <c r="B9" s="100"/>
      <c r="C9" s="65" t="s">
        <v>3571</v>
      </c>
      <c r="D9" s="70" t="s">
        <v>57</v>
      </c>
      <c r="E9" s="12">
        <v>44549</v>
      </c>
      <c r="F9" s="68" t="s">
        <v>59</v>
      </c>
      <c r="G9" s="12">
        <v>44555</v>
      </c>
      <c r="H9" s="69" t="s">
        <v>3349</v>
      </c>
      <c r="I9" s="15">
        <v>50</v>
      </c>
      <c r="J9" s="15">
        <v>40</v>
      </c>
      <c r="K9" s="15">
        <v>14</v>
      </c>
      <c r="L9" s="15">
        <v>2</v>
      </c>
      <c r="M9" s="73">
        <v>7</v>
      </c>
      <c r="N9" s="104">
        <v>7</v>
      </c>
      <c r="O9" s="57">
        <v>7000</v>
      </c>
      <c r="P9" s="58">
        <f t="shared" si="0"/>
        <v>49000</v>
      </c>
    </row>
    <row r="10" spans="1:16" ht="26.25" customHeight="1" x14ac:dyDescent="0.2">
      <c r="A10" s="100"/>
      <c r="B10" s="100"/>
      <c r="C10" s="65" t="s">
        <v>3572</v>
      </c>
      <c r="D10" s="70" t="s">
        <v>57</v>
      </c>
      <c r="E10" s="12">
        <v>44549</v>
      </c>
      <c r="F10" s="68" t="s">
        <v>59</v>
      </c>
      <c r="G10" s="12">
        <v>44555</v>
      </c>
      <c r="H10" s="69" t="s">
        <v>3349</v>
      </c>
      <c r="I10" s="15">
        <v>95</v>
      </c>
      <c r="J10" s="15">
        <v>55</v>
      </c>
      <c r="K10" s="15">
        <v>22</v>
      </c>
      <c r="L10" s="15">
        <v>14</v>
      </c>
      <c r="M10" s="73">
        <v>28.737500000000001</v>
      </c>
      <c r="N10" s="104">
        <v>28.737500000000001</v>
      </c>
      <c r="O10" s="57">
        <v>7000</v>
      </c>
      <c r="P10" s="58">
        <f t="shared" si="0"/>
        <v>201162.5</v>
      </c>
    </row>
    <row r="11" spans="1:16" ht="26.25" customHeight="1" x14ac:dyDescent="0.2">
      <c r="A11" s="100"/>
      <c r="B11" s="100"/>
      <c r="C11" s="65" t="s">
        <v>3573</v>
      </c>
      <c r="D11" s="70" t="s">
        <v>57</v>
      </c>
      <c r="E11" s="12">
        <v>44549</v>
      </c>
      <c r="F11" s="68" t="s">
        <v>59</v>
      </c>
      <c r="G11" s="12">
        <v>44555</v>
      </c>
      <c r="H11" s="69" t="s">
        <v>3349</v>
      </c>
      <c r="I11" s="15">
        <v>40</v>
      </c>
      <c r="J11" s="15">
        <v>32</v>
      </c>
      <c r="K11" s="15">
        <v>12</v>
      </c>
      <c r="L11" s="15">
        <v>2</v>
      </c>
      <c r="M11" s="73">
        <v>3.84</v>
      </c>
      <c r="N11" s="104">
        <v>3.84</v>
      </c>
      <c r="O11" s="57">
        <v>7000</v>
      </c>
      <c r="P11" s="58">
        <f t="shared" si="0"/>
        <v>26880</v>
      </c>
    </row>
    <row r="12" spans="1:16" ht="26.25" customHeight="1" x14ac:dyDescent="0.2">
      <c r="A12" s="100"/>
      <c r="B12" s="100"/>
      <c r="C12" s="65" t="s">
        <v>3574</v>
      </c>
      <c r="D12" s="70" t="s">
        <v>57</v>
      </c>
      <c r="E12" s="12">
        <v>44549</v>
      </c>
      <c r="F12" s="68" t="s">
        <v>59</v>
      </c>
      <c r="G12" s="12">
        <v>44555</v>
      </c>
      <c r="H12" s="69" t="s">
        <v>3349</v>
      </c>
      <c r="I12" s="15">
        <v>81</v>
      </c>
      <c r="J12" s="15">
        <v>55</v>
      </c>
      <c r="K12" s="15">
        <v>21</v>
      </c>
      <c r="L12" s="15">
        <v>10</v>
      </c>
      <c r="M12" s="73">
        <v>23.388750000000002</v>
      </c>
      <c r="N12" s="104">
        <v>24</v>
      </c>
      <c r="O12" s="57">
        <v>7000</v>
      </c>
      <c r="P12" s="58">
        <f t="shared" si="0"/>
        <v>168000</v>
      </c>
    </row>
    <row r="13" spans="1:16" ht="26.25" customHeight="1" x14ac:dyDescent="0.2">
      <c r="A13" s="100"/>
      <c r="B13" s="100"/>
      <c r="C13" s="65" t="s">
        <v>3575</v>
      </c>
      <c r="D13" s="70" t="s">
        <v>57</v>
      </c>
      <c r="E13" s="12">
        <v>44549</v>
      </c>
      <c r="F13" s="68" t="s">
        <v>59</v>
      </c>
      <c r="G13" s="12">
        <v>44555</v>
      </c>
      <c r="H13" s="69" t="s">
        <v>3349</v>
      </c>
      <c r="I13" s="15">
        <v>70</v>
      </c>
      <c r="J13" s="15">
        <v>55</v>
      </c>
      <c r="K13" s="15">
        <v>12</v>
      </c>
      <c r="L13" s="15">
        <v>5</v>
      </c>
      <c r="M13" s="73">
        <v>11.55</v>
      </c>
      <c r="N13" s="104">
        <v>11.55</v>
      </c>
      <c r="O13" s="57">
        <v>7000</v>
      </c>
      <c r="P13" s="58">
        <f t="shared" si="0"/>
        <v>80850</v>
      </c>
    </row>
    <row r="14" spans="1:16" ht="26.25" customHeight="1" x14ac:dyDescent="0.2">
      <c r="A14" s="100"/>
      <c r="B14" s="100"/>
      <c r="C14" s="65" t="s">
        <v>3576</v>
      </c>
      <c r="D14" s="70" t="s">
        <v>57</v>
      </c>
      <c r="E14" s="12">
        <v>44549</v>
      </c>
      <c r="F14" s="68" t="s">
        <v>59</v>
      </c>
      <c r="G14" s="12">
        <v>44555</v>
      </c>
      <c r="H14" s="69" t="s">
        <v>3349</v>
      </c>
      <c r="I14" s="15">
        <v>50</v>
      </c>
      <c r="J14" s="15">
        <v>35</v>
      </c>
      <c r="K14" s="15">
        <v>10</v>
      </c>
      <c r="L14" s="15">
        <v>2</v>
      </c>
      <c r="M14" s="73">
        <v>4.375</v>
      </c>
      <c r="N14" s="104">
        <v>5</v>
      </c>
      <c r="O14" s="57">
        <v>7000</v>
      </c>
      <c r="P14" s="58">
        <f t="shared" si="0"/>
        <v>35000</v>
      </c>
    </row>
    <row r="15" spans="1:16" ht="26.25" customHeight="1" x14ac:dyDescent="0.2">
      <c r="A15" s="100"/>
      <c r="B15" s="100"/>
      <c r="C15" s="65" t="s">
        <v>3577</v>
      </c>
      <c r="D15" s="70" t="s">
        <v>57</v>
      </c>
      <c r="E15" s="12">
        <v>44549</v>
      </c>
      <c r="F15" s="68" t="s">
        <v>59</v>
      </c>
      <c r="G15" s="12">
        <v>44555</v>
      </c>
      <c r="H15" s="69" t="s">
        <v>3349</v>
      </c>
      <c r="I15" s="15">
        <v>600</v>
      </c>
      <c r="J15" s="15">
        <v>40</v>
      </c>
      <c r="K15" s="15">
        <v>13</v>
      </c>
      <c r="L15" s="15">
        <v>4</v>
      </c>
      <c r="M15" s="73">
        <v>78</v>
      </c>
      <c r="N15" s="104">
        <v>78</v>
      </c>
      <c r="O15" s="57">
        <v>7000</v>
      </c>
      <c r="P15" s="58">
        <f t="shared" si="0"/>
        <v>546000</v>
      </c>
    </row>
    <row r="16" spans="1:16" ht="26.25" customHeight="1" x14ac:dyDescent="0.2">
      <c r="A16" s="100"/>
      <c r="B16" s="100"/>
      <c r="C16" s="65" t="s">
        <v>3578</v>
      </c>
      <c r="D16" s="70" t="s">
        <v>57</v>
      </c>
      <c r="E16" s="12">
        <v>44549</v>
      </c>
      <c r="F16" s="68" t="s">
        <v>59</v>
      </c>
      <c r="G16" s="12">
        <v>44555</v>
      </c>
      <c r="H16" s="69" t="s">
        <v>3349</v>
      </c>
      <c r="I16" s="15">
        <v>92</v>
      </c>
      <c r="J16" s="15">
        <v>60</v>
      </c>
      <c r="K16" s="15">
        <v>17</v>
      </c>
      <c r="L16" s="15">
        <v>7</v>
      </c>
      <c r="M16" s="73">
        <v>23.46</v>
      </c>
      <c r="N16" s="104">
        <v>24</v>
      </c>
      <c r="O16" s="57">
        <v>7000</v>
      </c>
      <c r="P16" s="58">
        <f t="shared" si="0"/>
        <v>168000</v>
      </c>
    </row>
    <row r="17" spans="1:16" ht="26.25" customHeight="1" x14ac:dyDescent="0.2">
      <c r="A17" s="100"/>
      <c r="B17" s="100"/>
      <c r="C17" s="65" t="s">
        <v>3579</v>
      </c>
      <c r="D17" s="70" t="s">
        <v>57</v>
      </c>
      <c r="E17" s="12">
        <v>44549</v>
      </c>
      <c r="F17" s="68" t="s">
        <v>59</v>
      </c>
      <c r="G17" s="12">
        <v>44555</v>
      </c>
      <c r="H17" s="69" t="s">
        <v>3349</v>
      </c>
      <c r="I17" s="15">
        <v>95</v>
      </c>
      <c r="J17" s="15">
        <v>62</v>
      </c>
      <c r="K17" s="15">
        <v>22</v>
      </c>
      <c r="L17" s="15">
        <v>18</v>
      </c>
      <c r="M17" s="73">
        <v>32.395000000000003</v>
      </c>
      <c r="N17" s="104">
        <v>33</v>
      </c>
      <c r="O17" s="57">
        <v>7000</v>
      </c>
      <c r="P17" s="58">
        <f t="shared" si="0"/>
        <v>231000</v>
      </c>
    </row>
    <row r="18" spans="1:16" ht="26.25" customHeight="1" x14ac:dyDescent="0.2">
      <c r="A18" s="100"/>
      <c r="B18" s="100"/>
      <c r="C18" s="65" t="s">
        <v>3580</v>
      </c>
      <c r="D18" s="70" t="s">
        <v>57</v>
      </c>
      <c r="E18" s="12">
        <v>44549</v>
      </c>
      <c r="F18" s="68" t="s">
        <v>59</v>
      </c>
      <c r="G18" s="12">
        <v>44555</v>
      </c>
      <c r="H18" s="69" t="s">
        <v>3349</v>
      </c>
      <c r="I18" s="15">
        <v>95</v>
      </c>
      <c r="J18" s="15">
        <v>55</v>
      </c>
      <c r="K18" s="15">
        <v>18</v>
      </c>
      <c r="L18" s="15">
        <v>18</v>
      </c>
      <c r="M18" s="73">
        <v>23.512499999999999</v>
      </c>
      <c r="N18" s="104">
        <v>23.512499999999999</v>
      </c>
      <c r="O18" s="57">
        <v>7000</v>
      </c>
      <c r="P18" s="58">
        <f t="shared" si="0"/>
        <v>164587.5</v>
      </c>
    </row>
    <row r="19" spans="1:16" ht="26.25" customHeight="1" x14ac:dyDescent="0.2">
      <c r="A19" s="100"/>
      <c r="B19" s="100"/>
      <c r="C19" s="65" t="s">
        <v>3581</v>
      </c>
      <c r="D19" s="70" t="s">
        <v>57</v>
      </c>
      <c r="E19" s="12">
        <v>44549</v>
      </c>
      <c r="F19" s="68" t="s">
        <v>59</v>
      </c>
      <c r="G19" s="12">
        <v>44555</v>
      </c>
      <c r="H19" s="69" t="s">
        <v>3349</v>
      </c>
      <c r="I19" s="15">
        <v>50</v>
      </c>
      <c r="J19" s="15">
        <v>34</v>
      </c>
      <c r="K19" s="15">
        <v>14</v>
      </c>
      <c r="L19" s="15">
        <v>7</v>
      </c>
      <c r="M19" s="73">
        <v>5.95</v>
      </c>
      <c r="N19" s="104">
        <v>7</v>
      </c>
      <c r="O19" s="57">
        <v>7000</v>
      </c>
      <c r="P19" s="58">
        <f t="shared" si="0"/>
        <v>49000</v>
      </c>
    </row>
    <row r="20" spans="1:16" ht="26.25" customHeight="1" x14ac:dyDescent="0.2">
      <c r="A20" s="100"/>
      <c r="B20" s="100"/>
      <c r="C20" s="65" t="s">
        <v>3582</v>
      </c>
      <c r="D20" s="70" t="s">
        <v>57</v>
      </c>
      <c r="E20" s="12">
        <v>44549</v>
      </c>
      <c r="F20" s="68" t="s">
        <v>59</v>
      </c>
      <c r="G20" s="12">
        <v>44555</v>
      </c>
      <c r="H20" s="69" t="s">
        <v>3349</v>
      </c>
      <c r="I20" s="15">
        <v>70</v>
      </c>
      <c r="J20" s="15">
        <v>55</v>
      </c>
      <c r="K20" s="15">
        <v>10</v>
      </c>
      <c r="L20" s="15">
        <v>4</v>
      </c>
      <c r="M20" s="73">
        <v>9.625</v>
      </c>
      <c r="N20" s="104">
        <v>9.625</v>
      </c>
      <c r="O20" s="57">
        <v>7000</v>
      </c>
      <c r="P20" s="58">
        <f t="shared" si="0"/>
        <v>67375</v>
      </c>
    </row>
    <row r="21" spans="1:16" ht="26.25" customHeight="1" x14ac:dyDescent="0.2">
      <c r="A21" s="100"/>
      <c r="B21" s="100"/>
      <c r="C21" s="65" t="s">
        <v>3583</v>
      </c>
      <c r="D21" s="70" t="s">
        <v>57</v>
      </c>
      <c r="E21" s="12">
        <v>44549</v>
      </c>
      <c r="F21" s="68" t="s">
        <v>59</v>
      </c>
      <c r="G21" s="12">
        <v>44555</v>
      </c>
      <c r="H21" s="69" t="s">
        <v>3349</v>
      </c>
      <c r="I21" s="15">
        <v>50</v>
      </c>
      <c r="J21" s="15">
        <v>40</v>
      </c>
      <c r="K21" s="15">
        <v>15</v>
      </c>
      <c r="L21" s="15">
        <v>1</v>
      </c>
      <c r="M21" s="73">
        <v>7.5</v>
      </c>
      <c r="N21" s="104">
        <v>9</v>
      </c>
      <c r="O21" s="57">
        <v>7000</v>
      </c>
      <c r="P21" s="58">
        <f t="shared" si="0"/>
        <v>63000</v>
      </c>
    </row>
    <row r="22" spans="1:16" ht="26.25" customHeight="1" x14ac:dyDescent="0.2">
      <c r="A22" s="100"/>
      <c r="B22" s="100"/>
      <c r="C22" s="65" t="s">
        <v>3584</v>
      </c>
      <c r="D22" s="70" t="s">
        <v>57</v>
      </c>
      <c r="E22" s="12">
        <v>44549</v>
      </c>
      <c r="F22" s="68" t="s">
        <v>59</v>
      </c>
      <c r="G22" s="12">
        <v>44555</v>
      </c>
      <c r="H22" s="69" t="s">
        <v>3349</v>
      </c>
      <c r="I22" s="15">
        <v>92</v>
      </c>
      <c r="J22" s="15">
        <v>54</v>
      </c>
      <c r="K22" s="15">
        <v>14</v>
      </c>
      <c r="L22" s="15">
        <v>8</v>
      </c>
      <c r="M22" s="73">
        <v>17.388000000000002</v>
      </c>
      <c r="N22" s="104">
        <v>18</v>
      </c>
      <c r="O22" s="57">
        <v>7000</v>
      </c>
      <c r="P22" s="58">
        <f t="shared" si="0"/>
        <v>126000</v>
      </c>
    </row>
    <row r="23" spans="1:16" ht="26.25" customHeight="1" x14ac:dyDescent="0.2">
      <c r="A23" s="100"/>
      <c r="B23" s="100"/>
      <c r="C23" s="65" t="s">
        <v>3585</v>
      </c>
      <c r="D23" s="70" t="s">
        <v>57</v>
      </c>
      <c r="E23" s="12">
        <v>44549</v>
      </c>
      <c r="F23" s="68" t="s">
        <v>59</v>
      </c>
      <c r="G23" s="12">
        <v>44555</v>
      </c>
      <c r="H23" s="69" t="s">
        <v>3349</v>
      </c>
      <c r="I23" s="15">
        <v>110</v>
      </c>
      <c r="J23" s="15">
        <v>52</v>
      </c>
      <c r="K23" s="15">
        <v>31</v>
      </c>
      <c r="L23" s="15">
        <v>33</v>
      </c>
      <c r="M23" s="73">
        <v>44.33</v>
      </c>
      <c r="N23" s="104">
        <v>45</v>
      </c>
      <c r="O23" s="57">
        <v>7000</v>
      </c>
      <c r="P23" s="58">
        <f t="shared" si="0"/>
        <v>315000</v>
      </c>
    </row>
    <row r="24" spans="1:16" ht="26.25" customHeight="1" x14ac:dyDescent="0.2">
      <c r="A24" s="100"/>
      <c r="B24" s="100"/>
      <c r="C24" s="65" t="s">
        <v>3586</v>
      </c>
      <c r="D24" s="70" t="s">
        <v>57</v>
      </c>
      <c r="E24" s="12">
        <v>44549</v>
      </c>
      <c r="F24" s="68" t="s">
        <v>59</v>
      </c>
      <c r="G24" s="12">
        <v>44555</v>
      </c>
      <c r="H24" s="69" t="s">
        <v>3349</v>
      </c>
      <c r="I24" s="15">
        <v>40</v>
      </c>
      <c r="J24" s="15">
        <v>40</v>
      </c>
      <c r="K24" s="15">
        <v>11</v>
      </c>
      <c r="L24" s="15">
        <v>1</v>
      </c>
      <c r="M24" s="73">
        <v>4.4000000000000004</v>
      </c>
      <c r="N24" s="104">
        <v>5</v>
      </c>
      <c r="O24" s="57">
        <v>7000</v>
      </c>
      <c r="P24" s="58">
        <f t="shared" si="0"/>
        <v>35000</v>
      </c>
    </row>
    <row r="25" spans="1:16" ht="26.25" customHeight="1" x14ac:dyDescent="0.2">
      <c r="A25" s="100"/>
      <c r="B25" s="100"/>
      <c r="C25" s="65" t="s">
        <v>3587</v>
      </c>
      <c r="D25" s="70" t="s">
        <v>57</v>
      </c>
      <c r="E25" s="12">
        <v>44549</v>
      </c>
      <c r="F25" s="68" t="s">
        <v>59</v>
      </c>
      <c r="G25" s="12">
        <v>44555</v>
      </c>
      <c r="H25" s="69" t="s">
        <v>3349</v>
      </c>
      <c r="I25" s="15">
        <v>100</v>
      </c>
      <c r="J25" s="15">
        <v>65</v>
      </c>
      <c r="K25" s="15">
        <v>27</v>
      </c>
      <c r="L25" s="15">
        <v>14</v>
      </c>
      <c r="M25" s="73">
        <v>43.875</v>
      </c>
      <c r="N25" s="104">
        <v>43.875</v>
      </c>
      <c r="O25" s="57">
        <v>7000</v>
      </c>
      <c r="P25" s="58">
        <f t="shared" si="0"/>
        <v>307125</v>
      </c>
    </row>
    <row r="26" spans="1:16" ht="26.25" customHeight="1" x14ac:dyDescent="0.2">
      <c r="A26" s="100"/>
      <c r="B26" s="100"/>
      <c r="C26" s="65" t="s">
        <v>3588</v>
      </c>
      <c r="D26" s="70" t="s">
        <v>57</v>
      </c>
      <c r="E26" s="12">
        <v>44549</v>
      </c>
      <c r="F26" s="68" t="s">
        <v>59</v>
      </c>
      <c r="G26" s="12">
        <v>44555</v>
      </c>
      <c r="H26" s="69" t="s">
        <v>3349</v>
      </c>
      <c r="I26" s="15">
        <v>84</v>
      </c>
      <c r="J26" s="15">
        <v>10</v>
      </c>
      <c r="K26" s="15">
        <v>10</v>
      </c>
      <c r="L26" s="15">
        <v>1</v>
      </c>
      <c r="M26" s="73">
        <v>2.1</v>
      </c>
      <c r="N26" s="104">
        <v>2.1</v>
      </c>
      <c r="O26" s="57">
        <v>7000</v>
      </c>
      <c r="P26" s="58">
        <f t="shared" si="0"/>
        <v>14700</v>
      </c>
    </row>
    <row r="27" spans="1:16" ht="26.25" customHeight="1" x14ac:dyDescent="0.2">
      <c r="A27" s="100"/>
      <c r="B27" s="100"/>
      <c r="C27" s="65" t="s">
        <v>3589</v>
      </c>
      <c r="D27" s="70" t="s">
        <v>57</v>
      </c>
      <c r="E27" s="12">
        <v>44549</v>
      </c>
      <c r="F27" s="68" t="s">
        <v>59</v>
      </c>
      <c r="G27" s="12">
        <v>44555</v>
      </c>
      <c r="H27" s="69" t="s">
        <v>3349</v>
      </c>
      <c r="I27" s="15">
        <v>110</v>
      </c>
      <c r="J27" s="15">
        <v>50</v>
      </c>
      <c r="K27" s="15">
        <v>22</v>
      </c>
      <c r="L27" s="15">
        <v>11</v>
      </c>
      <c r="M27" s="73">
        <v>30.25</v>
      </c>
      <c r="N27" s="104">
        <v>30.25</v>
      </c>
      <c r="O27" s="57">
        <v>7000</v>
      </c>
      <c r="P27" s="58">
        <f t="shared" si="0"/>
        <v>211750</v>
      </c>
    </row>
    <row r="28" spans="1:16" ht="26.25" customHeight="1" x14ac:dyDescent="0.2">
      <c r="A28" s="100"/>
      <c r="B28" s="100"/>
      <c r="C28" s="65" t="s">
        <v>3590</v>
      </c>
      <c r="D28" s="70" t="s">
        <v>57</v>
      </c>
      <c r="E28" s="12">
        <v>44549</v>
      </c>
      <c r="F28" s="68" t="s">
        <v>59</v>
      </c>
      <c r="G28" s="12">
        <v>44555</v>
      </c>
      <c r="H28" s="69" t="s">
        <v>3349</v>
      </c>
      <c r="I28" s="15">
        <v>64</v>
      </c>
      <c r="J28" s="15">
        <v>42</v>
      </c>
      <c r="K28" s="15">
        <v>14</v>
      </c>
      <c r="L28" s="15">
        <v>4</v>
      </c>
      <c r="M28" s="73">
        <v>9.4079999999999995</v>
      </c>
      <c r="N28" s="104">
        <v>10</v>
      </c>
      <c r="O28" s="57">
        <v>7000</v>
      </c>
      <c r="P28" s="58">
        <f t="shared" si="0"/>
        <v>70000</v>
      </c>
    </row>
    <row r="29" spans="1:16" ht="26.25" customHeight="1" x14ac:dyDescent="0.2">
      <c r="A29" s="100"/>
      <c r="B29" s="100"/>
      <c r="C29" s="65" t="s">
        <v>3591</v>
      </c>
      <c r="D29" s="70" t="s">
        <v>57</v>
      </c>
      <c r="E29" s="12">
        <v>44549</v>
      </c>
      <c r="F29" s="68" t="s">
        <v>59</v>
      </c>
      <c r="G29" s="12">
        <v>44555</v>
      </c>
      <c r="H29" s="69" t="s">
        <v>3349</v>
      </c>
      <c r="I29" s="15">
        <v>90</v>
      </c>
      <c r="J29" s="15">
        <v>55</v>
      </c>
      <c r="K29" s="15">
        <v>22</v>
      </c>
      <c r="L29" s="15">
        <v>7</v>
      </c>
      <c r="M29" s="73">
        <v>27.225000000000001</v>
      </c>
      <c r="N29" s="104">
        <v>27.225000000000001</v>
      </c>
      <c r="O29" s="57">
        <v>7000</v>
      </c>
      <c r="P29" s="58">
        <f t="shared" si="0"/>
        <v>190575</v>
      </c>
    </row>
    <row r="30" spans="1:16" ht="26.25" customHeight="1" x14ac:dyDescent="0.2">
      <c r="A30" s="100"/>
      <c r="B30" s="100"/>
      <c r="C30" s="65" t="s">
        <v>3592</v>
      </c>
      <c r="D30" s="70" t="s">
        <v>57</v>
      </c>
      <c r="E30" s="12">
        <v>44549</v>
      </c>
      <c r="F30" s="68" t="s">
        <v>59</v>
      </c>
      <c r="G30" s="12">
        <v>44555</v>
      </c>
      <c r="H30" s="69" t="s">
        <v>3349</v>
      </c>
      <c r="I30" s="15">
        <v>30</v>
      </c>
      <c r="J30" s="15">
        <v>35</v>
      </c>
      <c r="K30" s="15">
        <v>14</v>
      </c>
      <c r="L30" s="15">
        <v>1</v>
      </c>
      <c r="M30" s="73">
        <v>3.6749999999999998</v>
      </c>
      <c r="N30" s="104">
        <v>3.6749999999999998</v>
      </c>
      <c r="O30" s="57">
        <v>7000</v>
      </c>
      <c r="P30" s="58">
        <f t="shared" si="0"/>
        <v>25725</v>
      </c>
    </row>
    <row r="31" spans="1:16" ht="26.25" customHeight="1" x14ac:dyDescent="0.2">
      <c r="A31" s="100"/>
      <c r="B31" s="100"/>
      <c r="C31" s="65" t="s">
        <v>3593</v>
      </c>
      <c r="D31" s="70" t="s">
        <v>57</v>
      </c>
      <c r="E31" s="12">
        <v>44549</v>
      </c>
      <c r="F31" s="68" t="s">
        <v>59</v>
      </c>
      <c r="G31" s="12">
        <v>44555</v>
      </c>
      <c r="H31" s="69" t="s">
        <v>3349</v>
      </c>
      <c r="I31" s="15">
        <v>99</v>
      </c>
      <c r="J31" s="15">
        <v>50</v>
      </c>
      <c r="K31" s="15">
        <v>22</v>
      </c>
      <c r="L31" s="15">
        <v>4</v>
      </c>
      <c r="M31" s="73">
        <v>27.225000000000001</v>
      </c>
      <c r="N31" s="104">
        <v>27.225000000000001</v>
      </c>
      <c r="O31" s="57">
        <v>7000</v>
      </c>
      <c r="P31" s="58">
        <f t="shared" si="0"/>
        <v>190575</v>
      </c>
    </row>
    <row r="32" spans="1:16" ht="26.25" customHeight="1" x14ac:dyDescent="0.2">
      <c r="A32" s="100"/>
      <c r="B32" s="100"/>
      <c r="C32" s="65" t="s">
        <v>3594</v>
      </c>
      <c r="D32" s="70" t="s">
        <v>57</v>
      </c>
      <c r="E32" s="12">
        <v>44549</v>
      </c>
      <c r="F32" s="68" t="s">
        <v>59</v>
      </c>
      <c r="G32" s="12">
        <v>44555</v>
      </c>
      <c r="H32" s="69" t="s">
        <v>3349</v>
      </c>
      <c r="I32" s="15">
        <v>75</v>
      </c>
      <c r="J32" s="15">
        <v>45</v>
      </c>
      <c r="K32" s="15">
        <v>24</v>
      </c>
      <c r="L32" s="15">
        <v>1</v>
      </c>
      <c r="M32" s="73">
        <v>20.25</v>
      </c>
      <c r="N32" s="104">
        <v>20.25</v>
      </c>
      <c r="O32" s="57">
        <v>7000</v>
      </c>
      <c r="P32" s="58">
        <f t="shared" si="0"/>
        <v>141750</v>
      </c>
    </row>
    <row r="33" spans="1:16" ht="26.25" customHeight="1" x14ac:dyDescent="0.2">
      <c r="A33" s="100"/>
      <c r="B33" s="100"/>
      <c r="C33" s="65" t="s">
        <v>3595</v>
      </c>
      <c r="D33" s="70" t="s">
        <v>57</v>
      </c>
      <c r="E33" s="12">
        <v>44549</v>
      </c>
      <c r="F33" s="68" t="s">
        <v>59</v>
      </c>
      <c r="G33" s="12">
        <v>44555</v>
      </c>
      <c r="H33" s="69" t="s">
        <v>3349</v>
      </c>
      <c r="I33" s="15">
        <v>125</v>
      </c>
      <c r="J33" s="15">
        <v>16</v>
      </c>
      <c r="K33" s="15">
        <v>12</v>
      </c>
      <c r="L33" s="15">
        <v>5</v>
      </c>
      <c r="M33" s="73">
        <v>6</v>
      </c>
      <c r="N33" s="104">
        <v>6</v>
      </c>
      <c r="O33" s="57">
        <v>7000</v>
      </c>
      <c r="P33" s="58">
        <f t="shared" si="0"/>
        <v>42000</v>
      </c>
    </row>
    <row r="34" spans="1:16" ht="26.25" customHeight="1" x14ac:dyDescent="0.2">
      <c r="A34" s="100"/>
      <c r="B34" s="100"/>
      <c r="C34" s="65" t="s">
        <v>3596</v>
      </c>
      <c r="D34" s="70" t="s">
        <v>57</v>
      </c>
      <c r="E34" s="12">
        <v>44549</v>
      </c>
      <c r="F34" s="68" t="s">
        <v>59</v>
      </c>
      <c r="G34" s="12">
        <v>44555</v>
      </c>
      <c r="H34" s="69" t="s">
        <v>3349</v>
      </c>
      <c r="I34" s="15">
        <v>85</v>
      </c>
      <c r="J34" s="15">
        <v>53</v>
      </c>
      <c r="K34" s="15">
        <v>14</v>
      </c>
      <c r="L34" s="15">
        <v>7</v>
      </c>
      <c r="M34" s="73">
        <v>15.7675</v>
      </c>
      <c r="N34" s="104">
        <v>15.7675</v>
      </c>
      <c r="O34" s="57">
        <v>7000</v>
      </c>
      <c r="P34" s="58">
        <f t="shared" si="0"/>
        <v>110372.5</v>
      </c>
    </row>
    <row r="35" spans="1:16" ht="26.25" customHeight="1" x14ac:dyDescent="0.2">
      <c r="A35" s="100"/>
      <c r="B35" s="100"/>
      <c r="C35" s="65" t="s">
        <v>3597</v>
      </c>
      <c r="D35" s="70" t="s">
        <v>57</v>
      </c>
      <c r="E35" s="12">
        <v>44549</v>
      </c>
      <c r="F35" s="68" t="s">
        <v>59</v>
      </c>
      <c r="G35" s="12">
        <v>44555</v>
      </c>
      <c r="H35" s="69" t="s">
        <v>3349</v>
      </c>
      <c r="I35" s="15">
        <v>90</v>
      </c>
      <c r="J35" s="15">
        <v>59</v>
      </c>
      <c r="K35" s="15">
        <v>22</v>
      </c>
      <c r="L35" s="15">
        <v>13</v>
      </c>
      <c r="M35" s="73">
        <v>29.204999999999998</v>
      </c>
      <c r="N35" s="104">
        <v>29.204999999999998</v>
      </c>
      <c r="O35" s="57">
        <v>7000</v>
      </c>
      <c r="P35" s="58">
        <f t="shared" si="0"/>
        <v>204435</v>
      </c>
    </row>
    <row r="36" spans="1:16" ht="26.25" customHeight="1" x14ac:dyDescent="0.2">
      <c r="A36" s="100"/>
      <c r="B36" s="100"/>
      <c r="C36" s="65" t="s">
        <v>3598</v>
      </c>
      <c r="D36" s="70" t="s">
        <v>57</v>
      </c>
      <c r="E36" s="12">
        <v>44549</v>
      </c>
      <c r="F36" s="68" t="s">
        <v>59</v>
      </c>
      <c r="G36" s="12">
        <v>44555</v>
      </c>
      <c r="H36" s="69" t="s">
        <v>3349</v>
      </c>
      <c r="I36" s="15">
        <v>45</v>
      </c>
      <c r="J36" s="15">
        <v>37</v>
      </c>
      <c r="K36" s="15">
        <v>12</v>
      </c>
      <c r="L36" s="15">
        <v>2</v>
      </c>
      <c r="M36" s="73">
        <v>4.9950000000000001</v>
      </c>
      <c r="N36" s="104">
        <v>4.9950000000000001</v>
      </c>
      <c r="O36" s="57">
        <v>7000</v>
      </c>
      <c r="P36" s="58">
        <f t="shared" si="0"/>
        <v>34965</v>
      </c>
    </row>
    <row r="37" spans="1:16" ht="26.25" customHeight="1" x14ac:dyDescent="0.2">
      <c r="A37" s="100"/>
      <c r="B37" s="101"/>
      <c r="C37" s="65" t="s">
        <v>3599</v>
      </c>
      <c r="D37" s="70" t="s">
        <v>57</v>
      </c>
      <c r="E37" s="12">
        <v>44549</v>
      </c>
      <c r="F37" s="68" t="s">
        <v>59</v>
      </c>
      <c r="G37" s="12">
        <v>44555</v>
      </c>
      <c r="H37" s="69" t="s">
        <v>3349</v>
      </c>
      <c r="I37" s="15">
        <v>105</v>
      </c>
      <c r="J37" s="15">
        <v>63</v>
      </c>
      <c r="K37" s="15">
        <v>25</v>
      </c>
      <c r="L37" s="15">
        <v>23</v>
      </c>
      <c r="M37" s="73">
        <v>41.34375</v>
      </c>
      <c r="N37" s="104">
        <v>42</v>
      </c>
      <c r="O37" s="57">
        <v>7000</v>
      </c>
      <c r="P37" s="58">
        <f t="shared" si="0"/>
        <v>294000</v>
      </c>
    </row>
    <row r="38" spans="1:16" ht="26.25" customHeight="1" x14ac:dyDescent="0.2">
      <c r="A38" s="100"/>
      <c r="B38" s="100" t="s">
        <v>3600</v>
      </c>
      <c r="C38" s="65" t="s">
        <v>3601</v>
      </c>
      <c r="D38" s="70" t="s">
        <v>57</v>
      </c>
      <c r="E38" s="12">
        <v>44549</v>
      </c>
      <c r="F38" s="68" t="s">
        <v>59</v>
      </c>
      <c r="G38" s="12">
        <v>44555</v>
      </c>
      <c r="H38" s="69" t="s">
        <v>3349</v>
      </c>
      <c r="I38" s="15">
        <v>40</v>
      </c>
      <c r="J38" s="15">
        <v>20</v>
      </c>
      <c r="K38" s="15">
        <v>12</v>
      </c>
      <c r="L38" s="15">
        <v>1</v>
      </c>
      <c r="M38" s="73">
        <v>2.4</v>
      </c>
      <c r="N38" s="104">
        <v>3</v>
      </c>
      <c r="O38" s="57">
        <v>7000</v>
      </c>
      <c r="P38" s="58">
        <f t="shared" si="0"/>
        <v>21000</v>
      </c>
    </row>
    <row r="39" spans="1:16" ht="22.5" customHeight="1" x14ac:dyDescent="0.2">
      <c r="A39" s="159" t="s">
        <v>30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1"/>
      <c r="M39" s="71">
        <f>SUBTOTAL(109,Table224578910112345678910111213141516171819202122232425262728293031323334353738394041424344454647484950515253545556575859[KG VOLUME])</f>
        <v>728.2115</v>
      </c>
      <c r="N39" s="61">
        <f>SUM(N3:N38)</f>
        <v>737.49300000000017</v>
      </c>
      <c r="O39" s="162">
        <f>SUM(P3:P38)</f>
        <v>5162451</v>
      </c>
      <c r="P39" s="163"/>
    </row>
    <row r="40" spans="1:16" ht="18" customHeight="1" x14ac:dyDescent="0.2">
      <c r="A40" s="78"/>
      <c r="B40" s="49" t="s">
        <v>42</v>
      </c>
      <c r="C40" s="48"/>
      <c r="D40" s="50" t="s">
        <v>43</v>
      </c>
      <c r="E40" s="78"/>
      <c r="F40" s="78"/>
      <c r="G40" s="78"/>
      <c r="H40" s="78"/>
      <c r="I40" s="78"/>
      <c r="J40" s="78"/>
      <c r="K40" s="78"/>
      <c r="L40" s="78"/>
      <c r="M40" s="79"/>
      <c r="N40" s="80" t="s">
        <v>52</v>
      </c>
      <c r="O40" s="81"/>
      <c r="P40" s="81">
        <v>0</v>
      </c>
    </row>
    <row r="41" spans="1:16" ht="18" customHeight="1" thickBot="1" x14ac:dyDescent="0.25">
      <c r="A41" s="78"/>
      <c r="B41" s="49"/>
      <c r="C41" s="48"/>
      <c r="D41" s="50"/>
      <c r="E41" s="78"/>
      <c r="F41" s="78"/>
      <c r="G41" s="78"/>
      <c r="H41" s="78"/>
      <c r="I41" s="78"/>
      <c r="J41" s="78"/>
      <c r="K41" s="78"/>
      <c r="L41" s="78"/>
      <c r="M41" s="79"/>
      <c r="N41" s="82" t="s">
        <v>53</v>
      </c>
      <c r="O41" s="83"/>
      <c r="P41" s="83">
        <f>O39-P40</f>
        <v>5162451</v>
      </c>
    </row>
    <row r="42" spans="1:16" ht="18" customHeight="1" x14ac:dyDescent="0.2">
      <c r="A42" s="10"/>
      <c r="H42" s="56"/>
      <c r="N42" s="55" t="s">
        <v>31</v>
      </c>
      <c r="P42" s="62">
        <f>P41*1%</f>
        <v>51624.51</v>
      </c>
    </row>
    <row r="43" spans="1:16" ht="18" customHeight="1" thickBot="1" x14ac:dyDescent="0.25">
      <c r="A43" s="10"/>
      <c r="H43" s="56"/>
      <c r="N43" s="55" t="s">
        <v>54</v>
      </c>
      <c r="P43" s="64">
        <f>P41*2%</f>
        <v>103249.02</v>
      </c>
    </row>
    <row r="44" spans="1:16" ht="18" customHeight="1" x14ac:dyDescent="0.2">
      <c r="A44" s="10"/>
      <c r="H44" s="56"/>
      <c r="N44" s="59" t="s">
        <v>32</v>
      </c>
      <c r="O44" s="60"/>
      <c r="P44" s="63">
        <f>P41+P42-P43</f>
        <v>5110826.49</v>
      </c>
    </row>
    <row r="46" spans="1:16" x14ac:dyDescent="0.2">
      <c r="A46" s="10"/>
      <c r="H46" s="56"/>
      <c r="P46" s="64"/>
    </row>
    <row r="47" spans="1:16" x14ac:dyDescent="0.2">
      <c r="A47" s="10"/>
      <c r="H47" s="56"/>
      <c r="O47" s="51"/>
      <c r="P47" s="6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</sheetData>
  <mergeCells count="2">
    <mergeCell ref="A39:L39"/>
    <mergeCell ref="O39:P39"/>
  </mergeCells>
  <conditionalFormatting sqref="C3:C38">
    <cfRule type="duplicateValues" dxfId="671" priority="8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"/>
  <sheetViews>
    <sheetView zoomScale="110" zoomScaleNormal="110" workbookViewId="0">
      <pane xSplit="3" ySplit="2" topLeftCell="E3" activePane="bottomRight" state="frozen"/>
      <selection activeCell="H12" sqref="H12"/>
      <selection pane="topRight" activeCell="H12" sqref="H12"/>
      <selection pane="bottomLeft" activeCell="H12" sqref="H12"/>
      <selection pane="bottomRight" activeCell="M47" sqref="M4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4.140625" style="3" customWidth="1"/>
    <col min="5" max="5" width="8.7109375" style="11" customWidth="1"/>
    <col min="6" max="6" width="16.71093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2.7109375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403750</v>
      </c>
      <c r="B3" s="99" t="s">
        <v>238</v>
      </c>
      <c r="C3" s="90" t="s">
        <v>239</v>
      </c>
      <c r="D3" s="90" t="s">
        <v>57</v>
      </c>
      <c r="E3" s="91">
        <v>44532</v>
      </c>
      <c r="F3" s="90" t="s">
        <v>71</v>
      </c>
      <c r="G3" s="91">
        <v>44537</v>
      </c>
      <c r="H3" s="90" t="s">
        <v>237</v>
      </c>
      <c r="I3" s="90">
        <v>37</v>
      </c>
      <c r="J3" s="90">
        <v>37</v>
      </c>
      <c r="K3" s="90">
        <v>34</v>
      </c>
      <c r="L3" s="90">
        <v>5</v>
      </c>
      <c r="M3" s="92">
        <v>11.6365</v>
      </c>
      <c r="N3" s="89">
        <v>11.6365</v>
      </c>
      <c r="O3" s="57">
        <v>7000</v>
      </c>
      <c r="P3" s="58">
        <f t="shared" ref="P3:P42" si="0">N3*O3</f>
        <v>81455.5</v>
      </c>
    </row>
    <row r="4" spans="1:16" ht="26.25" customHeight="1" x14ac:dyDescent="0.2">
      <c r="A4" s="100"/>
      <c r="B4" s="100"/>
      <c r="C4" s="90" t="s">
        <v>240</v>
      </c>
      <c r="D4" s="90" t="s">
        <v>57</v>
      </c>
      <c r="E4" s="91">
        <v>44532</v>
      </c>
      <c r="F4" s="90" t="s">
        <v>71</v>
      </c>
      <c r="G4" s="91">
        <v>44537</v>
      </c>
      <c r="H4" s="90" t="s">
        <v>237</v>
      </c>
      <c r="I4" s="90">
        <v>30</v>
      </c>
      <c r="J4" s="90">
        <v>30</v>
      </c>
      <c r="K4" s="90">
        <v>15</v>
      </c>
      <c r="L4" s="90">
        <v>2</v>
      </c>
      <c r="M4" s="92">
        <v>3.375</v>
      </c>
      <c r="N4" s="89">
        <v>4</v>
      </c>
      <c r="O4" s="57">
        <v>7000</v>
      </c>
      <c r="P4" s="58">
        <f t="shared" si="0"/>
        <v>28000</v>
      </c>
    </row>
    <row r="5" spans="1:16" ht="26.25" customHeight="1" x14ac:dyDescent="0.2">
      <c r="A5" s="100"/>
      <c r="B5" s="100"/>
      <c r="C5" s="90" t="s">
        <v>241</v>
      </c>
      <c r="D5" s="90" t="s">
        <v>57</v>
      </c>
      <c r="E5" s="91">
        <v>44532</v>
      </c>
      <c r="F5" s="90" t="s">
        <v>71</v>
      </c>
      <c r="G5" s="91">
        <v>44537</v>
      </c>
      <c r="H5" s="90" t="s">
        <v>237</v>
      </c>
      <c r="I5" s="90">
        <v>160</v>
      </c>
      <c r="J5" s="90">
        <v>8</v>
      </c>
      <c r="K5" s="90">
        <v>8</v>
      </c>
      <c r="L5" s="90">
        <v>2</v>
      </c>
      <c r="M5" s="92">
        <v>2.56</v>
      </c>
      <c r="N5" s="89">
        <v>2.56</v>
      </c>
      <c r="O5" s="57">
        <v>7000</v>
      </c>
      <c r="P5" s="58">
        <f t="shared" si="0"/>
        <v>17920</v>
      </c>
    </row>
    <row r="6" spans="1:16" ht="26.25" customHeight="1" x14ac:dyDescent="0.2">
      <c r="A6" s="100"/>
      <c r="B6" s="100"/>
      <c r="C6" s="90" t="s">
        <v>242</v>
      </c>
      <c r="D6" s="90" t="s">
        <v>57</v>
      </c>
      <c r="E6" s="91">
        <v>44532</v>
      </c>
      <c r="F6" s="90" t="s">
        <v>71</v>
      </c>
      <c r="G6" s="91">
        <v>44537</v>
      </c>
      <c r="H6" s="90" t="s">
        <v>237</v>
      </c>
      <c r="I6" s="90">
        <v>47</v>
      </c>
      <c r="J6" s="90">
        <v>38</v>
      </c>
      <c r="K6" s="90">
        <v>8</v>
      </c>
      <c r="L6" s="90">
        <v>1</v>
      </c>
      <c r="M6" s="92">
        <v>3.5720000000000001</v>
      </c>
      <c r="N6" s="89">
        <v>3.5720000000000001</v>
      </c>
      <c r="O6" s="57">
        <v>7000</v>
      </c>
      <c r="P6" s="58">
        <f t="shared" si="0"/>
        <v>25004</v>
      </c>
    </row>
    <row r="7" spans="1:16" ht="26.25" customHeight="1" x14ac:dyDescent="0.2">
      <c r="A7" s="100"/>
      <c r="B7" s="100"/>
      <c r="C7" s="90" t="s">
        <v>243</v>
      </c>
      <c r="D7" s="90" t="s">
        <v>57</v>
      </c>
      <c r="E7" s="91">
        <v>44532</v>
      </c>
      <c r="F7" s="90" t="s">
        <v>71</v>
      </c>
      <c r="G7" s="91">
        <v>44537</v>
      </c>
      <c r="H7" s="90" t="s">
        <v>237</v>
      </c>
      <c r="I7" s="90">
        <v>52</v>
      </c>
      <c r="J7" s="90">
        <v>43</v>
      </c>
      <c r="K7" s="90">
        <v>17</v>
      </c>
      <c r="L7" s="90">
        <v>2</v>
      </c>
      <c r="M7" s="92">
        <v>9.5030000000000001</v>
      </c>
      <c r="N7" s="89">
        <v>11</v>
      </c>
      <c r="O7" s="57">
        <v>7000</v>
      </c>
      <c r="P7" s="58">
        <f t="shared" si="0"/>
        <v>77000</v>
      </c>
    </row>
    <row r="8" spans="1:16" ht="26.25" customHeight="1" x14ac:dyDescent="0.2">
      <c r="A8" s="100"/>
      <c r="B8" s="100"/>
      <c r="C8" s="90" t="s">
        <v>244</v>
      </c>
      <c r="D8" s="90" t="s">
        <v>57</v>
      </c>
      <c r="E8" s="91">
        <v>44532</v>
      </c>
      <c r="F8" s="90" t="s">
        <v>71</v>
      </c>
      <c r="G8" s="91">
        <v>44537</v>
      </c>
      <c r="H8" s="90" t="s">
        <v>237</v>
      </c>
      <c r="I8" s="90">
        <v>67</v>
      </c>
      <c r="J8" s="90">
        <v>42</v>
      </c>
      <c r="K8" s="90">
        <v>30</v>
      </c>
      <c r="L8" s="90">
        <v>13</v>
      </c>
      <c r="M8" s="92">
        <v>21.105</v>
      </c>
      <c r="N8" s="89">
        <v>21.105</v>
      </c>
      <c r="O8" s="57">
        <v>7000</v>
      </c>
      <c r="P8" s="58">
        <f t="shared" si="0"/>
        <v>147735</v>
      </c>
    </row>
    <row r="9" spans="1:16" ht="26.25" customHeight="1" x14ac:dyDescent="0.2">
      <c r="A9" s="100"/>
      <c r="B9" s="100"/>
      <c r="C9" s="90" t="s">
        <v>245</v>
      </c>
      <c r="D9" s="90" t="s">
        <v>57</v>
      </c>
      <c r="E9" s="91">
        <v>44532</v>
      </c>
      <c r="F9" s="90" t="s">
        <v>71</v>
      </c>
      <c r="G9" s="91">
        <v>44537</v>
      </c>
      <c r="H9" s="90" t="s">
        <v>237</v>
      </c>
      <c r="I9" s="90">
        <v>50</v>
      </c>
      <c r="J9" s="90">
        <v>44</v>
      </c>
      <c r="K9" s="90">
        <v>14</v>
      </c>
      <c r="L9" s="90">
        <v>3</v>
      </c>
      <c r="M9" s="92">
        <v>7.7</v>
      </c>
      <c r="N9" s="89">
        <v>7.7</v>
      </c>
      <c r="O9" s="57">
        <v>7000</v>
      </c>
      <c r="P9" s="58">
        <f t="shared" si="0"/>
        <v>53900</v>
      </c>
    </row>
    <row r="10" spans="1:16" ht="26.25" customHeight="1" x14ac:dyDescent="0.2">
      <c r="A10" s="100"/>
      <c r="B10" s="100"/>
      <c r="C10" s="90" t="s">
        <v>246</v>
      </c>
      <c r="D10" s="90" t="s">
        <v>57</v>
      </c>
      <c r="E10" s="91">
        <v>44532</v>
      </c>
      <c r="F10" s="90" t="s">
        <v>71</v>
      </c>
      <c r="G10" s="91">
        <v>44537</v>
      </c>
      <c r="H10" s="90" t="s">
        <v>237</v>
      </c>
      <c r="I10" s="90">
        <v>58</v>
      </c>
      <c r="J10" s="90">
        <v>38</v>
      </c>
      <c r="K10" s="90">
        <v>25</v>
      </c>
      <c r="L10" s="90">
        <v>15</v>
      </c>
      <c r="M10" s="92">
        <v>13.775</v>
      </c>
      <c r="N10" s="89">
        <v>15</v>
      </c>
      <c r="O10" s="57">
        <v>7000</v>
      </c>
      <c r="P10" s="58">
        <f t="shared" si="0"/>
        <v>105000</v>
      </c>
    </row>
    <row r="11" spans="1:16" ht="26.25" customHeight="1" x14ac:dyDescent="0.2">
      <c r="A11" s="100"/>
      <c r="B11" s="100"/>
      <c r="C11" s="90" t="s">
        <v>247</v>
      </c>
      <c r="D11" s="90" t="s">
        <v>57</v>
      </c>
      <c r="E11" s="91">
        <v>44532</v>
      </c>
      <c r="F11" s="90" t="s">
        <v>71</v>
      </c>
      <c r="G11" s="91">
        <v>44537</v>
      </c>
      <c r="H11" s="90" t="s">
        <v>237</v>
      </c>
      <c r="I11" s="90">
        <v>170</v>
      </c>
      <c r="J11" s="90">
        <v>65</v>
      </c>
      <c r="K11" s="90">
        <v>20</v>
      </c>
      <c r="L11" s="90">
        <v>12</v>
      </c>
      <c r="M11" s="92">
        <v>55.25</v>
      </c>
      <c r="N11" s="89">
        <v>55.25</v>
      </c>
      <c r="O11" s="57">
        <v>7000</v>
      </c>
      <c r="P11" s="58">
        <f t="shared" si="0"/>
        <v>386750</v>
      </c>
    </row>
    <row r="12" spans="1:16" ht="26.25" customHeight="1" x14ac:dyDescent="0.2">
      <c r="A12" s="100"/>
      <c r="B12" s="100"/>
      <c r="C12" s="90" t="s">
        <v>248</v>
      </c>
      <c r="D12" s="90" t="s">
        <v>57</v>
      </c>
      <c r="E12" s="91">
        <v>44532</v>
      </c>
      <c r="F12" s="90" t="s">
        <v>71</v>
      </c>
      <c r="G12" s="91">
        <v>44537</v>
      </c>
      <c r="H12" s="90" t="s">
        <v>237</v>
      </c>
      <c r="I12" s="90">
        <v>93</v>
      </c>
      <c r="J12" s="90">
        <v>40</v>
      </c>
      <c r="K12" s="90">
        <v>28</v>
      </c>
      <c r="L12" s="90">
        <v>14</v>
      </c>
      <c r="M12" s="92">
        <v>26.04</v>
      </c>
      <c r="N12" s="89">
        <v>26.04</v>
      </c>
      <c r="O12" s="57">
        <v>7000</v>
      </c>
      <c r="P12" s="58">
        <f t="shared" si="0"/>
        <v>182280</v>
      </c>
    </row>
    <row r="13" spans="1:16" ht="26.25" customHeight="1" x14ac:dyDescent="0.2">
      <c r="A13" s="100"/>
      <c r="B13" s="100"/>
      <c r="C13" s="90" t="s">
        <v>249</v>
      </c>
      <c r="D13" s="90" t="s">
        <v>57</v>
      </c>
      <c r="E13" s="91">
        <v>44532</v>
      </c>
      <c r="F13" s="90" t="s">
        <v>71</v>
      </c>
      <c r="G13" s="91">
        <v>44537</v>
      </c>
      <c r="H13" s="90" t="s">
        <v>237</v>
      </c>
      <c r="I13" s="90">
        <v>58</v>
      </c>
      <c r="J13" s="90">
        <v>30</v>
      </c>
      <c r="K13" s="90">
        <v>20</v>
      </c>
      <c r="L13" s="90">
        <v>4</v>
      </c>
      <c r="M13" s="92">
        <v>8.6999999999999993</v>
      </c>
      <c r="N13" s="89">
        <v>8.6999999999999993</v>
      </c>
      <c r="O13" s="57">
        <v>7000</v>
      </c>
      <c r="P13" s="58">
        <f t="shared" si="0"/>
        <v>60899.999999999993</v>
      </c>
    </row>
    <row r="14" spans="1:16" ht="26.25" customHeight="1" x14ac:dyDescent="0.2">
      <c r="A14" s="100"/>
      <c r="B14" s="100"/>
      <c r="C14" s="90" t="s">
        <v>250</v>
      </c>
      <c r="D14" s="90" t="s">
        <v>57</v>
      </c>
      <c r="E14" s="91">
        <v>44532</v>
      </c>
      <c r="F14" s="90" t="s">
        <v>71</v>
      </c>
      <c r="G14" s="91">
        <v>44537</v>
      </c>
      <c r="H14" s="90" t="s">
        <v>237</v>
      </c>
      <c r="I14" s="90">
        <v>70</v>
      </c>
      <c r="J14" s="90">
        <v>50</v>
      </c>
      <c r="K14" s="90">
        <v>14</v>
      </c>
      <c r="L14" s="90">
        <v>9</v>
      </c>
      <c r="M14" s="92">
        <v>12.25</v>
      </c>
      <c r="N14" s="89">
        <v>12.25</v>
      </c>
      <c r="O14" s="57">
        <v>7000</v>
      </c>
      <c r="P14" s="58">
        <f t="shared" si="0"/>
        <v>85750</v>
      </c>
    </row>
    <row r="15" spans="1:16" ht="26.25" customHeight="1" x14ac:dyDescent="0.2">
      <c r="A15" s="100"/>
      <c r="B15" s="100"/>
      <c r="C15" s="90" t="s">
        <v>251</v>
      </c>
      <c r="D15" s="90" t="s">
        <v>57</v>
      </c>
      <c r="E15" s="91">
        <v>44532</v>
      </c>
      <c r="F15" s="90" t="s">
        <v>71</v>
      </c>
      <c r="G15" s="91">
        <v>44537</v>
      </c>
      <c r="H15" s="90" t="s">
        <v>237</v>
      </c>
      <c r="I15" s="90">
        <v>144</v>
      </c>
      <c r="J15" s="90">
        <v>30</v>
      </c>
      <c r="K15" s="90">
        <v>26</v>
      </c>
      <c r="L15" s="90">
        <v>9</v>
      </c>
      <c r="M15" s="92">
        <v>28.08</v>
      </c>
      <c r="N15" s="89">
        <v>28.08</v>
      </c>
      <c r="O15" s="57">
        <v>7000</v>
      </c>
      <c r="P15" s="58">
        <f t="shared" si="0"/>
        <v>196560</v>
      </c>
    </row>
    <row r="16" spans="1:16" ht="26.25" customHeight="1" x14ac:dyDescent="0.2">
      <c r="A16" s="100"/>
      <c r="B16" s="100"/>
      <c r="C16" s="90" t="s">
        <v>252</v>
      </c>
      <c r="D16" s="90" t="s">
        <v>57</v>
      </c>
      <c r="E16" s="91">
        <v>44532</v>
      </c>
      <c r="F16" s="90" t="s">
        <v>71</v>
      </c>
      <c r="G16" s="91">
        <v>44537</v>
      </c>
      <c r="H16" s="90" t="s">
        <v>237</v>
      </c>
      <c r="I16" s="90">
        <v>72</v>
      </c>
      <c r="J16" s="90">
        <v>55</v>
      </c>
      <c r="K16" s="90">
        <v>25</v>
      </c>
      <c r="L16" s="90">
        <v>8</v>
      </c>
      <c r="M16" s="92">
        <v>24.75</v>
      </c>
      <c r="N16" s="89">
        <v>24.75</v>
      </c>
      <c r="O16" s="57">
        <v>7000</v>
      </c>
      <c r="P16" s="58">
        <f t="shared" si="0"/>
        <v>173250</v>
      </c>
    </row>
    <row r="17" spans="1:16" ht="26.25" customHeight="1" x14ac:dyDescent="0.2">
      <c r="A17" s="100"/>
      <c r="B17" s="100"/>
      <c r="C17" s="90" t="s">
        <v>253</v>
      </c>
      <c r="D17" s="90" t="s">
        <v>57</v>
      </c>
      <c r="E17" s="91">
        <v>44532</v>
      </c>
      <c r="F17" s="90" t="s">
        <v>71</v>
      </c>
      <c r="G17" s="91">
        <v>44537</v>
      </c>
      <c r="H17" s="90" t="s">
        <v>237</v>
      </c>
      <c r="I17" s="90">
        <v>144</v>
      </c>
      <c r="J17" s="90">
        <v>40</v>
      </c>
      <c r="K17" s="90">
        <v>17</v>
      </c>
      <c r="L17" s="90">
        <v>6</v>
      </c>
      <c r="M17" s="92">
        <v>24.48</v>
      </c>
      <c r="N17" s="89">
        <v>25</v>
      </c>
      <c r="O17" s="57">
        <v>7000</v>
      </c>
      <c r="P17" s="58">
        <f t="shared" si="0"/>
        <v>175000</v>
      </c>
    </row>
    <row r="18" spans="1:16" ht="26.25" customHeight="1" x14ac:dyDescent="0.2">
      <c r="A18" s="100"/>
      <c r="B18" s="100"/>
      <c r="C18" s="90" t="s">
        <v>254</v>
      </c>
      <c r="D18" s="90" t="s">
        <v>57</v>
      </c>
      <c r="E18" s="91">
        <v>44532</v>
      </c>
      <c r="F18" s="90" t="s">
        <v>71</v>
      </c>
      <c r="G18" s="91">
        <v>44537</v>
      </c>
      <c r="H18" s="90" t="s">
        <v>237</v>
      </c>
      <c r="I18" s="90">
        <v>92</v>
      </c>
      <c r="J18" s="90">
        <v>54</v>
      </c>
      <c r="K18" s="90">
        <v>32</v>
      </c>
      <c r="L18" s="90">
        <v>19</v>
      </c>
      <c r="M18" s="92">
        <v>39.744</v>
      </c>
      <c r="N18" s="89">
        <v>39.744</v>
      </c>
      <c r="O18" s="57">
        <v>7000</v>
      </c>
      <c r="P18" s="58">
        <f t="shared" si="0"/>
        <v>278208</v>
      </c>
    </row>
    <row r="19" spans="1:16" ht="26.25" customHeight="1" x14ac:dyDescent="0.2">
      <c r="A19" s="100"/>
      <c r="B19" s="100"/>
      <c r="C19" s="90" t="s">
        <v>255</v>
      </c>
      <c r="D19" s="90" t="s">
        <v>57</v>
      </c>
      <c r="E19" s="91">
        <v>44532</v>
      </c>
      <c r="F19" s="90" t="s">
        <v>71</v>
      </c>
      <c r="G19" s="91">
        <v>44537</v>
      </c>
      <c r="H19" s="90" t="s">
        <v>237</v>
      </c>
      <c r="I19" s="90">
        <v>95</v>
      </c>
      <c r="J19" s="90">
        <v>64</v>
      </c>
      <c r="K19" s="90">
        <v>38</v>
      </c>
      <c r="L19" s="90">
        <v>17</v>
      </c>
      <c r="M19" s="92">
        <v>57.76</v>
      </c>
      <c r="N19" s="89">
        <v>57.76</v>
      </c>
      <c r="O19" s="57">
        <v>7000</v>
      </c>
      <c r="P19" s="58">
        <f t="shared" si="0"/>
        <v>404320</v>
      </c>
    </row>
    <row r="20" spans="1:16" ht="26.25" customHeight="1" x14ac:dyDescent="0.2">
      <c r="A20" s="100"/>
      <c r="B20" s="100"/>
      <c r="C20" s="90" t="s">
        <v>256</v>
      </c>
      <c r="D20" s="90" t="s">
        <v>57</v>
      </c>
      <c r="E20" s="91">
        <v>44532</v>
      </c>
      <c r="F20" s="90" t="s">
        <v>71</v>
      </c>
      <c r="G20" s="91">
        <v>44537</v>
      </c>
      <c r="H20" s="90" t="s">
        <v>237</v>
      </c>
      <c r="I20" s="90">
        <v>66</v>
      </c>
      <c r="J20" s="90">
        <v>60</v>
      </c>
      <c r="K20" s="90">
        <v>18</v>
      </c>
      <c r="L20" s="90">
        <v>6</v>
      </c>
      <c r="M20" s="92">
        <v>17.82</v>
      </c>
      <c r="N20" s="89">
        <v>17.82</v>
      </c>
      <c r="O20" s="57">
        <v>7000</v>
      </c>
      <c r="P20" s="58">
        <f t="shared" si="0"/>
        <v>124740</v>
      </c>
    </row>
    <row r="21" spans="1:16" ht="26.25" customHeight="1" x14ac:dyDescent="0.2">
      <c r="A21" s="100"/>
      <c r="B21" s="100"/>
      <c r="C21" s="90" t="s">
        <v>257</v>
      </c>
      <c r="D21" s="90" t="s">
        <v>57</v>
      </c>
      <c r="E21" s="91">
        <v>44532</v>
      </c>
      <c r="F21" s="90" t="s">
        <v>71</v>
      </c>
      <c r="G21" s="91">
        <v>44537</v>
      </c>
      <c r="H21" s="90" t="s">
        <v>237</v>
      </c>
      <c r="I21" s="90">
        <v>95</v>
      </c>
      <c r="J21" s="90">
        <v>67</v>
      </c>
      <c r="K21" s="90">
        <v>28</v>
      </c>
      <c r="L21" s="90">
        <v>15</v>
      </c>
      <c r="M21" s="92">
        <v>44.555</v>
      </c>
      <c r="N21" s="89">
        <v>44.555</v>
      </c>
      <c r="O21" s="57">
        <v>7000</v>
      </c>
      <c r="P21" s="58">
        <f t="shared" si="0"/>
        <v>311885</v>
      </c>
    </row>
    <row r="22" spans="1:16" ht="26.25" customHeight="1" x14ac:dyDescent="0.2">
      <c r="A22" s="100"/>
      <c r="B22" s="100"/>
      <c r="C22" s="90" t="s">
        <v>258</v>
      </c>
      <c r="D22" s="90" t="s">
        <v>57</v>
      </c>
      <c r="E22" s="91">
        <v>44532</v>
      </c>
      <c r="F22" s="90" t="s">
        <v>71</v>
      </c>
      <c r="G22" s="91">
        <v>44537</v>
      </c>
      <c r="H22" s="90" t="s">
        <v>237</v>
      </c>
      <c r="I22" s="90">
        <v>100</v>
      </c>
      <c r="J22" s="90">
        <v>58</v>
      </c>
      <c r="K22" s="90">
        <v>30</v>
      </c>
      <c r="L22" s="90">
        <v>25</v>
      </c>
      <c r="M22" s="92">
        <v>43.5</v>
      </c>
      <c r="N22" s="89">
        <v>45</v>
      </c>
      <c r="O22" s="57">
        <v>7000</v>
      </c>
      <c r="P22" s="58">
        <f t="shared" si="0"/>
        <v>315000</v>
      </c>
    </row>
    <row r="23" spans="1:16" ht="26.25" customHeight="1" x14ac:dyDescent="0.2">
      <c r="A23" s="100"/>
      <c r="B23" s="100"/>
      <c r="C23" s="90" t="s">
        <v>259</v>
      </c>
      <c r="D23" s="90" t="s">
        <v>57</v>
      </c>
      <c r="E23" s="91">
        <v>44532</v>
      </c>
      <c r="F23" s="90" t="s">
        <v>71</v>
      </c>
      <c r="G23" s="91">
        <v>44537</v>
      </c>
      <c r="H23" s="90" t="s">
        <v>237</v>
      </c>
      <c r="I23" s="90">
        <v>47</v>
      </c>
      <c r="J23" s="90">
        <v>30</v>
      </c>
      <c r="K23" s="90">
        <v>20</v>
      </c>
      <c r="L23" s="90">
        <v>2</v>
      </c>
      <c r="M23" s="92">
        <v>7.05</v>
      </c>
      <c r="N23" s="89">
        <v>7.05</v>
      </c>
      <c r="O23" s="57">
        <v>7000</v>
      </c>
      <c r="P23" s="58">
        <f t="shared" si="0"/>
        <v>49350</v>
      </c>
    </row>
    <row r="24" spans="1:16" ht="26.25" customHeight="1" x14ac:dyDescent="0.2">
      <c r="A24" s="100"/>
      <c r="B24" s="100"/>
      <c r="C24" s="90" t="s">
        <v>260</v>
      </c>
      <c r="D24" s="90" t="s">
        <v>57</v>
      </c>
      <c r="E24" s="91">
        <v>44532</v>
      </c>
      <c r="F24" s="90" t="s">
        <v>71</v>
      </c>
      <c r="G24" s="91">
        <v>44537</v>
      </c>
      <c r="H24" s="90" t="s">
        <v>237</v>
      </c>
      <c r="I24" s="90">
        <v>50</v>
      </c>
      <c r="J24" s="90">
        <v>34</v>
      </c>
      <c r="K24" s="90">
        <v>15</v>
      </c>
      <c r="L24" s="90">
        <v>4</v>
      </c>
      <c r="M24" s="92">
        <v>6.375</v>
      </c>
      <c r="N24" s="89">
        <v>7</v>
      </c>
      <c r="O24" s="57">
        <v>7000</v>
      </c>
      <c r="P24" s="58">
        <f t="shared" si="0"/>
        <v>49000</v>
      </c>
    </row>
    <row r="25" spans="1:16" ht="26.25" customHeight="1" x14ac:dyDescent="0.2">
      <c r="A25" s="100"/>
      <c r="B25" s="100"/>
      <c r="C25" s="90" t="s">
        <v>261</v>
      </c>
      <c r="D25" s="90" t="s">
        <v>57</v>
      </c>
      <c r="E25" s="91">
        <v>44532</v>
      </c>
      <c r="F25" s="90" t="s">
        <v>71</v>
      </c>
      <c r="G25" s="91">
        <v>44537</v>
      </c>
      <c r="H25" s="90" t="s">
        <v>237</v>
      </c>
      <c r="I25" s="90">
        <v>55</v>
      </c>
      <c r="J25" s="90">
        <v>40</v>
      </c>
      <c r="K25" s="90">
        <v>10</v>
      </c>
      <c r="L25" s="90">
        <v>3</v>
      </c>
      <c r="M25" s="92">
        <v>5.5</v>
      </c>
      <c r="N25" s="89">
        <v>7</v>
      </c>
      <c r="O25" s="57">
        <v>7000</v>
      </c>
      <c r="P25" s="58">
        <f t="shared" si="0"/>
        <v>49000</v>
      </c>
    </row>
    <row r="26" spans="1:16" ht="26.25" customHeight="1" x14ac:dyDescent="0.2">
      <c r="A26" s="100"/>
      <c r="B26" s="100"/>
      <c r="C26" s="90" t="s">
        <v>262</v>
      </c>
      <c r="D26" s="90" t="s">
        <v>57</v>
      </c>
      <c r="E26" s="91">
        <v>44532</v>
      </c>
      <c r="F26" s="90" t="s">
        <v>71</v>
      </c>
      <c r="G26" s="91">
        <v>44537</v>
      </c>
      <c r="H26" s="90" t="s">
        <v>237</v>
      </c>
      <c r="I26" s="90">
        <v>50</v>
      </c>
      <c r="J26" s="90">
        <v>40</v>
      </c>
      <c r="K26" s="90">
        <v>12</v>
      </c>
      <c r="L26" s="90">
        <v>3</v>
      </c>
      <c r="M26" s="92">
        <v>6</v>
      </c>
      <c r="N26" s="89">
        <v>6</v>
      </c>
      <c r="O26" s="57">
        <v>7000</v>
      </c>
      <c r="P26" s="58">
        <f t="shared" si="0"/>
        <v>42000</v>
      </c>
    </row>
    <row r="27" spans="1:16" ht="26.25" customHeight="1" x14ac:dyDescent="0.2">
      <c r="A27" s="100"/>
      <c r="B27" s="100"/>
      <c r="C27" s="90" t="s">
        <v>263</v>
      </c>
      <c r="D27" s="90" t="s">
        <v>57</v>
      </c>
      <c r="E27" s="91">
        <v>44532</v>
      </c>
      <c r="F27" s="90" t="s">
        <v>71</v>
      </c>
      <c r="G27" s="91">
        <v>44537</v>
      </c>
      <c r="H27" s="90" t="s">
        <v>237</v>
      </c>
      <c r="I27" s="90">
        <v>94</v>
      </c>
      <c r="J27" s="90">
        <v>55</v>
      </c>
      <c r="K27" s="90">
        <v>21</v>
      </c>
      <c r="L27" s="90">
        <v>6</v>
      </c>
      <c r="M27" s="92">
        <v>27.142499999999998</v>
      </c>
      <c r="N27" s="89">
        <v>27.142499999999998</v>
      </c>
      <c r="O27" s="57">
        <v>7000</v>
      </c>
      <c r="P27" s="58">
        <f t="shared" si="0"/>
        <v>189997.5</v>
      </c>
    </row>
    <row r="28" spans="1:16" ht="26.25" customHeight="1" x14ac:dyDescent="0.2">
      <c r="A28" s="100"/>
      <c r="B28" s="100"/>
      <c r="C28" s="90" t="s">
        <v>264</v>
      </c>
      <c r="D28" s="90" t="s">
        <v>57</v>
      </c>
      <c r="E28" s="91">
        <v>44532</v>
      </c>
      <c r="F28" s="90" t="s">
        <v>71</v>
      </c>
      <c r="G28" s="91">
        <v>44537</v>
      </c>
      <c r="H28" s="90" t="s">
        <v>237</v>
      </c>
      <c r="I28" s="90">
        <v>68</v>
      </c>
      <c r="J28" s="90">
        <v>30</v>
      </c>
      <c r="K28" s="90">
        <v>12</v>
      </c>
      <c r="L28" s="90">
        <v>5</v>
      </c>
      <c r="M28" s="92">
        <v>6.12</v>
      </c>
      <c r="N28" s="89">
        <v>6.12</v>
      </c>
      <c r="O28" s="57">
        <v>7000</v>
      </c>
      <c r="P28" s="58">
        <f t="shared" si="0"/>
        <v>42840</v>
      </c>
    </row>
    <row r="29" spans="1:16" ht="26.25" customHeight="1" x14ac:dyDescent="0.2">
      <c r="A29" s="100"/>
      <c r="B29" s="100"/>
      <c r="C29" s="90" t="s">
        <v>265</v>
      </c>
      <c r="D29" s="90" t="s">
        <v>57</v>
      </c>
      <c r="E29" s="91">
        <v>44532</v>
      </c>
      <c r="F29" s="90" t="s">
        <v>71</v>
      </c>
      <c r="G29" s="91">
        <v>44537</v>
      </c>
      <c r="H29" s="90" t="s">
        <v>237</v>
      </c>
      <c r="I29" s="90">
        <v>88</v>
      </c>
      <c r="J29" s="90">
        <v>42</v>
      </c>
      <c r="K29" s="90">
        <v>16</v>
      </c>
      <c r="L29" s="90">
        <v>5</v>
      </c>
      <c r="M29" s="92">
        <v>14.784000000000001</v>
      </c>
      <c r="N29" s="89">
        <v>14.784000000000001</v>
      </c>
      <c r="O29" s="57">
        <v>7000</v>
      </c>
      <c r="P29" s="58">
        <f t="shared" si="0"/>
        <v>103488</v>
      </c>
    </row>
    <row r="30" spans="1:16" ht="26.25" customHeight="1" x14ac:dyDescent="0.2">
      <c r="A30" s="100"/>
      <c r="B30" s="100"/>
      <c r="C30" s="90" t="s">
        <v>266</v>
      </c>
      <c r="D30" s="90" t="s">
        <v>57</v>
      </c>
      <c r="E30" s="91">
        <v>44532</v>
      </c>
      <c r="F30" s="90" t="s">
        <v>71</v>
      </c>
      <c r="G30" s="91">
        <v>44537</v>
      </c>
      <c r="H30" s="90" t="s">
        <v>237</v>
      </c>
      <c r="I30" s="90">
        <v>44</v>
      </c>
      <c r="J30" s="90">
        <v>40</v>
      </c>
      <c r="K30" s="90">
        <v>40</v>
      </c>
      <c r="L30" s="90">
        <v>23</v>
      </c>
      <c r="M30" s="92">
        <v>17.600000000000001</v>
      </c>
      <c r="N30" s="89">
        <v>23</v>
      </c>
      <c r="O30" s="57">
        <v>7000</v>
      </c>
      <c r="P30" s="58">
        <f t="shared" si="0"/>
        <v>161000</v>
      </c>
    </row>
    <row r="31" spans="1:16" ht="26.25" customHeight="1" x14ac:dyDescent="0.2">
      <c r="A31" s="100"/>
      <c r="B31" s="100"/>
      <c r="C31" s="90" t="s">
        <v>267</v>
      </c>
      <c r="D31" s="90" t="s">
        <v>57</v>
      </c>
      <c r="E31" s="91">
        <v>44532</v>
      </c>
      <c r="F31" s="90" t="s">
        <v>71</v>
      </c>
      <c r="G31" s="91">
        <v>44537</v>
      </c>
      <c r="H31" s="90" t="s">
        <v>237</v>
      </c>
      <c r="I31" s="90">
        <v>100</v>
      </c>
      <c r="J31" s="90">
        <v>60</v>
      </c>
      <c r="K31" s="90">
        <v>30</v>
      </c>
      <c r="L31" s="90">
        <v>14</v>
      </c>
      <c r="M31" s="92">
        <v>45</v>
      </c>
      <c r="N31" s="89">
        <v>45</v>
      </c>
      <c r="O31" s="57">
        <v>7000</v>
      </c>
      <c r="P31" s="58">
        <f t="shared" si="0"/>
        <v>315000</v>
      </c>
    </row>
    <row r="32" spans="1:16" ht="26.25" customHeight="1" x14ac:dyDescent="0.2">
      <c r="A32" s="100"/>
      <c r="B32" s="100"/>
      <c r="C32" s="90" t="s">
        <v>268</v>
      </c>
      <c r="D32" s="90" t="s">
        <v>57</v>
      </c>
      <c r="E32" s="91">
        <v>44532</v>
      </c>
      <c r="F32" s="90" t="s">
        <v>71</v>
      </c>
      <c r="G32" s="91">
        <v>44537</v>
      </c>
      <c r="H32" s="90" t="s">
        <v>237</v>
      </c>
      <c r="I32" s="90">
        <v>100</v>
      </c>
      <c r="J32" s="90">
        <v>62</v>
      </c>
      <c r="K32" s="90">
        <v>38</v>
      </c>
      <c r="L32" s="90">
        <v>36</v>
      </c>
      <c r="M32" s="92">
        <v>58.9</v>
      </c>
      <c r="N32" s="89">
        <v>58.9</v>
      </c>
      <c r="O32" s="57">
        <v>7000</v>
      </c>
      <c r="P32" s="58">
        <f t="shared" si="0"/>
        <v>412300</v>
      </c>
    </row>
    <row r="33" spans="1:16" ht="26.25" customHeight="1" x14ac:dyDescent="0.2">
      <c r="A33" s="100"/>
      <c r="B33" s="100"/>
      <c r="C33" s="90" t="s">
        <v>269</v>
      </c>
      <c r="D33" s="90" t="s">
        <v>57</v>
      </c>
      <c r="E33" s="91">
        <v>44532</v>
      </c>
      <c r="F33" s="90" t="s">
        <v>71</v>
      </c>
      <c r="G33" s="91">
        <v>44537</v>
      </c>
      <c r="H33" s="90" t="s">
        <v>237</v>
      </c>
      <c r="I33" s="90">
        <v>80</v>
      </c>
      <c r="J33" s="90">
        <v>50</v>
      </c>
      <c r="K33" s="90">
        <v>27</v>
      </c>
      <c r="L33" s="90">
        <v>10</v>
      </c>
      <c r="M33" s="92">
        <v>27</v>
      </c>
      <c r="N33" s="89">
        <v>27</v>
      </c>
      <c r="O33" s="57">
        <v>7000</v>
      </c>
      <c r="P33" s="58">
        <f t="shared" si="0"/>
        <v>189000</v>
      </c>
    </row>
    <row r="34" spans="1:16" ht="26.25" customHeight="1" x14ac:dyDescent="0.2">
      <c r="A34" s="100"/>
      <c r="B34" s="100"/>
      <c r="C34" s="90" t="s">
        <v>270</v>
      </c>
      <c r="D34" s="90" t="s">
        <v>57</v>
      </c>
      <c r="E34" s="91">
        <v>44532</v>
      </c>
      <c r="F34" s="90" t="s">
        <v>71</v>
      </c>
      <c r="G34" s="91">
        <v>44537</v>
      </c>
      <c r="H34" s="90" t="s">
        <v>237</v>
      </c>
      <c r="I34" s="90">
        <v>98</v>
      </c>
      <c r="J34" s="90">
        <v>66</v>
      </c>
      <c r="K34" s="90">
        <v>40</v>
      </c>
      <c r="L34" s="90">
        <v>21</v>
      </c>
      <c r="M34" s="92">
        <v>64.680000000000007</v>
      </c>
      <c r="N34" s="89">
        <v>64.680000000000007</v>
      </c>
      <c r="O34" s="57">
        <v>7000</v>
      </c>
      <c r="P34" s="58">
        <f t="shared" si="0"/>
        <v>452760.00000000006</v>
      </c>
    </row>
    <row r="35" spans="1:16" ht="26.25" customHeight="1" x14ac:dyDescent="0.2">
      <c r="A35" s="100"/>
      <c r="B35" s="100"/>
      <c r="C35" s="90" t="s">
        <v>271</v>
      </c>
      <c r="D35" s="90" t="s">
        <v>57</v>
      </c>
      <c r="E35" s="91">
        <v>44532</v>
      </c>
      <c r="F35" s="90" t="s">
        <v>71</v>
      </c>
      <c r="G35" s="91">
        <v>44537</v>
      </c>
      <c r="H35" s="90" t="s">
        <v>237</v>
      </c>
      <c r="I35" s="90">
        <v>98</v>
      </c>
      <c r="J35" s="90">
        <v>58</v>
      </c>
      <c r="K35" s="90">
        <v>34</v>
      </c>
      <c r="L35" s="90">
        <v>30</v>
      </c>
      <c r="M35" s="92">
        <v>48.314</v>
      </c>
      <c r="N35" s="89">
        <v>49</v>
      </c>
      <c r="O35" s="57">
        <v>7000</v>
      </c>
      <c r="P35" s="58">
        <f t="shared" si="0"/>
        <v>343000</v>
      </c>
    </row>
    <row r="36" spans="1:16" ht="26.25" customHeight="1" x14ac:dyDescent="0.2">
      <c r="A36" s="100"/>
      <c r="B36" s="100"/>
      <c r="C36" s="90" t="s">
        <v>272</v>
      </c>
      <c r="D36" s="90" t="s">
        <v>57</v>
      </c>
      <c r="E36" s="91">
        <v>44532</v>
      </c>
      <c r="F36" s="90" t="s">
        <v>71</v>
      </c>
      <c r="G36" s="91">
        <v>44537</v>
      </c>
      <c r="H36" s="90" t="s">
        <v>237</v>
      </c>
      <c r="I36" s="90">
        <v>67</v>
      </c>
      <c r="J36" s="90">
        <v>55</v>
      </c>
      <c r="K36" s="90">
        <v>50</v>
      </c>
      <c r="L36" s="90">
        <v>29</v>
      </c>
      <c r="M36" s="92">
        <v>46.0625</v>
      </c>
      <c r="N36" s="89">
        <v>46.0625</v>
      </c>
      <c r="O36" s="57">
        <v>7000</v>
      </c>
      <c r="P36" s="58">
        <f t="shared" si="0"/>
        <v>322437.5</v>
      </c>
    </row>
    <row r="37" spans="1:16" ht="26.25" customHeight="1" x14ac:dyDescent="0.2">
      <c r="A37" s="100"/>
      <c r="B37" s="100"/>
      <c r="C37" s="90" t="s">
        <v>273</v>
      </c>
      <c r="D37" s="90" t="s">
        <v>57</v>
      </c>
      <c r="E37" s="91">
        <v>44532</v>
      </c>
      <c r="F37" s="90" t="s">
        <v>71</v>
      </c>
      <c r="G37" s="91">
        <v>44537</v>
      </c>
      <c r="H37" s="90" t="s">
        <v>237</v>
      </c>
      <c r="I37" s="90">
        <v>57</v>
      </c>
      <c r="J37" s="90">
        <v>45</v>
      </c>
      <c r="K37" s="90">
        <v>45</v>
      </c>
      <c r="L37" s="90">
        <v>27</v>
      </c>
      <c r="M37" s="92">
        <v>28.856249999999999</v>
      </c>
      <c r="N37" s="89">
        <v>28.856249999999999</v>
      </c>
      <c r="O37" s="57">
        <v>7000</v>
      </c>
      <c r="P37" s="58">
        <f t="shared" si="0"/>
        <v>201993.75</v>
      </c>
    </row>
    <row r="38" spans="1:16" ht="26.25" customHeight="1" x14ac:dyDescent="0.2">
      <c r="A38" s="100"/>
      <c r="B38" s="100"/>
      <c r="C38" s="90" t="s">
        <v>274</v>
      </c>
      <c r="D38" s="90" t="s">
        <v>57</v>
      </c>
      <c r="E38" s="91">
        <v>44532</v>
      </c>
      <c r="F38" s="90" t="s">
        <v>71</v>
      </c>
      <c r="G38" s="91">
        <v>44537</v>
      </c>
      <c r="H38" s="90" t="s">
        <v>237</v>
      </c>
      <c r="I38" s="90">
        <v>180</v>
      </c>
      <c r="J38" s="90">
        <v>20</v>
      </c>
      <c r="K38" s="90">
        <v>20</v>
      </c>
      <c r="L38" s="90">
        <v>5</v>
      </c>
      <c r="M38" s="92">
        <v>18</v>
      </c>
      <c r="N38" s="89">
        <v>18</v>
      </c>
      <c r="O38" s="57">
        <v>7000</v>
      </c>
      <c r="P38" s="58">
        <f t="shared" si="0"/>
        <v>126000</v>
      </c>
    </row>
    <row r="39" spans="1:16" ht="26.25" customHeight="1" x14ac:dyDescent="0.2">
      <c r="A39" s="100"/>
      <c r="B39" s="100"/>
      <c r="C39" s="90" t="s">
        <v>275</v>
      </c>
      <c r="D39" s="90" t="s">
        <v>57</v>
      </c>
      <c r="E39" s="91">
        <v>44532</v>
      </c>
      <c r="F39" s="90" t="s">
        <v>71</v>
      </c>
      <c r="G39" s="91">
        <v>44537</v>
      </c>
      <c r="H39" s="90" t="s">
        <v>237</v>
      </c>
      <c r="I39" s="90">
        <v>177</v>
      </c>
      <c r="J39" s="90">
        <v>12</v>
      </c>
      <c r="K39" s="90">
        <v>12</v>
      </c>
      <c r="L39" s="90">
        <v>4</v>
      </c>
      <c r="M39" s="92">
        <v>6.3719999999999999</v>
      </c>
      <c r="N39" s="89">
        <v>7</v>
      </c>
      <c r="O39" s="57">
        <v>7000</v>
      </c>
      <c r="P39" s="58">
        <f t="shared" si="0"/>
        <v>49000</v>
      </c>
    </row>
    <row r="40" spans="1:16" ht="26.25" customHeight="1" x14ac:dyDescent="0.2">
      <c r="A40" s="100"/>
      <c r="B40" s="100"/>
      <c r="C40" s="90" t="s">
        <v>276</v>
      </c>
      <c r="D40" s="90" t="s">
        <v>57</v>
      </c>
      <c r="E40" s="91">
        <v>44532</v>
      </c>
      <c r="F40" s="90" t="s">
        <v>71</v>
      </c>
      <c r="G40" s="91">
        <v>44537</v>
      </c>
      <c r="H40" s="90" t="s">
        <v>237</v>
      </c>
      <c r="I40" s="90">
        <v>75</v>
      </c>
      <c r="J40" s="90">
        <v>35</v>
      </c>
      <c r="K40" s="90">
        <v>35</v>
      </c>
      <c r="L40" s="90">
        <v>4</v>
      </c>
      <c r="M40" s="92">
        <v>22.96875</v>
      </c>
      <c r="N40" s="89">
        <v>22.96875</v>
      </c>
      <c r="O40" s="57">
        <v>7000</v>
      </c>
      <c r="P40" s="58">
        <f t="shared" si="0"/>
        <v>160781.25</v>
      </c>
    </row>
    <row r="41" spans="1:16" ht="26.25" customHeight="1" x14ac:dyDescent="0.2">
      <c r="A41" s="100"/>
      <c r="B41" s="100"/>
      <c r="C41" s="90" t="s">
        <v>277</v>
      </c>
      <c r="D41" s="90" t="s">
        <v>57</v>
      </c>
      <c r="E41" s="91">
        <v>44532</v>
      </c>
      <c r="F41" s="90" t="s">
        <v>71</v>
      </c>
      <c r="G41" s="91">
        <v>44537</v>
      </c>
      <c r="H41" s="90" t="s">
        <v>237</v>
      </c>
      <c r="I41" s="90">
        <v>115</v>
      </c>
      <c r="J41" s="90">
        <v>23</v>
      </c>
      <c r="K41" s="90">
        <v>8</v>
      </c>
      <c r="L41" s="90">
        <v>1</v>
      </c>
      <c r="M41" s="92">
        <v>5.29</v>
      </c>
      <c r="N41" s="89">
        <v>5.29</v>
      </c>
      <c r="O41" s="57">
        <v>7000</v>
      </c>
      <c r="P41" s="58">
        <f t="shared" si="0"/>
        <v>37030</v>
      </c>
    </row>
    <row r="42" spans="1:16" ht="26.25" customHeight="1" x14ac:dyDescent="0.2">
      <c r="A42" s="100"/>
      <c r="B42" s="100"/>
      <c r="C42" s="90" t="s">
        <v>278</v>
      </c>
      <c r="D42" s="90" t="s">
        <v>57</v>
      </c>
      <c r="E42" s="91">
        <v>44532</v>
      </c>
      <c r="F42" s="90" t="s">
        <v>71</v>
      </c>
      <c r="G42" s="91">
        <v>44537</v>
      </c>
      <c r="H42" s="90" t="s">
        <v>237</v>
      </c>
      <c r="I42" s="90">
        <v>192</v>
      </c>
      <c r="J42" s="90">
        <v>27</v>
      </c>
      <c r="K42" s="90">
        <v>27</v>
      </c>
      <c r="L42" s="90">
        <v>10</v>
      </c>
      <c r="M42" s="92">
        <v>34.991999999999997</v>
      </c>
      <c r="N42" s="89">
        <v>34.991999999999997</v>
      </c>
      <c r="O42" s="57">
        <v>7000</v>
      </c>
      <c r="P42" s="58">
        <f t="shared" si="0"/>
        <v>244943.99999999997</v>
      </c>
    </row>
    <row r="43" spans="1:16" ht="22.5" customHeight="1" x14ac:dyDescent="0.2">
      <c r="A43" s="159" t="s">
        <v>30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1"/>
      <c r="M43" s="71">
        <f>SUM(M3:M42)</f>
        <v>953.16249999999991</v>
      </c>
      <c r="N43" s="61">
        <f>SUM(N3:N42)</f>
        <v>967.36850000000004</v>
      </c>
      <c r="O43" s="162">
        <f>SUM(P3:P42)</f>
        <v>6771579.5</v>
      </c>
      <c r="P43" s="163"/>
    </row>
    <row r="44" spans="1:16" ht="18" customHeight="1" x14ac:dyDescent="0.2">
      <c r="A44" s="78"/>
      <c r="B44" s="49" t="s">
        <v>42</v>
      </c>
      <c r="C44" s="48"/>
      <c r="D44" s="50" t="s">
        <v>43</v>
      </c>
      <c r="E44" s="78"/>
      <c r="F44" s="78"/>
      <c r="G44" s="78"/>
      <c r="H44" s="78"/>
      <c r="I44" s="78"/>
      <c r="J44" s="78"/>
      <c r="K44" s="78"/>
      <c r="L44" s="78"/>
      <c r="M44" s="79"/>
      <c r="N44" s="80" t="s">
        <v>52</v>
      </c>
      <c r="O44" s="81"/>
      <c r="P44" s="81">
        <v>0</v>
      </c>
    </row>
    <row r="45" spans="1:16" ht="18" customHeight="1" thickBot="1" x14ac:dyDescent="0.25">
      <c r="A45" s="78"/>
      <c r="B45" s="49"/>
      <c r="C45" s="48"/>
      <c r="D45" s="50"/>
      <c r="E45" s="78"/>
      <c r="F45" s="78"/>
      <c r="G45" s="78"/>
      <c r="H45" s="78"/>
      <c r="I45" s="78"/>
      <c r="J45" s="78"/>
      <c r="K45" s="78"/>
      <c r="L45" s="78"/>
      <c r="M45" s="79"/>
      <c r="N45" s="82" t="s">
        <v>53</v>
      </c>
      <c r="O45" s="83"/>
      <c r="P45" s="83">
        <f>O43-P44</f>
        <v>6771579.5</v>
      </c>
    </row>
    <row r="46" spans="1:16" ht="18" customHeight="1" x14ac:dyDescent="0.2">
      <c r="A46" s="10"/>
      <c r="H46" s="56"/>
      <c r="N46" s="55" t="s">
        <v>31</v>
      </c>
      <c r="P46" s="62">
        <f>P45*1%</f>
        <v>67715.794999999998</v>
      </c>
    </row>
    <row r="47" spans="1:16" ht="18" customHeight="1" thickBot="1" x14ac:dyDescent="0.25">
      <c r="A47" s="10"/>
      <c r="H47" s="56"/>
      <c r="N47" s="55" t="s">
        <v>54</v>
      </c>
      <c r="P47" s="64">
        <f>P45*2%</f>
        <v>135431.59</v>
      </c>
    </row>
    <row r="48" spans="1:16" ht="18" customHeight="1" x14ac:dyDescent="0.2">
      <c r="A48" s="10"/>
      <c r="H48" s="56"/>
      <c r="N48" s="59" t="s">
        <v>32</v>
      </c>
      <c r="O48" s="60"/>
      <c r="P48" s="63">
        <f>P45+P46-P47</f>
        <v>6703863.7050000001</v>
      </c>
    </row>
    <row r="50" spans="1:16" x14ac:dyDescent="0.2">
      <c r="A50" s="10"/>
      <c r="H50" s="56"/>
      <c r="P50" s="64"/>
    </row>
    <row r="51" spans="1:16" x14ac:dyDescent="0.2">
      <c r="A51" s="10"/>
      <c r="H51" s="56"/>
      <c r="O51" s="51"/>
      <c r="P51" s="6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6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6"/>
      <c r="N63" s="14"/>
      <c r="O63" s="14"/>
      <c r="P63" s="14"/>
    </row>
  </sheetData>
  <mergeCells count="2">
    <mergeCell ref="A43:L43"/>
    <mergeCell ref="O43:P43"/>
  </mergeCells>
  <conditionalFormatting sqref="C3:C42">
    <cfRule type="duplicateValues" dxfId="1530" priority="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workbookViewId="0">
      <selection activeCell="N33" sqref="N3:N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403916</v>
      </c>
      <c r="B3" s="99" t="s">
        <v>3602</v>
      </c>
      <c r="C3" s="90" t="s">
        <v>3603</v>
      </c>
      <c r="D3" s="102" t="s">
        <v>57</v>
      </c>
      <c r="E3" s="91">
        <v>44549</v>
      </c>
      <c r="F3" s="102" t="s">
        <v>59</v>
      </c>
      <c r="G3" s="91">
        <v>44555</v>
      </c>
      <c r="H3" s="90" t="s">
        <v>3349</v>
      </c>
      <c r="I3" s="90">
        <v>85</v>
      </c>
      <c r="J3" s="90">
        <v>50</v>
      </c>
      <c r="K3" s="90">
        <v>33</v>
      </c>
      <c r="L3" s="90">
        <v>21</v>
      </c>
      <c r="M3" s="90">
        <v>35.0625</v>
      </c>
      <c r="N3" s="104">
        <v>35.0625</v>
      </c>
      <c r="O3" s="57">
        <v>7000</v>
      </c>
      <c r="P3" s="58">
        <f t="shared" ref="P3:P33" si="0">N3*O3</f>
        <v>245437.5</v>
      </c>
    </row>
    <row r="4" spans="1:16" ht="26.25" customHeight="1" x14ac:dyDescent="0.2">
      <c r="A4" s="100"/>
      <c r="B4" s="100"/>
      <c r="C4" s="90" t="s">
        <v>3604</v>
      </c>
      <c r="D4" s="102" t="s">
        <v>57</v>
      </c>
      <c r="E4" s="91">
        <v>44549</v>
      </c>
      <c r="F4" s="102" t="s">
        <v>59</v>
      </c>
      <c r="G4" s="91">
        <v>44555</v>
      </c>
      <c r="H4" s="90" t="s">
        <v>3349</v>
      </c>
      <c r="I4" s="90">
        <v>63</v>
      </c>
      <c r="J4" s="90">
        <v>55</v>
      </c>
      <c r="K4" s="90">
        <v>20</v>
      </c>
      <c r="L4" s="90">
        <v>12</v>
      </c>
      <c r="M4" s="90">
        <v>17.324999999999999</v>
      </c>
      <c r="N4" s="104">
        <v>18</v>
      </c>
      <c r="O4" s="57">
        <v>7000</v>
      </c>
      <c r="P4" s="58">
        <f t="shared" si="0"/>
        <v>126000</v>
      </c>
    </row>
    <row r="5" spans="1:16" ht="26.25" customHeight="1" x14ac:dyDescent="0.2">
      <c r="A5" s="100"/>
      <c r="B5" s="100"/>
      <c r="C5" s="90" t="s">
        <v>3605</v>
      </c>
      <c r="D5" s="102" t="s">
        <v>57</v>
      </c>
      <c r="E5" s="91">
        <v>44549</v>
      </c>
      <c r="F5" s="102" t="s">
        <v>59</v>
      </c>
      <c r="G5" s="91">
        <v>44555</v>
      </c>
      <c r="H5" s="90" t="s">
        <v>3349</v>
      </c>
      <c r="I5" s="90">
        <v>72</v>
      </c>
      <c r="J5" s="90">
        <v>62</v>
      </c>
      <c r="K5" s="90">
        <v>16</v>
      </c>
      <c r="L5" s="90">
        <v>9</v>
      </c>
      <c r="M5" s="90">
        <v>17.856000000000002</v>
      </c>
      <c r="N5" s="104">
        <v>17.856000000000002</v>
      </c>
      <c r="O5" s="57">
        <v>7000</v>
      </c>
      <c r="P5" s="58">
        <f t="shared" si="0"/>
        <v>124992.00000000001</v>
      </c>
    </row>
    <row r="6" spans="1:16" ht="26.25" customHeight="1" x14ac:dyDescent="0.2">
      <c r="A6" s="100"/>
      <c r="B6" s="100"/>
      <c r="C6" s="65" t="s">
        <v>3606</v>
      </c>
      <c r="D6" s="70" t="s">
        <v>57</v>
      </c>
      <c r="E6" s="12">
        <v>44549</v>
      </c>
      <c r="F6" s="68" t="s">
        <v>59</v>
      </c>
      <c r="G6" s="12">
        <v>44555</v>
      </c>
      <c r="H6" s="69" t="s">
        <v>3349</v>
      </c>
      <c r="I6" s="15">
        <v>72</v>
      </c>
      <c r="J6" s="15">
        <v>47</v>
      </c>
      <c r="K6" s="15">
        <v>11</v>
      </c>
      <c r="L6" s="15">
        <v>4</v>
      </c>
      <c r="M6" s="73">
        <v>9.3059999999999992</v>
      </c>
      <c r="N6" s="104">
        <v>10</v>
      </c>
      <c r="O6" s="57">
        <v>7000</v>
      </c>
      <c r="P6" s="58">
        <f t="shared" si="0"/>
        <v>70000</v>
      </c>
    </row>
    <row r="7" spans="1:16" ht="26.25" customHeight="1" x14ac:dyDescent="0.2">
      <c r="A7" s="100"/>
      <c r="B7" s="100"/>
      <c r="C7" s="65" t="s">
        <v>3607</v>
      </c>
      <c r="D7" s="70" t="s">
        <v>57</v>
      </c>
      <c r="E7" s="12">
        <v>44549</v>
      </c>
      <c r="F7" s="68" t="s">
        <v>59</v>
      </c>
      <c r="G7" s="12">
        <v>44555</v>
      </c>
      <c r="H7" s="69" t="s">
        <v>3349</v>
      </c>
      <c r="I7" s="15">
        <v>52</v>
      </c>
      <c r="J7" s="15">
        <v>33</v>
      </c>
      <c r="K7" s="15">
        <v>26</v>
      </c>
      <c r="L7" s="15">
        <v>2</v>
      </c>
      <c r="M7" s="73">
        <v>11.154</v>
      </c>
      <c r="N7" s="104">
        <v>11.154</v>
      </c>
      <c r="O7" s="57">
        <v>7000</v>
      </c>
      <c r="P7" s="58">
        <f t="shared" si="0"/>
        <v>78078</v>
      </c>
    </row>
    <row r="8" spans="1:16" ht="26.25" customHeight="1" x14ac:dyDescent="0.2">
      <c r="A8" s="100"/>
      <c r="B8" s="100"/>
      <c r="C8" s="65" t="s">
        <v>3608</v>
      </c>
      <c r="D8" s="70" t="s">
        <v>57</v>
      </c>
      <c r="E8" s="12">
        <v>44549</v>
      </c>
      <c r="F8" s="68" t="s">
        <v>59</v>
      </c>
      <c r="G8" s="12">
        <v>44555</v>
      </c>
      <c r="H8" s="69" t="s">
        <v>3349</v>
      </c>
      <c r="I8" s="15">
        <v>105</v>
      </c>
      <c r="J8" s="15">
        <v>50</v>
      </c>
      <c r="K8" s="15">
        <v>27</v>
      </c>
      <c r="L8" s="15">
        <v>24</v>
      </c>
      <c r="M8" s="73">
        <v>35.4375</v>
      </c>
      <c r="N8" s="104">
        <v>36</v>
      </c>
      <c r="O8" s="57">
        <v>7000</v>
      </c>
      <c r="P8" s="58">
        <f t="shared" si="0"/>
        <v>252000</v>
      </c>
    </row>
    <row r="9" spans="1:16" ht="26.25" customHeight="1" x14ac:dyDescent="0.2">
      <c r="A9" s="100"/>
      <c r="B9" s="100"/>
      <c r="C9" s="65" t="s">
        <v>3609</v>
      </c>
      <c r="D9" s="70" t="s">
        <v>57</v>
      </c>
      <c r="E9" s="12">
        <v>44549</v>
      </c>
      <c r="F9" s="68" t="s">
        <v>59</v>
      </c>
      <c r="G9" s="12">
        <v>44555</v>
      </c>
      <c r="H9" s="69" t="s">
        <v>3349</v>
      </c>
      <c r="I9" s="15">
        <v>50</v>
      </c>
      <c r="J9" s="15">
        <v>35</v>
      </c>
      <c r="K9" s="15">
        <v>10</v>
      </c>
      <c r="L9" s="15">
        <v>2</v>
      </c>
      <c r="M9" s="73">
        <v>4.375</v>
      </c>
      <c r="N9" s="104">
        <v>5</v>
      </c>
      <c r="O9" s="57">
        <v>7000</v>
      </c>
      <c r="P9" s="58">
        <f t="shared" si="0"/>
        <v>35000</v>
      </c>
    </row>
    <row r="10" spans="1:16" ht="26.25" customHeight="1" x14ac:dyDescent="0.2">
      <c r="A10" s="100"/>
      <c r="B10" s="100"/>
      <c r="C10" s="65" t="s">
        <v>3610</v>
      </c>
      <c r="D10" s="70" t="s">
        <v>57</v>
      </c>
      <c r="E10" s="12">
        <v>44549</v>
      </c>
      <c r="F10" s="68" t="s">
        <v>59</v>
      </c>
      <c r="G10" s="12">
        <v>44555</v>
      </c>
      <c r="H10" s="69" t="s">
        <v>3349</v>
      </c>
      <c r="I10" s="15">
        <v>87</v>
      </c>
      <c r="J10" s="15">
        <v>62</v>
      </c>
      <c r="K10" s="15">
        <v>25</v>
      </c>
      <c r="L10" s="15">
        <v>23</v>
      </c>
      <c r="M10" s="73">
        <v>33.712499999999999</v>
      </c>
      <c r="N10" s="104">
        <v>33.712499999999999</v>
      </c>
      <c r="O10" s="57">
        <v>7000</v>
      </c>
      <c r="P10" s="58">
        <f t="shared" si="0"/>
        <v>235987.5</v>
      </c>
    </row>
    <row r="11" spans="1:16" ht="26.25" customHeight="1" x14ac:dyDescent="0.2">
      <c r="A11" s="100"/>
      <c r="B11" s="100"/>
      <c r="C11" s="65" t="s">
        <v>3611</v>
      </c>
      <c r="D11" s="70" t="s">
        <v>57</v>
      </c>
      <c r="E11" s="12">
        <v>44549</v>
      </c>
      <c r="F11" s="68" t="s">
        <v>59</v>
      </c>
      <c r="G11" s="12">
        <v>44555</v>
      </c>
      <c r="H11" s="69" t="s">
        <v>3349</v>
      </c>
      <c r="I11" s="15">
        <v>45</v>
      </c>
      <c r="J11" s="15">
        <v>45</v>
      </c>
      <c r="K11" s="15">
        <v>11</v>
      </c>
      <c r="L11" s="15">
        <v>1</v>
      </c>
      <c r="M11" s="73">
        <v>5.5687499999999996</v>
      </c>
      <c r="N11" s="104">
        <v>5.5687499999999996</v>
      </c>
      <c r="O11" s="57">
        <v>7000</v>
      </c>
      <c r="P11" s="58">
        <f t="shared" si="0"/>
        <v>38981.25</v>
      </c>
    </row>
    <row r="12" spans="1:16" ht="26.25" customHeight="1" x14ac:dyDescent="0.2">
      <c r="A12" s="100"/>
      <c r="B12" s="100"/>
      <c r="C12" s="65" t="s">
        <v>3612</v>
      </c>
      <c r="D12" s="70" t="s">
        <v>57</v>
      </c>
      <c r="E12" s="12">
        <v>44549</v>
      </c>
      <c r="F12" s="68" t="s">
        <v>59</v>
      </c>
      <c r="G12" s="12">
        <v>44555</v>
      </c>
      <c r="H12" s="69" t="s">
        <v>3349</v>
      </c>
      <c r="I12" s="15">
        <v>40</v>
      </c>
      <c r="J12" s="15">
        <v>32</v>
      </c>
      <c r="K12" s="15">
        <v>12</v>
      </c>
      <c r="L12" s="15">
        <v>3</v>
      </c>
      <c r="M12" s="73">
        <v>3.84</v>
      </c>
      <c r="N12" s="104">
        <v>3.84</v>
      </c>
      <c r="O12" s="57">
        <v>7000</v>
      </c>
      <c r="P12" s="58">
        <f t="shared" si="0"/>
        <v>26880</v>
      </c>
    </row>
    <row r="13" spans="1:16" ht="26.25" customHeight="1" x14ac:dyDescent="0.2">
      <c r="A13" s="100"/>
      <c r="B13" s="100"/>
      <c r="C13" s="65" t="s">
        <v>3613</v>
      </c>
      <c r="D13" s="70" t="s">
        <v>57</v>
      </c>
      <c r="E13" s="12">
        <v>44549</v>
      </c>
      <c r="F13" s="68" t="s">
        <v>59</v>
      </c>
      <c r="G13" s="12">
        <v>44555</v>
      </c>
      <c r="H13" s="69" t="s">
        <v>3349</v>
      </c>
      <c r="I13" s="15">
        <v>54</v>
      </c>
      <c r="J13" s="15">
        <v>33</v>
      </c>
      <c r="K13" s="15">
        <v>15</v>
      </c>
      <c r="L13" s="15">
        <v>5</v>
      </c>
      <c r="M13" s="73">
        <v>6.6825000000000001</v>
      </c>
      <c r="N13" s="104">
        <v>6.6825000000000001</v>
      </c>
      <c r="O13" s="57">
        <v>7000</v>
      </c>
      <c r="P13" s="58">
        <f t="shared" si="0"/>
        <v>46777.5</v>
      </c>
    </row>
    <row r="14" spans="1:16" ht="26.25" customHeight="1" x14ac:dyDescent="0.2">
      <c r="A14" s="100"/>
      <c r="B14" s="100"/>
      <c r="C14" s="65" t="s">
        <v>3614</v>
      </c>
      <c r="D14" s="70" t="s">
        <v>57</v>
      </c>
      <c r="E14" s="12">
        <v>44549</v>
      </c>
      <c r="F14" s="68" t="s">
        <v>59</v>
      </c>
      <c r="G14" s="12">
        <v>44555</v>
      </c>
      <c r="H14" s="69" t="s">
        <v>3349</v>
      </c>
      <c r="I14" s="15">
        <v>72</v>
      </c>
      <c r="J14" s="15">
        <v>53</v>
      </c>
      <c r="K14" s="15">
        <v>15</v>
      </c>
      <c r="L14" s="15">
        <v>8</v>
      </c>
      <c r="M14" s="73">
        <v>14.31</v>
      </c>
      <c r="N14" s="104">
        <v>15</v>
      </c>
      <c r="O14" s="57">
        <v>7000</v>
      </c>
      <c r="P14" s="58">
        <f t="shared" si="0"/>
        <v>105000</v>
      </c>
    </row>
    <row r="15" spans="1:16" ht="26.25" customHeight="1" x14ac:dyDescent="0.2">
      <c r="A15" s="100"/>
      <c r="B15" s="100"/>
      <c r="C15" s="65" t="s">
        <v>3615</v>
      </c>
      <c r="D15" s="70" t="s">
        <v>57</v>
      </c>
      <c r="E15" s="12">
        <v>44549</v>
      </c>
      <c r="F15" s="68" t="s">
        <v>59</v>
      </c>
      <c r="G15" s="12">
        <v>44555</v>
      </c>
      <c r="H15" s="69" t="s">
        <v>3349</v>
      </c>
      <c r="I15" s="15">
        <v>63</v>
      </c>
      <c r="J15" s="15">
        <v>42</v>
      </c>
      <c r="K15" s="15">
        <v>15</v>
      </c>
      <c r="L15" s="15">
        <v>11</v>
      </c>
      <c r="M15" s="73">
        <v>9.9224999999999994</v>
      </c>
      <c r="N15" s="104">
        <v>11</v>
      </c>
      <c r="O15" s="57">
        <v>7000</v>
      </c>
      <c r="P15" s="58">
        <f t="shared" si="0"/>
        <v>77000</v>
      </c>
    </row>
    <row r="16" spans="1:16" ht="26.25" customHeight="1" x14ac:dyDescent="0.2">
      <c r="A16" s="100"/>
      <c r="B16" s="100"/>
      <c r="C16" s="65" t="s">
        <v>3616</v>
      </c>
      <c r="D16" s="70" t="s">
        <v>57</v>
      </c>
      <c r="E16" s="12">
        <v>44549</v>
      </c>
      <c r="F16" s="68" t="s">
        <v>59</v>
      </c>
      <c r="G16" s="12">
        <v>44555</v>
      </c>
      <c r="H16" s="69" t="s">
        <v>3349</v>
      </c>
      <c r="I16" s="15">
        <v>62</v>
      </c>
      <c r="J16" s="15">
        <v>40</v>
      </c>
      <c r="K16" s="15">
        <v>20</v>
      </c>
      <c r="L16" s="15">
        <v>6</v>
      </c>
      <c r="M16" s="73">
        <v>12.4</v>
      </c>
      <c r="N16" s="104">
        <v>13</v>
      </c>
      <c r="O16" s="57">
        <v>7000</v>
      </c>
      <c r="P16" s="58">
        <f t="shared" si="0"/>
        <v>91000</v>
      </c>
    </row>
    <row r="17" spans="1:16" ht="26.25" customHeight="1" x14ac:dyDescent="0.2">
      <c r="A17" s="100"/>
      <c r="B17" s="100"/>
      <c r="C17" s="65" t="s">
        <v>3617</v>
      </c>
      <c r="D17" s="70" t="s">
        <v>57</v>
      </c>
      <c r="E17" s="12">
        <v>44549</v>
      </c>
      <c r="F17" s="68" t="s">
        <v>59</v>
      </c>
      <c r="G17" s="12">
        <v>44555</v>
      </c>
      <c r="H17" s="69" t="s">
        <v>3349</v>
      </c>
      <c r="I17" s="15">
        <v>75</v>
      </c>
      <c r="J17" s="15">
        <v>60</v>
      </c>
      <c r="K17" s="15">
        <v>25</v>
      </c>
      <c r="L17" s="15">
        <v>7</v>
      </c>
      <c r="M17" s="73">
        <v>28.125</v>
      </c>
      <c r="N17" s="104">
        <v>28.125</v>
      </c>
      <c r="O17" s="57">
        <v>7000</v>
      </c>
      <c r="P17" s="58">
        <f t="shared" si="0"/>
        <v>196875</v>
      </c>
    </row>
    <row r="18" spans="1:16" ht="26.25" customHeight="1" x14ac:dyDescent="0.2">
      <c r="A18" s="100"/>
      <c r="B18" s="100"/>
      <c r="C18" s="65" t="s">
        <v>3618</v>
      </c>
      <c r="D18" s="70" t="s">
        <v>57</v>
      </c>
      <c r="E18" s="12">
        <v>44549</v>
      </c>
      <c r="F18" s="68" t="s">
        <v>59</v>
      </c>
      <c r="G18" s="12">
        <v>44555</v>
      </c>
      <c r="H18" s="69" t="s">
        <v>3349</v>
      </c>
      <c r="I18" s="15">
        <v>93</v>
      </c>
      <c r="J18" s="15">
        <v>55</v>
      </c>
      <c r="K18" s="15">
        <v>15</v>
      </c>
      <c r="L18" s="15">
        <v>13</v>
      </c>
      <c r="M18" s="73">
        <v>19.181249999999999</v>
      </c>
      <c r="N18" s="104">
        <v>19.181249999999999</v>
      </c>
      <c r="O18" s="57">
        <v>7000</v>
      </c>
      <c r="P18" s="58">
        <f t="shared" si="0"/>
        <v>134268.75</v>
      </c>
    </row>
    <row r="19" spans="1:16" ht="26.25" customHeight="1" x14ac:dyDescent="0.2">
      <c r="A19" s="100"/>
      <c r="B19" s="100"/>
      <c r="C19" s="65" t="s">
        <v>3619</v>
      </c>
      <c r="D19" s="70" t="s">
        <v>57</v>
      </c>
      <c r="E19" s="12">
        <v>44549</v>
      </c>
      <c r="F19" s="68" t="s">
        <v>59</v>
      </c>
      <c r="G19" s="12">
        <v>44555</v>
      </c>
      <c r="H19" s="69" t="s">
        <v>3349</v>
      </c>
      <c r="I19" s="15">
        <v>53</v>
      </c>
      <c r="J19" s="15">
        <v>32</v>
      </c>
      <c r="K19" s="15">
        <v>10</v>
      </c>
      <c r="L19" s="15">
        <v>10</v>
      </c>
      <c r="M19" s="73">
        <v>4.24</v>
      </c>
      <c r="N19" s="104">
        <v>10</v>
      </c>
      <c r="O19" s="57">
        <v>7000</v>
      </c>
      <c r="P19" s="58">
        <f t="shared" si="0"/>
        <v>70000</v>
      </c>
    </row>
    <row r="20" spans="1:16" ht="26.25" customHeight="1" x14ac:dyDescent="0.2">
      <c r="A20" s="100"/>
      <c r="B20" s="100"/>
      <c r="C20" s="65" t="s">
        <v>3620</v>
      </c>
      <c r="D20" s="70" t="s">
        <v>57</v>
      </c>
      <c r="E20" s="12">
        <v>44549</v>
      </c>
      <c r="F20" s="68" t="s">
        <v>59</v>
      </c>
      <c r="G20" s="12">
        <v>44555</v>
      </c>
      <c r="H20" s="69" t="s">
        <v>3349</v>
      </c>
      <c r="I20" s="15">
        <v>55</v>
      </c>
      <c r="J20" s="15">
        <v>50</v>
      </c>
      <c r="K20" s="15">
        <v>14</v>
      </c>
      <c r="L20" s="15">
        <v>7</v>
      </c>
      <c r="M20" s="73">
        <v>9.625</v>
      </c>
      <c r="N20" s="104">
        <v>9.625</v>
      </c>
      <c r="O20" s="57">
        <v>7000</v>
      </c>
      <c r="P20" s="58">
        <f t="shared" si="0"/>
        <v>67375</v>
      </c>
    </row>
    <row r="21" spans="1:16" ht="26.25" customHeight="1" x14ac:dyDescent="0.2">
      <c r="A21" s="100"/>
      <c r="B21" s="100"/>
      <c r="C21" s="65" t="s">
        <v>3621</v>
      </c>
      <c r="D21" s="70" t="s">
        <v>57</v>
      </c>
      <c r="E21" s="12">
        <v>44549</v>
      </c>
      <c r="F21" s="68" t="s">
        <v>59</v>
      </c>
      <c r="G21" s="12">
        <v>44555</v>
      </c>
      <c r="H21" s="69" t="s">
        <v>3349</v>
      </c>
      <c r="I21" s="15">
        <v>35</v>
      </c>
      <c r="J21" s="15">
        <v>33</v>
      </c>
      <c r="K21" s="15">
        <v>30</v>
      </c>
      <c r="L21" s="15">
        <v>5</v>
      </c>
      <c r="M21" s="73">
        <v>8.6624999999999996</v>
      </c>
      <c r="N21" s="104">
        <v>8.6624999999999996</v>
      </c>
      <c r="O21" s="57">
        <v>7000</v>
      </c>
      <c r="P21" s="58">
        <f t="shared" si="0"/>
        <v>60637.5</v>
      </c>
    </row>
    <row r="22" spans="1:16" ht="26.25" customHeight="1" x14ac:dyDescent="0.2">
      <c r="A22" s="100"/>
      <c r="B22" s="100"/>
      <c r="C22" s="65" t="s">
        <v>3622</v>
      </c>
      <c r="D22" s="70" t="s">
        <v>57</v>
      </c>
      <c r="E22" s="12">
        <v>44549</v>
      </c>
      <c r="F22" s="68" t="s">
        <v>59</v>
      </c>
      <c r="G22" s="12">
        <v>44555</v>
      </c>
      <c r="H22" s="69" t="s">
        <v>3349</v>
      </c>
      <c r="I22" s="15">
        <v>70</v>
      </c>
      <c r="J22" s="15">
        <v>57</v>
      </c>
      <c r="K22" s="15">
        <v>15</v>
      </c>
      <c r="L22" s="15">
        <v>7</v>
      </c>
      <c r="M22" s="73">
        <v>14.9625</v>
      </c>
      <c r="N22" s="104">
        <v>14.9625</v>
      </c>
      <c r="O22" s="57">
        <v>7000</v>
      </c>
      <c r="P22" s="58">
        <f t="shared" si="0"/>
        <v>104737.5</v>
      </c>
    </row>
    <row r="23" spans="1:16" ht="26.25" customHeight="1" x14ac:dyDescent="0.2">
      <c r="A23" s="100"/>
      <c r="B23" s="100"/>
      <c r="C23" s="65" t="s">
        <v>3623</v>
      </c>
      <c r="D23" s="70" t="s">
        <v>57</v>
      </c>
      <c r="E23" s="12">
        <v>44549</v>
      </c>
      <c r="F23" s="68" t="s">
        <v>59</v>
      </c>
      <c r="G23" s="12">
        <v>44555</v>
      </c>
      <c r="H23" s="69" t="s">
        <v>3349</v>
      </c>
      <c r="I23" s="15">
        <v>70</v>
      </c>
      <c r="J23" s="15">
        <v>60</v>
      </c>
      <c r="K23" s="15">
        <v>12</v>
      </c>
      <c r="L23" s="15">
        <v>3</v>
      </c>
      <c r="M23" s="73">
        <v>12.6</v>
      </c>
      <c r="N23" s="104">
        <v>12.6</v>
      </c>
      <c r="O23" s="57">
        <v>7000</v>
      </c>
      <c r="P23" s="58">
        <f t="shared" si="0"/>
        <v>88200</v>
      </c>
    </row>
    <row r="24" spans="1:16" ht="26.25" customHeight="1" x14ac:dyDescent="0.2">
      <c r="A24" s="100"/>
      <c r="B24" s="100"/>
      <c r="C24" s="65" t="s">
        <v>3624</v>
      </c>
      <c r="D24" s="70" t="s">
        <v>57</v>
      </c>
      <c r="E24" s="12">
        <v>44549</v>
      </c>
      <c r="F24" s="68" t="s">
        <v>59</v>
      </c>
      <c r="G24" s="12">
        <v>44555</v>
      </c>
      <c r="H24" s="69" t="s">
        <v>3349</v>
      </c>
      <c r="I24" s="15">
        <v>60</v>
      </c>
      <c r="J24" s="15">
        <v>40</v>
      </c>
      <c r="K24" s="15">
        <v>15</v>
      </c>
      <c r="L24" s="15">
        <v>1</v>
      </c>
      <c r="M24" s="73">
        <v>9</v>
      </c>
      <c r="N24" s="104">
        <v>9</v>
      </c>
      <c r="O24" s="57">
        <v>7000</v>
      </c>
      <c r="P24" s="58">
        <f t="shared" si="0"/>
        <v>63000</v>
      </c>
    </row>
    <row r="25" spans="1:16" ht="26.25" customHeight="1" x14ac:dyDescent="0.2">
      <c r="A25" s="100"/>
      <c r="B25" s="100"/>
      <c r="C25" s="65" t="s">
        <v>3625</v>
      </c>
      <c r="D25" s="70" t="s">
        <v>57</v>
      </c>
      <c r="E25" s="12">
        <v>44549</v>
      </c>
      <c r="F25" s="68" t="s">
        <v>59</v>
      </c>
      <c r="G25" s="12">
        <v>44555</v>
      </c>
      <c r="H25" s="69" t="s">
        <v>3349</v>
      </c>
      <c r="I25" s="15">
        <v>70</v>
      </c>
      <c r="J25" s="15">
        <v>55</v>
      </c>
      <c r="K25" s="15">
        <v>22</v>
      </c>
      <c r="L25" s="15">
        <v>8</v>
      </c>
      <c r="M25" s="73">
        <v>21.175000000000001</v>
      </c>
      <c r="N25" s="104">
        <v>21.175000000000001</v>
      </c>
      <c r="O25" s="57">
        <v>7000</v>
      </c>
      <c r="P25" s="58">
        <f t="shared" si="0"/>
        <v>148225</v>
      </c>
    </row>
    <row r="26" spans="1:16" ht="26.25" customHeight="1" x14ac:dyDescent="0.2">
      <c r="A26" s="100"/>
      <c r="B26" s="100"/>
      <c r="C26" s="65" t="s">
        <v>3626</v>
      </c>
      <c r="D26" s="70" t="s">
        <v>57</v>
      </c>
      <c r="E26" s="12">
        <v>44549</v>
      </c>
      <c r="F26" s="68" t="s">
        <v>59</v>
      </c>
      <c r="G26" s="12">
        <v>44555</v>
      </c>
      <c r="H26" s="69" t="s">
        <v>3349</v>
      </c>
      <c r="I26" s="15">
        <v>98</v>
      </c>
      <c r="J26" s="15">
        <v>20</v>
      </c>
      <c r="K26" s="15">
        <v>12</v>
      </c>
      <c r="L26" s="15">
        <v>1</v>
      </c>
      <c r="M26" s="73">
        <v>5.88</v>
      </c>
      <c r="N26" s="104">
        <v>5.88</v>
      </c>
      <c r="O26" s="57">
        <v>7000</v>
      </c>
      <c r="P26" s="58">
        <f t="shared" si="0"/>
        <v>41160</v>
      </c>
    </row>
    <row r="27" spans="1:16" ht="26.25" customHeight="1" x14ac:dyDescent="0.2">
      <c r="A27" s="100"/>
      <c r="B27" s="100"/>
      <c r="C27" s="65" t="s">
        <v>3627</v>
      </c>
      <c r="D27" s="70" t="s">
        <v>57</v>
      </c>
      <c r="E27" s="12">
        <v>44549</v>
      </c>
      <c r="F27" s="68" t="s">
        <v>59</v>
      </c>
      <c r="G27" s="12">
        <v>44555</v>
      </c>
      <c r="H27" s="69" t="s">
        <v>3349</v>
      </c>
      <c r="I27" s="15">
        <v>46</v>
      </c>
      <c r="J27" s="15">
        <v>30</v>
      </c>
      <c r="K27" s="15">
        <v>10</v>
      </c>
      <c r="L27" s="15">
        <v>1</v>
      </c>
      <c r="M27" s="73">
        <v>3.45</v>
      </c>
      <c r="N27" s="104">
        <v>4</v>
      </c>
      <c r="O27" s="57">
        <v>7000</v>
      </c>
      <c r="P27" s="58">
        <f t="shared" si="0"/>
        <v>28000</v>
      </c>
    </row>
    <row r="28" spans="1:16" ht="26.25" customHeight="1" x14ac:dyDescent="0.2">
      <c r="A28" s="100"/>
      <c r="B28" s="100"/>
      <c r="C28" s="65" t="s">
        <v>3628</v>
      </c>
      <c r="D28" s="70" t="s">
        <v>57</v>
      </c>
      <c r="E28" s="12">
        <v>44549</v>
      </c>
      <c r="F28" s="68" t="s">
        <v>59</v>
      </c>
      <c r="G28" s="12">
        <v>44555</v>
      </c>
      <c r="H28" s="69" t="s">
        <v>3349</v>
      </c>
      <c r="I28" s="15">
        <v>82</v>
      </c>
      <c r="J28" s="15">
        <v>47</v>
      </c>
      <c r="K28" s="15">
        <v>20</v>
      </c>
      <c r="L28" s="15">
        <v>3</v>
      </c>
      <c r="M28" s="73">
        <v>19.27</v>
      </c>
      <c r="N28" s="104">
        <v>19.27</v>
      </c>
      <c r="O28" s="57">
        <v>7000</v>
      </c>
      <c r="P28" s="58">
        <f t="shared" si="0"/>
        <v>134890</v>
      </c>
    </row>
    <row r="29" spans="1:16" ht="26.25" customHeight="1" x14ac:dyDescent="0.2">
      <c r="A29" s="100"/>
      <c r="B29" s="100"/>
      <c r="C29" s="65" t="s">
        <v>3629</v>
      </c>
      <c r="D29" s="70" t="s">
        <v>57</v>
      </c>
      <c r="E29" s="12">
        <v>44549</v>
      </c>
      <c r="F29" s="68" t="s">
        <v>59</v>
      </c>
      <c r="G29" s="12">
        <v>44555</v>
      </c>
      <c r="H29" s="69" t="s">
        <v>3349</v>
      </c>
      <c r="I29" s="15">
        <v>44</v>
      </c>
      <c r="J29" s="15">
        <v>44</v>
      </c>
      <c r="K29" s="15">
        <v>10</v>
      </c>
      <c r="L29" s="15">
        <v>1</v>
      </c>
      <c r="M29" s="73">
        <v>4.84</v>
      </c>
      <c r="N29" s="104">
        <v>4.84</v>
      </c>
      <c r="O29" s="57">
        <v>7000</v>
      </c>
      <c r="P29" s="58">
        <f t="shared" si="0"/>
        <v>33880</v>
      </c>
    </row>
    <row r="30" spans="1:16" ht="26.25" customHeight="1" x14ac:dyDescent="0.2">
      <c r="A30" s="100"/>
      <c r="B30" s="100"/>
      <c r="C30" s="65" t="s">
        <v>3630</v>
      </c>
      <c r="D30" s="70" t="s">
        <v>57</v>
      </c>
      <c r="E30" s="12">
        <v>44549</v>
      </c>
      <c r="F30" s="68" t="s">
        <v>59</v>
      </c>
      <c r="G30" s="12">
        <v>44555</v>
      </c>
      <c r="H30" s="69" t="s">
        <v>3349</v>
      </c>
      <c r="I30" s="15">
        <v>80</v>
      </c>
      <c r="J30" s="15">
        <v>65</v>
      </c>
      <c r="K30" s="15">
        <v>15</v>
      </c>
      <c r="L30" s="15">
        <v>8</v>
      </c>
      <c r="M30" s="73">
        <v>19.5</v>
      </c>
      <c r="N30" s="104">
        <v>21</v>
      </c>
      <c r="O30" s="57">
        <v>7000</v>
      </c>
      <c r="P30" s="58">
        <f t="shared" si="0"/>
        <v>147000</v>
      </c>
    </row>
    <row r="31" spans="1:16" ht="26.25" customHeight="1" x14ac:dyDescent="0.2">
      <c r="A31" s="100"/>
      <c r="B31" s="100"/>
      <c r="C31" s="65" t="s">
        <v>3631</v>
      </c>
      <c r="D31" s="70" t="s">
        <v>57</v>
      </c>
      <c r="E31" s="12">
        <v>44549</v>
      </c>
      <c r="F31" s="68" t="s">
        <v>59</v>
      </c>
      <c r="G31" s="12">
        <v>44555</v>
      </c>
      <c r="H31" s="69" t="s">
        <v>3349</v>
      </c>
      <c r="I31" s="15">
        <v>43</v>
      </c>
      <c r="J31" s="15">
        <v>30</v>
      </c>
      <c r="K31" s="15">
        <v>28</v>
      </c>
      <c r="L31" s="15">
        <v>19</v>
      </c>
      <c r="M31" s="73">
        <v>9.0299999999999994</v>
      </c>
      <c r="N31" s="104">
        <v>19</v>
      </c>
      <c r="O31" s="57">
        <v>7000</v>
      </c>
      <c r="P31" s="58">
        <f t="shared" si="0"/>
        <v>133000</v>
      </c>
    </row>
    <row r="32" spans="1:16" ht="26.25" customHeight="1" x14ac:dyDescent="0.2">
      <c r="A32" s="100"/>
      <c r="B32" s="101"/>
      <c r="C32" s="65" t="s">
        <v>3632</v>
      </c>
      <c r="D32" s="70" t="s">
        <v>57</v>
      </c>
      <c r="E32" s="12">
        <v>44549</v>
      </c>
      <c r="F32" s="68" t="s">
        <v>59</v>
      </c>
      <c r="G32" s="12">
        <v>44555</v>
      </c>
      <c r="H32" s="69" t="s">
        <v>3349</v>
      </c>
      <c r="I32" s="15">
        <v>100</v>
      </c>
      <c r="J32" s="15">
        <v>65</v>
      </c>
      <c r="K32" s="15">
        <v>35</v>
      </c>
      <c r="L32" s="15">
        <v>18</v>
      </c>
      <c r="M32" s="73">
        <v>56.875</v>
      </c>
      <c r="N32" s="104">
        <v>56.875</v>
      </c>
      <c r="O32" s="57">
        <v>7000</v>
      </c>
      <c r="P32" s="58">
        <f t="shared" si="0"/>
        <v>398125</v>
      </c>
    </row>
    <row r="33" spans="1:16" ht="26.25" customHeight="1" x14ac:dyDescent="0.2">
      <c r="A33" s="100"/>
      <c r="B33" s="100" t="s">
        <v>3633</v>
      </c>
      <c r="C33" s="65" t="s">
        <v>3634</v>
      </c>
      <c r="D33" s="70" t="s">
        <v>57</v>
      </c>
      <c r="E33" s="12">
        <v>44549</v>
      </c>
      <c r="F33" s="68" t="s">
        <v>59</v>
      </c>
      <c r="G33" s="12">
        <v>44555</v>
      </c>
      <c r="H33" s="69" t="s">
        <v>3349</v>
      </c>
      <c r="I33" s="15">
        <v>20</v>
      </c>
      <c r="J33" s="15">
        <v>15</v>
      </c>
      <c r="K33" s="15">
        <v>8</v>
      </c>
      <c r="L33" s="15">
        <v>1</v>
      </c>
      <c r="M33" s="73">
        <v>0.6</v>
      </c>
      <c r="N33" s="104">
        <v>1</v>
      </c>
      <c r="O33" s="57">
        <v>7000</v>
      </c>
      <c r="P33" s="58">
        <f t="shared" si="0"/>
        <v>7000</v>
      </c>
    </row>
    <row r="34" spans="1:16" ht="22.5" customHeight="1" x14ac:dyDescent="0.2">
      <c r="A34" s="159" t="s">
        <v>30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1"/>
      <c r="M34" s="71">
        <f>SUBTOTAL(109,Table22457891011234567891011121314151617181920212223242526272829303132333435373839404142434445464748495051525354555657585960[KG VOLUME])</f>
        <v>463.96850000000001</v>
      </c>
      <c r="N34" s="61">
        <f>SUM(N3:N33)</f>
        <v>487.07249999999999</v>
      </c>
      <c r="O34" s="162">
        <f>SUM(P3:P33)</f>
        <v>3409507.5</v>
      </c>
      <c r="P34" s="163"/>
    </row>
    <row r="35" spans="1:16" ht="18" customHeight="1" x14ac:dyDescent="0.2">
      <c r="A35" s="78"/>
      <c r="B35" s="49" t="s">
        <v>42</v>
      </c>
      <c r="C35" s="48"/>
      <c r="D35" s="50" t="s">
        <v>43</v>
      </c>
      <c r="E35" s="78"/>
      <c r="F35" s="78"/>
      <c r="G35" s="78"/>
      <c r="H35" s="78"/>
      <c r="I35" s="78"/>
      <c r="J35" s="78"/>
      <c r="K35" s="78"/>
      <c r="L35" s="78"/>
      <c r="M35" s="79"/>
      <c r="N35" s="80" t="s">
        <v>52</v>
      </c>
      <c r="O35" s="81"/>
      <c r="P35" s="81">
        <v>0</v>
      </c>
    </row>
    <row r="36" spans="1:16" ht="18" customHeight="1" thickBot="1" x14ac:dyDescent="0.25">
      <c r="A36" s="78"/>
      <c r="B36" s="49"/>
      <c r="C36" s="48"/>
      <c r="D36" s="50"/>
      <c r="E36" s="78"/>
      <c r="F36" s="78"/>
      <c r="G36" s="78"/>
      <c r="H36" s="78"/>
      <c r="I36" s="78"/>
      <c r="J36" s="78"/>
      <c r="K36" s="78"/>
      <c r="L36" s="78"/>
      <c r="M36" s="79"/>
      <c r="N36" s="82" t="s">
        <v>53</v>
      </c>
      <c r="O36" s="83"/>
      <c r="P36" s="83">
        <f>O34-P35</f>
        <v>3409507.5</v>
      </c>
    </row>
    <row r="37" spans="1:16" ht="18" customHeight="1" x14ac:dyDescent="0.2">
      <c r="A37" s="10"/>
      <c r="H37" s="56"/>
      <c r="N37" s="55" t="s">
        <v>31</v>
      </c>
      <c r="P37" s="62">
        <f>P36*1%</f>
        <v>34095.074999999997</v>
      </c>
    </row>
    <row r="38" spans="1:16" ht="18" customHeight="1" thickBot="1" x14ac:dyDescent="0.25">
      <c r="A38" s="10"/>
      <c r="H38" s="56"/>
      <c r="N38" s="55" t="s">
        <v>54</v>
      </c>
      <c r="P38" s="64">
        <f>P36*2%</f>
        <v>68190.149999999994</v>
      </c>
    </row>
    <row r="39" spans="1:16" ht="18" customHeight="1" x14ac:dyDescent="0.2">
      <c r="A39" s="10"/>
      <c r="H39" s="56"/>
      <c r="N39" s="59" t="s">
        <v>32</v>
      </c>
      <c r="O39" s="60"/>
      <c r="P39" s="63">
        <f>P36+P37-P38</f>
        <v>3375412.4250000003</v>
      </c>
    </row>
    <row r="41" spans="1:16" x14ac:dyDescent="0.2">
      <c r="A41" s="10"/>
      <c r="H41" s="56"/>
      <c r="P41" s="64"/>
    </row>
    <row r="42" spans="1:16" x14ac:dyDescent="0.2">
      <c r="A42" s="10"/>
      <c r="H42" s="56"/>
      <c r="O42" s="51"/>
      <c r="P42" s="6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</sheetData>
  <mergeCells count="2">
    <mergeCell ref="A34:L34"/>
    <mergeCell ref="O34:P34"/>
  </mergeCells>
  <conditionalFormatting sqref="C3:C33">
    <cfRule type="duplicateValues" dxfId="655" priority="8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6"/>
  <sheetViews>
    <sheetView workbookViewId="0">
      <selection activeCell="N165" sqref="N3:N16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402696</v>
      </c>
      <c r="B3" s="99" t="s">
        <v>3635</v>
      </c>
      <c r="C3" s="90" t="s">
        <v>3636</v>
      </c>
      <c r="D3" s="102" t="s">
        <v>57</v>
      </c>
      <c r="E3" s="91">
        <v>44549</v>
      </c>
      <c r="F3" s="102" t="s">
        <v>58</v>
      </c>
      <c r="G3" s="91">
        <v>44554</v>
      </c>
      <c r="H3" s="90" t="s">
        <v>3349</v>
      </c>
      <c r="I3" s="90">
        <v>104</v>
      </c>
      <c r="J3" s="90">
        <v>58</v>
      </c>
      <c r="K3" s="90">
        <v>30</v>
      </c>
      <c r="L3" s="90">
        <v>17</v>
      </c>
      <c r="M3" s="90">
        <v>45.24</v>
      </c>
      <c r="N3" s="104">
        <v>45.24</v>
      </c>
      <c r="O3" s="57">
        <v>7000</v>
      </c>
      <c r="P3" s="58">
        <f t="shared" ref="P3:P66" si="0">N3*O3</f>
        <v>316680</v>
      </c>
    </row>
    <row r="4" spans="1:16" ht="26.25" customHeight="1" x14ac:dyDescent="0.2">
      <c r="A4" s="100"/>
      <c r="B4" s="100"/>
      <c r="C4" s="90" t="s">
        <v>3637</v>
      </c>
      <c r="D4" s="102" t="s">
        <v>57</v>
      </c>
      <c r="E4" s="91">
        <v>44549</v>
      </c>
      <c r="F4" s="102" t="s">
        <v>58</v>
      </c>
      <c r="G4" s="91">
        <v>44554</v>
      </c>
      <c r="H4" s="90" t="s">
        <v>3349</v>
      </c>
      <c r="I4" s="90">
        <v>95</v>
      </c>
      <c r="J4" s="90">
        <v>34</v>
      </c>
      <c r="K4" s="90">
        <v>6</v>
      </c>
      <c r="L4" s="90">
        <v>1</v>
      </c>
      <c r="M4" s="90">
        <v>4.8449999999999998</v>
      </c>
      <c r="N4" s="104">
        <v>4.8449999999999998</v>
      </c>
      <c r="O4" s="57">
        <v>7000</v>
      </c>
      <c r="P4" s="58">
        <f t="shared" si="0"/>
        <v>33915</v>
      </c>
    </row>
    <row r="5" spans="1:16" ht="26.25" customHeight="1" x14ac:dyDescent="0.2">
      <c r="A5" s="100"/>
      <c r="B5" s="100"/>
      <c r="C5" s="65" t="s">
        <v>3638</v>
      </c>
      <c r="D5" s="70" t="s">
        <v>57</v>
      </c>
      <c r="E5" s="12">
        <v>44549</v>
      </c>
      <c r="F5" s="68" t="s">
        <v>58</v>
      </c>
      <c r="G5" s="12">
        <v>44554</v>
      </c>
      <c r="H5" s="69" t="s">
        <v>3349</v>
      </c>
      <c r="I5" s="15">
        <v>67</v>
      </c>
      <c r="J5" s="15">
        <v>50</v>
      </c>
      <c r="K5" s="15">
        <v>18</v>
      </c>
      <c r="L5" s="15">
        <v>8</v>
      </c>
      <c r="M5" s="73">
        <v>15.074999999999999</v>
      </c>
      <c r="N5" s="104">
        <v>15.074999999999999</v>
      </c>
      <c r="O5" s="57">
        <v>7000</v>
      </c>
      <c r="P5" s="58">
        <f t="shared" si="0"/>
        <v>105525</v>
      </c>
    </row>
    <row r="6" spans="1:16" ht="26.25" customHeight="1" x14ac:dyDescent="0.2">
      <c r="A6" s="100"/>
      <c r="B6" s="100"/>
      <c r="C6" s="65" t="s">
        <v>3639</v>
      </c>
      <c r="D6" s="70" t="s">
        <v>57</v>
      </c>
      <c r="E6" s="12">
        <v>44549</v>
      </c>
      <c r="F6" s="68" t="s">
        <v>58</v>
      </c>
      <c r="G6" s="12">
        <v>44554</v>
      </c>
      <c r="H6" s="69" t="s">
        <v>3349</v>
      </c>
      <c r="I6" s="15">
        <v>47</v>
      </c>
      <c r="J6" s="15">
        <v>33</v>
      </c>
      <c r="K6" s="15">
        <v>23</v>
      </c>
      <c r="L6" s="15">
        <v>20</v>
      </c>
      <c r="M6" s="73">
        <v>8.9182500000000005</v>
      </c>
      <c r="N6" s="104">
        <v>20</v>
      </c>
      <c r="O6" s="57">
        <v>7000</v>
      </c>
      <c r="P6" s="58">
        <f t="shared" si="0"/>
        <v>140000</v>
      </c>
    </row>
    <row r="7" spans="1:16" ht="26.25" customHeight="1" x14ac:dyDescent="0.2">
      <c r="A7" s="100"/>
      <c r="B7" s="100"/>
      <c r="C7" s="65" t="s">
        <v>3640</v>
      </c>
      <c r="D7" s="70" t="s">
        <v>57</v>
      </c>
      <c r="E7" s="12">
        <v>44549</v>
      </c>
      <c r="F7" s="68" t="s">
        <v>58</v>
      </c>
      <c r="G7" s="12">
        <v>44554</v>
      </c>
      <c r="H7" s="69" t="s">
        <v>3349</v>
      </c>
      <c r="I7" s="15">
        <v>52</v>
      </c>
      <c r="J7" s="15">
        <v>32</v>
      </c>
      <c r="K7" s="15">
        <v>21</v>
      </c>
      <c r="L7" s="15">
        <v>5</v>
      </c>
      <c r="M7" s="73">
        <v>8.7360000000000007</v>
      </c>
      <c r="N7" s="104">
        <v>8.7360000000000007</v>
      </c>
      <c r="O7" s="57">
        <v>7000</v>
      </c>
      <c r="P7" s="58">
        <f t="shared" si="0"/>
        <v>61152.000000000007</v>
      </c>
    </row>
    <row r="8" spans="1:16" ht="26.25" customHeight="1" x14ac:dyDescent="0.2">
      <c r="A8" s="100"/>
      <c r="B8" s="100"/>
      <c r="C8" s="65" t="s">
        <v>3641</v>
      </c>
      <c r="D8" s="70" t="s">
        <v>57</v>
      </c>
      <c r="E8" s="12">
        <v>44549</v>
      </c>
      <c r="F8" s="68" t="s">
        <v>58</v>
      </c>
      <c r="G8" s="12">
        <v>44554</v>
      </c>
      <c r="H8" s="69" t="s">
        <v>3349</v>
      </c>
      <c r="I8" s="15">
        <v>65</v>
      </c>
      <c r="J8" s="15">
        <v>52</v>
      </c>
      <c r="K8" s="15">
        <v>30</v>
      </c>
      <c r="L8" s="15">
        <v>9</v>
      </c>
      <c r="M8" s="73">
        <v>25.35</v>
      </c>
      <c r="N8" s="104">
        <v>26</v>
      </c>
      <c r="O8" s="57">
        <v>7000</v>
      </c>
      <c r="P8" s="58">
        <f t="shared" si="0"/>
        <v>182000</v>
      </c>
    </row>
    <row r="9" spans="1:16" ht="26.25" customHeight="1" x14ac:dyDescent="0.2">
      <c r="A9" s="100"/>
      <c r="B9" s="100"/>
      <c r="C9" s="65" t="s">
        <v>3642</v>
      </c>
      <c r="D9" s="70" t="s">
        <v>57</v>
      </c>
      <c r="E9" s="12">
        <v>44549</v>
      </c>
      <c r="F9" s="68" t="s">
        <v>58</v>
      </c>
      <c r="G9" s="12">
        <v>44554</v>
      </c>
      <c r="H9" s="69" t="s">
        <v>3349</v>
      </c>
      <c r="I9" s="15">
        <v>52</v>
      </c>
      <c r="J9" s="15">
        <v>48</v>
      </c>
      <c r="K9" s="15">
        <v>28</v>
      </c>
      <c r="L9" s="15">
        <v>7</v>
      </c>
      <c r="M9" s="73">
        <v>17.472000000000001</v>
      </c>
      <c r="N9" s="104">
        <v>18</v>
      </c>
      <c r="O9" s="57">
        <v>7000</v>
      </c>
      <c r="P9" s="58">
        <f t="shared" si="0"/>
        <v>126000</v>
      </c>
    </row>
    <row r="10" spans="1:16" ht="26.25" customHeight="1" x14ac:dyDescent="0.2">
      <c r="A10" s="100"/>
      <c r="B10" s="100"/>
      <c r="C10" s="65" t="s">
        <v>3643</v>
      </c>
      <c r="D10" s="70" t="s">
        <v>57</v>
      </c>
      <c r="E10" s="12">
        <v>44549</v>
      </c>
      <c r="F10" s="68" t="s">
        <v>58</v>
      </c>
      <c r="G10" s="12">
        <v>44554</v>
      </c>
      <c r="H10" s="69" t="s">
        <v>3349</v>
      </c>
      <c r="I10" s="15">
        <v>72</v>
      </c>
      <c r="J10" s="15">
        <v>62</v>
      </c>
      <c r="K10" s="15">
        <v>25</v>
      </c>
      <c r="L10" s="15">
        <v>10</v>
      </c>
      <c r="M10" s="73">
        <v>27.9</v>
      </c>
      <c r="N10" s="104">
        <v>27.9</v>
      </c>
      <c r="O10" s="57">
        <v>7000</v>
      </c>
      <c r="P10" s="58">
        <f t="shared" si="0"/>
        <v>195300</v>
      </c>
    </row>
    <row r="11" spans="1:16" ht="26.25" customHeight="1" x14ac:dyDescent="0.2">
      <c r="A11" s="100"/>
      <c r="B11" s="100"/>
      <c r="C11" s="65" t="s">
        <v>3644</v>
      </c>
      <c r="D11" s="70" t="s">
        <v>57</v>
      </c>
      <c r="E11" s="12">
        <v>44549</v>
      </c>
      <c r="F11" s="68" t="s">
        <v>58</v>
      </c>
      <c r="G11" s="12">
        <v>44554</v>
      </c>
      <c r="H11" s="69" t="s">
        <v>3349</v>
      </c>
      <c r="I11" s="15">
        <v>97</v>
      </c>
      <c r="J11" s="15">
        <v>54</v>
      </c>
      <c r="K11" s="15">
        <v>36</v>
      </c>
      <c r="L11" s="15">
        <v>23</v>
      </c>
      <c r="M11" s="73">
        <v>47.142000000000003</v>
      </c>
      <c r="N11" s="104">
        <v>47.142000000000003</v>
      </c>
      <c r="O11" s="57">
        <v>7000</v>
      </c>
      <c r="P11" s="58">
        <f t="shared" si="0"/>
        <v>329994</v>
      </c>
    </row>
    <row r="12" spans="1:16" ht="26.25" customHeight="1" x14ac:dyDescent="0.2">
      <c r="A12" s="100"/>
      <c r="B12" s="100"/>
      <c r="C12" s="65" t="s">
        <v>3645</v>
      </c>
      <c r="D12" s="70" t="s">
        <v>57</v>
      </c>
      <c r="E12" s="12">
        <v>44549</v>
      </c>
      <c r="F12" s="68" t="s">
        <v>58</v>
      </c>
      <c r="G12" s="12">
        <v>44554</v>
      </c>
      <c r="H12" s="69" t="s">
        <v>3349</v>
      </c>
      <c r="I12" s="15">
        <v>67</v>
      </c>
      <c r="J12" s="15">
        <v>63</v>
      </c>
      <c r="K12" s="15">
        <v>22</v>
      </c>
      <c r="L12" s="15">
        <v>9</v>
      </c>
      <c r="M12" s="73">
        <v>23.215499999999999</v>
      </c>
      <c r="N12" s="104">
        <v>23.215499999999999</v>
      </c>
      <c r="O12" s="57">
        <v>7000</v>
      </c>
      <c r="P12" s="58">
        <f t="shared" si="0"/>
        <v>162508.5</v>
      </c>
    </row>
    <row r="13" spans="1:16" ht="26.25" customHeight="1" x14ac:dyDescent="0.2">
      <c r="A13" s="100"/>
      <c r="B13" s="100"/>
      <c r="C13" s="65" t="s">
        <v>3646</v>
      </c>
      <c r="D13" s="70" t="s">
        <v>57</v>
      </c>
      <c r="E13" s="12">
        <v>44549</v>
      </c>
      <c r="F13" s="68" t="s">
        <v>58</v>
      </c>
      <c r="G13" s="12">
        <v>44554</v>
      </c>
      <c r="H13" s="69" t="s">
        <v>3349</v>
      </c>
      <c r="I13" s="15">
        <v>62</v>
      </c>
      <c r="J13" s="15">
        <v>57</v>
      </c>
      <c r="K13" s="15">
        <v>25</v>
      </c>
      <c r="L13" s="15">
        <v>9</v>
      </c>
      <c r="M13" s="73">
        <v>22.087499999999999</v>
      </c>
      <c r="N13" s="104">
        <v>22.087499999999999</v>
      </c>
      <c r="O13" s="57">
        <v>7000</v>
      </c>
      <c r="P13" s="58">
        <f t="shared" si="0"/>
        <v>154612.5</v>
      </c>
    </row>
    <row r="14" spans="1:16" ht="26.25" customHeight="1" x14ac:dyDescent="0.2">
      <c r="A14" s="100"/>
      <c r="B14" s="100"/>
      <c r="C14" s="65" t="s">
        <v>3647</v>
      </c>
      <c r="D14" s="70" t="s">
        <v>57</v>
      </c>
      <c r="E14" s="12">
        <v>44549</v>
      </c>
      <c r="F14" s="68" t="s">
        <v>58</v>
      </c>
      <c r="G14" s="12">
        <v>44554</v>
      </c>
      <c r="H14" s="69" t="s">
        <v>3349</v>
      </c>
      <c r="I14" s="15">
        <v>63</v>
      </c>
      <c r="J14" s="15">
        <v>53</v>
      </c>
      <c r="K14" s="15">
        <v>26</v>
      </c>
      <c r="L14" s="15">
        <v>16</v>
      </c>
      <c r="M14" s="73">
        <v>21.703499999999998</v>
      </c>
      <c r="N14" s="104">
        <v>21.703499999999998</v>
      </c>
      <c r="O14" s="57">
        <v>7000</v>
      </c>
      <c r="P14" s="58">
        <f t="shared" si="0"/>
        <v>151924.5</v>
      </c>
    </row>
    <row r="15" spans="1:16" ht="26.25" customHeight="1" x14ac:dyDescent="0.2">
      <c r="A15" s="100"/>
      <c r="B15" s="100"/>
      <c r="C15" s="65" t="s">
        <v>3648</v>
      </c>
      <c r="D15" s="70" t="s">
        <v>57</v>
      </c>
      <c r="E15" s="12">
        <v>44549</v>
      </c>
      <c r="F15" s="68" t="s">
        <v>58</v>
      </c>
      <c r="G15" s="12">
        <v>44554</v>
      </c>
      <c r="H15" s="69" t="s">
        <v>3349</v>
      </c>
      <c r="I15" s="15">
        <v>62</v>
      </c>
      <c r="J15" s="15">
        <v>55</v>
      </c>
      <c r="K15" s="15">
        <v>21</v>
      </c>
      <c r="L15" s="15">
        <v>7</v>
      </c>
      <c r="M15" s="73">
        <v>17.9025</v>
      </c>
      <c r="N15" s="104">
        <v>17.9025</v>
      </c>
      <c r="O15" s="57">
        <v>7000</v>
      </c>
      <c r="P15" s="58">
        <f t="shared" si="0"/>
        <v>125317.5</v>
      </c>
    </row>
    <row r="16" spans="1:16" ht="26.25" customHeight="1" x14ac:dyDescent="0.2">
      <c r="A16" s="100"/>
      <c r="B16" s="100"/>
      <c r="C16" s="65" t="s">
        <v>3649</v>
      </c>
      <c r="D16" s="70" t="s">
        <v>57</v>
      </c>
      <c r="E16" s="12">
        <v>44549</v>
      </c>
      <c r="F16" s="68" t="s">
        <v>58</v>
      </c>
      <c r="G16" s="12">
        <v>44554</v>
      </c>
      <c r="H16" s="69" t="s">
        <v>3349</v>
      </c>
      <c r="I16" s="15">
        <v>84</v>
      </c>
      <c r="J16" s="15">
        <v>56</v>
      </c>
      <c r="K16" s="15">
        <v>25</v>
      </c>
      <c r="L16" s="15">
        <v>16</v>
      </c>
      <c r="M16" s="73">
        <v>29.4</v>
      </c>
      <c r="N16" s="104">
        <v>30</v>
      </c>
      <c r="O16" s="57">
        <v>7000</v>
      </c>
      <c r="P16" s="58">
        <f t="shared" si="0"/>
        <v>210000</v>
      </c>
    </row>
    <row r="17" spans="1:16" ht="26.25" customHeight="1" x14ac:dyDescent="0.2">
      <c r="A17" s="100"/>
      <c r="B17" s="100"/>
      <c r="C17" s="65" t="s">
        <v>3650</v>
      </c>
      <c r="D17" s="70" t="s">
        <v>57</v>
      </c>
      <c r="E17" s="12">
        <v>44549</v>
      </c>
      <c r="F17" s="68" t="s">
        <v>58</v>
      </c>
      <c r="G17" s="12">
        <v>44554</v>
      </c>
      <c r="H17" s="69" t="s">
        <v>3349</v>
      </c>
      <c r="I17" s="15">
        <v>38</v>
      </c>
      <c r="J17" s="15">
        <v>31</v>
      </c>
      <c r="K17" s="15">
        <v>25</v>
      </c>
      <c r="L17" s="15">
        <v>6</v>
      </c>
      <c r="M17" s="73">
        <v>7.3624999999999998</v>
      </c>
      <c r="N17" s="104">
        <v>8</v>
      </c>
      <c r="O17" s="57">
        <v>7000</v>
      </c>
      <c r="P17" s="58">
        <f t="shared" si="0"/>
        <v>56000</v>
      </c>
    </row>
    <row r="18" spans="1:16" ht="26.25" customHeight="1" x14ac:dyDescent="0.2">
      <c r="A18" s="100"/>
      <c r="B18" s="100"/>
      <c r="C18" s="65" t="s">
        <v>3651</v>
      </c>
      <c r="D18" s="70" t="s">
        <v>57</v>
      </c>
      <c r="E18" s="12">
        <v>44549</v>
      </c>
      <c r="F18" s="68" t="s">
        <v>58</v>
      </c>
      <c r="G18" s="12">
        <v>44554</v>
      </c>
      <c r="H18" s="69" t="s">
        <v>3349</v>
      </c>
      <c r="I18" s="15">
        <v>36</v>
      </c>
      <c r="J18" s="15">
        <v>36</v>
      </c>
      <c r="K18" s="15">
        <v>36</v>
      </c>
      <c r="L18" s="15">
        <v>6</v>
      </c>
      <c r="M18" s="73">
        <v>11.664</v>
      </c>
      <c r="N18" s="104">
        <v>11.664</v>
      </c>
      <c r="O18" s="57">
        <v>7000</v>
      </c>
      <c r="P18" s="58">
        <f t="shared" si="0"/>
        <v>81648</v>
      </c>
    </row>
    <row r="19" spans="1:16" ht="26.25" customHeight="1" x14ac:dyDescent="0.2">
      <c r="A19" s="100"/>
      <c r="B19" s="100"/>
      <c r="C19" s="65" t="s">
        <v>3652</v>
      </c>
      <c r="D19" s="70" t="s">
        <v>57</v>
      </c>
      <c r="E19" s="12">
        <v>44549</v>
      </c>
      <c r="F19" s="68" t="s">
        <v>58</v>
      </c>
      <c r="G19" s="12">
        <v>44554</v>
      </c>
      <c r="H19" s="69" t="s">
        <v>3349</v>
      </c>
      <c r="I19" s="15">
        <v>46</v>
      </c>
      <c r="J19" s="15">
        <v>38</v>
      </c>
      <c r="K19" s="15">
        <v>23</v>
      </c>
      <c r="L19" s="15">
        <v>6</v>
      </c>
      <c r="M19" s="73">
        <v>10.051</v>
      </c>
      <c r="N19" s="104">
        <v>10.051</v>
      </c>
      <c r="O19" s="57">
        <v>7000</v>
      </c>
      <c r="P19" s="58">
        <f t="shared" si="0"/>
        <v>70357</v>
      </c>
    </row>
    <row r="20" spans="1:16" ht="26.25" customHeight="1" x14ac:dyDescent="0.2">
      <c r="A20" s="100"/>
      <c r="B20" s="100"/>
      <c r="C20" s="65" t="s">
        <v>3653</v>
      </c>
      <c r="D20" s="70" t="s">
        <v>57</v>
      </c>
      <c r="E20" s="12">
        <v>44549</v>
      </c>
      <c r="F20" s="68" t="s">
        <v>58</v>
      </c>
      <c r="G20" s="12">
        <v>44554</v>
      </c>
      <c r="H20" s="69" t="s">
        <v>3349</v>
      </c>
      <c r="I20" s="15">
        <v>96</v>
      </c>
      <c r="J20" s="15">
        <v>50</v>
      </c>
      <c r="K20" s="15">
        <v>31</v>
      </c>
      <c r="L20" s="15">
        <v>21</v>
      </c>
      <c r="M20" s="73">
        <v>37.200000000000003</v>
      </c>
      <c r="N20" s="104">
        <v>37.200000000000003</v>
      </c>
      <c r="O20" s="57">
        <v>7000</v>
      </c>
      <c r="P20" s="58">
        <f t="shared" si="0"/>
        <v>260400.00000000003</v>
      </c>
    </row>
    <row r="21" spans="1:16" ht="26.25" customHeight="1" x14ac:dyDescent="0.2">
      <c r="A21" s="100"/>
      <c r="B21" s="100"/>
      <c r="C21" s="65" t="s">
        <v>3654</v>
      </c>
      <c r="D21" s="70" t="s">
        <v>57</v>
      </c>
      <c r="E21" s="12">
        <v>44549</v>
      </c>
      <c r="F21" s="68" t="s">
        <v>58</v>
      </c>
      <c r="G21" s="12">
        <v>44554</v>
      </c>
      <c r="H21" s="69" t="s">
        <v>3349</v>
      </c>
      <c r="I21" s="15">
        <v>49</v>
      </c>
      <c r="J21" s="15">
        <v>39</v>
      </c>
      <c r="K21" s="15">
        <v>13</v>
      </c>
      <c r="L21" s="15">
        <v>7</v>
      </c>
      <c r="M21" s="73">
        <v>6.21075</v>
      </c>
      <c r="N21" s="104">
        <v>7</v>
      </c>
      <c r="O21" s="57">
        <v>7000</v>
      </c>
      <c r="P21" s="58">
        <f t="shared" si="0"/>
        <v>49000</v>
      </c>
    </row>
    <row r="22" spans="1:16" ht="26.25" customHeight="1" x14ac:dyDescent="0.2">
      <c r="A22" s="100"/>
      <c r="B22" s="100"/>
      <c r="C22" s="65" t="s">
        <v>3655</v>
      </c>
      <c r="D22" s="70" t="s">
        <v>57</v>
      </c>
      <c r="E22" s="12">
        <v>44549</v>
      </c>
      <c r="F22" s="68" t="s">
        <v>58</v>
      </c>
      <c r="G22" s="12">
        <v>44554</v>
      </c>
      <c r="H22" s="69" t="s">
        <v>3349</v>
      </c>
      <c r="I22" s="15">
        <v>40</v>
      </c>
      <c r="J22" s="15">
        <v>23</v>
      </c>
      <c r="K22" s="15">
        <v>22</v>
      </c>
      <c r="L22" s="15">
        <v>1</v>
      </c>
      <c r="M22" s="73">
        <v>5.0599999999999996</v>
      </c>
      <c r="N22" s="104">
        <v>5.0599999999999996</v>
      </c>
      <c r="O22" s="57">
        <v>7000</v>
      </c>
      <c r="P22" s="58">
        <f t="shared" si="0"/>
        <v>35420</v>
      </c>
    </row>
    <row r="23" spans="1:16" ht="26.25" customHeight="1" x14ac:dyDescent="0.2">
      <c r="A23" s="100"/>
      <c r="B23" s="100"/>
      <c r="C23" s="65" t="s">
        <v>3656</v>
      </c>
      <c r="D23" s="70" t="s">
        <v>57</v>
      </c>
      <c r="E23" s="12">
        <v>44549</v>
      </c>
      <c r="F23" s="68" t="s">
        <v>58</v>
      </c>
      <c r="G23" s="12">
        <v>44554</v>
      </c>
      <c r="H23" s="69" t="s">
        <v>3349</v>
      </c>
      <c r="I23" s="15">
        <v>84</v>
      </c>
      <c r="J23" s="15">
        <v>64</v>
      </c>
      <c r="K23" s="15">
        <v>35</v>
      </c>
      <c r="L23" s="15">
        <v>16</v>
      </c>
      <c r="M23" s="73">
        <v>47.04</v>
      </c>
      <c r="N23" s="104">
        <v>47.04</v>
      </c>
      <c r="O23" s="57">
        <v>7000</v>
      </c>
      <c r="P23" s="58">
        <f t="shared" si="0"/>
        <v>329280</v>
      </c>
    </row>
    <row r="24" spans="1:16" ht="26.25" customHeight="1" x14ac:dyDescent="0.2">
      <c r="A24" s="100"/>
      <c r="B24" s="100"/>
      <c r="C24" s="65" t="s">
        <v>3657</v>
      </c>
      <c r="D24" s="70" t="s">
        <v>57</v>
      </c>
      <c r="E24" s="12">
        <v>44549</v>
      </c>
      <c r="F24" s="68" t="s">
        <v>58</v>
      </c>
      <c r="G24" s="12">
        <v>44554</v>
      </c>
      <c r="H24" s="69" t="s">
        <v>3349</v>
      </c>
      <c r="I24" s="15">
        <v>75</v>
      </c>
      <c r="J24" s="15">
        <v>54</v>
      </c>
      <c r="K24" s="15">
        <v>32</v>
      </c>
      <c r="L24" s="15">
        <v>9</v>
      </c>
      <c r="M24" s="73">
        <v>32.4</v>
      </c>
      <c r="N24" s="104">
        <v>33</v>
      </c>
      <c r="O24" s="57">
        <v>7000</v>
      </c>
      <c r="P24" s="58">
        <f t="shared" si="0"/>
        <v>231000</v>
      </c>
    </row>
    <row r="25" spans="1:16" ht="26.25" customHeight="1" x14ac:dyDescent="0.2">
      <c r="A25" s="100"/>
      <c r="B25" s="100"/>
      <c r="C25" s="65" t="s">
        <v>3658</v>
      </c>
      <c r="D25" s="70" t="s">
        <v>57</v>
      </c>
      <c r="E25" s="12">
        <v>44549</v>
      </c>
      <c r="F25" s="68" t="s">
        <v>58</v>
      </c>
      <c r="G25" s="12">
        <v>44554</v>
      </c>
      <c r="H25" s="69" t="s">
        <v>3349</v>
      </c>
      <c r="I25" s="15">
        <v>47</v>
      </c>
      <c r="J25" s="15">
        <v>33</v>
      </c>
      <c r="K25" s="15">
        <v>22</v>
      </c>
      <c r="L25" s="15">
        <v>5</v>
      </c>
      <c r="M25" s="73">
        <v>8.5305</v>
      </c>
      <c r="N25" s="104">
        <v>8.5305</v>
      </c>
      <c r="O25" s="57">
        <v>7000</v>
      </c>
      <c r="P25" s="58">
        <f t="shared" si="0"/>
        <v>59713.5</v>
      </c>
    </row>
    <row r="26" spans="1:16" ht="26.25" customHeight="1" x14ac:dyDescent="0.2">
      <c r="A26" s="100"/>
      <c r="B26" s="100"/>
      <c r="C26" s="65" t="s">
        <v>3659</v>
      </c>
      <c r="D26" s="70" t="s">
        <v>57</v>
      </c>
      <c r="E26" s="12">
        <v>44549</v>
      </c>
      <c r="F26" s="68" t="s">
        <v>58</v>
      </c>
      <c r="G26" s="12">
        <v>44554</v>
      </c>
      <c r="H26" s="69" t="s">
        <v>3349</v>
      </c>
      <c r="I26" s="15">
        <v>57</v>
      </c>
      <c r="J26" s="15">
        <v>45</v>
      </c>
      <c r="K26" s="15">
        <v>22</v>
      </c>
      <c r="L26" s="15">
        <v>6</v>
      </c>
      <c r="M26" s="73">
        <v>14.1075</v>
      </c>
      <c r="N26" s="104">
        <v>14.1075</v>
      </c>
      <c r="O26" s="57">
        <v>7000</v>
      </c>
      <c r="P26" s="58">
        <f t="shared" si="0"/>
        <v>98752.5</v>
      </c>
    </row>
    <row r="27" spans="1:16" ht="26.25" customHeight="1" x14ac:dyDescent="0.2">
      <c r="A27" s="100"/>
      <c r="B27" s="100"/>
      <c r="C27" s="65" t="s">
        <v>3660</v>
      </c>
      <c r="D27" s="70" t="s">
        <v>57</v>
      </c>
      <c r="E27" s="12">
        <v>44549</v>
      </c>
      <c r="F27" s="68" t="s">
        <v>58</v>
      </c>
      <c r="G27" s="12">
        <v>44554</v>
      </c>
      <c r="H27" s="69" t="s">
        <v>3349</v>
      </c>
      <c r="I27" s="15">
        <v>49</v>
      </c>
      <c r="J27" s="15">
        <v>31</v>
      </c>
      <c r="K27" s="15">
        <v>18</v>
      </c>
      <c r="L27" s="15">
        <v>5</v>
      </c>
      <c r="M27" s="73">
        <v>6.8354999999999997</v>
      </c>
      <c r="N27" s="104">
        <v>6.8354999999999997</v>
      </c>
      <c r="O27" s="57">
        <v>7000</v>
      </c>
      <c r="P27" s="58">
        <f t="shared" si="0"/>
        <v>47848.5</v>
      </c>
    </row>
    <row r="28" spans="1:16" ht="26.25" customHeight="1" x14ac:dyDescent="0.2">
      <c r="A28" s="100"/>
      <c r="B28" s="100"/>
      <c r="C28" s="65" t="s">
        <v>3661</v>
      </c>
      <c r="D28" s="70" t="s">
        <v>57</v>
      </c>
      <c r="E28" s="12">
        <v>44549</v>
      </c>
      <c r="F28" s="68" t="s">
        <v>58</v>
      </c>
      <c r="G28" s="12">
        <v>44554</v>
      </c>
      <c r="H28" s="69" t="s">
        <v>3349</v>
      </c>
      <c r="I28" s="15">
        <v>71</v>
      </c>
      <c r="J28" s="15">
        <v>24</v>
      </c>
      <c r="K28" s="15">
        <v>20</v>
      </c>
      <c r="L28" s="15">
        <v>6</v>
      </c>
      <c r="M28" s="73">
        <v>8.52</v>
      </c>
      <c r="N28" s="104">
        <v>8.52</v>
      </c>
      <c r="O28" s="57">
        <v>7000</v>
      </c>
      <c r="P28" s="58">
        <f t="shared" si="0"/>
        <v>59640</v>
      </c>
    </row>
    <row r="29" spans="1:16" ht="26.25" customHeight="1" x14ac:dyDescent="0.2">
      <c r="A29" s="100"/>
      <c r="B29" s="100"/>
      <c r="C29" s="65" t="s">
        <v>3662</v>
      </c>
      <c r="D29" s="70" t="s">
        <v>57</v>
      </c>
      <c r="E29" s="12">
        <v>44549</v>
      </c>
      <c r="F29" s="68" t="s">
        <v>58</v>
      </c>
      <c r="G29" s="12">
        <v>44554</v>
      </c>
      <c r="H29" s="69" t="s">
        <v>3349</v>
      </c>
      <c r="I29" s="15">
        <v>62</v>
      </c>
      <c r="J29" s="15">
        <v>61</v>
      </c>
      <c r="K29" s="15">
        <v>15</v>
      </c>
      <c r="L29" s="15">
        <v>8</v>
      </c>
      <c r="M29" s="73">
        <v>14.182499999999999</v>
      </c>
      <c r="N29" s="104">
        <v>14.182499999999999</v>
      </c>
      <c r="O29" s="57">
        <v>7000</v>
      </c>
      <c r="P29" s="58">
        <f t="shared" si="0"/>
        <v>99277.5</v>
      </c>
    </row>
    <row r="30" spans="1:16" ht="26.25" customHeight="1" x14ac:dyDescent="0.2">
      <c r="A30" s="100"/>
      <c r="B30" s="100"/>
      <c r="C30" s="65" t="s">
        <v>3663</v>
      </c>
      <c r="D30" s="70" t="s">
        <v>57</v>
      </c>
      <c r="E30" s="12">
        <v>44549</v>
      </c>
      <c r="F30" s="68" t="s">
        <v>58</v>
      </c>
      <c r="G30" s="12">
        <v>44554</v>
      </c>
      <c r="H30" s="69" t="s">
        <v>3349</v>
      </c>
      <c r="I30" s="15">
        <v>71</v>
      </c>
      <c r="J30" s="15">
        <v>51</v>
      </c>
      <c r="K30" s="15">
        <v>10</v>
      </c>
      <c r="L30" s="15">
        <v>3</v>
      </c>
      <c r="M30" s="73">
        <v>9.0525000000000002</v>
      </c>
      <c r="N30" s="104">
        <v>9.0525000000000002</v>
      </c>
      <c r="O30" s="57">
        <v>7000</v>
      </c>
      <c r="P30" s="58">
        <f t="shared" si="0"/>
        <v>63367.5</v>
      </c>
    </row>
    <row r="31" spans="1:16" ht="26.25" customHeight="1" x14ac:dyDescent="0.2">
      <c r="A31" s="100"/>
      <c r="B31" s="100"/>
      <c r="C31" s="65" t="s">
        <v>3664</v>
      </c>
      <c r="D31" s="70" t="s">
        <v>57</v>
      </c>
      <c r="E31" s="12">
        <v>44549</v>
      </c>
      <c r="F31" s="68" t="s">
        <v>58</v>
      </c>
      <c r="G31" s="12">
        <v>44554</v>
      </c>
      <c r="H31" s="69" t="s">
        <v>3349</v>
      </c>
      <c r="I31" s="15">
        <v>95</v>
      </c>
      <c r="J31" s="15">
        <v>20</v>
      </c>
      <c r="K31" s="15">
        <v>1</v>
      </c>
      <c r="L31" s="15">
        <v>1</v>
      </c>
      <c r="M31" s="73">
        <v>0.47499999999999998</v>
      </c>
      <c r="N31" s="104">
        <v>2</v>
      </c>
      <c r="O31" s="57">
        <v>7000</v>
      </c>
      <c r="P31" s="58">
        <f t="shared" si="0"/>
        <v>14000</v>
      </c>
    </row>
    <row r="32" spans="1:16" ht="26.25" customHeight="1" x14ac:dyDescent="0.2">
      <c r="A32" s="100"/>
      <c r="B32" s="100"/>
      <c r="C32" s="65" t="s">
        <v>3665</v>
      </c>
      <c r="D32" s="70" t="s">
        <v>57</v>
      </c>
      <c r="E32" s="12">
        <v>44549</v>
      </c>
      <c r="F32" s="68" t="s">
        <v>58</v>
      </c>
      <c r="G32" s="12">
        <v>44554</v>
      </c>
      <c r="H32" s="69" t="s">
        <v>3349</v>
      </c>
      <c r="I32" s="15">
        <v>107</v>
      </c>
      <c r="J32" s="15">
        <v>17</v>
      </c>
      <c r="K32" s="15">
        <v>7</v>
      </c>
      <c r="L32" s="15">
        <v>1</v>
      </c>
      <c r="M32" s="73">
        <v>3.1832500000000001</v>
      </c>
      <c r="N32" s="104">
        <v>3.1832500000000001</v>
      </c>
      <c r="O32" s="57">
        <v>7000</v>
      </c>
      <c r="P32" s="58">
        <f t="shared" si="0"/>
        <v>22282.75</v>
      </c>
    </row>
    <row r="33" spans="1:16" ht="26.25" customHeight="1" x14ac:dyDescent="0.2">
      <c r="A33" s="100"/>
      <c r="B33" s="100"/>
      <c r="C33" s="65" t="s">
        <v>3666</v>
      </c>
      <c r="D33" s="70" t="s">
        <v>57</v>
      </c>
      <c r="E33" s="12">
        <v>44549</v>
      </c>
      <c r="F33" s="68" t="s">
        <v>58</v>
      </c>
      <c r="G33" s="12">
        <v>44554</v>
      </c>
      <c r="H33" s="69" t="s">
        <v>3349</v>
      </c>
      <c r="I33" s="15">
        <v>75</v>
      </c>
      <c r="J33" s="15">
        <v>63</v>
      </c>
      <c r="K33" s="15">
        <v>14</v>
      </c>
      <c r="L33" s="15">
        <v>8</v>
      </c>
      <c r="M33" s="73">
        <v>16.537500000000001</v>
      </c>
      <c r="N33" s="104">
        <v>16.537500000000001</v>
      </c>
      <c r="O33" s="57">
        <v>7000</v>
      </c>
      <c r="P33" s="58">
        <f t="shared" si="0"/>
        <v>115762.50000000001</v>
      </c>
    </row>
    <row r="34" spans="1:16" ht="26.25" customHeight="1" x14ac:dyDescent="0.2">
      <c r="A34" s="100"/>
      <c r="B34" s="100"/>
      <c r="C34" s="65" t="s">
        <v>3667</v>
      </c>
      <c r="D34" s="70" t="s">
        <v>57</v>
      </c>
      <c r="E34" s="12">
        <v>44549</v>
      </c>
      <c r="F34" s="68" t="s">
        <v>58</v>
      </c>
      <c r="G34" s="12">
        <v>44554</v>
      </c>
      <c r="H34" s="69" t="s">
        <v>3349</v>
      </c>
      <c r="I34" s="15">
        <v>202</v>
      </c>
      <c r="J34" s="15">
        <v>12</v>
      </c>
      <c r="K34" s="15">
        <v>6</v>
      </c>
      <c r="L34" s="15">
        <v>1</v>
      </c>
      <c r="M34" s="73">
        <v>3.6360000000000001</v>
      </c>
      <c r="N34" s="104">
        <v>3.6360000000000001</v>
      </c>
      <c r="O34" s="57">
        <v>7000</v>
      </c>
      <c r="P34" s="58">
        <f t="shared" si="0"/>
        <v>25452</v>
      </c>
    </row>
    <row r="35" spans="1:16" ht="26.25" customHeight="1" x14ac:dyDescent="0.2">
      <c r="A35" s="100"/>
      <c r="B35" s="100"/>
      <c r="C35" s="65" t="s">
        <v>3668</v>
      </c>
      <c r="D35" s="70" t="s">
        <v>57</v>
      </c>
      <c r="E35" s="12">
        <v>44549</v>
      </c>
      <c r="F35" s="68" t="s">
        <v>58</v>
      </c>
      <c r="G35" s="12">
        <v>44554</v>
      </c>
      <c r="H35" s="69" t="s">
        <v>3349</v>
      </c>
      <c r="I35" s="15">
        <v>50</v>
      </c>
      <c r="J35" s="15">
        <v>45</v>
      </c>
      <c r="K35" s="15">
        <v>27</v>
      </c>
      <c r="L35" s="15">
        <v>11</v>
      </c>
      <c r="M35" s="73">
        <v>15.1875</v>
      </c>
      <c r="N35" s="104">
        <v>15.1875</v>
      </c>
      <c r="O35" s="57">
        <v>7000</v>
      </c>
      <c r="P35" s="58">
        <f t="shared" si="0"/>
        <v>106312.5</v>
      </c>
    </row>
    <row r="36" spans="1:16" ht="26.25" customHeight="1" x14ac:dyDescent="0.2">
      <c r="A36" s="100"/>
      <c r="B36" s="100"/>
      <c r="C36" s="65" t="s">
        <v>3669</v>
      </c>
      <c r="D36" s="70" t="s">
        <v>57</v>
      </c>
      <c r="E36" s="12">
        <v>44549</v>
      </c>
      <c r="F36" s="68" t="s">
        <v>58</v>
      </c>
      <c r="G36" s="12">
        <v>44554</v>
      </c>
      <c r="H36" s="69" t="s">
        <v>3349</v>
      </c>
      <c r="I36" s="15">
        <v>30</v>
      </c>
      <c r="J36" s="15">
        <v>35</v>
      </c>
      <c r="K36" s="15">
        <v>34</v>
      </c>
      <c r="L36" s="15">
        <v>5</v>
      </c>
      <c r="M36" s="73">
        <v>8.9250000000000007</v>
      </c>
      <c r="N36" s="104">
        <v>8.9250000000000007</v>
      </c>
      <c r="O36" s="57">
        <v>7000</v>
      </c>
      <c r="P36" s="58">
        <f t="shared" si="0"/>
        <v>62475.000000000007</v>
      </c>
    </row>
    <row r="37" spans="1:16" ht="26.25" customHeight="1" x14ac:dyDescent="0.2">
      <c r="A37" s="100"/>
      <c r="B37" s="100"/>
      <c r="C37" s="65" t="s">
        <v>3670</v>
      </c>
      <c r="D37" s="70" t="s">
        <v>57</v>
      </c>
      <c r="E37" s="12">
        <v>44549</v>
      </c>
      <c r="F37" s="68" t="s">
        <v>58</v>
      </c>
      <c r="G37" s="12">
        <v>44554</v>
      </c>
      <c r="H37" s="69" t="s">
        <v>3349</v>
      </c>
      <c r="I37" s="15">
        <v>37</v>
      </c>
      <c r="J37" s="15">
        <v>30</v>
      </c>
      <c r="K37" s="15">
        <v>26</v>
      </c>
      <c r="L37" s="15">
        <v>2</v>
      </c>
      <c r="M37" s="73">
        <v>7.2149999999999999</v>
      </c>
      <c r="N37" s="104">
        <v>7.2149999999999999</v>
      </c>
      <c r="O37" s="57">
        <v>7000</v>
      </c>
      <c r="P37" s="58">
        <f t="shared" si="0"/>
        <v>50505</v>
      </c>
    </row>
    <row r="38" spans="1:16" ht="26.25" customHeight="1" x14ac:dyDescent="0.2">
      <c r="A38" s="100"/>
      <c r="B38" s="100"/>
      <c r="C38" s="65" t="s">
        <v>3671</v>
      </c>
      <c r="D38" s="70" t="s">
        <v>57</v>
      </c>
      <c r="E38" s="12">
        <v>44549</v>
      </c>
      <c r="F38" s="68" t="s">
        <v>58</v>
      </c>
      <c r="G38" s="12">
        <v>44554</v>
      </c>
      <c r="H38" s="69" t="s">
        <v>3349</v>
      </c>
      <c r="I38" s="15">
        <v>40</v>
      </c>
      <c r="J38" s="15">
        <v>28</v>
      </c>
      <c r="K38" s="15">
        <v>27</v>
      </c>
      <c r="L38" s="15">
        <v>9</v>
      </c>
      <c r="M38" s="73">
        <v>7.56</v>
      </c>
      <c r="N38" s="104">
        <v>9</v>
      </c>
      <c r="O38" s="57">
        <v>7000</v>
      </c>
      <c r="P38" s="58">
        <f t="shared" si="0"/>
        <v>63000</v>
      </c>
    </row>
    <row r="39" spans="1:16" ht="26.25" customHeight="1" x14ac:dyDescent="0.2">
      <c r="A39" s="100"/>
      <c r="B39" s="100"/>
      <c r="C39" s="65" t="s">
        <v>3672</v>
      </c>
      <c r="D39" s="70" t="s">
        <v>57</v>
      </c>
      <c r="E39" s="12">
        <v>44549</v>
      </c>
      <c r="F39" s="68" t="s">
        <v>58</v>
      </c>
      <c r="G39" s="12">
        <v>44554</v>
      </c>
      <c r="H39" s="69" t="s">
        <v>3349</v>
      </c>
      <c r="I39" s="15">
        <v>62</v>
      </c>
      <c r="J39" s="15">
        <v>42</v>
      </c>
      <c r="K39" s="15">
        <v>24</v>
      </c>
      <c r="L39" s="15">
        <v>1</v>
      </c>
      <c r="M39" s="73">
        <v>15.624000000000001</v>
      </c>
      <c r="N39" s="104">
        <v>15.624000000000001</v>
      </c>
      <c r="O39" s="57">
        <v>7000</v>
      </c>
      <c r="P39" s="58">
        <f t="shared" si="0"/>
        <v>109368</v>
      </c>
    </row>
    <row r="40" spans="1:16" ht="26.25" customHeight="1" x14ac:dyDescent="0.2">
      <c r="A40" s="100"/>
      <c r="B40" s="100"/>
      <c r="C40" s="65" t="s">
        <v>3673</v>
      </c>
      <c r="D40" s="70" t="s">
        <v>57</v>
      </c>
      <c r="E40" s="12">
        <v>44549</v>
      </c>
      <c r="F40" s="68" t="s">
        <v>58</v>
      </c>
      <c r="G40" s="12">
        <v>44554</v>
      </c>
      <c r="H40" s="69" t="s">
        <v>3349</v>
      </c>
      <c r="I40" s="15">
        <v>111</v>
      </c>
      <c r="J40" s="15">
        <v>5</v>
      </c>
      <c r="K40" s="15">
        <v>5</v>
      </c>
      <c r="L40" s="15">
        <v>1</v>
      </c>
      <c r="M40" s="73">
        <v>0.69374999999999998</v>
      </c>
      <c r="N40" s="104">
        <v>1</v>
      </c>
      <c r="O40" s="57">
        <v>7000</v>
      </c>
      <c r="P40" s="58">
        <f t="shared" si="0"/>
        <v>7000</v>
      </c>
    </row>
    <row r="41" spans="1:16" ht="26.25" customHeight="1" x14ac:dyDescent="0.2">
      <c r="A41" s="100"/>
      <c r="B41" s="100"/>
      <c r="C41" s="65" t="s">
        <v>3674</v>
      </c>
      <c r="D41" s="70" t="s">
        <v>57</v>
      </c>
      <c r="E41" s="12">
        <v>44549</v>
      </c>
      <c r="F41" s="68" t="s">
        <v>58</v>
      </c>
      <c r="G41" s="12">
        <v>44554</v>
      </c>
      <c r="H41" s="69" t="s">
        <v>3349</v>
      </c>
      <c r="I41" s="15">
        <v>47</v>
      </c>
      <c r="J41" s="15">
        <v>33</v>
      </c>
      <c r="K41" s="15">
        <v>5</v>
      </c>
      <c r="L41" s="15">
        <v>1</v>
      </c>
      <c r="M41" s="73">
        <v>1.93875</v>
      </c>
      <c r="N41" s="104">
        <v>1.93875</v>
      </c>
      <c r="O41" s="57">
        <v>7000</v>
      </c>
      <c r="P41" s="58">
        <f t="shared" si="0"/>
        <v>13571.25</v>
      </c>
    </row>
    <row r="42" spans="1:16" ht="26.25" customHeight="1" x14ac:dyDescent="0.2">
      <c r="A42" s="100"/>
      <c r="B42" s="100"/>
      <c r="C42" s="65" t="s">
        <v>3675</v>
      </c>
      <c r="D42" s="70" t="s">
        <v>57</v>
      </c>
      <c r="E42" s="12">
        <v>44549</v>
      </c>
      <c r="F42" s="68" t="s">
        <v>58</v>
      </c>
      <c r="G42" s="12">
        <v>44554</v>
      </c>
      <c r="H42" s="69" t="s">
        <v>3349</v>
      </c>
      <c r="I42" s="15">
        <v>55</v>
      </c>
      <c r="J42" s="15">
        <v>64</v>
      </c>
      <c r="K42" s="15">
        <v>14</v>
      </c>
      <c r="L42" s="15">
        <v>7</v>
      </c>
      <c r="M42" s="73">
        <v>12.32</v>
      </c>
      <c r="N42" s="104">
        <v>13</v>
      </c>
      <c r="O42" s="57">
        <v>7000</v>
      </c>
      <c r="P42" s="58">
        <f t="shared" si="0"/>
        <v>91000</v>
      </c>
    </row>
    <row r="43" spans="1:16" ht="26.25" customHeight="1" x14ac:dyDescent="0.2">
      <c r="A43" s="100"/>
      <c r="B43" s="100"/>
      <c r="C43" s="65" t="s">
        <v>3676</v>
      </c>
      <c r="D43" s="70" t="s">
        <v>57</v>
      </c>
      <c r="E43" s="12">
        <v>44549</v>
      </c>
      <c r="F43" s="68" t="s">
        <v>58</v>
      </c>
      <c r="G43" s="12">
        <v>44554</v>
      </c>
      <c r="H43" s="69" t="s">
        <v>3349</v>
      </c>
      <c r="I43" s="15">
        <v>75</v>
      </c>
      <c r="J43" s="15">
        <v>27</v>
      </c>
      <c r="K43" s="15">
        <v>17</v>
      </c>
      <c r="L43" s="15">
        <v>4</v>
      </c>
      <c r="M43" s="73">
        <v>8.6062499999999993</v>
      </c>
      <c r="N43" s="104">
        <v>8.6062499999999993</v>
      </c>
      <c r="O43" s="57">
        <v>7000</v>
      </c>
      <c r="P43" s="58">
        <f t="shared" si="0"/>
        <v>60243.749999999993</v>
      </c>
    </row>
    <row r="44" spans="1:16" ht="26.25" customHeight="1" x14ac:dyDescent="0.2">
      <c r="A44" s="100"/>
      <c r="B44" s="100"/>
      <c r="C44" s="65" t="s">
        <v>3677</v>
      </c>
      <c r="D44" s="70" t="s">
        <v>57</v>
      </c>
      <c r="E44" s="12">
        <v>44549</v>
      </c>
      <c r="F44" s="68" t="s">
        <v>58</v>
      </c>
      <c r="G44" s="12">
        <v>44554</v>
      </c>
      <c r="H44" s="69" t="s">
        <v>3349</v>
      </c>
      <c r="I44" s="15">
        <v>61</v>
      </c>
      <c r="J44" s="15">
        <v>45</v>
      </c>
      <c r="K44" s="15">
        <v>36</v>
      </c>
      <c r="L44" s="15">
        <v>9</v>
      </c>
      <c r="M44" s="73">
        <v>24.704999999999998</v>
      </c>
      <c r="N44" s="104">
        <v>24.704999999999998</v>
      </c>
      <c r="O44" s="57">
        <v>7000</v>
      </c>
      <c r="P44" s="58">
        <f t="shared" si="0"/>
        <v>172935</v>
      </c>
    </row>
    <row r="45" spans="1:16" ht="26.25" customHeight="1" x14ac:dyDescent="0.2">
      <c r="A45" s="100"/>
      <c r="B45" s="100"/>
      <c r="C45" s="65" t="s">
        <v>3678</v>
      </c>
      <c r="D45" s="70" t="s">
        <v>57</v>
      </c>
      <c r="E45" s="12">
        <v>44549</v>
      </c>
      <c r="F45" s="68" t="s">
        <v>58</v>
      </c>
      <c r="G45" s="12">
        <v>44554</v>
      </c>
      <c r="H45" s="69" t="s">
        <v>3349</v>
      </c>
      <c r="I45" s="15">
        <v>64</v>
      </c>
      <c r="J45" s="15">
        <v>35</v>
      </c>
      <c r="K45" s="15">
        <v>30</v>
      </c>
      <c r="L45" s="15">
        <v>14</v>
      </c>
      <c r="M45" s="73">
        <v>16.8</v>
      </c>
      <c r="N45" s="104">
        <v>16.8</v>
      </c>
      <c r="O45" s="57">
        <v>7000</v>
      </c>
      <c r="P45" s="58">
        <f t="shared" si="0"/>
        <v>117600</v>
      </c>
    </row>
    <row r="46" spans="1:16" ht="26.25" customHeight="1" x14ac:dyDescent="0.2">
      <c r="A46" s="100"/>
      <c r="B46" s="100"/>
      <c r="C46" s="65" t="s">
        <v>3679</v>
      </c>
      <c r="D46" s="70" t="s">
        <v>57</v>
      </c>
      <c r="E46" s="12">
        <v>44549</v>
      </c>
      <c r="F46" s="68" t="s">
        <v>58</v>
      </c>
      <c r="G46" s="12">
        <v>44554</v>
      </c>
      <c r="H46" s="69" t="s">
        <v>3349</v>
      </c>
      <c r="I46" s="15">
        <v>35</v>
      </c>
      <c r="J46" s="15">
        <v>28</v>
      </c>
      <c r="K46" s="15">
        <v>21</v>
      </c>
      <c r="L46" s="15">
        <v>5</v>
      </c>
      <c r="M46" s="73">
        <v>5.1449999999999996</v>
      </c>
      <c r="N46" s="104">
        <v>5.1449999999999996</v>
      </c>
      <c r="O46" s="57">
        <v>7000</v>
      </c>
      <c r="P46" s="58">
        <f t="shared" si="0"/>
        <v>36015</v>
      </c>
    </row>
    <row r="47" spans="1:16" ht="26.25" customHeight="1" x14ac:dyDescent="0.2">
      <c r="A47" s="100"/>
      <c r="B47" s="100"/>
      <c r="C47" s="65" t="s">
        <v>3680</v>
      </c>
      <c r="D47" s="70" t="s">
        <v>57</v>
      </c>
      <c r="E47" s="12">
        <v>44549</v>
      </c>
      <c r="F47" s="68" t="s">
        <v>58</v>
      </c>
      <c r="G47" s="12">
        <v>44554</v>
      </c>
      <c r="H47" s="69" t="s">
        <v>3349</v>
      </c>
      <c r="I47" s="15">
        <v>44</v>
      </c>
      <c r="J47" s="15">
        <v>35</v>
      </c>
      <c r="K47" s="15">
        <v>22</v>
      </c>
      <c r="L47" s="15">
        <v>7</v>
      </c>
      <c r="M47" s="73">
        <v>8.4700000000000006</v>
      </c>
      <c r="N47" s="104">
        <v>9</v>
      </c>
      <c r="O47" s="57">
        <v>7000</v>
      </c>
      <c r="P47" s="58">
        <f t="shared" si="0"/>
        <v>63000</v>
      </c>
    </row>
    <row r="48" spans="1:16" ht="26.25" customHeight="1" x14ac:dyDescent="0.2">
      <c r="A48" s="100"/>
      <c r="B48" s="100"/>
      <c r="C48" s="65" t="s">
        <v>3681</v>
      </c>
      <c r="D48" s="70" t="s">
        <v>57</v>
      </c>
      <c r="E48" s="12">
        <v>44549</v>
      </c>
      <c r="F48" s="68" t="s">
        <v>58</v>
      </c>
      <c r="G48" s="12">
        <v>44554</v>
      </c>
      <c r="H48" s="69" t="s">
        <v>3349</v>
      </c>
      <c r="I48" s="15">
        <v>47</v>
      </c>
      <c r="J48" s="15">
        <v>49</v>
      </c>
      <c r="K48" s="15">
        <v>8</v>
      </c>
      <c r="L48" s="15">
        <v>2</v>
      </c>
      <c r="M48" s="73">
        <v>4.6059999999999999</v>
      </c>
      <c r="N48" s="104">
        <v>4.6059999999999999</v>
      </c>
      <c r="O48" s="57">
        <v>7000</v>
      </c>
      <c r="P48" s="58">
        <f t="shared" si="0"/>
        <v>32242</v>
      </c>
    </row>
    <row r="49" spans="1:16" ht="26.25" customHeight="1" x14ac:dyDescent="0.2">
      <c r="A49" s="100"/>
      <c r="B49" s="100"/>
      <c r="C49" s="65" t="s">
        <v>3682</v>
      </c>
      <c r="D49" s="70" t="s">
        <v>57</v>
      </c>
      <c r="E49" s="12">
        <v>44549</v>
      </c>
      <c r="F49" s="68" t="s">
        <v>58</v>
      </c>
      <c r="G49" s="12">
        <v>44554</v>
      </c>
      <c r="H49" s="69" t="s">
        <v>3349</v>
      </c>
      <c r="I49" s="15">
        <v>31</v>
      </c>
      <c r="J49" s="15">
        <v>31</v>
      </c>
      <c r="K49" s="15">
        <v>12</v>
      </c>
      <c r="L49" s="15">
        <v>1</v>
      </c>
      <c r="M49" s="73">
        <v>2.883</v>
      </c>
      <c r="N49" s="104">
        <v>2.883</v>
      </c>
      <c r="O49" s="57">
        <v>7000</v>
      </c>
      <c r="P49" s="58">
        <f t="shared" si="0"/>
        <v>20181</v>
      </c>
    </row>
    <row r="50" spans="1:16" ht="26.25" customHeight="1" x14ac:dyDescent="0.2">
      <c r="A50" s="100"/>
      <c r="B50" s="100"/>
      <c r="C50" s="65" t="s">
        <v>3683</v>
      </c>
      <c r="D50" s="70" t="s">
        <v>57</v>
      </c>
      <c r="E50" s="12">
        <v>44549</v>
      </c>
      <c r="F50" s="68" t="s">
        <v>58</v>
      </c>
      <c r="G50" s="12">
        <v>44554</v>
      </c>
      <c r="H50" s="69" t="s">
        <v>3349</v>
      </c>
      <c r="I50" s="15">
        <v>53</v>
      </c>
      <c r="J50" s="15">
        <v>23</v>
      </c>
      <c r="K50" s="15">
        <v>13</v>
      </c>
      <c r="L50" s="15">
        <v>1</v>
      </c>
      <c r="M50" s="73">
        <v>3.9617499999999999</v>
      </c>
      <c r="N50" s="104">
        <v>3.9617499999999999</v>
      </c>
      <c r="O50" s="57">
        <v>7000</v>
      </c>
      <c r="P50" s="58">
        <f t="shared" si="0"/>
        <v>27732.25</v>
      </c>
    </row>
    <row r="51" spans="1:16" ht="26.25" customHeight="1" x14ac:dyDescent="0.2">
      <c r="A51" s="100"/>
      <c r="B51" s="100"/>
      <c r="C51" s="65" t="s">
        <v>3684</v>
      </c>
      <c r="D51" s="70" t="s">
        <v>57</v>
      </c>
      <c r="E51" s="12">
        <v>44549</v>
      </c>
      <c r="F51" s="68" t="s">
        <v>58</v>
      </c>
      <c r="G51" s="12">
        <v>44554</v>
      </c>
      <c r="H51" s="69" t="s">
        <v>3349</v>
      </c>
      <c r="I51" s="15">
        <v>40</v>
      </c>
      <c r="J51" s="15">
        <v>32</v>
      </c>
      <c r="K51" s="15">
        <v>26</v>
      </c>
      <c r="L51" s="15">
        <v>2</v>
      </c>
      <c r="M51" s="73">
        <v>8.32</v>
      </c>
      <c r="N51" s="104">
        <v>9</v>
      </c>
      <c r="O51" s="57">
        <v>7000</v>
      </c>
      <c r="P51" s="58">
        <f t="shared" si="0"/>
        <v>63000</v>
      </c>
    </row>
    <row r="52" spans="1:16" ht="26.25" customHeight="1" x14ac:dyDescent="0.2">
      <c r="A52" s="100"/>
      <c r="B52" s="100"/>
      <c r="C52" s="65" t="s">
        <v>3685</v>
      </c>
      <c r="D52" s="70" t="s">
        <v>57</v>
      </c>
      <c r="E52" s="12">
        <v>44549</v>
      </c>
      <c r="F52" s="68" t="s">
        <v>58</v>
      </c>
      <c r="G52" s="12">
        <v>44554</v>
      </c>
      <c r="H52" s="69" t="s">
        <v>3349</v>
      </c>
      <c r="I52" s="15">
        <v>38</v>
      </c>
      <c r="J52" s="15">
        <v>38</v>
      </c>
      <c r="K52" s="15">
        <v>17</v>
      </c>
      <c r="L52" s="15">
        <v>1</v>
      </c>
      <c r="M52" s="73">
        <v>6.1369999999999996</v>
      </c>
      <c r="N52" s="104">
        <v>6.1369999999999996</v>
      </c>
      <c r="O52" s="57">
        <v>7000</v>
      </c>
      <c r="P52" s="58">
        <f t="shared" si="0"/>
        <v>42959</v>
      </c>
    </row>
    <row r="53" spans="1:16" ht="26.25" customHeight="1" x14ac:dyDescent="0.2">
      <c r="A53" s="100"/>
      <c r="B53" s="100"/>
      <c r="C53" s="65" t="s">
        <v>3686</v>
      </c>
      <c r="D53" s="70" t="s">
        <v>57</v>
      </c>
      <c r="E53" s="12">
        <v>44549</v>
      </c>
      <c r="F53" s="68" t="s">
        <v>58</v>
      </c>
      <c r="G53" s="12">
        <v>44554</v>
      </c>
      <c r="H53" s="69" t="s">
        <v>3349</v>
      </c>
      <c r="I53" s="15">
        <v>67</v>
      </c>
      <c r="J53" s="15">
        <v>62</v>
      </c>
      <c r="K53" s="15">
        <v>12</v>
      </c>
      <c r="L53" s="15">
        <v>8</v>
      </c>
      <c r="M53" s="73">
        <v>12.462</v>
      </c>
      <c r="N53" s="104">
        <v>13</v>
      </c>
      <c r="O53" s="57">
        <v>7000</v>
      </c>
      <c r="P53" s="58">
        <f t="shared" si="0"/>
        <v>91000</v>
      </c>
    </row>
    <row r="54" spans="1:16" ht="26.25" customHeight="1" x14ac:dyDescent="0.2">
      <c r="A54" s="100"/>
      <c r="B54" s="100"/>
      <c r="C54" s="65" t="s">
        <v>3687</v>
      </c>
      <c r="D54" s="70" t="s">
        <v>57</v>
      </c>
      <c r="E54" s="12">
        <v>44549</v>
      </c>
      <c r="F54" s="68" t="s">
        <v>58</v>
      </c>
      <c r="G54" s="12">
        <v>44554</v>
      </c>
      <c r="H54" s="69" t="s">
        <v>3349</v>
      </c>
      <c r="I54" s="15">
        <v>57</v>
      </c>
      <c r="J54" s="15">
        <v>47</v>
      </c>
      <c r="K54" s="15">
        <v>32</v>
      </c>
      <c r="L54" s="15">
        <v>14</v>
      </c>
      <c r="M54" s="73">
        <v>21.431999999999999</v>
      </c>
      <c r="N54" s="104">
        <v>22</v>
      </c>
      <c r="O54" s="57">
        <v>7000</v>
      </c>
      <c r="P54" s="58">
        <f t="shared" si="0"/>
        <v>154000</v>
      </c>
    </row>
    <row r="55" spans="1:16" ht="26.25" customHeight="1" x14ac:dyDescent="0.2">
      <c r="A55" s="100"/>
      <c r="B55" s="100"/>
      <c r="C55" s="65" t="s">
        <v>3688</v>
      </c>
      <c r="D55" s="70" t="s">
        <v>57</v>
      </c>
      <c r="E55" s="12">
        <v>44549</v>
      </c>
      <c r="F55" s="68" t="s">
        <v>58</v>
      </c>
      <c r="G55" s="12">
        <v>44554</v>
      </c>
      <c r="H55" s="69" t="s">
        <v>3349</v>
      </c>
      <c r="I55" s="15">
        <v>46</v>
      </c>
      <c r="J55" s="15">
        <v>36</v>
      </c>
      <c r="K55" s="15">
        <v>12</v>
      </c>
      <c r="L55" s="15">
        <v>1</v>
      </c>
      <c r="M55" s="73">
        <v>4.968</v>
      </c>
      <c r="N55" s="104">
        <v>4.968</v>
      </c>
      <c r="O55" s="57">
        <v>7000</v>
      </c>
      <c r="P55" s="58">
        <f t="shared" si="0"/>
        <v>34776</v>
      </c>
    </row>
    <row r="56" spans="1:16" ht="26.25" customHeight="1" x14ac:dyDescent="0.2">
      <c r="A56" s="100"/>
      <c r="B56" s="100"/>
      <c r="C56" s="65" t="s">
        <v>3689</v>
      </c>
      <c r="D56" s="70" t="s">
        <v>57</v>
      </c>
      <c r="E56" s="12">
        <v>44549</v>
      </c>
      <c r="F56" s="68" t="s">
        <v>58</v>
      </c>
      <c r="G56" s="12">
        <v>44554</v>
      </c>
      <c r="H56" s="69" t="s">
        <v>3349</v>
      </c>
      <c r="I56" s="15">
        <v>44</v>
      </c>
      <c r="J56" s="15">
        <v>34</v>
      </c>
      <c r="K56" s="15">
        <v>13</v>
      </c>
      <c r="L56" s="15">
        <v>1</v>
      </c>
      <c r="M56" s="73">
        <v>4.8620000000000001</v>
      </c>
      <c r="N56" s="104">
        <v>4.8620000000000001</v>
      </c>
      <c r="O56" s="57">
        <v>7000</v>
      </c>
      <c r="P56" s="58">
        <f t="shared" si="0"/>
        <v>34034</v>
      </c>
    </row>
    <row r="57" spans="1:16" ht="26.25" customHeight="1" x14ac:dyDescent="0.2">
      <c r="A57" s="100"/>
      <c r="B57" s="100"/>
      <c r="C57" s="65" t="s">
        <v>3690</v>
      </c>
      <c r="D57" s="70" t="s">
        <v>57</v>
      </c>
      <c r="E57" s="12">
        <v>44549</v>
      </c>
      <c r="F57" s="68" t="s">
        <v>58</v>
      </c>
      <c r="G57" s="12">
        <v>44554</v>
      </c>
      <c r="H57" s="69" t="s">
        <v>3349</v>
      </c>
      <c r="I57" s="15">
        <v>43</v>
      </c>
      <c r="J57" s="15">
        <v>38</v>
      </c>
      <c r="K57" s="15">
        <v>22</v>
      </c>
      <c r="L57" s="15">
        <v>3</v>
      </c>
      <c r="M57" s="73">
        <v>8.9870000000000001</v>
      </c>
      <c r="N57" s="104">
        <v>8.9870000000000001</v>
      </c>
      <c r="O57" s="57">
        <v>7000</v>
      </c>
      <c r="P57" s="58">
        <f t="shared" si="0"/>
        <v>62909</v>
      </c>
    </row>
    <row r="58" spans="1:16" ht="26.25" customHeight="1" x14ac:dyDescent="0.2">
      <c r="A58" s="100"/>
      <c r="B58" s="100"/>
      <c r="C58" s="65" t="s">
        <v>3691</v>
      </c>
      <c r="D58" s="70" t="s">
        <v>57</v>
      </c>
      <c r="E58" s="12">
        <v>44549</v>
      </c>
      <c r="F58" s="68" t="s">
        <v>58</v>
      </c>
      <c r="G58" s="12">
        <v>44554</v>
      </c>
      <c r="H58" s="69" t="s">
        <v>3349</v>
      </c>
      <c r="I58" s="15">
        <v>52</v>
      </c>
      <c r="J58" s="15">
        <v>42</v>
      </c>
      <c r="K58" s="15">
        <v>17</v>
      </c>
      <c r="L58" s="15">
        <v>4</v>
      </c>
      <c r="M58" s="73">
        <v>9.282</v>
      </c>
      <c r="N58" s="104">
        <v>9.282</v>
      </c>
      <c r="O58" s="57">
        <v>7000</v>
      </c>
      <c r="P58" s="58">
        <f t="shared" si="0"/>
        <v>64974</v>
      </c>
    </row>
    <row r="59" spans="1:16" ht="26.25" customHeight="1" x14ac:dyDescent="0.2">
      <c r="A59" s="100"/>
      <c r="B59" s="100"/>
      <c r="C59" s="65" t="s">
        <v>3692</v>
      </c>
      <c r="D59" s="70" t="s">
        <v>57</v>
      </c>
      <c r="E59" s="12">
        <v>44549</v>
      </c>
      <c r="F59" s="68" t="s">
        <v>58</v>
      </c>
      <c r="G59" s="12">
        <v>44554</v>
      </c>
      <c r="H59" s="69" t="s">
        <v>3349</v>
      </c>
      <c r="I59" s="15">
        <v>52</v>
      </c>
      <c r="J59" s="15">
        <v>20</v>
      </c>
      <c r="K59" s="15">
        <v>20</v>
      </c>
      <c r="L59" s="15">
        <v>2</v>
      </c>
      <c r="M59" s="73">
        <v>5.2</v>
      </c>
      <c r="N59" s="104">
        <v>5.2</v>
      </c>
      <c r="O59" s="57">
        <v>7000</v>
      </c>
      <c r="P59" s="58">
        <f t="shared" si="0"/>
        <v>36400</v>
      </c>
    </row>
    <row r="60" spans="1:16" ht="26.25" customHeight="1" x14ac:dyDescent="0.2">
      <c r="A60" s="100"/>
      <c r="B60" s="100"/>
      <c r="C60" s="65" t="s">
        <v>3693</v>
      </c>
      <c r="D60" s="70" t="s">
        <v>57</v>
      </c>
      <c r="E60" s="12">
        <v>44549</v>
      </c>
      <c r="F60" s="68" t="s">
        <v>58</v>
      </c>
      <c r="G60" s="12">
        <v>44554</v>
      </c>
      <c r="H60" s="69" t="s">
        <v>3349</v>
      </c>
      <c r="I60" s="15">
        <v>60</v>
      </c>
      <c r="J60" s="15">
        <v>58</v>
      </c>
      <c r="K60" s="15">
        <v>24</v>
      </c>
      <c r="L60" s="15">
        <v>8</v>
      </c>
      <c r="M60" s="73">
        <v>20.88</v>
      </c>
      <c r="N60" s="104">
        <v>20.88</v>
      </c>
      <c r="O60" s="57">
        <v>7000</v>
      </c>
      <c r="P60" s="58">
        <f t="shared" si="0"/>
        <v>146160</v>
      </c>
    </row>
    <row r="61" spans="1:16" ht="26.25" customHeight="1" x14ac:dyDescent="0.2">
      <c r="A61" s="100"/>
      <c r="B61" s="100"/>
      <c r="C61" s="65" t="s">
        <v>3694</v>
      </c>
      <c r="D61" s="70" t="s">
        <v>57</v>
      </c>
      <c r="E61" s="12">
        <v>44549</v>
      </c>
      <c r="F61" s="68" t="s">
        <v>58</v>
      </c>
      <c r="G61" s="12">
        <v>44554</v>
      </c>
      <c r="H61" s="69" t="s">
        <v>3349</v>
      </c>
      <c r="I61" s="15">
        <v>64</v>
      </c>
      <c r="J61" s="15">
        <v>17</v>
      </c>
      <c r="K61" s="15">
        <v>7</v>
      </c>
      <c r="L61" s="15">
        <v>5</v>
      </c>
      <c r="M61" s="73">
        <v>1.9039999999999999</v>
      </c>
      <c r="N61" s="104">
        <v>5</v>
      </c>
      <c r="O61" s="57">
        <v>7000</v>
      </c>
      <c r="P61" s="58">
        <f t="shared" si="0"/>
        <v>35000</v>
      </c>
    </row>
    <row r="62" spans="1:16" ht="26.25" customHeight="1" x14ac:dyDescent="0.2">
      <c r="A62" s="100"/>
      <c r="B62" s="100"/>
      <c r="C62" s="65" t="s">
        <v>3695</v>
      </c>
      <c r="D62" s="70" t="s">
        <v>57</v>
      </c>
      <c r="E62" s="12">
        <v>44549</v>
      </c>
      <c r="F62" s="68" t="s">
        <v>58</v>
      </c>
      <c r="G62" s="12">
        <v>44554</v>
      </c>
      <c r="H62" s="69" t="s">
        <v>3349</v>
      </c>
      <c r="I62" s="15">
        <v>86</v>
      </c>
      <c r="J62" s="15">
        <v>47</v>
      </c>
      <c r="K62" s="15">
        <v>27</v>
      </c>
      <c r="L62" s="15">
        <v>12</v>
      </c>
      <c r="M62" s="73">
        <v>27.2835</v>
      </c>
      <c r="N62" s="104">
        <v>27.2835</v>
      </c>
      <c r="O62" s="57">
        <v>7000</v>
      </c>
      <c r="P62" s="58">
        <f t="shared" si="0"/>
        <v>190984.5</v>
      </c>
    </row>
    <row r="63" spans="1:16" ht="26.25" customHeight="1" x14ac:dyDescent="0.2">
      <c r="A63" s="100"/>
      <c r="B63" s="100"/>
      <c r="C63" s="65" t="s">
        <v>3696</v>
      </c>
      <c r="D63" s="70" t="s">
        <v>57</v>
      </c>
      <c r="E63" s="12">
        <v>44549</v>
      </c>
      <c r="F63" s="68" t="s">
        <v>58</v>
      </c>
      <c r="G63" s="12">
        <v>44554</v>
      </c>
      <c r="H63" s="69" t="s">
        <v>3349</v>
      </c>
      <c r="I63" s="15">
        <v>59</v>
      </c>
      <c r="J63" s="15">
        <v>34</v>
      </c>
      <c r="K63" s="15">
        <v>20</v>
      </c>
      <c r="L63" s="15">
        <v>4</v>
      </c>
      <c r="M63" s="73">
        <v>10.029999999999999</v>
      </c>
      <c r="N63" s="104">
        <v>10.029999999999999</v>
      </c>
      <c r="O63" s="57">
        <v>7000</v>
      </c>
      <c r="P63" s="58">
        <f t="shared" si="0"/>
        <v>70210</v>
      </c>
    </row>
    <row r="64" spans="1:16" ht="26.25" customHeight="1" x14ac:dyDescent="0.2">
      <c r="A64" s="100"/>
      <c r="B64" s="100"/>
      <c r="C64" s="65" t="s">
        <v>3697</v>
      </c>
      <c r="D64" s="70" t="s">
        <v>57</v>
      </c>
      <c r="E64" s="12">
        <v>44549</v>
      </c>
      <c r="F64" s="68" t="s">
        <v>58</v>
      </c>
      <c r="G64" s="12">
        <v>44554</v>
      </c>
      <c r="H64" s="69" t="s">
        <v>3349</v>
      </c>
      <c r="I64" s="15">
        <v>87</v>
      </c>
      <c r="J64" s="15">
        <v>40</v>
      </c>
      <c r="K64" s="15">
        <v>20</v>
      </c>
      <c r="L64" s="15">
        <v>3</v>
      </c>
      <c r="M64" s="73">
        <v>17.399999999999999</v>
      </c>
      <c r="N64" s="104">
        <v>18</v>
      </c>
      <c r="O64" s="57">
        <v>7000</v>
      </c>
      <c r="P64" s="58">
        <f t="shared" si="0"/>
        <v>126000</v>
      </c>
    </row>
    <row r="65" spans="1:16" ht="26.25" customHeight="1" x14ac:dyDescent="0.2">
      <c r="A65" s="100"/>
      <c r="B65" s="100"/>
      <c r="C65" s="65" t="s">
        <v>3698</v>
      </c>
      <c r="D65" s="70" t="s">
        <v>57</v>
      </c>
      <c r="E65" s="12">
        <v>44549</v>
      </c>
      <c r="F65" s="68" t="s">
        <v>58</v>
      </c>
      <c r="G65" s="12">
        <v>44554</v>
      </c>
      <c r="H65" s="69" t="s">
        <v>3349</v>
      </c>
      <c r="I65" s="15">
        <v>84</v>
      </c>
      <c r="J65" s="15">
        <v>22</v>
      </c>
      <c r="K65" s="15">
        <v>15</v>
      </c>
      <c r="L65" s="15">
        <v>1</v>
      </c>
      <c r="M65" s="73">
        <v>6.93</v>
      </c>
      <c r="N65" s="104">
        <v>6.93</v>
      </c>
      <c r="O65" s="57">
        <v>7000</v>
      </c>
      <c r="P65" s="58">
        <f t="shared" si="0"/>
        <v>48510</v>
      </c>
    </row>
    <row r="66" spans="1:16" ht="26.25" customHeight="1" x14ac:dyDescent="0.2">
      <c r="A66" s="100"/>
      <c r="B66" s="100"/>
      <c r="C66" s="65" t="s">
        <v>3699</v>
      </c>
      <c r="D66" s="70" t="s">
        <v>57</v>
      </c>
      <c r="E66" s="12">
        <v>44549</v>
      </c>
      <c r="F66" s="68" t="s">
        <v>58</v>
      </c>
      <c r="G66" s="12">
        <v>44554</v>
      </c>
      <c r="H66" s="69" t="s">
        <v>3349</v>
      </c>
      <c r="I66" s="15">
        <v>45</v>
      </c>
      <c r="J66" s="15">
        <v>37</v>
      </c>
      <c r="K66" s="15">
        <v>17</v>
      </c>
      <c r="L66" s="15">
        <v>1</v>
      </c>
      <c r="M66" s="73">
        <v>7.0762499999999999</v>
      </c>
      <c r="N66" s="104">
        <v>7.0762499999999999</v>
      </c>
      <c r="O66" s="57">
        <v>7000</v>
      </c>
      <c r="P66" s="58">
        <f t="shared" si="0"/>
        <v>49533.75</v>
      </c>
    </row>
    <row r="67" spans="1:16" ht="26.25" customHeight="1" x14ac:dyDescent="0.2">
      <c r="A67" s="100"/>
      <c r="B67" s="100"/>
      <c r="C67" s="65" t="s">
        <v>3700</v>
      </c>
      <c r="D67" s="70" t="s">
        <v>57</v>
      </c>
      <c r="E67" s="12">
        <v>44549</v>
      </c>
      <c r="F67" s="68" t="s">
        <v>58</v>
      </c>
      <c r="G67" s="12">
        <v>44554</v>
      </c>
      <c r="H67" s="69" t="s">
        <v>3349</v>
      </c>
      <c r="I67" s="15">
        <v>84</v>
      </c>
      <c r="J67" s="15">
        <v>55</v>
      </c>
      <c r="K67" s="15">
        <v>24</v>
      </c>
      <c r="L67" s="15">
        <v>15</v>
      </c>
      <c r="M67" s="73">
        <v>27.72</v>
      </c>
      <c r="N67" s="104">
        <v>27.72</v>
      </c>
      <c r="O67" s="57">
        <v>7000</v>
      </c>
      <c r="P67" s="58">
        <f t="shared" ref="P67:P130" si="1">N67*O67</f>
        <v>194040</v>
      </c>
    </row>
    <row r="68" spans="1:16" ht="26.25" customHeight="1" x14ac:dyDescent="0.2">
      <c r="A68" s="100"/>
      <c r="B68" s="100"/>
      <c r="C68" s="65" t="s">
        <v>3701</v>
      </c>
      <c r="D68" s="70" t="s">
        <v>57</v>
      </c>
      <c r="E68" s="12">
        <v>44549</v>
      </c>
      <c r="F68" s="68" t="s">
        <v>58</v>
      </c>
      <c r="G68" s="12">
        <v>44554</v>
      </c>
      <c r="H68" s="69" t="s">
        <v>3349</v>
      </c>
      <c r="I68" s="15">
        <v>62</v>
      </c>
      <c r="J68" s="15">
        <v>48</v>
      </c>
      <c r="K68" s="15">
        <v>20</v>
      </c>
      <c r="L68" s="15">
        <v>6</v>
      </c>
      <c r="M68" s="73">
        <v>14.88</v>
      </c>
      <c r="N68" s="104">
        <v>14.88</v>
      </c>
      <c r="O68" s="57">
        <v>7000</v>
      </c>
      <c r="P68" s="58">
        <f t="shared" si="1"/>
        <v>104160</v>
      </c>
    </row>
    <row r="69" spans="1:16" ht="26.25" customHeight="1" x14ac:dyDescent="0.2">
      <c r="A69" s="100"/>
      <c r="B69" s="100"/>
      <c r="C69" s="65" t="s">
        <v>3702</v>
      </c>
      <c r="D69" s="70" t="s">
        <v>57</v>
      </c>
      <c r="E69" s="12">
        <v>44549</v>
      </c>
      <c r="F69" s="68" t="s">
        <v>58</v>
      </c>
      <c r="G69" s="12">
        <v>44554</v>
      </c>
      <c r="H69" s="69" t="s">
        <v>3349</v>
      </c>
      <c r="I69" s="15">
        <v>47</v>
      </c>
      <c r="J69" s="15">
        <v>47</v>
      </c>
      <c r="K69" s="15">
        <v>32</v>
      </c>
      <c r="L69" s="15">
        <v>6</v>
      </c>
      <c r="M69" s="73">
        <v>17.672000000000001</v>
      </c>
      <c r="N69" s="104">
        <v>17.672000000000001</v>
      </c>
      <c r="O69" s="57">
        <v>7000</v>
      </c>
      <c r="P69" s="58">
        <f t="shared" si="1"/>
        <v>123704</v>
      </c>
    </row>
    <row r="70" spans="1:16" ht="26.25" customHeight="1" x14ac:dyDescent="0.2">
      <c r="A70" s="100"/>
      <c r="B70" s="100"/>
      <c r="C70" s="65" t="s">
        <v>3703</v>
      </c>
      <c r="D70" s="70" t="s">
        <v>57</v>
      </c>
      <c r="E70" s="12">
        <v>44549</v>
      </c>
      <c r="F70" s="68" t="s">
        <v>58</v>
      </c>
      <c r="G70" s="12">
        <v>44554</v>
      </c>
      <c r="H70" s="69" t="s">
        <v>3349</v>
      </c>
      <c r="I70" s="15">
        <v>75</v>
      </c>
      <c r="J70" s="15">
        <v>45</v>
      </c>
      <c r="K70" s="15">
        <v>34</v>
      </c>
      <c r="L70" s="15">
        <v>14</v>
      </c>
      <c r="M70" s="73">
        <v>28.6875</v>
      </c>
      <c r="N70" s="104">
        <v>28.6875</v>
      </c>
      <c r="O70" s="57">
        <v>7000</v>
      </c>
      <c r="P70" s="58">
        <f t="shared" si="1"/>
        <v>200812.5</v>
      </c>
    </row>
    <row r="71" spans="1:16" ht="26.25" customHeight="1" x14ac:dyDescent="0.2">
      <c r="A71" s="100"/>
      <c r="B71" s="100"/>
      <c r="C71" s="65" t="s">
        <v>3704</v>
      </c>
      <c r="D71" s="70" t="s">
        <v>57</v>
      </c>
      <c r="E71" s="12">
        <v>44549</v>
      </c>
      <c r="F71" s="68" t="s">
        <v>58</v>
      </c>
      <c r="G71" s="12">
        <v>44554</v>
      </c>
      <c r="H71" s="69" t="s">
        <v>3349</v>
      </c>
      <c r="I71" s="15">
        <v>50</v>
      </c>
      <c r="J71" s="15">
        <v>55</v>
      </c>
      <c r="K71" s="15">
        <v>20</v>
      </c>
      <c r="L71" s="15">
        <v>6</v>
      </c>
      <c r="M71" s="73">
        <v>13.75</v>
      </c>
      <c r="N71" s="104">
        <v>13.75</v>
      </c>
      <c r="O71" s="57">
        <v>7000</v>
      </c>
      <c r="P71" s="58">
        <f t="shared" si="1"/>
        <v>96250</v>
      </c>
    </row>
    <row r="72" spans="1:16" ht="26.25" customHeight="1" x14ac:dyDescent="0.2">
      <c r="A72" s="100"/>
      <c r="B72" s="100"/>
      <c r="C72" s="65" t="s">
        <v>3705</v>
      </c>
      <c r="D72" s="70" t="s">
        <v>57</v>
      </c>
      <c r="E72" s="12">
        <v>44549</v>
      </c>
      <c r="F72" s="68" t="s">
        <v>58</v>
      </c>
      <c r="G72" s="12">
        <v>44554</v>
      </c>
      <c r="H72" s="69" t="s">
        <v>3349</v>
      </c>
      <c r="I72" s="15">
        <v>102</v>
      </c>
      <c r="J72" s="15">
        <v>17</v>
      </c>
      <c r="K72" s="15">
        <v>10</v>
      </c>
      <c r="L72" s="15">
        <v>1</v>
      </c>
      <c r="M72" s="73">
        <v>4.335</v>
      </c>
      <c r="N72" s="104">
        <v>5</v>
      </c>
      <c r="O72" s="57">
        <v>7000</v>
      </c>
      <c r="P72" s="58">
        <f t="shared" si="1"/>
        <v>35000</v>
      </c>
    </row>
    <row r="73" spans="1:16" ht="26.25" customHeight="1" x14ac:dyDescent="0.2">
      <c r="A73" s="100"/>
      <c r="B73" s="100"/>
      <c r="C73" s="65" t="s">
        <v>3706</v>
      </c>
      <c r="D73" s="70" t="s">
        <v>57</v>
      </c>
      <c r="E73" s="12">
        <v>44549</v>
      </c>
      <c r="F73" s="68" t="s">
        <v>58</v>
      </c>
      <c r="G73" s="12">
        <v>44554</v>
      </c>
      <c r="H73" s="69" t="s">
        <v>3349</v>
      </c>
      <c r="I73" s="15">
        <v>85</v>
      </c>
      <c r="J73" s="15">
        <v>55</v>
      </c>
      <c r="K73" s="15">
        <v>10</v>
      </c>
      <c r="L73" s="15">
        <v>1</v>
      </c>
      <c r="M73" s="73">
        <v>11.6875</v>
      </c>
      <c r="N73" s="104">
        <v>11.6875</v>
      </c>
      <c r="O73" s="57">
        <v>7000</v>
      </c>
      <c r="P73" s="58">
        <f t="shared" si="1"/>
        <v>81812.5</v>
      </c>
    </row>
    <row r="74" spans="1:16" ht="26.25" customHeight="1" x14ac:dyDescent="0.2">
      <c r="A74" s="100"/>
      <c r="B74" s="100"/>
      <c r="C74" s="65" t="s">
        <v>3707</v>
      </c>
      <c r="D74" s="70" t="s">
        <v>57</v>
      </c>
      <c r="E74" s="12">
        <v>44549</v>
      </c>
      <c r="F74" s="68" t="s">
        <v>58</v>
      </c>
      <c r="G74" s="12">
        <v>44554</v>
      </c>
      <c r="H74" s="69" t="s">
        <v>3349</v>
      </c>
      <c r="I74" s="15">
        <v>40</v>
      </c>
      <c r="J74" s="15">
        <v>22</v>
      </c>
      <c r="K74" s="15">
        <v>22</v>
      </c>
      <c r="L74" s="15">
        <v>3</v>
      </c>
      <c r="M74" s="73">
        <v>4.84</v>
      </c>
      <c r="N74" s="104">
        <v>4.84</v>
      </c>
      <c r="O74" s="57">
        <v>7000</v>
      </c>
      <c r="P74" s="58">
        <f t="shared" si="1"/>
        <v>33880</v>
      </c>
    </row>
    <row r="75" spans="1:16" ht="26.25" customHeight="1" x14ac:dyDescent="0.2">
      <c r="A75" s="100"/>
      <c r="B75" s="100"/>
      <c r="C75" s="65" t="s">
        <v>3708</v>
      </c>
      <c r="D75" s="70" t="s">
        <v>57</v>
      </c>
      <c r="E75" s="12">
        <v>44549</v>
      </c>
      <c r="F75" s="68" t="s">
        <v>58</v>
      </c>
      <c r="G75" s="12">
        <v>44554</v>
      </c>
      <c r="H75" s="69" t="s">
        <v>3349</v>
      </c>
      <c r="I75" s="15">
        <v>64</v>
      </c>
      <c r="J75" s="15">
        <v>47</v>
      </c>
      <c r="K75" s="15">
        <v>22</v>
      </c>
      <c r="L75" s="15">
        <v>5</v>
      </c>
      <c r="M75" s="73">
        <v>16.544</v>
      </c>
      <c r="N75" s="104">
        <v>16.544</v>
      </c>
      <c r="O75" s="57">
        <v>7000</v>
      </c>
      <c r="P75" s="58">
        <f t="shared" si="1"/>
        <v>115808</v>
      </c>
    </row>
    <row r="76" spans="1:16" ht="26.25" customHeight="1" x14ac:dyDescent="0.2">
      <c r="A76" s="100"/>
      <c r="B76" s="100"/>
      <c r="C76" s="65" t="s">
        <v>3709</v>
      </c>
      <c r="D76" s="70" t="s">
        <v>57</v>
      </c>
      <c r="E76" s="12">
        <v>44549</v>
      </c>
      <c r="F76" s="68" t="s">
        <v>58</v>
      </c>
      <c r="G76" s="12">
        <v>44554</v>
      </c>
      <c r="H76" s="69" t="s">
        <v>3349</v>
      </c>
      <c r="I76" s="15">
        <v>55</v>
      </c>
      <c r="J76" s="15">
        <v>41</v>
      </c>
      <c r="K76" s="15">
        <v>15</v>
      </c>
      <c r="L76" s="15">
        <v>4</v>
      </c>
      <c r="M76" s="73">
        <v>8.4562500000000007</v>
      </c>
      <c r="N76" s="104">
        <v>9</v>
      </c>
      <c r="O76" s="57">
        <v>7000</v>
      </c>
      <c r="P76" s="58">
        <f t="shared" si="1"/>
        <v>63000</v>
      </c>
    </row>
    <row r="77" spans="1:16" ht="26.25" customHeight="1" x14ac:dyDescent="0.2">
      <c r="A77" s="100"/>
      <c r="B77" s="100"/>
      <c r="C77" s="65" t="s">
        <v>3710</v>
      </c>
      <c r="D77" s="70" t="s">
        <v>57</v>
      </c>
      <c r="E77" s="12">
        <v>44549</v>
      </c>
      <c r="F77" s="68" t="s">
        <v>58</v>
      </c>
      <c r="G77" s="12">
        <v>44554</v>
      </c>
      <c r="H77" s="69" t="s">
        <v>3349</v>
      </c>
      <c r="I77" s="15">
        <v>96</v>
      </c>
      <c r="J77" s="15">
        <v>47</v>
      </c>
      <c r="K77" s="15">
        <v>37</v>
      </c>
      <c r="L77" s="15">
        <v>20</v>
      </c>
      <c r="M77" s="73">
        <v>41.735999999999997</v>
      </c>
      <c r="N77" s="104">
        <v>41.735999999999997</v>
      </c>
      <c r="O77" s="57">
        <v>7000</v>
      </c>
      <c r="P77" s="58">
        <f t="shared" si="1"/>
        <v>292152</v>
      </c>
    </row>
    <row r="78" spans="1:16" ht="26.25" customHeight="1" x14ac:dyDescent="0.2">
      <c r="A78" s="100"/>
      <c r="B78" s="100"/>
      <c r="C78" s="65" t="s">
        <v>3711</v>
      </c>
      <c r="D78" s="70" t="s">
        <v>57</v>
      </c>
      <c r="E78" s="12">
        <v>44549</v>
      </c>
      <c r="F78" s="68" t="s">
        <v>58</v>
      </c>
      <c r="G78" s="12">
        <v>44554</v>
      </c>
      <c r="H78" s="69" t="s">
        <v>3349</v>
      </c>
      <c r="I78" s="15">
        <v>58</v>
      </c>
      <c r="J78" s="15">
        <v>40</v>
      </c>
      <c r="K78" s="15">
        <v>22</v>
      </c>
      <c r="L78" s="15">
        <v>7</v>
      </c>
      <c r="M78" s="73">
        <v>12.76</v>
      </c>
      <c r="N78" s="104">
        <v>12.76</v>
      </c>
      <c r="O78" s="57">
        <v>7000</v>
      </c>
      <c r="P78" s="58">
        <f t="shared" si="1"/>
        <v>89320</v>
      </c>
    </row>
    <row r="79" spans="1:16" ht="26.25" customHeight="1" x14ac:dyDescent="0.2">
      <c r="A79" s="100"/>
      <c r="B79" s="100"/>
      <c r="C79" s="65" t="s">
        <v>3712</v>
      </c>
      <c r="D79" s="70" t="s">
        <v>57</v>
      </c>
      <c r="E79" s="12">
        <v>44549</v>
      </c>
      <c r="F79" s="68" t="s">
        <v>58</v>
      </c>
      <c r="G79" s="12">
        <v>44554</v>
      </c>
      <c r="H79" s="69" t="s">
        <v>3349</v>
      </c>
      <c r="I79" s="15">
        <v>84</v>
      </c>
      <c r="J79" s="15">
        <v>57</v>
      </c>
      <c r="K79" s="15">
        <v>34</v>
      </c>
      <c r="L79" s="15">
        <v>22</v>
      </c>
      <c r="M79" s="73">
        <v>40.698</v>
      </c>
      <c r="N79" s="104">
        <v>40.698</v>
      </c>
      <c r="O79" s="57">
        <v>7000</v>
      </c>
      <c r="P79" s="58">
        <f t="shared" si="1"/>
        <v>284886</v>
      </c>
    </row>
    <row r="80" spans="1:16" ht="26.25" customHeight="1" x14ac:dyDescent="0.2">
      <c r="A80" s="100"/>
      <c r="B80" s="100"/>
      <c r="C80" s="65" t="s">
        <v>3713</v>
      </c>
      <c r="D80" s="70" t="s">
        <v>57</v>
      </c>
      <c r="E80" s="12">
        <v>44549</v>
      </c>
      <c r="F80" s="68" t="s">
        <v>58</v>
      </c>
      <c r="G80" s="12">
        <v>44554</v>
      </c>
      <c r="H80" s="69" t="s">
        <v>3349</v>
      </c>
      <c r="I80" s="15">
        <v>72</v>
      </c>
      <c r="J80" s="15">
        <v>58</v>
      </c>
      <c r="K80" s="15">
        <v>24</v>
      </c>
      <c r="L80" s="15">
        <v>12</v>
      </c>
      <c r="M80" s="73">
        <v>25.056000000000001</v>
      </c>
      <c r="N80" s="104">
        <v>25.056000000000001</v>
      </c>
      <c r="O80" s="57">
        <v>7000</v>
      </c>
      <c r="P80" s="58">
        <f t="shared" si="1"/>
        <v>175392</v>
      </c>
    </row>
    <row r="81" spans="1:16" ht="26.25" customHeight="1" x14ac:dyDescent="0.2">
      <c r="A81" s="100"/>
      <c r="B81" s="100"/>
      <c r="C81" s="65" t="s">
        <v>3714</v>
      </c>
      <c r="D81" s="70" t="s">
        <v>57</v>
      </c>
      <c r="E81" s="12">
        <v>44549</v>
      </c>
      <c r="F81" s="68" t="s">
        <v>58</v>
      </c>
      <c r="G81" s="12">
        <v>44554</v>
      </c>
      <c r="H81" s="69" t="s">
        <v>3349</v>
      </c>
      <c r="I81" s="15">
        <v>65</v>
      </c>
      <c r="J81" s="15">
        <v>57</v>
      </c>
      <c r="K81" s="15">
        <v>24</v>
      </c>
      <c r="L81" s="15">
        <v>10</v>
      </c>
      <c r="M81" s="73">
        <v>22.23</v>
      </c>
      <c r="N81" s="104">
        <v>22.23</v>
      </c>
      <c r="O81" s="57">
        <v>7000</v>
      </c>
      <c r="P81" s="58">
        <f t="shared" si="1"/>
        <v>155610</v>
      </c>
    </row>
    <row r="82" spans="1:16" ht="26.25" customHeight="1" x14ac:dyDescent="0.2">
      <c r="A82" s="100"/>
      <c r="B82" s="100"/>
      <c r="C82" s="65" t="s">
        <v>3715</v>
      </c>
      <c r="D82" s="70" t="s">
        <v>57</v>
      </c>
      <c r="E82" s="12">
        <v>44549</v>
      </c>
      <c r="F82" s="68" t="s">
        <v>58</v>
      </c>
      <c r="G82" s="12">
        <v>44554</v>
      </c>
      <c r="H82" s="69" t="s">
        <v>3349</v>
      </c>
      <c r="I82" s="15">
        <v>87</v>
      </c>
      <c r="J82" s="15">
        <v>60</v>
      </c>
      <c r="K82" s="15">
        <v>29</v>
      </c>
      <c r="L82" s="15">
        <v>15</v>
      </c>
      <c r="M82" s="73">
        <v>37.844999999999999</v>
      </c>
      <c r="N82" s="104">
        <v>37.844999999999999</v>
      </c>
      <c r="O82" s="57">
        <v>7000</v>
      </c>
      <c r="P82" s="58">
        <f t="shared" si="1"/>
        <v>264915</v>
      </c>
    </row>
    <row r="83" spans="1:16" ht="26.25" customHeight="1" x14ac:dyDescent="0.2">
      <c r="A83" s="100"/>
      <c r="B83" s="100"/>
      <c r="C83" s="65" t="s">
        <v>3716</v>
      </c>
      <c r="D83" s="70" t="s">
        <v>57</v>
      </c>
      <c r="E83" s="12">
        <v>44549</v>
      </c>
      <c r="F83" s="68" t="s">
        <v>58</v>
      </c>
      <c r="G83" s="12">
        <v>44554</v>
      </c>
      <c r="H83" s="69" t="s">
        <v>3349</v>
      </c>
      <c r="I83" s="15">
        <v>88</v>
      </c>
      <c r="J83" s="15">
        <v>55</v>
      </c>
      <c r="K83" s="15">
        <v>25</v>
      </c>
      <c r="L83" s="15">
        <v>13</v>
      </c>
      <c r="M83" s="73">
        <v>30.25</v>
      </c>
      <c r="N83" s="104">
        <v>30.25</v>
      </c>
      <c r="O83" s="57">
        <v>7000</v>
      </c>
      <c r="P83" s="58">
        <f t="shared" si="1"/>
        <v>211750</v>
      </c>
    </row>
    <row r="84" spans="1:16" ht="26.25" customHeight="1" x14ac:dyDescent="0.2">
      <c r="A84" s="100"/>
      <c r="B84" s="100"/>
      <c r="C84" s="65" t="s">
        <v>3717</v>
      </c>
      <c r="D84" s="70" t="s">
        <v>57</v>
      </c>
      <c r="E84" s="12">
        <v>44549</v>
      </c>
      <c r="F84" s="68" t="s">
        <v>58</v>
      </c>
      <c r="G84" s="12">
        <v>44554</v>
      </c>
      <c r="H84" s="69" t="s">
        <v>3349</v>
      </c>
      <c r="I84" s="15">
        <v>31</v>
      </c>
      <c r="J84" s="15">
        <v>28</v>
      </c>
      <c r="K84" s="15">
        <v>28</v>
      </c>
      <c r="L84" s="15">
        <v>1</v>
      </c>
      <c r="M84" s="73">
        <v>6.0759999999999996</v>
      </c>
      <c r="N84" s="104">
        <v>6.0759999999999996</v>
      </c>
      <c r="O84" s="57">
        <v>7000</v>
      </c>
      <c r="P84" s="58">
        <f t="shared" si="1"/>
        <v>42532</v>
      </c>
    </row>
    <row r="85" spans="1:16" ht="26.25" customHeight="1" x14ac:dyDescent="0.2">
      <c r="A85" s="100"/>
      <c r="B85" s="100"/>
      <c r="C85" s="65" t="s">
        <v>3718</v>
      </c>
      <c r="D85" s="70" t="s">
        <v>57</v>
      </c>
      <c r="E85" s="12">
        <v>44549</v>
      </c>
      <c r="F85" s="68" t="s">
        <v>58</v>
      </c>
      <c r="G85" s="12">
        <v>44554</v>
      </c>
      <c r="H85" s="69" t="s">
        <v>3349</v>
      </c>
      <c r="I85" s="15">
        <v>48</v>
      </c>
      <c r="J85" s="15">
        <v>34</v>
      </c>
      <c r="K85" s="15">
        <v>24</v>
      </c>
      <c r="L85" s="15">
        <v>5</v>
      </c>
      <c r="M85" s="73">
        <v>9.7919999999999998</v>
      </c>
      <c r="N85" s="104">
        <v>9.7919999999999998</v>
      </c>
      <c r="O85" s="57">
        <v>7000</v>
      </c>
      <c r="P85" s="58">
        <f t="shared" si="1"/>
        <v>68544</v>
      </c>
    </row>
    <row r="86" spans="1:16" ht="26.25" customHeight="1" x14ac:dyDescent="0.2">
      <c r="A86" s="100"/>
      <c r="B86" s="100"/>
      <c r="C86" s="65" t="s">
        <v>3719</v>
      </c>
      <c r="D86" s="70" t="s">
        <v>57</v>
      </c>
      <c r="E86" s="12">
        <v>44549</v>
      </c>
      <c r="F86" s="68" t="s">
        <v>58</v>
      </c>
      <c r="G86" s="12">
        <v>44554</v>
      </c>
      <c r="H86" s="69" t="s">
        <v>3349</v>
      </c>
      <c r="I86" s="15">
        <v>32</v>
      </c>
      <c r="J86" s="15">
        <v>27</v>
      </c>
      <c r="K86" s="15">
        <v>28</v>
      </c>
      <c r="L86" s="15">
        <v>1</v>
      </c>
      <c r="M86" s="73">
        <v>6.048</v>
      </c>
      <c r="N86" s="104">
        <v>6.048</v>
      </c>
      <c r="O86" s="57">
        <v>7000</v>
      </c>
      <c r="P86" s="58">
        <f t="shared" si="1"/>
        <v>42336</v>
      </c>
    </row>
    <row r="87" spans="1:16" ht="26.25" customHeight="1" x14ac:dyDescent="0.2">
      <c r="A87" s="100"/>
      <c r="B87" s="100"/>
      <c r="C87" s="65" t="s">
        <v>3720</v>
      </c>
      <c r="D87" s="70" t="s">
        <v>57</v>
      </c>
      <c r="E87" s="12">
        <v>44549</v>
      </c>
      <c r="F87" s="68" t="s">
        <v>58</v>
      </c>
      <c r="G87" s="12">
        <v>44554</v>
      </c>
      <c r="H87" s="69" t="s">
        <v>3349</v>
      </c>
      <c r="I87" s="15">
        <v>75</v>
      </c>
      <c r="J87" s="15">
        <v>58</v>
      </c>
      <c r="K87" s="15">
        <v>22</v>
      </c>
      <c r="L87" s="15">
        <v>9</v>
      </c>
      <c r="M87" s="73">
        <v>23.925000000000001</v>
      </c>
      <c r="N87" s="104">
        <v>23.925000000000001</v>
      </c>
      <c r="O87" s="57">
        <v>7000</v>
      </c>
      <c r="P87" s="58">
        <f t="shared" si="1"/>
        <v>167475</v>
      </c>
    </row>
    <row r="88" spans="1:16" ht="26.25" customHeight="1" x14ac:dyDescent="0.2">
      <c r="A88" s="100"/>
      <c r="B88" s="100"/>
      <c r="C88" s="65" t="s">
        <v>3721</v>
      </c>
      <c r="D88" s="70" t="s">
        <v>57</v>
      </c>
      <c r="E88" s="12">
        <v>44549</v>
      </c>
      <c r="F88" s="68" t="s">
        <v>58</v>
      </c>
      <c r="G88" s="12">
        <v>44554</v>
      </c>
      <c r="H88" s="69" t="s">
        <v>3349</v>
      </c>
      <c r="I88" s="15">
        <v>43</v>
      </c>
      <c r="J88" s="15">
        <v>32</v>
      </c>
      <c r="K88" s="15">
        <v>17</v>
      </c>
      <c r="L88" s="15">
        <v>3</v>
      </c>
      <c r="M88" s="73">
        <v>5.8479999999999999</v>
      </c>
      <c r="N88" s="104">
        <v>5.8479999999999999</v>
      </c>
      <c r="O88" s="57">
        <v>7000</v>
      </c>
      <c r="P88" s="58">
        <f t="shared" si="1"/>
        <v>40936</v>
      </c>
    </row>
    <row r="89" spans="1:16" ht="26.25" customHeight="1" x14ac:dyDescent="0.2">
      <c r="A89" s="100"/>
      <c r="B89" s="100"/>
      <c r="C89" s="65" t="s">
        <v>3722</v>
      </c>
      <c r="D89" s="70" t="s">
        <v>57</v>
      </c>
      <c r="E89" s="12">
        <v>44549</v>
      </c>
      <c r="F89" s="68" t="s">
        <v>58</v>
      </c>
      <c r="G89" s="12">
        <v>44554</v>
      </c>
      <c r="H89" s="69" t="s">
        <v>3349</v>
      </c>
      <c r="I89" s="15">
        <v>70</v>
      </c>
      <c r="J89" s="15">
        <v>68</v>
      </c>
      <c r="K89" s="15">
        <v>40</v>
      </c>
      <c r="L89" s="15">
        <v>12</v>
      </c>
      <c r="M89" s="73">
        <v>47.6</v>
      </c>
      <c r="N89" s="104">
        <v>47.6</v>
      </c>
      <c r="O89" s="57">
        <v>7000</v>
      </c>
      <c r="P89" s="58">
        <f t="shared" si="1"/>
        <v>333200</v>
      </c>
    </row>
    <row r="90" spans="1:16" ht="26.25" customHeight="1" x14ac:dyDescent="0.2">
      <c r="A90" s="100"/>
      <c r="B90" s="100"/>
      <c r="C90" s="65" t="s">
        <v>3723</v>
      </c>
      <c r="D90" s="70" t="s">
        <v>57</v>
      </c>
      <c r="E90" s="12">
        <v>44549</v>
      </c>
      <c r="F90" s="68" t="s">
        <v>58</v>
      </c>
      <c r="G90" s="12">
        <v>44554</v>
      </c>
      <c r="H90" s="69" t="s">
        <v>3349</v>
      </c>
      <c r="I90" s="15">
        <v>58</v>
      </c>
      <c r="J90" s="15">
        <v>38</v>
      </c>
      <c r="K90" s="15">
        <v>15</v>
      </c>
      <c r="L90" s="15">
        <v>6</v>
      </c>
      <c r="M90" s="73">
        <v>8.2650000000000006</v>
      </c>
      <c r="N90" s="104">
        <v>8.2650000000000006</v>
      </c>
      <c r="O90" s="57">
        <v>7000</v>
      </c>
      <c r="P90" s="58">
        <f t="shared" si="1"/>
        <v>57855.000000000007</v>
      </c>
    </row>
    <row r="91" spans="1:16" ht="26.25" customHeight="1" x14ac:dyDescent="0.2">
      <c r="A91" s="100"/>
      <c r="B91" s="100"/>
      <c r="C91" s="65" t="s">
        <v>3724</v>
      </c>
      <c r="D91" s="70" t="s">
        <v>57</v>
      </c>
      <c r="E91" s="12">
        <v>44549</v>
      </c>
      <c r="F91" s="68" t="s">
        <v>58</v>
      </c>
      <c r="G91" s="12">
        <v>44554</v>
      </c>
      <c r="H91" s="69" t="s">
        <v>3349</v>
      </c>
      <c r="I91" s="15">
        <v>106</v>
      </c>
      <c r="J91" s="15">
        <v>57</v>
      </c>
      <c r="K91" s="15">
        <v>34</v>
      </c>
      <c r="L91" s="15">
        <v>26</v>
      </c>
      <c r="M91" s="73">
        <v>51.356999999999999</v>
      </c>
      <c r="N91" s="104">
        <v>52</v>
      </c>
      <c r="O91" s="57">
        <v>7000</v>
      </c>
      <c r="P91" s="58">
        <f t="shared" si="1"/>
        <v>364000</v>
      </c>
    </row>
    <row r="92" spans="1:16" ht="26.25" customHeight="1" x14ac:dyDescent="0.2">
      <c r="A92" s="100"/>
      <c r="B92" s="100"/>
      <c r="C92" s="65" t="s">
        <v>3725</v>
      </c>
      <c r="D92" s="70" t="s">
        <v>57</v>
      </c>
      <c r="E92" s="12">
        <v>44549</v>
      </c>
      <c r="F92" s="68" t="s">
        <v>58</v>
      </c>
      <c r="G92" s="12">
        <v>44554</v>
      </c>
      <c r="H92" s="69" t="s">
        <v>3349</v>
      </c>
      <c r="I92" s="15">
        <v>60</v>
      </c>
      <c r="J92" s="15">
        <v>54</v>
      </c>
      <c r="K92" s="15">
        <v>33</v>
      </c>
      <c r="L92" s="15">
        <v>11</v>
      </c>
      <c r="M92" s="73">
        <v>26.73</v>
      </c>
      <c r="N92" s="104">
        <v>26.73</v>
      </c>
      <c r="O92" s="57">
        <v>7000</v>
      </c>
      <c r="P92" s="58">
        <f t="shared" si="1"/>
        <v>187110</v>
      </c>
    </row>
    <row r="93" spans="1:16" ht="26.25" customHeight="1" x14ac:dyDescent="0.2">
      <c r="A93" s="100"/>
      <c r="B93" s="100"/>
      <c r="C93" s="65" t="s">
        <v>3726</v>
      </c>
      <c r="D93" s="70" t="s">
        <v>57</v>
      </c>
      <c r="E93" s="12">
        <v>44549</v>
      </c>
      <c r="F93" s="68" t="s">
        <v>58</v>
      </c>
      <c r="G93" s="12">
        <v>44554</v>
      </c>
      <c r="H93" s="69" t="s">
        <v>3349</v>
      </c>
      <c r="I93" s="15">
        <v>90</v>
      </c>
      <c r="J93" s="15">
        <v>46</v>
      </c>
      <c r="K93" s="15">
        <v>38</v>
      </c>
      <c r="L93" s="15">
        <v>12</v>
      </c>
      <c r="M93" s="73">
        <v>39.33</v>
      </c>
      <c r="N93" s="104">
        <v>40</v>
      </c>
      <c r="O93" s="57">
        <v>7000</v>
      </c>
      <c r="P93" s="58">
        <f t="shared" si="1"/>
        <v>280000</v>
      </c>
    </row>
    <row r="94" spans="1:16" ht="26.25" customHeight="1" x14ac:dyDescent="0.2">
      <c r="A94" s="100"/>
      <c r="B94" s="100"/>
      <c r="C94" s="65" t="s">
        <v>3727</v>
      </c>
      <c r="D94" s="70" t="s">
        <v>57</v>
      </c>
      <c r="E94" s="12">
        <v>44549</v>
      </c>
      <c r="F94" s="68" t="s">
        <v>58</v>
      </c>
      <c r="G94" s="12">
        <v>44554</v>
      </c>
      <c r="H94" s="69" t="s">
        <v>3349</v>
      </c>
      <c r="I94" s="15">
        <v>64</v>
      </c>
      <c r="J94" s="15">
        <v>55</v>
      </c>
      <c r="K94" s="15">
        <v>24</v>
      </c>
      <c r="L94" s="15">
        <v>9</v>
      </c>
      <c r="M94" s="73">
        <v>21.12</v>
      </c>
      <c r="N94" s="104">
        <v>21.12</v>
      </c>
      <c r="O94" s="57">
        <v>7000</v>
      </c>
      <c r="P94" s="58">
        <f t="shared" si="1"/>
        <v>147840</v>
      </c>
    </row>
    <row r="95" spans="1:16" ht="26.25" customHeight="1" x14ac:dyDescent="0.2">
      <c r="A95" s="100"/>
      <c r="B95" s="100"/>
      <c r="C95" s="65" t="s">
        <v>3728</v>
      </c>
      <c r="D95" s="70" t="s">
        <v>57</v>
      </c>
      <c r="E95" s="12">
        <v>44549</v>
      </c>
      <c r="F95" s="68" t="s">
        <v>58</v>
      </c>
      <c r="G95" s="12">
        <v>44554</v>
      </c>
      <c r="H95" s="69" t="s">
        <v>3349</v>
      </c>
      <c r="I95" s="15">
        <v>84</v>
      </c>
      <c r="J95" s="15">
        <v>55</v>
      </c>
      <c r="K95" s="15">
        <v>15</v>
      </c>
      <c r="L95" s="15">
        <v>12</v>
      </c>
      <c r="M95" s="73">
        <v>17.324999999999999</v>
      </c>
      <c r="N95" s="104">
        <v>18</v>
      </c>
      <c r="O95" s="57">
        <v>7000</v>
      </c>
      <c r="P95" s="58">
        <f t="shared" si="1"/>
        <v>126000</v>
      </c>
    </row>
    <row r="96" spans="1:16" ht="26.25" customHeight="1" x14ac:dyDescent="0.2">
      <c r="A96" s="100"/>
      <c r="B96" s="100"/>
      <c r="C96" s="65" t="s">
        <v>3729</v>
      </c>
      <c r="D96" s="70" t="s">
        <v>57</v>
      </c>
      <c r="E96" s="12">
        <v>44549</v>
      </c>
      <c r="F96" s="68" t="s">
        <v>58</v>
      </c>
      <c r="G96" s="12">
        <v>44554</v>
      </c>
      <c r="H96" s="69" t="s">
        <v>3349</v>
      </c>
      <c r="I96" s="15">
        <v>180</v>
      </c>
      <c r="J96" s="15">
        <v>33</v>
      </c>
      <c r="K96" s="15">
        <v>10</v>
      </c>
      <c r="L96" s="15">
        <v>7</v>
      </c>
      <c r="M96" s="73">
        <v>14.85</v>
      </c>
      <c r="N96" s="104">
        <v>14.85</v>
      </c>
      <c r="O96" s="57">
        <v>7000</v>
      </c>
      <c r="P96" s="58">
        <f t="shared" si="1"/>
        <v>103950</v>
      </c>
    </row>
    <row r="97" spans="1:16" ht="26.25" customHeight="1" x14ac:dyDescent="0.2">
      <c r="A97" s="100"/>
      <c r="B97" s="100"/>
      <c r="C97" s="65" t="s">
        <v>3730</v>
      </c>
      <c r="D97" s="70" t="s">
        <v>57</v>
      </c>
      <c r="E97" s="12">
        <v>44549</v>
      </c>
      <c r="F97" s="68" t="s">
        <v>58</v>
      </c>
      <c r="G97" s="12">
        <v>44554</v>
      </c>
      <c r="H97" s="69" t="s">
        <v>3349</v>
      </c>
      <c r="I97" s="15">
        <v>48</v>
      </c>
      <c r="J97" s="15">
        <v>26</v>
      </c>
      <c r="K97" s="15">
        <v>26</v>
      </c>
      <c r="L97" s="15">
        <v>7</v>
      </c>
      <c r="M97" s="73">
        <v>8.1120000000000001</v>
      </c>
      <c r="N97" s="104">
        <v>8.1120000000000001</v>
      </c>
      <c r="O97" s="57">
        <v>7000</v>
      </c>
      <c r="P97" s="58">
        <f t="shared" si="1"/>
        <v>56784</v>
      </c>
    </row>
    <row r="98" spans="1:16" ht="26.25" customHeight="1" x14ac:dyDescent="0.2">
      <c r="A98" s="100"/>
      <c r="B98" s="100"/>
      <c r="C98" s="65" t="s">
        <v>3731</v>
      </c>
      <c r="D98" s="70" t="s">
        <v>57</v>
      </c>
      <c r="E98" s="12">
        <v>44549</v>
      </c>
      <c r="F98" s="68" t="s">
        <v>58</v>
      </c>
      <c r="G98" s="12">
        <v>44554</v>
      </c>
      <c r="H98" s="69" t="s">
        <v>3349</v>
      </c>
      <c r="I98" s="15">
        <v>82</v>
      </c>
      <c r="J98" s="15">
        <v>54</v>
      </c>
      <c r="K98" s="15">
        <v>30</v>
      </c>
      <c r="L98" s="15">
        <v>8</v>
      </c>
      <c r="M98" s="73">
        <v>33.21</v>
      </c>
      <c r="N98" s="104">
        <v>33.21</v>
      </c>
      <c r="O98" s="57">
        <v>7000</v>
      </c>
      <c r="P98" s="58">
        <f t="shared" si="1"/>
        <v>232470</v>
      </c>
    </row>
    <row r="99" spans="1:16" ht="26.25" customHeight="1" x14ac:dyDescent="0.2">
      <c r="A99" s="100"/>
      <c r="B99" s="100"/>
      <c r="C99" s="65" t="s">
        <v>3732</v>
      </c>
      <c r="D99" s="70" t="s">
        <v>57</v>
      </c>
      <c r="E99" s="12">
        <v>44549</v>
      </c>
      <c r="F99" s="68" t="s">
        <v>58</v>
      </c>
      <c r="G99" s="12">
        <v>44554</v>
      </c>
      <c r="H99" s="69" t="s">
        <v>3349</v>
      </c>
      <c r="I99" s="15">
        <v>53</v>
      </c>
      <c r="J99" s="15">
        <v>45</v>
      </c>
      <c r="K99" s="15">
        <v>41</v>
      </c>
      <c r="L99" s="15">
        <v>15</v>
      </c>
      <c r="M99" s="73">
        <v>24.446249999999999</v>
      </c>
      <c r="N99" s="104">
        <v>25</v>
      </c>
      <c r="O99" s="57">
        <v>7000</v>
      </c>
      <c r="P99" s="58">
        <f t="shared" si="1"/>
        <v>175000</v>
      </c>
    </row>
    <row r="100" spans="1:16" ht="26.25" customHeight="1" x14ac:dyDescent="0.2">
      <c r="A100" s="100"/>
      <c r="B100" s="100"/>
      <c r="C100" s="65" t="s">
        <v>3733</v>
      </c>
      <c r="D100" s="70" t="s">
        <v>57</v>
      </c>
      <c r="E100" s="12">
        <v>44549</v>
      </c>
      <c r="F100" s="68" t="s">
        <v>58</v>
      </c>
      <c r="G100" s="12">
        <v>44554</v>
      </c>
      <c r="H100" s="69" t="s">
        <v>3349</v>
      </c>
      <c r="I100" s="15">
        <v>57</v>
      </c>
      <c r="J100" s="15">
        <v>38</v>
      </c>
      <c r="K100" s="15">
        <v>5</v>
      </c>
      <c r="L100" s="15">
        <v>1</v>
      </c>
      <c r="M100" s="73">
        <v>2.7075</v>
      </c>
      <c r="N100" s="104">
        <v>2.7075</v>
      </c>
      <c r="O100" s="57">
        <v>7000</v>
      </c>
      <c r="P100" s="58">
        <f t="shared" si="1"/>
        <v>18952.5</v>
      </c>
    </row>
    <row r="101" spans="1:16" ht="26.25" customHeight="1" x14ac:dyDescent="0.2">
      <c r="A101" s="100"/>
      <c r="B101" s="100"/>
      <c r="C101" s="65" t="s">
        <v>3734</v>
      </c>
      <c r="D101" s="70" t="s">
        <v>57</v>
      </c>
      <c r="E101" s="12">
        <v>44549</v>
      </c>
      <c r="F101" s="68" t="s">
        <v>58</v>
      </c>
      <c r="G101" s="12">
        <v>44554</v>
      </c>
      <c r="H101" s="69" t="s">
        <v>3349</v>
      </c>
      <c r="I101" s="15">
        <v>80</v>
      </c>
      <c r="J101" s="15">
        <v>48</v>
      </c>
      <c r="K101" s="15">
        <v>32</v>
      </c>
      <c r="L101" s="15">
        <v>12</v>
      </c>
      <c r="M101" s="73">
        <v>30.72</v>
      </c>
      <c r="N101" s="104">
        <v>30.72</v>
      </c>
      <c r="O101" s="57">
        <v>7000</v>
      </c>
      <c r="P101" s="58">
        <f t="shared" si="1"/>
        <v>215040</v>
      </c>
    </row>
    <row r="102" spans="1:16" ht="26.25" customHeight="1" x14ac:dyDescent="0.2">
      <c r="A102" s="100"/>
      <c r="B102" s="100"/>
      <c r="C102" s="65" t="s">
        <v>3735</v>
      </c>
      <c r="D102" s="70" t="s">
        <v>57</v>
      </c>
      <c r="E102" s="12">
        <v>44549</v>
      </c>
      <c r="F102" s="68" t="s">
        <v>58</v>
      </c>
      <c r="G102" s="12">
        <v>44554</v>
      </c>
      <c r="H102" s="69" t="s">
        <v>3349</v>
      </c>
      <c r="I102" s="15">
        <v>98</v>
      </c>
      <c r="J102" s="15">
        <v>47</v>
      </c>
      <c r="K102" s="15">
        <v>11</v>
      </c>
      <c r="L102" s="15">
        <v>18</v>
      </c>
      <c r="M102" s="73">
        <v>12.666499999999999</v>
      </c>
      <c r="N102" s="104">
        <v>18</v>
      </c>
      <c r="O102" s="57">
        <v>7000</v>
      </c>
      <c r="P102" s="58">
        <f t="shared" si="1"/>
        <v>126000</v>
      </c>
    </row>
    <row r="103" spans="1:16" ht="26.25" customHeight="1" x14ac:dyDescent="0.2">
      <c r="A103" s="100"/>
      <c r="B103" s="100"/>
      <c r="C103" s="65" t="s">
        <v>3736</v>
      </c>
      <c r="D103" s="70" t="s">
        <v>57</v>
      </c>
      <c r="E103" s="12">
        <v>44549</v>
      </c>
      <c r="F103" s="68" t="s">
        <v>58</v>
      </c>
      <c r="G103" s="12">
        <v>44554</v>
      </c>
      <c r="H103" s="69" t="s">
        <v>3349</v>
      </c>
      <c r="I103" s="15">
        <v>100</v>
      </c>
      <c r="J103" s="15">
        <v>52</v>
      </c>
      <c r="K103" s="15">
        <v>7</v>
      </c>
      <c r="L103" s="15">
        <v>34</v>
      </c>
      <c r="M103" s="73">
        <v>9.1</v>
      </c>
      <c r="N103" s="104">
        <v>34</v>
      </c>
      <c r="O103" s="57">
        <v>7000</v>
      </c>
      <c r="P103" s="58">
        <f t="shared" si="1"/>
        <v>238000</v>
      </c>
    </row>
    <row r="104" spans="1:16" ht="26.25" customHeight="1" x14ac:dyDescent="0.2">
      <c r="A104" s="100"/>
      <c r="B104" s="100"/>
      <c r="C104" s="65" t="s">
        <v>3737</v>
      </c>
      <c r="D104" s="70" t="s">
        <v>57</v>
      </c>
      <c r="E104" s="12">
        <v>44549</v>
      </c>
      <c r="F104" s="68" t="s">
        <v>58</v>
      </c>
      <c r="G104" s="12">
        <v>44554</v>
      </c>
      <c r="H104" s="69" t="s">
        <v>3349</v>
      </c>
      <c r="I104" s="15">
        <v>80</v>
      </c>
      <c r="J104" s="15">
        <v>57</v>
      </c>
      <c r="K104" s="15">
        <v>37</v>
      </c>
      <c r="L104" s="15">
        <v>29</v>
      </c>
      <c r="M104" s="73">
        <v>42.18</v>
      </c>
      <c r="N104" s="104">
        <v>42.18</v>
      </c>
      <c r="O104" s="57">
        <v>7000</v>
      </c>
      <c r="P104" s="58">
        <f t="shared" si="1"/>
        <v>295260</v>
      </c>
    </row>
    <row r="105" spans="1:16" ht="26.25" customHeight="1" x14ac:dyDescent="0.2">
      <c r="A105" s="100"/>
      <c r="B105" s="100"/>
      <c r="C105" s="65" t="s">
        <v>3738</v>
      </c>
      <c r="D105" s="70" t="s">
        <v>57</v>
      </c>
      <c r="E105" s="12">
        <v>44549</v>
      </c>
      <c r="F105" s="68" t="s">
        <v>58</v>
      </c>
      <c r="G105" s="12">
        <v>44554</v>
      </c>
      <c r="H105" s="69" t="s">
        <v>3349</v>
      </c>
      <c r="I105" s="15">
        <v>43</v>
      </c>
      <c r="J105" s="15">
        <v>38</v>
      </c>
      <c r="K105" s="15">
        <v>34</v>
      </c>
      <c r="L105" s="15">
        <v>7</v>
      </c>
      <c r="M105" s="73">
        <v>13.888999999999999</v>
      </c>
      <c r="N105" s="104">
        <v>13.888999999999999</v>
      </c>
      <c r="O105" s="57">
        <v>7000</v>
      </c>
      <c r="P105" s="58">
        <f t="shared" si="1"/>
        <v>97223</v>
      </c>
    </row>
    <row r="106" spans="1:16" ht="26.25" customHeight="1" x14ac:dyDescent="0.2">
      <c r="A106" s="100"/>
      <c r="B106" s="100"/>
      <c r="C106" s="65" t="s">
        <v>3739</v>
      </c>
      <c r="D106" s="70" t="s">
        <v>57</v>
      </c>
      <c r="E106" s="12">
        <v>44549</v>
      </c>
      <c r="F106" s="68" t="s">
        <v>58</v>
      </c>
      <c r="G106" s="12">
        <v>44554</v>
      </c>
      <c r="H106" s="69" t="s">
        <v>3349</v>
      </c>
      <c r="I106" s="15">
        <v>47</v>
      </c>
      <c r="J106" s="15">
        <v>47</v>
      </c>
      <c r="K106" s="15">
        <v>44</v>
      </c>
      <c r="L106" s="15">
        <v>12</v>
      </c>
      <c r="M106" s="73">
        <v>24.298999999999999</v>
      </c>
      <c r="N106" s="104">
        <v>25</v>
      </c>
      <c r="O106" s="57">
        <v>7000</v>
      </c>
      <c r="P106" s="58">
        <f t="shared" si="1"/>
        <v>175000</v>
      </c>
    </row>
    <row r="107" spans="1:16" ht="26.25" customHeight="1" x14ac:dyDescent="0.2">
      <c r="A107" s="100"/>
      <c r="B107" s="100"/>
      <c r="C107" s="65" t="s">
        <v>3740</v>
      </c>
      <c r="D107" s="70" t="s">
        <v>57</v>
      </c>
      <c r="E107" s="12">
        <v>44549</v>
      </c>
      <c r="F107" s="68" t="s">
        <v>58</v>
      </c>
      <c r="G107" s="12">
        <v>44554</v>
      </c>
      <c r="H107" s="69" t="s">
        <v>3349</v>
      </c>
      <c r="I107" s="15">
        <v>96</v>
      </c>
      <c r="J107" s="15">
        <v>57</v>
      </c>
      <c r="K107" s="15">
        <v>28</v>
      </c>
      <c r="L107" s="15">
        <v>16</v>
      </c>
      <c r="M107" s="73">
        <v>38.304000000000002</v>
      </c>
      <c r="N107" s="104">
        <v>39</v>
      </c>
      <c r="O107" s="57">
        <v>7000</v>
      </c>
      <c r="P107" s="58">
        <f t="shared" si="1"/>
        <v>273000</v>
      </c>
    </row>
    <row r="108" spans="1:16" ht="26.25" customHeight="1" x14ac:dyDescent="0.2">
      <c r="A108" s="100"/>
      <c r="B108" s="100"/>
      <c r="C108" s="65" t="s">
        <v>3741</v>
      </c>
      <c r="D108" s="70" t="s">
        <v>57</v>
      </c>
      <c r="E108" s="12">
        <v>44549</v>
      </c>
      <c r="F108" s="68" t="s">
        <v>58</v>
      </c>
      <c r="G108" s="12">
        <v>44554</v>
      </c>
      <c r="H108" s="69" t="s">
        <v>3349</v>
      </c>
      <c r="I108" s="15">
        <v>66</v>
      </c>
      <c r="J108" s="15">
        <v>57</v>
      </c>
      <c r="K108" s="15">
        <v>24</v>
      </c>
      <c r="L108" s="15">
        <v>14</v>
      </c>
      <c r="M108" s="73">
        <v>22.571999999999999</v>
      </c>
      <c r="N108" s="104">
        <v>22.571999999999999</v>
      </c>
      <c r="O108" s="57">
        <v>7000</v>
      </c>
      <c r="P108" s="58">
        <f t="shared" si="1"/>
        <v>158004</v>
      </c>
    </row>
    <row r="109" spans="1:16" ht="26.25" customHeight="1" x14ac:dyDescent="0.2">
      <c r="A109" s="100"/>
      <c r="B109" s="100"/>
      <c r="C109" s="65" t="s">
        <v>3742</v>
      </c>
      <c r="D109" s="70" t="s">
        <v>57</v>
      </c>
      <c r="E109" s="12">
        <v>44549</v>
      </c>
      <c r="F109" s="68" t="s">
        <v>58</v>
      </c>
      <c r="G109" s="12">
        <v>44554</v>
      </c>
      <c r="H109" s="69" t="s">
        <v>3349</v>
      </c>
      <c r="I109" s="15">
        <v>90</v>
      </c>
      <c r="J109" s="15">
        <v>50</v>
      </c>
      <c r="K109" s="15">
        <v>44</v>
      </c>
      <c r="L109" s="15">
        <v>19</v>
      </c>
      <c r="M109" s="73">
        <v>49.5</v>
      </c>
      <c r="N109" s="104">
        <v>51</v>
      </c>
      <c r="O109" s="57">
        <v>7000</v>
      </c>
      <c r="P109" s="58">
        <f t="shared" si="1"/>
        <v>357000</v>
      </c>
    </row>
    <row r="110" spans="1:16" ht="26.25" customHeight="1" x14ac:dyDescent="0.2">
      <c r="A110" s="100"/>
      <c r="B110" s="100"/>
      <c r="C110" s="65" t="s">
        <v>3743</v>
      </c>
      <c r="D110" s="70" t="s">
        <v>57</v>
      </c>
      <c r="E110" s="12">
        <v>44549</v>
      </c>
      <c r="F110" s="68" t="s">
        <v>58</v>
      </c>
      <c r="G110" s="12">
        <v>44554</v>
      </c>
      <c r="H110" s="69" t="s">
        <v>3349</v>
      </c>
      <c r="I110" s="15">
        <v>52</v>
      </c>
      <c r="J110" s="15">
        <v>28</v>
      </c>
      <c r="K110" s="15">
        <v>34</v>
      </c>
      <c r="L110" s="15">
        <v>10</v>
      </c>
      <c r="M110" s="73">
        <v>12.375999999999999</v>
      </c>
      <c r="N110" s="104">
        <v>13</v>
      </c>
      <c r="O110" s="57">
        <v>7000</v>
      </c>
      <c r="P110" s="58">
        <f t="shared" si="1"/>
        <v>91000</v>
      </c>
    </row>
    <row r="111" spans="1:16" ht="26.25" customHeight="1" x14ac:dyDescent="0.2">
      <c r="A111" s="100"/>
      <c r="B111" s="100"/>
      <c r="C111" s="65" t="s">
        <v>3744</v>
      </c>
      <c r="D111" s="70" t="s">
        <v>57</v>
      </c>
      <c r="E111" s="12">
        <v>44549</v>
      </c>
      <c r="F111" s="68" t="s">
        <v>58</v>
      </c>
      <c r="G111" s="12">
        <v>44554</v>
      </c>
      <c r="H111" s="69" t="s">
        <v>3349</v>
      </c>
      <c r="I111" s="15">
        <v>75</v>
      </c>
      <c r="J111" s="15">
        <v>60</v>
      </c>
      <c r="K111" s="15">
        <v>24</v>
      </c>
      <c r="L111" s="15">
        <v>14</v>
      </c>
      <c r="M111" s="73">
        <v>27</v>
      </c>
      <c r="N111" s="104">
        <v>27</v>
      </c>
      <c r="O111" s="57">
        <v>7000</v>
      </c>
      <c r="P111" s="58">
        <f t="shared" si="1"/>
        <v>189000</v>
      </c>
    </row>
    <row r="112" spans="1:16" ht="26.25" customHeight="1" x14ac:dyDescent="0.2">
      <c r="A112" s="100"/>
      <c r="B112" s="100"/>
      <c r="C112" s="65" t="s">
        <v>3745</v>
      </c>
      <c r="D112" s="70" t="s">
        <v>57</v>
      </c>
      <c r="E112" s="12">
        <v>44549</v>
      </c>
      <c r="F112" s="68" t="s">
        <v>58</v>
      </c>
      <c r="G112" s="12">
        <v>44554</v>
      </c>
      <c r="H112" s="69" t="s">
        <v>3349</v>
      </c>
      <c r="I112" s="15">
        <v>105</v>
      </c>
      <c r="J112" s="15">
        <v>55</v>
      </c>
      <c r="K112" s="15">
        <v>34</v>
      </c>
      <c r="L112" s="15">
        <v>29</v>
      </c>
      <c r="M112" s="73">
        <v>49.087499999999999</v>
      </c>
      <c r="N112" s="104">
        <v>49.087499999999999</v>
      </c>
      <c r="O112" s="57">
        <v>7000</v>
      </c>
      <c r="P112" s="58">
        <f t="shared" si="1"/>
        <v>343612.5</v>
      </c>
    </row>
    <row r="113" spans="1:16" ht="26.25" customHeight="1" x14ac:dyDescent="0.2">
      <c r="A113" s="100"/>
      <c r="B113" s="100"/>
      <c r="C113" s="65" t="s">
        <v>3746</v>
      </c>
      <c r="D113" s="70" t="s">
        <v>57</v>
      </c>
      <c r="E113" s="12">
        <v>44549</v>
      </c>
      <c r="F113" s="68" t="s">
        <v>58</v>
      </c>
      <c r="G113" s="12">
        <v>44554</v>
      </c>
      <c r="H113" s="69" t="s">
        <v>3349</v>
      </c>
      <c r="I113" s="15">
        <v>72</v>
      </c>
      <c r="J113" s="15">
        <v>57</v>
      </c>
      <c r="K113" s="15">
        <v>27</v>
      </c>
      <c r="L113" s="15">
        <v>22</v>
      </c>
      <c r="M113" s="73">
        <v>27.702000000000002</v>
      </c>
      <c r="N113" s="104">
        <v>27.702000000000002</v>
      </c>
      <c r="O113" s="57">
        <v>7000</v>
      </c>
      <c r="P113" s="58">
        <f t="shared" si="1"/>
        <v>193914</v>
      </c>
    </row>
    <row r="114" spans="1:16" ht="26.25" customHeight="1" x14ac:dyDescent="0.2">
      <c r="A114" s="100"/>
      <c r="B114" s="100"/>
      <c r="C114" s="65" t="s">
        <v>3747</v>
      </c>
      <c r="D114" s="70" t="s">
        <v>57</v>
      </c>
      <c r="E114" s="12">
        <v>44549</v>
      </c>
      <c r="F114" s="68" t="s">
        <v>58</v>
      </c>
      <c r="G114" s="12">
        <v>44554</v>
      </c>
      <c r="H114" s="69" t="s">
        <v>3349</v>
      </c>
      <c r="I114" s="15">
        <v>64</v>
      </c>
      <c r="J114" s="15">
        <v>52</v>
      </c>
      <c r="K114" s="15">
        <v>18</v>
      </c>
      <c r="L114" s="15">
        <v>4</v>
      </c>
      <c r="M114" s="73">
        <v>14.976000000000001</v>
      </c>
      <c r="N114" s="104">
        <v>14.976000000000001</v>
      </c>
      <c r="O114" s="57">
        <v>7000</v>
      </c>
      <c r="P114" s="58">
        <f t="shared" si="1"/>
        <v>104832</v>
      </c>
    </row>
    <row r="115" spans="1:16" ht="26.25" customHeight="1" x14ac:dyDescent="0.2">
      <c r="A115" s="100"/>
      <c r="B115" s="100"/>
      <c r="C115" s="65" t="s">
        <v>3748</v>
      </c>
      <c r="D115" s="70" t="s">
        <v>57</v>
      </c>
      <c r="E115" s="12">
        <v>44549</v>
      </c>
      <c r="F115" s="68" t="s">
        <v>58</v>
      </c>
      <c r="G115" s="12">
        <v>44554</v>
      </c>
      <c r="H115" s="69" t="s">
        <v>3349</v>
      </c>
      <c r="I115" s="15">
        <v>52</v>
      </c>
      <c r="J115" s="15">
        <v>41</v>
      </c>
      <c r="K115" s="15">
        <v>22</v>
      </c>
      <c r="L115" s="15">
        <v>6</v>
      </c>
      <c r="M115" s="73">
        <v>11.726000000000001</v>
      </c>
      <c r="N115" s="104">
        <v>11.726000000000001</v>
      </c>
      <c r="O115" s="57">
        <v>7000</v>
      </c>
      <c r="P115" s="58">
        <f t="shared" si="1"/>
        <v>82082</v>
      </c>
    </row>
    <row r="116" spans="1:16" ht="26.25" customHeight="1" x14ac:dyDescent="0.2">
      <c r="A116" s="100"/>
      <c r="B116" s="100"/>
      <c r="C116" s="65" t="s">
        <v>3749</v>
      </c>
      <c r="D116" s="70" t="s">
        <v>57</v>
      </c>
      <c r="E116" s="12">
        <v>44549</v>
      </c>
      <c r="F116" s="68" t="s">
        <v>58</v>
      </c>
      <c r="G116" s="12">
        <v>44554</v>
      </c>
      <c r="H116" s="69" t="s">
        <v>3349</v>
      </c>
      <c r="I116" s="15">
        <v>72</v>
      </c>
      <c r="J116" s="15">
        <v>52</v>
      </c>
      <c r="K116" s="15">
        <v>33</v>
      </c>
      <c r="L116" s="15">
        <v>10</v>
      </c>
      <c r="M116" s="73">
        <v>30.888000000000002</v>
      </c>
      <c r="N116" s="104">
        <v>30.888000000000002</v>
      </c>
      <c r="O116" s="57">
        <v>7000</v>
      </c>
      <c r="P116" s="58">
        <f t="shared" si="1"/>
        <v>216216</v>
      </c>
    </row>
    <row r="117" spans="1:16" ht="26.25" customHeight="1" x14ac:dyDescent="0.2">
      <c r="A117" s="100"/>
      <c r="B117" s="100"/>
      <c r="C117" s="65" t="s">
        <v>3750</v>
      </c>
      <c r="D117" s="70" t="s">
        <v>57</v>
      </c>
      <c r="E117" s="12">
        <v>44549</v>
      </c>
      <c r="F117" s="68" t="s">
        <v>58</v>
      </c>
      <c r="G117" s="12">
        <v>44554</v>
      </c>
      <c r="H117" s="69" t="s">
        <v>3349</v>
      </c>
      <c r="I117" s="15">
        <v>46</v>
      </c>
      <c r="J117" s="15">
        <v>52</v>
      </c>
      <c r="K117" s="15">
        <v>20</v>
      </c>
      <c r="L117" s="15">
        <v>4</v>
      </c>
      <c r="M117" s="73">
        <v>11.96</v>
      </c>
      <c r="N117" s="104">
        <v>11.96</v>
      </c>
      <c r="O117" s="57">
        <v>7000</v>
      </c>
      <c r="P117" s="58">
        <f t="shared" si="1"/>
        <v>83720</v>
      </c>
    </row>
    <row r="118" spans="1:16" ht="26.25" customHeight="1" x14ac:dyDescent="0.2">
      <c r="A118" s="100"/>
      <c r="B118" s="100"/>
      <c r="C118" s="65" t="s">
        <v>3751</v>
      </c>
      <c r="D118" s="70" t="s">
        <v>57</v>
      </c>
      <c r="E118" s="12">
        <v>44549</v>
      </c>
      <c r="F118" s="68" t="s">
        <v>58</v>
      </c>
      <c r="G118" s="12">
        <v>44554</v>
      </c>
      <c r="H118" s="69" t="s">
        <v>3349</v>
      </c>
      <c r="I118" s="15">
        <v>116</v>
      </c>
      <c r="J118" s="15">
        <v>7</v>
      </c>
      <c r="K118" s="15">
        <v>7</v>
      </c>
      <c r="L118" s="15">
        <v>1</v>
      </c>
      <c r="M118" s="73">
        <v>1.421</v>
      </c>
      <c r="N118" s="104">
        <v>2</v>
      </c>
      <c r="O118" s="57">
        <v>7000</v>
      </c>
      <c r="P118" s="58">
        <f t="shared" si="1"/>
        <v>14000</v>
      </c>
    </row>
    <row r="119" spans="1:16" ht="26.25" customHeight="1" x14ac:dyDescent="0.2">
      <c r="A119" s="100"/>
      <c r="B119" s="100"/>
      <c r="C119" s="65" t="s">
        <v>3752</v>
      </c>
      <c r="D119" s="70" t="s">
        <v>57</v>
      </c>
      <c r="E119" s="12">
        <v>44549</v>
      </c>
      <c r="F119" s="68" t="s">
        <v>58</v>
      </c>
      <c r="G119" s="12">
        <v>44554</v>
      </c>
      <c r="H119" s="69" t="s">
        <v>3349</v>
      </c>
      <c r="I119" s="15">
        <v>88</v>
      </c>
      <c r="J119" s="15">
        <v>58</v>
      </c>
      <c r="K119" s="15">
        <v>24</v>
      </c>
      <c r="L119" s="15">
        <v>15</v>
      </c>
      <c r="M119" s="73">
        <v>30.623999999999999</v>
      </c>
      <c r="N119" s="104">
        <v>30.623999999999999</v>
      </c>
      <c r="O119" s="57">
        <v>7000</v>
      </c>
      <c r="P119" s="58">
        <f t="shared" si="1"/>
        <v>214368</v>
      </c>
    </row>
    <row r="120" spans="1:16" ht="26.25" customHeight="1" x14ac:dyDescent="0.2">
      <c r="A120" s="100"/>
      <c r="B120" s="100"/>
      <c r="C120" s="65" t="s">
        <v>3753</v>
      </c>
      <c r="D120" s="70" t="s">
        <v>57</v>
      </c>
      <c r="E120" s="12">
        <v>44549</v>
      </c>
      <c r="F120" s="68" t="s">
        <v>58</v>
      </c>
      <c r="G120" s="12">
        <v>44554</v>
      </c>
      <c r="H120" s="69" t="s">
        <v>3349</v>
      </c>
      <c r="I120" s="15">
        <v>66</v>
      </c>
      <c r="J120" s="15">
        <v>52</v>
      </c>
      <c r="K120" s="15">
        <v>20</v>
      </c>
      <c r="L120" s="15">
        <v>5</v>
      </c>
      <c r="M120" s="73">
        <v>17.16</v>
      </c>
      <c r="N120" s="104">
        <v>17.16</v>
      </c>
      <c r="O120" s="57">
        <v>7000</v>
      </c>
      <c r="P120" s="58">
        <f t="shared" si="1"/>
        <v>120120</v>
      </c>
    </row>
    <row r="121" spans="1:16" ht="26.25" customHeight="1" x14ac:dyDescent="0.2">
      <c r="A121" s="100"/>
      <c r="B121" s="100"/>
      <c r="C121" s="65" t="s">
        <v>3754</v>
      </c>
      <c r="D121" s="70" t="s">
        <v>57</v>
      </c>
      <c r="E121" s="12">
        <v>44549</v>
      </c>
      <c r="F121" s="68" t="s">
        <v>58</v>
      </c>
      <c r="G121" s="12">
        <v>44554</v>
      </c>
      <c r="H121" s="69" t="s">
        <v>3349</v>
      </c>
      <c r="I121" s="15">
        <v>65</v>
      </c>
      <c r="J121" s="15">
        <v>60</v>
      </c>
      <c r="K121" s="15">
        <v>17</v>
      </c>
      <c r="L121" s="15">
        <v>7</v>
      </c>
      <c r="M121" s="73">
        <v>16.574999999999999</v>
      </c>
      <c r="N121" s="104">
        <v>16.574999999999999</v>
      </c>
      <c r="O121" s="57">
        <v>7000</v>
      </c>
      <c r="P121" s="58">
        <f t="shared" si="1"/>
        <v>116025</v>
      </c>
    </row>
    <row r="122" spans="1:16" ht="26.25" customHeight="1" x14ac:dyDescent="0.2">
      <c r="A122" s="100"/>
      <c r="B122" s="100"/>
      <c r="C122" s="65" t="s">
        <v>3755</v>
      </c>
      <c r="D122" s="70" t="s">
        <v>57</v>
      </c>
      <c r="E122" s="12">
        <v>44549</v>
      </c>
      <c r="F122" s="68" t="s">
        <v>58</v>
      </c>
      <c r="G122" s="12">
        <v>44554</v>
      </c>
      <c r="H122" s="69" t="s">
        <v>3349</v>
      </c>
      <c r="I122" s="15">
        <v>62</v>
      </c>
      <c r="J122" s="15">
        <v>54</v>
      </c>
      <c r="K122" s="15">
        <v>35</v>
      </c>
      <c r="L122" s="15">
        <v>23</v>
      </c>
      <c r="M122" s="73">
        <v>29.295000000000002</v>
      </c>
      <c r="N122" s="104">
        <v>30</v>
      </c>
      <c r="O122" s="57">
        <v>7000</v>
      </c>
      <c r="P122" s="58">
        <f t="shared" si="1"/>
        <v>210000</v>
      </c>
    </row>
    <row r="123" spans="1:16" ht="26.25" customHeight="1" x14ac:dyDescent="0.2">
      <c r="A123" s="100"/>
      <c r="B123" s="100"/>
      <c r="C123" s="65" t="s">
        <v>3756</v>
      </c>
      <c r="D123" s="70" t="s">
        <v>57</v>
      </c>
      <c r="E123" s="12">
        <v>44549</v>
      </c>
      <c r="F123" s="68" t="s">
        <v>58</v>
      </c>
      <c r="G123" s="12">
        <v>44554</v>
      </c>
      <c r="H123" s="69" t="s">
        <v>3349</v>
      </c>
      <c r="I123" s="15">
        <v>81</v>
      </c>
      <c r="J123" s="15">
        <v>64</v>
      </c>
      <c r="K123" s="15">
        <v>27</v>
      </c>
      <c r="L123" s="15">
        <v>23</v>
      </c>
      <c r="M123" s="73">
        <v>34.991999999999997</v>
      </c>
      <c r="N123" s="104">
        <v>34.991999999999997</v>
      </c>
      <c r="O123" s="57">
        <v>7000</v>
      </c>
      <c r="P123" s="58">
        <f t="shared" si="1"/>
        <v>244943.99999999997</v>
      </c>
    </row>
    <row r="124" spans="1:16" ht="26.25" customHeight="1" x14ac:dyDescent="0.2">
      <c r="A124" s="100"/>
      <c r="B124" s="100"/>
      <c r="C124" s="65" t="s">
        <v>3757</v>
      </c>
      <c r="D124" s="70" t="s">
        <v>57</v>
      </c>
      <c r="E124" s="12">
        <v>44549</v>
      </c>
      <c r="F124" s="68" t="s">
        <v>58</v>
      </c>
      <c r="G124" s="12">
        <v>44554</v>
      </c>
      <c r="H124" s="69" t="s">
        <v>3349</v>
      </c>
      <c r="I124" s="15">
        <v>68</v>
      </c>
      <c r="J124" s="15">
        <v>45</v>
      </c>
      <c r="K124" s="15">
        <v>18</v>
      </c>
      <c r="L124" s="15">
        <v>9</v>
      </c>
      <c r="M124" s="73">
        <v>13.77</v>
      </c>
      <c r="N124" s="104">
        <v>13.77</v>
      </c>
      <c r="O124" s="57">
        <v>7000</v>
      </c>
      <c r="P124" s="58">
        <f t="shared" si="1"/>
        <v>96390</v>
      </c>
    </row>
    <row r="125" spans="1:16" ht="26.25" customHeight="1" x14ac:dyDescent="0.2">
      <c r="A125" s="100"/>
      <c r="B125" s="100"/>
      <c r="C125" s="65" t="s">
        <v>3758</v>
      </c>
      <c r="D125" s="70" t="s">
        <v>57</v>
      </c>
      <c r="E125" s="12">
        <v>44549</v>
      </c>
      <c r="F125" s="68" t="s">
        <v>58</v>
      </c>
      <c r="G125" s="12">
        <v>44554</v>
      </c>
      <c r="H125" s="69" t="s">
        <v>3349</v>
      </c>
      <c r="I125" s="15">
        <v>95</v>
      </c>
      <c r="J125" s="15">
        <v>47</v>
      </c>
      <c r="K125" s="15">
        <v>33</v>
      </c>
      <c r="L125" s="15">
        <v>29</v>
      </c>
      <c r="M125" s="73">
        <v>36.83625</v>
      </c>
      <c r="N125" s="104">
        <v>36.83625</v>
      </c>
      <c r="O125" s="57">
        <v>7000</v>
      </c>
      <c r="P125" s="58">
        <f t="shared" si="1"/>
        <v>257853.75</v>
      </c>
    </row>
    <row r="126" spans="1:16" ht="26.25" customHeight="1" x14ac:dyDescent="0.2">
      <c r="A126" s="100"/>
      <c r="B126" s="100"/>
      <c r="C126" s="65" t="s">
        <v>3759</v>
      </c>
      <c r="D126" s="70" t="s">
        <v>57</v>
      </c>
      <c r="E126" s="12">
        <v>44549</v>
      </c>
      <c r="F126" s="68" t="s">
        <v>58</v>
      </c>
      <c r="G126" s="12">
        <v>44554</v>
      </c>
      <c r="H126" s="69" t="s">
        <v>3349</v>
      </c>
      <c r="I126" s="15">
        <v>69</v>
      </c>
      <c r="J126" s="15">
        <v>62</v>
      </c>
      <c r="K126" s="15">
        <v>21</v>
      </c>
      <c r="L126" s="15">
        <v>10</v>
      </c>
      <c r="M126" s="73">
        <v>22.459499999999998</v>
      </c>
      <c r="N126" s="104">
        <v>23</v>
      </c>
      <c r="O126" s="57">
        <v>7000</v>
      </c>
      <c r="P126" s="58">
        <f t="shared" si="1"/>
        <v>161000</v>
      </c>
    </row>
    <row r="127" spans="1:16" ht="26.25" customHeight="1" x14ac:dyDescent="0.2">
      <c r="A127" s="100"/>
      <c r="B127" s="100"/>
      <c r="C127" s="65" t="s">
        <v>3760</v>
      </c>
      <c r="D127" s="70" t="s">
        <v>57</v>
      </c>
      <c r="E127" s="12">
        <v>44549</v>
      </c>
      <c r="F127" s="68" t="s">
        <v>58</v>
      </c>
      <c r="G127" s="12">
        <v>44554</v>
      </c>
      <c r="H127" s="69" t="s">
        <v>3349</v>
      </c>
      <c r="I127" s="15">
        <v>72</v>
      </c>
      <c r="J127" s="15">
        <v>45</v>
      </c>
      <c r="K127" s="15">
        <v>27</v>
      </c>
      <c r="L127" s="15">
        <v>9</v>
      </c>
      <c r="M127" s="73">
        <v>21.87</v>
      </c>
      <c r="N127" s="104">
        <v>21.87</v>
      </c>
      <c r="O127" s="57">
        <v>7000</v>
      </c>
      <c r="P127" s="58">
        <f t="shared" si="1"/>
        <v>153090</v>
      </c>
    </row>
    <row r="128" spans="1:16" ht="26.25" customHeight="1" x14ac:dyDescent="0.2">
      <c r="A128" s="100"/>
      <c r="B128" s="100"/>
      <c r="C128" s="65" t="s">
        <v>3761</v>
      </c>
      <c r="D128" s="70" t="s">
        <v>57</v>
      </c>
      <c r="E128" s="12">
        <v>44549</v>
      </c>
      <c r="F128" s="68" t="s">
        <v>58</v>
      </c>
      <c r="G128" s="12">
        <v>44554</v>
      </c>
      <c r="H128" s="69" t="s">
        <v>3349</v>
      </c>
      <c r="I128" s="15">
        <v>54</v>
      </c>
      <c r="J128" s="15">
        <v>28</v>
      </c>
      <c r="K128" s="15">
        <v>17</v>
      </c>
      <c r="L128" s="15">
        <v>1</v>
      </c>
      <c r="M128" s="73">
        <v>6.4260000000000002</v>
      </c>
      <c r="N128" s="104">
        <v>7</v>
      </c>
      <c r="O128" s="57">
        <v>7000</v>
      </c>
      <c r="P128" s="58">
        <f t="shared" si="1"/>
        <v>49000</v>
      </c>
    </row>
    <row r="129" spans="1:16" ht="26.25" customHeight="1" x14ac:dyDescent="0.2">
      <c r="A129" s="100"/>
      <c r="B129" s="100"/>
      <c r="C129" s="65" t="s">
        <v>3762</v>
      </c>
      <c r="D129" s="70" t="s">
        <v>57</v>
      </c>
      <c r="E129" s="12">
        <v>44549</v>
      </c>
      <c r="F129" s="68" t="s">
        <v>58</v>
      </c>
      <c r="G129" s="12">
        <v>44554</v>
      </c>
      <c r="H129" s="69" t="s">
        <v>3349</v>
      </c>
      <c r="I129" s="15">
        <v>77</v>
      </c>
      <c r="J129" s="15">
        <v>61</v>
      </c>
      <c r="K129" s="15">
        <v>28</v>
      </c>
      <c r="L129" s="15">
        <v>12</v>
      </c>
      <c r="M129" s="73">
        <v>32.878999999999998</v>
      </c>
      <c r="N129" s="104">
        <v>32.878999999999998</v>
      </c>
      <c r="O129" s="57">
        <v>7000</v>
      </c>
      <c r="P129" s="58">
        <f t="shared" si="1"/>
        <v>230152.99999999997</v>
      </c>
    </row>
    <row r="130" spans="1:16" ht="26.25" customHeight="1" x14ac:dyDescent="0.2">
      <c r="A130" s="100"/>
      <c r="B130" s="100"/>
      <c r="C130" s="65" t="s">
        <v>3763</v>
      </c>
      <c r="D130" s="70" t="s">
        <v>57</v>
      </c>
      <c r="E130" s="12">
        <v>44549</v>
      </c>
      <c r="F130" s="68" t="s">
        <v>58</v>
      </c>
      <c r="G130" s="12">
        <v>44554</v>
      </c>
      <c r="H130" s="69" t="s">
        <v>3349</v>
      </c>
      <c r="I130" s="15">
        <v>71</v>
      </c>
      <c r="J130" s="15">
        <v>58</v>
      </c>
      <c r="K130" s="15">
        <v>26</v>
      </c>
      <c r="L130" s="15">
        <v>16</v>
      </c>
      <c r="M130" s="73">
        <v>26.766999999999999</v>
      </c>
      <c r="N130" s="104">
        <v>26.766999999999999</v>
      </c>
      <c r="O130" s="57">
        <v>7000</v>
      </c>
      <c r="P130" s="58">
        <f t="shared" si="1"/>
        <v>187369</v>
      </c>
    </row>
    <row r="131" spans="1:16" ht="26.25" customHeight="1" x14ac:dyDescent="0.2">
      <c r="A131" s="100"/>
      <c r="B131" s="100"/>
      <c r="C131" s="65" t="s">
        <v>3764</v>
      </c>
      <c r="D131" s="70" t="s">
        <v>57</v>
      </c>
      <c r="E131" s="12">
        <v>44549</v>
      </c>
      <c r="F131" s="68" t="s">
        <v>58</v>
      </c>
      <c r="G131" s="12">
        <v>44554</v>
      </c>
      <c r="H131" s="69" t="s">
        <v>3349</v>
      </c>
      <c r="I131" s="15">
        <v>77</v>
      </c>
      <c r="J131" s="15">
        <v>50</v>
      </c>
      <c r="K131" s="15">
        <v>24</v>
      </c>
      <c r="L131" s="15">
        <v>13</v>
      </c>
      <c r="M131" s="73">
        <v>23.1</v>
      </c>
      <c r="N131" s="104">
        <v>23.1</v>
      </c>
      <c r="O131" s="57">
        <v>7000</v>
      </c>
      <c r="P131" s="58">
        <f t="shared" ref="P131:P165" si="2">N131*O131</f>
        <v>161700</v>
      </c>
    </row>
    <row r="132" spans="1:16" ht="26.25" customHeight="1" x14ac:dyDescent="0.2">
      <c r="A132" s="100"/>
      <c r="B132" s="100"/>
      <c r="C132" s="65" t="s">
        <v>3765</v>
      </c>
      <c r="D132" s="70" t="s">
        <v>57</v>
      </c>
      <c r="E132" s="12">
        <v>44549</v>
      </c>
      <c r="F132" s="68" t="s">
        <v>58</v>
      </c>
      <c r="G132" s="12">
        <v>44554</v>
      </c>
      <c r="H132" s="69" t="s">
        <v>3349</v>
      </c>
      <c r="I132" s="15">
        <v>120</v>
      </c>
      <c r="J132" s="15">
        <v>58</v>
      </c>
      <c r="K132" s="15">
        <v>6</v>
      </c>
      <c r="L132" s="15">
        <v>48</v>
      </c>
      <c r="M132" s="73">
        <v>10.44</v>
      </c>
      <c r="N132" s="104">
        <v>49</v>
      </c>
      <c r="O132" s="57">
        <v>7000</v>
      </c>
      <c r="P132" s="58">
        <f t="shared" si="2"/>
        <v>343000</v>
      </c>
    </row>
    <row r="133" spans="1:16" ht="26.25" customHeight="1" x14ac:dyDescent="0.2">
      <c r="A133" s="100"/>
      <c r="B133" s="100"/>
      <c r="C133" s="65" t="s">
        <v>3766</v>
      </c>
      <c r="D133" s="70" t="s">
        <v>57</v>
      </c>
      <c r="E133" s="12">
        <v>44549</v>
      </c>
      <c r="F133" s="68" t="s">
        <v>58</v>
      </c>
      <c r="G133" s="12">
        <v>44554</v>
      </c>
      <c r="H133" s="69" t="s">
        <v>3349</v>
      </c>
      <c r="I133" s="15">
        <v>84</v>
      </c>
      <c r="J133" s="15">
        <v>30</v>
      </c>
      <c r="K133" s="15">
        <v>20</v>
      </c>
      <c r="L133" s="15">
        <v>9</v>
      </c>
      <c r="M133" s="73">
        <v>12.6</v>
      </c>
      <c r="N133" s="104">
        <v>12.6</v>
      </c>
      <c r="O133" s="57">
        <v>7000</v>
      </c>
      <c r="P133" s="58">
        <f t="shared" si="2"/>
        <v>88200</v>
      </c>
    </row>
    <row r="134" spans="1:16" ht="26.25" customHeight="1" x14ac:dyDescent="0.2">
      <c r="A134" s="100"/>
      <c r="B134" s="100"/>
      <c r="C134" s="65" t="s">
        <v>3767</v>
      </c>
      <c r="D134" s="70" t="s">
        <v>57</v>
      </c>
      <c r="E134" s="12">
        <v>44549</v>
      </c>
      <c r="F134" s="68" t="s">
        <v>58</v>
      </c>
      <c r="G134" s="12">
        <v>44554</v>
      </c>
      <c r="H134" s="69" t="s">
        <v>3349</v>
      </c>
      <c r="I134" s="15">
        <v>62</v>
      </c>
      <c r="J134" s="15">
        <v>57</v>
      </c>
      <c r="K134" s="15">
        <v>30</v>
      </c>
      <c r="L134" s="15">
        <v>16</v>
      </c>
      <c r="M134" s="73">
        <v>26.504999999999999</v>
      </c>
      <c r="N134" s="104">
        <v>26.504999999999999</v>
      </c>
      <c r="O134" s="57">
        <v>7000</v>
      </c>
      <c r="P134" s="58">
        <f t="shared" si="2"/>
        <v>185535</v>
      </c>
    </row>
    <row r="135" spans="1:16" ht="26.25" customHeight="1" x14ac:dyDescent="0.2">
      <c r="A135" s="100"/>
      <c r="B135" s="100"/>
      <c r="C135" s="65" t="s">
        <v>3768</v>
      </c>
      <c r="D135" s="70" t="s">
        <v>57</v>
      </c>
      <c r="E135" s="12">
        <v>44549</v>
      </c>
      <c r="F135" s="68" t="s">
        <v>58</v>
      </c>
      <c r="G135" s="12">
        <v>44554</v>
      </c>
      <c r="H135" s="69" t="s">
        <v>3349</v>
      </c>
      <c r="I135" s="15">
        <v>87</v>
      </c>
      <c r="J135" s="15">
        <v>55</v>
      </c>
      <c r="K135" s="15">
        <v>31</v>
      </c>
      <c r="L135" s="15">
        <v>15</v>
      </c>
      <c r="M135" s="73">
        <v>37.083750000000002</v>
      </c>
      <c r="N135" s="104">
        <v>37.083750000000002</v>
      </c>
      <c r="O135" s="57">
        <v>7000</v>
      </c>
      <c r="P135" s="58">
        <f t="shared" si="2"/>
        <v>259586.25</v>
      </c>
    </row>
    <row r="136" spans="1:16" ht="26.25" customHeight="1" x14ac:dyDescent="0.2">
      <c r="A136" s="100"/>
      <c r="B136" s="100"/>
      <c r="C136" s="65" t="s">
        <v>3769</v>
      </c>
      <c r="D136" s="70" t="s">
        <v>57</v>
      </c>
      <c r="E136" s="12">
        <v>44549</v>
      </c>
      <c r="F136" s="68" t="s">
        <v>58</v>
      </c>
      <c r="G136" s="12">
        <v>44554</v>
      </c>
      <c r="H136" s="69" t="s">
        <v>3349</v>
      </c>
      <c r="I136" s="15">
        <v>80</v>
      </c>
      <c r="J136" s="15">
        <v>57</v>
      </c>
      <c r="K136" s="15">
        <v>28</v>
      </c>
      <c r="L136" s="15">
        <v>16</v>
      </c>
      <c r="M136" s="73">
        <v>31.92</v>
      </c>
      <c r="N136" s="104">
        <v>31.92</v>
      </c>
      <c r="O136" s="57">
        <v>7000</v>
      </c>
      <c r="P136" s="58">
        <f t="shared" si="2"/>
        <v>223440</v>
      </c>
    </row>
    <row r="137" spans="1:16" ht="26.25" customHeight="1" x14ac:dyDescent="0.2">
      <c r="A137" s="100"/>
      <c r="B137" s="100"/>
      <c r="C137" s="65" t="s">
        <v>3770</v>
      </c>
      <c r="D137" s="70" t="s">
        <v>57</v>
      </c>
      <c r="E137" s="12">
        <v>44549</v>
      </c>
      <c r="F137" s="68" t="s">
        <v>58</v>
      </c>
      <c r="G137" s="12">
        <v>44554</v>
      </c>
      <c r="H137" s="69" t="s">
        <v>3349</v>
      </c>
      <c r="I137" s="15">
        <v>110</v>
      </c>
      <c r="J137" s="15">
        <v>37</v>
      </c>
      <c r="K137" s="15">
        <v>24</v>
      </c>
      <c r="L137" s="15">
        <v>18</v>
      </c>
      <c r="M137" s="73">
        <v>24.42</v>
      </c>
      <c r="N137" s="104">
        <v>25</v>
      </c>
      <c r="O137" s="57">
        <v>7000</v>
      </c>
      <c r="P137" s="58">
        <f t="shared" si="2"/>
        <v>175000</v>
      </c>
    </row>
    <row r="138" spans="1:16" ht="26.25" customHeight="1" x14ac:dyDescent="0.2">
      <c r="A138" s="100"/>
      <c r="B138" s="100"/>
      <c r="C138" s="65" t="s">
        <v>3771</v>
      </c>
      <c r="D138" s="70" t="s">
        <v>57</v>
      </c>
      <c r="E138" s="12">
        <v>44549</v>
      </c>
      <c r="F138" s="68" t="s">
        <v>58</v>
      </c>
      <c r="G138" s="12">
        <v>44554</v>
      </c>
      <c r="H138" s="69" t="s">
        <v>3349</v>
      </c>
      <c r="I138" s="15">
        <v>81</v>
      </c>
      <c r="J138" s="15">
        <v>55</v>
      </c>
      <c r="K138" s="15">
        <v>21</v>
      </c>
      <c r="L138" s="15">
        <v>16</v>
      </c>
      <c r="M138" s="73">
        <v>23.388750000000002</v>
      </c>
      <c r="N138" s="104">
        <v>24</v>
      </c>
      <c r="O138" s="57">
        <v>7000</v>
      </c>
      <c r="P138" s="58">
        <f t="shared" si="2"/>
        <v>168000</v>
      </c>
    </row>
    <row r="139" spans="1:16" ht="26.25" customHeight="1" x14ac:dyDescent="0.2">
      <c r="A139" s="100"/>
      <c r="B139" s="100"/>
      <c r="C139" s="65" t="s">
        <v>3772</v>
      </c>
      <c r="D139" s="70" t="s">
        <v>57</v>
      </c>
      <c r="E139" s="12">
        <v>44549</v>
      </c>
      <c r="F139" s="68" t="s">
        <v>58</v>
      </c>
      <c r="G139" s="12">
        <v>44554</v>
      </c>
      <c r="H139" s="69" t="s">
        <v>3349</v>
      </c>
      <c r="I139" s="15">
        <v>40</v>
      </c>
      <c r="J139" s="15">
        <v>38</v>
      </c>
      <c r="K139" s="15">
        <v>15</v>
      </c>
      <c r="L139" s="15">
        <v>15</v>
      </c>
      <c r="M139" s="73">
        <v>5.7</v>
      </c>
      <c r="N139" s="104">
        <v>15</v>
      </c>
      <c r="O139" s="57">
        <v>7000</v>
      </c>
      <c r="P139" s="58">
        <f t="shared" si="2"/>
        <v>105000</v>
      </c>
    </row>
    <row r="140" spans="1:16" ht="26.25" customHeight="1" x14ac:dyDescent="0.2">
      <c r="A140" s="100"/>
      <c r="B140" s="100"/>
      <c r="C140" s="65" t="s">
        <v>3773</v>
      </c>
      <c r="D140" s="70" t="s">
        <v>57</v>
      </c>
      <c r="E140" s="12">
        <v>44549</v>
      </c>
      <c r="F140" s="68" t="s">
        <v>58</v>
      </c>
      <c r="G140" s="12">
        <v>44554</v>
      </c>
      <c r="H140" s="69" t="s">
        <v>3349</v>
      </c>
      <c r="I140" s="15">
        <v>71</v>
      </c>
      <c r="J140" s="15">
        <v>61</v>
      </c>
      <c r="K140" s="15">
        <v>27</v>
      </c>
      <c r="L140" s="15">
        <v>11</v>
      </c>
      <c r="M140" s="73">
        <v>29.234249999999999</v>
      </c>
      <c r="N140" s="104">
        <v>29.234249999999999</v>
      </c>
      <c r="O140" s="57">
        <v>7000</v>
      </c>
      <c r="P140" s="58">
        <f t="shared" si="2"/>
        <v>204639.75</v>
      </c>
    </row>
    <row r="141" spans="1:16" ht="26.25" customHeight="1" x14ac:dyDescent="0.2">
      <c r="A141" s="100"/>
      <c r="B141" s="100"/>
      <c r="C141" s="65" t="s">
        <v>3774</v>
      </c>
      <c r="D141" s="70" t="s">
        <v>57</v>
      </c>
      <c r="E141" s="12">
        <v>44549</v>
      </c>
      <c r="F141" s="68" t="s">
        <v>58</v>
      </c>
      <c r="G141" s="12">
        <v>44554</v>
      </c>
      <c r="H141" s="69" t="s">
        <v>3349</v>
      </c>
      <c r="I141" s="15">
        <v>94</v>
      </c>
      <c r="J141" s="15">
        <v>47</v>
      </c>
      <c r="K141" s="15">
        <v>32</v>
      </c>
      <c r="L141" s="15">
        <v>16</v>
      </c>
      <c r="M141" s="73">
        <v>35.344000000000001</v>
      </c>
      <c r="N141" s="104">
        <v>36</v>
      </c>
      <c r="O141" s="57">
        <v>7000</v>
      </c>
      <c r="P141" s="58">
        <f t="shared" si="2"/>
        <v>252000</v>
      </c>
    </row>
    <row r="142" spans="1:16" ht="26.25" customHeight="1" x14ac:dyDescent="0.2">
      <c r="A142" s="100"/>
      <c r="B142" s="100"/>
      <c r="C142" s="65" t="s">
        <v>3775</v>
      </c>
      <c r="D142" s="70" t="s">
        <v>57</v>
      </c>
      <c r="E142" s="12">
        <v>44549</v>
      </c>
      <c r="F142" s="68" t="s">
        <v>58</v>
      </c>
      <c r="G142" s="12">
        <v>44554</v>
      </c>
      <c r="H142" s="69" t="s">
        <v>3349</v>
      </c>
      <c r="I142" s="15">
        <v>85</v>
      </c>
      <c r="J142" s="15">
        <v>58</v>
      </c>
      <c r="K142" s="15">
        <v>26</v>
      </c>
      <c r="L142" s="15">
        <v>27</v>
      </c>
      <c r="M142" s="73">
        <v>32.045000000000002</v>
      </c>
      <c r="N142" s="104">
        <v>32.045000000000002</v>
      </c>
      <c r="O142" s="57">
        <v>7000</v>
      </c>
      <c r="P142" s="58">
        <f t="shared" si="2"/>
        <v>224315</v>
      </c>
    </row>
    <row r="143" spans="1:16" ht="26.25" customHeight="1" x14ac:dyDescent="0.2">
      <c r="A143" s="100"/>
      <c r="B143" s="100"/>
      <c r="C143" s="65" t="s">
        <v>3776</v>
      </c>
      <c r="D143" s="70" t="s">
        <v>57</v>
      </c>
      <c r="E143" s="12">
        <v>44549</v>
      </c>
      <c r="F143" s="68" t="s">
        <v>58</v>
      </c>
      <c r="G143" s="12">
        <v>44554</v>
      </c>
      <c r="H143" s="69" t="s">
        <v>3349</v>
      </c>
      <c r="I143" s="15">
        <v>87</v>
      </c>
      <c r="J143" s="15">
        <v>54</v>
      </c>
      <c r="K143" s="15">
        <v>30</v>
      </c>
      <c r="L143" s="15">
        <v>16</v>
      </c>
      <c r="M143" s="73">
        <v>35.234999999999999</v>
      </c>
      <c r="N143" s="104">
        <v>35.234999999999999</v>
      </c>
      <c r="O143" s="57">
        <v>7000</v>
      </c>
      <c r="P143" s="58">
        <f t="shared" si="2"/>
        <v>246645</v>
      </c>
    </row>
    <row r="144" spans="1:16" ht="26.25" customHeight="1" x14ac:dyDescent="0.2">
      <c r="A144" s="100"/>
      <c r="B144" s="100"/>
      <c r="C144" s="65" t="s">
        <v>3777</v>
      </c>
      <c r="D144" s="70" t="s">
        <v>57</v>
      </c>
      <c r="E144" s="12">
        <v>44549</v>
      </c>
      <c r="F144" s="68" t="s">
        <v>58</v>
      </c>
      <c r="G144" s="12">
        <v>44554</v>
      </c>
      <c r="H144" s="69" t="s">
        <v>3349</v>
      </c>
      <c r="I144" s="15">
        <v>104</v>
      </c>
      <c r="J144" s="15">
        <v>57</v>
      </c>
      <c r="K144" s="15">
        <v>28</v>
      </c>
      <c r="L144" s="15">
        <v>25</v>
      </c>
      <c r="M144" s="73">
        <v>41.496000000000002</v>
      </c>
      <c r="N144" s="104">
        <v>42</v>
      </c>
      <c r="O144" s="57">
        <v>7000</v>
      </c>
      <c r="P144" s="58">
        <f t="shared" si="2"/>
        <v>294000</v>
      </c>
    </row>
    <row r="145" spans="1:16" ht="26.25" customHeight="1" x14ac:dyDescent="0.2">
      <c r="A145" s="100"/>
      <c r="B145" s="100"/>
      <c r="C145" s="65" t="s">
        <v>3778</v>
      </c>
      <c r="D145" s="70" t="s">
        <v>57</v>
      </c>
      <c r="E145" s="12">
        <v>44549</v>
      </c>
      <c r="F145" s="68" t="s">
        <v>58</v>
      </c>
      <c r="G145" s="12">
        <v>44554</v>
      </c>
      <c r="H145" s="69" t="s">
        <v>3349</v>
      </c>
      <c r="I145" s="15">
        <v>80</v>
      </c>
      <c r="J145" s="15">
        <v>58</v>
      </c>
      <c r="K145" s="15">
        <v>25</v>
      </c>
      <c r="L145" s="15">
        <v>17</v>
      </c>
      <c r="M145" s="73">
        <v>29</v>
      </c>
      <c r="N145" s="104">
        <v>29</v>
      </c>
      <c r="O145" s="57">
        <v>7000</v>
      </c>
      <c r="P145" s="58">
        <f t="shared" si="2"/>
        <v>203000</v>
      </c>
    </row>
    <row r="146" spans="1:16" ht="26.25" customHeight="1" x14ac:dyDescent="0.2">
      <c r="A146" s="100"/>
      <c r="B146" s="100"/>
      <c r="C146" s="65" t="s">
        <v>3779</v>
      </c>
      <c r="D146" s="70" t="s">
        <v>57</v>
      </c>
      <c r="E146" s="12">
        <v>44549</v>
      </c>
      <c r="F146" s="68" t="s">
        <v>58</v>
      </c>
      <c r="G146" s="12">
        <v>44554</v>
      </c>
      <c r="H146" s="69" t="s">
        <v>3349</v>
      </c>
      <c r="I146" s="15">
        <v>75</v>
      </c>
      <c r="J146" s="15">
        <v>55</v>
      </c>
      <c r="K146" s="15">
        <v>22</v>
      </c>
      <c r="L146" s="15">
        <v>4</v>
      </c>
      <c r="M146" s="73">
        <v>22.6875</v>
      </c>
      <c r="N146" s="104">
        <v>22.6875</v>
      </c>
      <c r="O146" s="57">
        <v>7000</v>
      </c>
      <c r="P146" s="58">
        <f t="shared" si="2"/>
        <v>158812.5</v>
      </c>
    </row>
    <row r="147" spans="1:16" ht="26.25" customHeight="1" x14ac:dyDescent="0.2">
      <c r="A147" s="100"/>
      <c r="B147" s="100"/>
      <c r="C147" s="65" t="s">
        <v>3780</v>
      </c>
      <c r="D147" s="70" t="s">
        <v>57</v>
      </c>
      <c r="E147" s="12">
        <v>44549</v>
      </c>
      <c r="F147" s="68" t="s">
        <v>58</v>
      </c>
      <c r="G147" s="12">
        <v>44554</v>
      </c>
      <c r="H147" s="69" t="s">
        <v>3349</v>
      </c>
      <c r="I147" s="15">
        <v>47</v>
      </c>
      <c r="J147" s="15">
        <v>35</v>
      </c>
      <c r="K147" s="15">
        <v>24</v>
      </c>
      <c r="L147" s="15">
        <v>3</v>
      </c>
      <c r="M147" s="73">
        <v>9.8699999999999992</v>
      </c>
      <c r="N147" s="104">
        <v>9.8699999999999992</v>
      </c>
      <c r="O147" s="57">
        <v>7000</v>
      </c>
      <c r="P147" s="58">
        <f t="shared" si="2"/>
        <v>69090</v>
      </c>
    </row>
    <row r="148" spans="1:16" ht="26.25" customHeight="1" x14ac:dyDescent="0.2">
      <c r="A148" s="100"/>
      <c r="B148" s="100"/>
      <c r="C148" s="65" t="s">
        <v>3781</v>
      </c>
      <c r="D148" s="70" t="s">
        <v>57</v>
      </c>
      <c r="E148" s="12">
        <v>44549</v>
      </c>
      <c r="F148" s="68" t="s">
        <v>58</v>
      </c>
      <c r="G148" s="12">
        <v>44554</v>
      </c>
      <c r="H148" s="69" t="s">
        <v>3349</v>
      </c>
      <c r="I148" s="15">
        <v>63</v>
      </c>
      <c r="J148" s="15">
        <v>44</v>
      </c>
      <c r="K148" s="15">
        <v>16</v>
      </c>
      <c r="L148" s="15">
        <v>10</v>
      </c>
      <c r="M148" s="73">
        <v>11.087999999999999</v>
      </c>
      <c r="N148" s="104">
        <v>11.087999999999999</v>
      </c>
      <c r="O148" s="57">
        <v>7000</v>
      </c>
      <c r="P148" s="58">
        <f t="shared" si="2"/>
        <v>77616</v>
      </c>
    </row>
    <row r="149" spans="1:16" ht="26.25" customHeight="1" x14ac:dyDescent="0.2">
      <c r="A149" s="100"/>
      <c r="B149" s="100"/>
      <c r="C149" s="65" t="s">
        <v>3782</v>
      </c>
      <c r="D149" s="70" t="s">
        <v>57</v>
      </c>
      <c r="E149" s="12">
        <v>44549</v>
      </c>
      <c r="F149" s="68" t="s">
        <v>58</v>
      </c>
      <c r="G149" s="12">
        <v>44554</v>
      </c>
      <c r="H149" s="69" t="s">
        <v>3349</v>
      </c>
      <c r="I149" s="15">
        <v>72</v>
      </c>
      <c r="J149" s="15">
        <v>63</v>
      </c>
      <c r="K149" s="15">
        <v>21</v>
      </c>
      <c r="L149" s="15">
        <v>18</v>
      </c>
      <c r="M149" s="73">
        <v>23.814</v>
      </c>
      <c r="N149" s="104">
        <v>23.814</v>
      </c>
      <c r="O149" s="57">
        <v>7000</v>
      </c>
      <c r="P149" s="58">
        <f t="shared" si="2"/>
        <v>166698</v>
      </c>
    </row>
    <row r="150" spans="1:16" ht="26.25" customHeight="1" x14ac:dyDescent="0.2">
      <c r="A150" s="100"/>
      <c r="B150" s="100"/>
      <c r="C150" s="65" t="s">
        <v>3783</v>
      </c>
      <c r="D150" s="70" t="s">
        <v>57</v>
      </c>
      <c r="E150" s="12">
        <v>44549</v>
      </c>
      <c r="F150" s="68" t="s">
        <v>58</v>
      </c>
      <c r="G150" s="12">
        <v>44554</v>
      </c>
      <c r="H150" s="69" t="s">
        <v>3349</v>
      </c>
      <c r="I150" s="15">
        <v>38</v>
      </c>
      <c r="J150" s="15">
        <v>27</v>
      </c>
      <c r="K150" s="15">
        <v>15</v>
      </c>
      <c r="L150" s="15">
        <v>4</v>
      </c>
      <c r="M150" s="73">
        <v>3.8475000000000001</v>
      </c>
      <c r="N150" s="104">
        <v>4</v>
      </c>
      <c r="O150" s="57">
        <v>7000</v>
      </c>
      <c r="P150" s="58">
        <f t="shared" si="2"/>
        <v>28000</v>
      </c>
    </row>
    <row r="151" spans="1:16" ht="26.25" customHeight="1" x14ac:dyDescent="0.2">
      <c r="A151" s="100"/>
      <c r="B151" s="100"/>
      <c r="C151" s="65" t="s">
        <v>3784</v>
      </c>
      <c r="D151" s="70" t="s">
        <v>57</v>
      </c>
      <c r="E151" s="12">
        <v>44549</v>
      </c>
      <c r="F151" s="68" t="s">
        <v>58</v>
      </c>
      <c r="G151" s="12">
        <v>44554</v>
      </c>
      <c r="H151" s="69" t="s">
        <v>3349</v>
      </c>
      <c r="I151" s="15">
        <v>92</v>
      </c>
      <c r="J151" s="15">
        <v>58</v>
      </c>
      <c r="K151" s="15">
        <v>23</v>
      </c>
      <c r="L151" s="15">
        <v>18</v>
      </c>
      <c r="M151" s="73">
        <v>30.681999999999999</v>
      </c>
      <c r="N151" s="104">
        <v>30.681999999999999</v>
      </c>
      <c r="O151" s="57">
        <v>7000</v>
      </c>
      <c r="P151" s="58">
        <f t="shared" si="2"/>
        <v>214774</v>
      </c>
    </row>
    <row r="152" spans="1:16" ht="26.25" customHeight="1" x14ac:dyDescent="0.2">
      <c r="A152" s="100"/>
      <c r="B152" s="100"/>
      <c r="C152" s="65" t="s">
        <v>3785</v>
      </c>
      <c r="D152" s="70" t="s">
        <v>57</v>
      </c>
      <c r="E152" s="12">
        <v>44549</v>
      </c>
      <c r="F152" s="68" t="s">
        <v>58</v>
      </c>
      <c r="G152" s="12">
        <v>44554</v>
      </c>
      <c r="H152" s="69" t="s">
        <v>3349</v>
      </c>
      <c r="I152" s="15">
        <v>94</v>
      </c>
      <c r="J152" s="15">
        <v>54</v>
      </c>
      <c r="K152" s="15">
        <v>35</v>
      </c>
      <c r="L152" s="15">
        <v>35</v>
      </c>
      <c r="M152" s="73">
        <v>44.414999999999999</v>
      </c>
      <c r="N152" s="104">
        <v>45</v>
      </c>
      <c r="O152" s="57">
        <v>7000</v>
      </c>
      <c r="P152" s="58">
        <f t="shared" si="2"/>
        <v>315000</v>
      </c>
    </row>
    <row r="153" spans="1:16" ht="26.25" customHeight="1" x14ac:dyDescent="0.2">
      <c r="A153" s="100"/>
      <c r="B153" s="100"/>
      <c r="C153" s="65" t="s">
        <v>3786</v>
      </c>
      <c r="D153" s="70" t="s">
        <v>57</v>
      </c>
      <c r="E153" s="12">
        <v>44549</v>
      </c>
      <c r="F153" s="68" t="s">
        <v>58</v>
      </c>
      <c r="G153" s="12">
        <v>44554</v>
      </c>
      <c r="H153" s="69" t="s">
        <v>3349</v>
      </c>
      <c r="I153" s="15">
        <v>88</v>
      </c>
      <c r="J153" s="15">
        <v>64</v>
      </c>
      <c r="K153" s="15">
        <v>27</v>
      </c>
      <c r="L153" s="15">
        <v>39</v>
      </c>
      <c r="M153" s="73">
        <v>38.015999999999998</v>
      </c>
      <c r="N153" s="104">
        <v>39</v>
      </c>
      <c r="O153" s="57">
        <v>7000</v>
      </c>
      <c r="P153" s="58">
        <f t="shared" si="2"/>
        <v>273000</v>
      </c>
    </row>
    <row r="154" spans="1:16" ht="26.25" customHeight="1" x14ac:dyDescent="0.2">
      <c r="A154" s="100"/>
      <c r="B154" s="100"/>
      <c r="C154" s="65" t="s">
        <v>3787</v>
      </c>
      <c r="D154" s="70" t="s">
        <v>57</v>
      </c>
      <c r="E154" s="12">
        <v>44549</v>
      </c>
      <c r="F154" s="68" t="s">
        <v>58</v>
      </c>
      <c r="G154" s="12">
        <v>44554</v>
      </c>
      <c r="H154" s="69" t="s">
        <v>3349</v>
      </c>
      <c r="I154" s="15">
        <v>70</v>
      </c>
      <c r="J154" s="15">
        <v>66</v>
      </c>
      <c r="K154" s="15">
        <v>12</v>
      </c>
      <c r="L154" s="15">
        <v>7</v>
      </c>
      <c r="M154" s="73">
        <v>13.86</v>
      </c>
      <c r="N154" s="104">
        <v>13.86</v>
      </c>
      <c r="O154" s="57">
        <v>7000</v>
      </c>
      <c r="P154" s="58">
        <f t="shared" si="2"/>
        <v>97020</v>
      </c>
    </row>
    <row r="155" spans="1:16" ht="26.25" customHeight="1" x14ac:dyDescent="0.2">
      <c r="A155" s="100"/>
      <c r="B155" s="100"/>
      <c r="C155" s="65" t="s">
        <v>3788</v>
      </c>
      <c r="D155" s="70" t="s">
        <v>57</v>
      </c>
      <c r="E155" s="12">
        <v>44549</v>
      </c>
      <c r="F155" s="68" t="s">
        <v>58</v>
      </c>
      <c r="G155" s="12">
        <v>44554</v>
      </c>
      <c r="H155" s="69" t="s">
        <v>3349</v>
      </c>
      <c r="I155" s="15">
        <v>115</v>
      </c>
      <c r="J155" s="15">
        <v>37</v>
      </c>
      <c r="K155" s="15">
        <v>37</v>
      </c>
      <c r="L155" s="15">
        <v>6</v>
      </c>
      <c r="M155" s="73">
        <v>39.358750000000001</v>
      </c>
      <c r="N155" s="104">
        <v>40</v>
      </c>
      <c r="O155" s="57">
        <v>7000</v>
      </c>
      <c r="P155" s="58">
        <f t="shared" si="2"/>
        <v>280000</v>
      </c>
    </row>
    <row r="156" spans="1:16" ht="26.25" customHeight="1" x14ac:dyDescent="0.2">
      <c r="A156" s="100"/>
      <c r="B156" s="100"/>
      <c r="C156" s="65" t="s">
        <v>3789</v>
      </c>
      <c r="D156" s="70" t="s">
        <v>57</v>
      </c>
      <c r="E156" s="12">
        <v>44549</v>
      </c>
      <c r="F156" s="68" t="s">
        <v>58</v>
      </c>
      <c r="G156" s="12">
        <v>44554</v>
      </c>
      <c r="H156" s="69" t="s">
        <v>3349</v>
      </c>
      <c r="I156" s="15">
        <v>150</v>
      </c>
      <c r="J156" s="15">
        <v>41</v>
      </c>
      <c r="K156" s="15">
        <v>18</v>
      </c>
      <c r="L156" s="15">
        <v>11</v>
      </c>
      <c r="M156" s="73">
        <v>27.675000000000001</v>
      </c>
      <c r="N156" s="104">
        <v>27.675000000000001</v>
      </c>
      <c r="O156" s="57">
        <v>7000</v>
      </c>
      <c r="P156" s="58">
        <f t="shared" si="2"/>
        <v>193725</v>
      </c>
    </row>
    <row r="157" spans="1:16" ht="26.25" customHeight="1" x14ac:dyDescent="0.2">
      <c r="A157" s="100"/>
      <c r="B157" s="100"/>
      <c r="C157" s="65" t="s">
        <v>3790</v>
      </c>
      <c r="D157" s="70" t="s">
        <v>57</v>
      </c>
      <c r="E157" s="12">
        <v>44549</v>
      </c>
      <c r="F157" s="68" t="s">
        <v>58</v>
      </c>
      <c r="G157" s="12">
        <v>44554</v>
      </c>
      <c r="H157" s="69" t="s">
        <v>3349</v>
      </c>
      <c r="I157" s="15">
        <v>97</v>
      </c>
      <c r="J157" s="15">
        <v>51</v>
      </c>
      <c r="K157" s="15">
        <v>26</v>
      </c>
      <c r="L157" s="15">
        <v>26</v>
      </c>
      <c r="M157" s="73">
        <v>32.155500000000004</v>
      </c>
      <c r="N157" s="104">
        <v>32.155500000000004</v>
      </c>
      <c r="O157" s="57">
        <v>7000</v>
      </c>
      <c r="P157" s="58">
        <f t="shared" si="2"/>
        <v>225088.50000000003</v>
      </c>
    </row>
    <row r="158" spans="1:16" ht="26.25" customHeight="1" x14ac:dyDescent="0.2">
      <c r="A158" s="100"/>
      <c r="B158" s="101"/>
      <c r="C158" s="65" t="s">
        <v>3791</v>
      </c>
      <c r="D158" s="70" t="s">
        <v>57</v>
      </c>
      <c r="E158" s="12">
        <v>44549</v>
      </c>
      <c r="F158" s="68" t="s">
        <v>58</v>
      </c>
      <c r="G158" s="12">
        <v>44554</v>
      </c>
      <c r="H158" s="69" t="s">
        <v>3349</v>
      </c>
      <c r="I158" s="15">
        <v>73</v>
      </c>
      <c r="J158" s="15">
        <v>60</v>
      </c>
      <c r="K158" s="15">
        <v>25</v>
      </c>
      <c r="L158" s="15">
        <v>4</v>
      </c>
      <c r="M158" s="73">
        <v>27.375</v>
      </c>
      <c r="N158" s="104">
        <v>28</v>
      </c>
      <c r="O158" s="57">
        <v>7000</v>
      </c>
      <c r="P158" s="58">
        <f t="shared" si="2"/>
        <v>196000</v>
      </c>
    </row>
    <row r="159" spans="1:16" ht="26.25" customHeight="1" x14ac:dyDescent="0.2">
      <c r="A159" s="100"/>
      <c r="B159" s="100" t="s">
        <v>3792</v>
      </c>
      <c r="C159" s="65" t="s">
        <v>3793</v>
      </c>
      <c r="D159" s="70" t="s">
        <v>57</v>
      </c>
      <c r="E159" s="12">
        <v>44549</v>
      </c>
      <c r="F159" s="68" t="s">
        <v>58</v>
      </c>
      <c r="G159" s="12">
        <v>44554</v>
      </c>
      <c r="H159" s="69" t="s">
        <v>3349</v>
      </c>
      <c r="I159" s="15">
        <v>48</v>
      </c>
      <c r="J159" s="15">
        <v>30</v>
      </c>
      <c r="K159" s="15">
        <v>27</v>
      </c>
      <c r="L159" s="15">
        <v>2</v>
      </c>
      <c r="M159" s="73">
        <v>9.7200000000000006</v>
      </c>
      <c r="N159" s="104">
        <v>9.7200000000000006</v>
      </c>
      <c r="O159" s="57">
        <v>7000</v>
      </c>
      <c r="P159" s="58">
        <f t="shared" si="2"/>
        <v>68040</v>
      </c>
    </row>
    <row r="160" spans="1:16" ht="26.25" customHeight="1" x14ac:dyDescent="0.2">
      <c r="A160" s="100"/>
      <c r="B160" s="100"/>
      <c r="C160" s="65" t="s">
        <v>3794</v>
      </c>
      <c r="D160" s="70" t="s">
        <v>57</v>
      </c>
      <c r="E160" s="12">
        <v>44549</v>
      </c>
      <c r="F160" s="68" t="s">
        <v>58</v>
      </c>
      <c r="G160" s="12">
        <v>44554</v>
      </c>
      <c r="H160" s="69" t="s">
        <v>3349</v>
      </c>
      <c r="I160" s="15">
        <v>64</v>
      </c>
      <c r="J160" s="15">
        <v>48</v>
      </c>
      <c r="K160" s="15">
        <v>37</v>
      </c>
      <c r="L160" s="15">
        <v>13</v>
      </c>
      <c r="M160" s="73">
        <v>28.416</v>
      </c>
      <c r="N160" s="104">
        <v>29</v>
      </c>
      <c r="O160" s="57">
        <v>7000</v>
      </c>
      <c r="P160" s="58">
        <f t="shared" si="2"/>
        <v>203000</v>
      </c>
    </row>
    <row r="161" spans="1:16" ht="26.25" customHeight="1" x14ac:dyDescent="0.2">
      <c r="A161" s="100"/>
      <c r="B161" s="100"/>
      <c r="C161" s="65" t="s">
        <v>3795</v>
      </c>
      <c r="D161" s="70" t="s">
        <v>57</v>
      </c>
      <c r="E161" s="12">
        <v>44549</v>
      </c>
      <c r="F161" s="68" t="s">
        <v>58</v>
      </c>
      <c r="G161" s="12">
        <v>44554</v>
      </c>
      <c r="H161" s="69" t="s">
        <v>3349</v>
      </c>
      <c r="I161" s="15">
        <v>28</v>
      </c>
      <c r="J161" s="15">
        <v>33</v>
      </c>
      <c r="K161" s="15">
        <v>10</v>
      </c>
      <c r="L161" s="15">
        <v>1</v>
      </c>
      <c r="M161" s="73">
        <v>2.31</v>
      </c>
      <c r="N161" s="104">
        <v>3</v>
      </c>
      <c r="O161" s="57">
        <v>7000</v>
      </c>
      <c r="P161" s="58">
        <f t="shared" si="2"/>
        <v>21000</v>
      </c>
    </row>
    <row r="162" spans="1:16" ht="26.25" customHeight="1" x14ac:dyDescent="0.2">
      <c r="A162" s="100"/>
      <c r="B162" s="100"/>
      <c r="C162" s="65" t="s">
        <v>3796</v>
      </c>
      <c r="D162" s="70" t="s">
        <v>57</v>
      </c>
      <c r="E162" s="12">
        <v>44549</v>
      </c>
      <c r="F162" s="68" t="s">
        <v>58</v>
      </c>
      <c r="G162" s="12">
        <v>44554</v>
      </c>
      <c r="H162" s="69" t="s">
        <v>3349</v>
      </c>
      <c r="I162" s="15">
        <v>32</v>
      </c>
      <c r="J162" s="15">
        <v>28</v>
      </c>
      <c r="K162" s="15">
        <v>15</v>
      </c>
      <c r="L162" s="15">
        <v>2</v>
      </c>
      <c r="M162" s="73">
        <v>3.36</v>
      </c>
      <c r="N162" s="104">
        <v>4</v>
      </c>
      <c r="O162" s="57">
        <v>7000</v>
      </c>
      <c r="P162" s="58">
        <f t="shared" si="2"/>
        <v>28000</v>
      </c>
    </row>
    <row r="163" spans="1:16" ht="26.25" customHeight="1" x14ac:dyDescent="0.2">
      <c r="A163" s="100"/>
      <c r="B163" s="101"/>
      <c r="C163" s="65" t="s">
        <v>3797</v>
      </c>
      <c r="D163" s="70" t="s">
        <v>57</v>
      </c>
      <c r="E163" s="12">
        <v>44549</v>
      </c>
      <c r="F163" s="68" t="s">
        <v>58</v>
      </c>
      <c r="G163" s="12">
        <v>44554</v>
      </c>
      <c r="H163" s="69" t="s">
        <v>3349</v>
      </c>
      <c r="I163" s="15">
        <v>77</v>
      </c>
      <c r="J163" s="15">
        <v>38</v>
      </c>
      <c r="K163" s="15">
        <v>70</v>
      </c>
      <c r="L163" s="15">
        <v>25</v>
      </c>
      <c r="M163" s="73">
        <v>51.204999999999998</v>
      </c>
      <c r="N163" s="104">
        <v>51.204999999999998</v>
      </c>
      <c r="O163" s="57">
        <v>7000</v>
      </c>
      <c r="P163" s="58">
        <f t="shared" si="2"/>
        <v>358435</v>
      </c>
    </row>
    <row r="164" spans="1:16" ht="26.25" customHeight="1" x14ac:dyDescent="0.2">
      <c r="A164" s="100"/>
      <c r="B164" s="90" t="s">
        <v>3798</v>
      </c>
      <c r="C164" s="65" t="s">
        <v>3799</v>
      </c>
      <c r="D164" s="70" t="s">
        <v>57</v>
      </c>
      <c r="E164" s="12">
        <v>44549</v>
      </c>
      <c r="F164" s="68" t="s">
        <v>58</v>
      </c>
      <c r="G164" s="12">
        <v>44554</v>
      </c>
      <c r="H164" s="69" t="s">
        <v>3349</v>
      </c>
      <c r="I164" s="15">
        <v>50</v>
      </c>
      <c r="J164" s="15">
        <v>42</v>
      </c>
      <c r="K164" s="15">
        <v>65</v>
      </c>
      <c r="L164" s="15">
        <v>36</v>
      </c>
      <c r="M164" s="73">
        <v>34.125</v>
      </c>
      <c r="N164" s="104">
        <v>36</v>
      </c>
      <c r="O164" s="57">
        <v>7000</v>
      </c>
      <c r="P164" s="58">
        <f t="shared" si="2"/>
        <v>252000</v>
      </c>
    </row>
    <row r="165" spans="1:16" ht="26.25" customHeight="1" x14ac:dyDescent="0.2">
      <c r="A165" s="100"/>
      <c r="B165" s="100" t="s">
        <v>3800</v>
      </c>
      <c r="C165" s="65" t="s">
        <v>3801</v>
      </c>
      <c r="D165" s="70" t="s">
        <v>57</v>
      </c>
      <c r="E165" s="12">
        <v>44549</v>
      </c>
      <c r="F165" s="68" t="s">
        <v>58</v>
      </c>
      <c r="G165" s="12">
        <v>44554</v>
      </c>
      <c r="H165" s="69" t="s">
        <v>3349</v>
      </c>
      <c r="I165" s="15">
        <v>57</v>
      </c>
      <c r="J165" s="15">
        <v>45</v>
      </c>
      <c r="K165" s="15">
        <v>34</v>
      </c>
      <c r="L165" s="15">
        <v>21</v>
      </c>
      <c r="M165" s="73">
        <v>21.802499999999998</v>
      </c>
      <c r="N165" s="104">
        <v>21.802499999999998</v>
      </c>
      <c r="O165" s="57">
        <v>7000</v>
      </c>
      <c r="P165" s="58">
        <f t="shared" si="2"/>
        <v>152617.5</v>
      </c>
    </row>
    <row r="166" spans="1:16" ht="22.5" customHeight="1" x14ac:dyDescent="0.2">
      <c r="A166" s="159" t="s">
        <v>30</v>
      </c>
      <c r="B166" s="160"/>
      <c r="C166" s="160"/>
      <c r="D166" s="160"/>
      <c r="E166" s="160"/>
      <c r="F166" s="160"/>
      <c r="G166" s="160"/>
      <c r="H166" s="160"/>
      <c r="I166" s="160"/>
      <c r="J166" s="160"/>
      <c r="K166" s="160"/>
      <c r="L166" s="161"/>
      <c r="M166" s="71">
        <f>SUBTOTAL(109,Table2245789101123456789101112131415161718192021222324252627282930313233343537383940414243444546474849505152535455565758596061[KG VOLUME])</f>
        <v>3174.0347499999989</v>
      </c>
      <c r="N166" s="61">
        <f>SUM(N3:N165)</f>
        <v>3295.7759999999989</v>
      </c>
      <c r="O166" s="162">
        <f>SUM(P3:P165)</f>
        <v>23070432</v>
      </c>
      <c r="P166" s="163"/>
    </row>
    <row r="167" spans="1:16" ht="18" customHeight="1" x14ac:dyDescent="0.2">
      <c r="A167" s="78"/>
      <c r="B167" s="49" t="s">
        <v>42</v>
      </c>
      <c r="C167" s="48"/>
      <c r="D167" s="50" t="s">
        <v>43</v>
      </c>
      <c r="E167" s="78"/>
      <c r="F167" s="78"/>
      <c r="G167" s="78"/>
      <c r="H167" s="78"/>
      <c r="I167" s="78"/>
      <c r="J167" s="78"/>
      <c r="K167" s="78"/>
      <c r="L167" s="78"/>
      <c r="M167" s="79"/>
      <c r="N167" s="80" t="s">
        <v>52</v>
      </c>
      <c r="O167" s="81"/>
      <c r="P167" s="81">
        <v>0</v>
      </c>
    </row>
    <row r="168" spans="1:16" ht="18" customHeight="1" thickBot="1" x14ac:dyDescent="0.25">
      <c r="A168" s="78"/>
      <c r="B168" s="49"/>
      <c r="C168" s="48"/>
      <c r="D168" s="50"/>
      <c r="E168" s="78"/>
      <c r="F168" s="78"/>
      <c r="G168" s="78"/>
      <c r="H168" s="78"/>
      <c r="I168" s="78"/>
      <c r="J168" s="78"/>
      <c r="K168" s="78"/>
      <c r="L168" s="78"/>
      <c r="M168" s="79"/>
      <c r="N168" s="82" t="s">
        <v>53</v>
      </c>
      <c r="O168" s="83"/>
      <c r="P168" s="83">
        <f>O166-P167</f>
        <v>23070432</v>
      </c>
    </row>
    <row r="169" spans="1:16" ht="18" customHeight="1" x14ac:dyDescent="0.2">
      <c r="A169" s="10"/>
      <c r="H169" s="56"/>
      <c r="N169" s="55" t="s">
        <v>31</v>
      </c>
      <c r="P169" s="62">
        <f>P168*1%</f>
        <v>230704.32</v>
      </c>
    </row>
    <row r="170" spans="1:16" ht="18" customHeight="1" thickBot="1" x14ac:dyDescent="0.25">
      <c r="A170" s="10"/>
      <c r="H170" s="56"/>
      <c r="N170" s="55" t="s">
        <v>54</v>
      </c>
      <c r="P170" s="64">
        <f>P168*2%</f>
        <v>461408.64</v>
      </c>
    </row>
    <row r="171" spans="1:16" ht="18" customHeight="1" x14ac:dyDescent="0.2">
      <c r="A171" s="10"/>
      <c r="H171" s="56"/>
      <c r="N171" s="59" t="s">
        <v>32</v>
      </c>
      <c r="O171" s="60"/>
      <c r="P171" s="63">
        <f>P168+P169-P170</f>
        <v>22839727.68</v>
      </c>
    </row>
    <row r="173" spans="1:16" x14ac:dyDescent="0.2">
      <c r="A173" s="10"/>
      <c r="H173" s="56"/>
      <c r="P173" s="64"/>
    </row>
    <row r="174" spans="1:16" x14ac:dyDescent="0.2">
      <c r="A174" s="10"/>
      <c r="H174" s="56"/>
      <c r="O174" s="51"/>
      <c r="P174" s="64"/>
    </row>
    <row r="175" spans="1:16" s="3" customFormat="1" x14ac:dyDescent="0.25">
      <c r="A175" s="10"/>
      <c r="B175" s="2"/>
      <c r="C175" s="2"/>
      <c r="E175" s="11"/>
      <c r="H175" s="56"/>
      <c r="N175" s="14"/>
      <c r="O175" s="14"/>
      <c r="P175" s="14"/>
    </row>
    <row r="176" spans="1:16" s="3" customFormat="1" x14ac:dyDescent="0.25">
      <c r="A176" s="10"/>
      <c r="B176" s="2"/>
      <c r="C176" s="2"/>
      <c r="E176" s="11"/>
      <c r="H176" s="56"/>
      <c r="N176" s="14"/>
      <c r="O176" s="14"/>
      <c r="P176" s="14"/>
    </row>
    <row r="177" spans="1:16" s="3" customFormat="1" x14ac:dyDescent="0.25">
      <c r="A177" s="10"/>
      <c r="B177" s="2"/>
      <c r="C177" s="2"/>
      <c r="E177" s="11"/>
      <c r="H177" s="56"/>
      <c r="N177" s="14"/>
      <c r="O177" s="14"/>
      <c r="P177" s="14"/>
    </row>
    <row r="178" spans="1:16" s="3" customFormat="1" x14ac:dyDescent="0.25">
      <c r="A178" s="10"/>
      <c r="B178" s="2"/>
      <c r="C178" s="2"/>
      <c r="E178" s="11"/>
      <c r="H178" s="56"/>
      <c r="N178" s="14"/>
      <c r="O178" s="14"/>
      <c r="P178" s="14"/>
    </row>
    <row r="179" spans="1:16" s="3" customFormat="1" x14ac:dyDescent="0.25">
      <c r="A179" s="10"/>
      <c r="B179" s="2"/>
      <c r="C179" s="2"/>
      <c r="E179" s="11"/>
      <c r="H179" s="56"/>
      <c r="N179" s="14"/>
      <c r="O179" s="14"/>
      <c r="P179" s="14"/>
    </row>
    <row r="180" spans="1:16" s="3" customFormat="1" x14ac:dyDescent="0.25">
      <c r="A180" s="10"/>
      <c r="B180" s="2"/>
      <c r="C180" s="2"/>
      <c r="E180" s="11"/>
      <c r="H180" s="56"/>
      <c r="N180" s="14"/>
      <c r="O180" s="14"/>
      <c r="P180" s="14"/>
    </row>
    <row r="181" spans="1:16" s="3" customFormat="1" x14ac:dyDescent="0.25">
      <c r="A181" s="10"/>
      <c r="B181" s="2"/>
      <c r="C181" s="2"/>
      <c r="E181" s="11"/>
      <c r="H181" s="56"/>
      <c r="N181" s="14"/>
      <c r="O181" s="14"/>
      <c r="P181" s="14"/>
    </row>
    <row r="182" spans="1:16" s="3" customFormat="1" x14ac:dyDescent="0.25">
      <c r="A182" s="10"/>
      <c r="B182" s="2"/>
      <c r="C182" s="2"/>
      <c r="E182" s="11"/>
      <c r="H182" s="56"/>
      <c r="N182" s="14"/>
      <c r="O182" s="14"/>
      <c r="P182" s="14"/>
    </row>
    <row r="183" spans="1:16" s="3" customFormat="1" x14ac:dyDescent="0.25">
      <c r="A183" s="10"/>
      <c r="B183" s="2"/>
      <c r="C183" s="2"/>
      <c r="E183" s="11"/>
      <c r="H183" s="56"/>
      <c r="N183" s="14"/>
      <c r="O183" s="14"/>
      <c r="P183" s="14"/>
    </row>
    <row r="184" spans="1:16" s="3" customFormat="1" x14ac:dyDescent="0.25">
      <c r="A184" s="10"/>
      <c r="B184" s="2"/>
      <c r="C184" s="2"/>
      <c r="E184" s="11"/>
      <c r="H184" s="56"/>
      <c r="N184" s="14"/>
      <c r="O184" s="14"/>
      <c r="P184" s="14"/>
    </row>
    <row r="185" spans="1:16" s="3" customFormat="1" x14ac:dyDescent="0.25">
      <c r="A185" s="10"/>
      <c r="B185" s="2"/>
      <c r="C185" s="2"/>
      <c r="E185" s="11"/>
      <c r="H185" s="56"/>
      <c r="N185" s="14"/>
      <c r="O185" s="14"/>
      <c r="P185" s="14"/>
    </row>
    <row r="186" spans="1:16" s="3" customFormat="1" x14ac:dyDescent="0.25">
      <c r="A186" s="10"/>
      <c r="B186" s="2"/>
      <c r="C186" s="2"/>
      <c r="E186" s="11"/>
      <c r="H186" s="56"/>
      <c r="N186" s="14"/>
      <c r="O186" s="14"/>
      <c r="P186" s="14"/>
    </row>
  </sheetData>
  <mergeCells count="2">
    <mergeCell ref="A166:L166"/>
    <mergeCell ref="O166:P166"/>
  </mergeCells>
  <conditionalFormatting sqref="C3:C165">
    <cfRule type="duplicateValues" dxfId="639" priority="9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topLeftCell="A13" workbookViewId="0">
      <selection activeCell="N17" sqref="N3:N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403978</v>
      </c>
      <c r="B3" s="99" t="s">
        <v>3802</v>
      </c>
      <c r="C3" s="90" t="s">
        <v>3803</v>
      </c>
      <c r="D3" s="102" t="s">
        <v>57</v>
      </c>
      <c r="E3" s="91">
        <v>44550</v>
      </c>
      <c r="F3" s="102" t="s">
        <v>59</v>
      </c>
      <c r="G3" s="91">
        <v>44555</v>
      </c>
      <c r="H3" s="90" t="s">
        <v>3349</v>
      </c>
      <c r="I3" s="90">
        <v>40</v>
      </c>
      <c r="J3" s="90">
        <v>48</v>
      </c>
      <c r="K3" s="90">
        <v>21</v>
      </c>
      <c r="L3" s="90">
        <v>3</v>
      </c>
      <c r="M3" s="90">
        <v>10.08</v>
      </c>
      <c r="N3" s="104">
        <v>10.08</v>
      </c>
      <c r="O3" s="57">
        <v>7000</v>
      </c>
      <c r="P3" s="58">
        <f t="shared" ref="P3:P17" si="0">N3*O3</f>
        <v>70560</v>
      </c>
    </row>
    <row r="4" spans="1:16" ht="26.25" customHeight="1" x14ac:dyDescent="0.2">
      <c r="A4" s="100"/>
      <c r="B4" s="100"/>
      <c r="C4" s="90" t="s">
        <v>3804</v>
      </c>
      <c r="D4" s="102" t="s">
        <v>57</v>
      </c>
      <c r="E4" s="91">
        <v>44550</v>
      </c>
      <c r="F4" s="102" t="s">
        <v>59</v>
      </c>
      <c r="G4" s="91">
        <v>44555</v>
      </c>
      <c r="H4" s="90" t="s">
        <v>3349</v>
      </c>
      <c r="I4" s="90">
        <v>25</v>
      </c>
      <c r="J4" s="90">
        <v>21</v>
      </c>
      <c r="K4" s="90">
        <v>10</v>
      </c>
      <c r="L4" s="90">
        <v>2</v>
      </c>
      <c r="M4" s="90">
        <v>1.3125</v>
      </c>
      <c r="N4" s="104">
        <v>3</v>
      </c>
      <c r="O4" s="57">
        <v>7000</v>
      </c>
      <c r="P4" s="58">
        <f t="shared" si="0"/>
        <v>21000</v>
      </c>
    </row>
    <row r="5" spans="1:16" ht="26.25" customHeight="1" x14ac:dyDescent="0.2">
      <c r="A5" s="100"/>
      <c r="B5" s="100"/>
      <c r="C5" s="90" t="s">
        <v>3805</v>
      </c>
      <c r="D5" s="102" t="s">
        <v>57</v>
      </c>
      <c r="E5" s="91">
        <v>44550</v>
      </c>
      <c r="F5" s="102" t="s">
        <v>59</v>
      </c>
      <c r="G5" s="91">
        <v>44555</v>
      </c>
      <c r="H5" s="90" t="s">
        <v>3349</v>
      </c>
      <c r="I5" s="90">
        <v>22</v>
      </c>
      <c r="J5" s="90">
        <v>25</v>
      </c>
      <c r="K5" s="90">
        <v>10</v>
      </c>
      <c r="L5" s="90">
        <v>1</v>
      </c>
      <c r="M5" s="90">
        <v>1.375</v>
      </c>
      <c r="N5" s="104">
        <v>2</v>
      </c>
      <c r="O5" s="57">
        <v>7000</v>
      </c>
      <c r="P5" s="58">
        <f t="shared" si="0"/>
        <v>14000</v>
      </c>
    </row>
    <row r="6" spans="1:16" ht="26.25" customHeight="1" x14ac:dyDescent="0.2">
      <c r="A6" s="100"/>
      <c r="B6" s="100"/>
      <c r="C6" s="90" t="s">
        <v>3806</v>
      </c>
      <c r="D6" s="102" t="s">
        <v>57</v>
      </c>
      <c r="E6" s="91">
        <v>44550</v>
      </c>
      <c r="F6" s="102" t="s">
        <v>59</v>
      </c>
      <c r="G6" s="91">
        <v>44555</v>
      </c>
      <c r="H6" s="90" t="s">
        <v>3349</v>
      </c>
      <c r="I6" s="90">
        <v>64</v>
      </c>
      <c r="J6" s="90">
        <v>36</v>
      </c>
      <c r="K6" s="90">
        <v>25</v>
      </c>
      <c r="L6" s="90">
        <v>7</v>
      </c>
      <c r="M6" s="90">
        <v>14.4</v>
      </c>
      <c r="N6" s="104">
        <v>15</v>
      </c>
      <c r="O6" s="57">
        <v>7000</v>
      </c>
      <c r="P6" s="58">
        <f t="shared" si="0"/>
        <v>105000</v>
      </c>
    </row>
    <row r="7" spans="1:16" ht="26.25" customHeight="1" x14ac:dyDescent="0.2">
      <c r="A7" s="100"/>
      <c r="B7" s="100"/>
      <c r="C7" s="65" t="s">
        <v>3807</v>
      </c>
      <c r="D7" s="70" t="s">
        <v>57</v>
      </c>
      <c r="E7" s="12">
        <v>44550</v>
      </c>
      <c r="F7" s="68" t="s">
        <v>59</v>
      </c>
      <c r="G7" s="12">
        <v>44555</v>
      </c>
      <c r="H7" s="69" t="s">
        <v>3349</v>
      </c>
      <c r="I7" s="15">
        <v>39</v>
      </c>
      <c r="J7" s="15">
        <v>46</v>
      </c>
      <c r="K7" s="15">
        <v>17</v>
      </c>
      <c r="L7" s="15">
        <v>4</v>
      </c>
      <c r="M7" s="73">
        <v>7.6245000000000003</v>
      </c>
      <c r="N7" s="104">
        <v>7.6245000000000003</v>
      </c>
      <c r="O7" s="57">
        <v>7000</v>
      </c>
      <c r="P7" s="58">
        <f t="shared" si="0"/>
        <v>53371.5</v>
      </c>
    </row>
    <row r="8" spans="1:16" ht="26.25" customHeight="1" x14ac:dyDescent="0.2">
      <c r="A8" s="100"/>
      <c r="B8" s="100"/>
      <c r="C8" s="65" t="s">
        <v>3808</v>
      </c>
      <c r="D8" s="70" t="s">
        <v>57</v>
      </c>
      <c r="E8" s="12">
        <v>44550</v>
      </c>
      <c r="F8" s="68" t="s">
        <v>59</v>
      </c>
      <c r="G8" s="12">
        <v>44555</v>
      </c>
      <c r="H8" s="69" t="s">
        <v>3349</v>
      </c>
      <c r="I8" s="15">
        <v>35</v>
      </c>
      <c r="J8" s="15">
        <v>30</v>
      </c>
      <c r="K8" s="15">
        <v>9</v>
      </c>
      <c r="L8" s="15">
        <v>2</v>
      </c>
      <c r="M8" s="73">
        <v>2.3624999999999998</v>
      </c>
      <c r="N8" s="104">
        <v>3</v>
      </c>
      <c r="O8" s="57">
        <v>7000</v>
      </c>
      <c r="P8" s="58">
        <f t="shared" si="0"/>
        <v>21000</v>
      </c>
    </row>
    <row r="9" spans="1:16" ht="26.25" customHeight="1" x14ac:dyDescent="0.2">
      <c r="A9" s="100"/>
      <c r="B9" s="100"/>
      <c r="C9" s="65" t="s">
        <v>3809</v>
      </c>
      <c r="D9" s="70" t="s">
        <v>57</v>
      </c>
      <c r="E9" s="12">
        <v>44550</v>
      </c>
      <c r="F9" s="68" t="s">
        <v>59</v>
      </c>
      <c r="G9" s="12">
        <v>44555</v>
      </c>
      <c r="H9" s="69" t="s">
        <v>3349</v>
      </c>
      <c r="I9" s="15">
        <v>20</v>
      </c>
      <c r="J9" s="15">
        <v>18</v>
      </c>
      <c r="K9" s="15">
        <v>11</v>
      </c>
      <c r="L9" s="15">
        <v>1</v>
      </c>
      <c r="M9" s="73">
        <v>0.99</v>
      </c>
      <c r="N9" s="104">
        <v>1</v>
      </c>
      <c r="O9" s="57">
        <v>7000</v>
      </c>
      <c r="P9" s="58">
        <f t="shared" si="0"/>
        <v>7000</v>
      </c>
    </row>
    <row r="10" spans="1:16" ht="26.25" customHeight="1" x14ac:dyDescent="0.2">
      <c r="A10" s="100"/>
      <c r="B10" s="100"/>
      <c r="C10" s="65" t="s">
        <v>3810</v>
      </c>
      <c r="D10" s="70" t="s">
        <v>57</v>
      </c>
      <c r="E10" s="12">
        <v>44550</v>
      </c>
      <c r="F10" s="68" t="s">
        <v>59</v>
      </c>
      <c r="G10" s="12">
        <v>44555</v>
      </c>
      <c r="H10" s="69" t="s">
        <v>3349</v>
      </c>
      <c r="I10" s="15">
        <v>92</v>
      </c>
      <c r="J10" s="15">
        <v>60</v>
      </c>
      <c r="K10" s="15">
        <v>22</v>
      </c>
      <c r="L10" s="15">
        <v>8</v>
      </c>
      <c r="M10" s="73">
        <v>30.36</v>
      </c>
      <c r="N10" s="104">
        <v>31</v>
      </c>
      <c r="O10" s="57">
        <v>7000</v>
      </c>
      <c r="P10" s="58">
        <f t="shared" si="0"/>
        <v>217000</v>
      </c>
    </row>
    <row r="11" spans="1:16" ht="26.25" customHeight="1" x14ac:dyDescent="0.2">
      <c r="A11" s="100"/>
      <c r="B11" s="100"/>
      <c r="C11" s="65" t="s">
        <v>3811</v>
      </c>
      <c r="D11" s="70" t="s">
        <v>57</v>
      </c>
      <c r="E11" s="12">
        <v>44550</v>
      </c>
      <c r="F11" s="68" t="s">
        <v>59</v>
      </c>
      <c r="G11" s="12">
        <v>44555</v>
      </c>
      <c r="H11" s="69" t="s">
        <v>3349</v>
      </c>
      <c r="I11" s="15">
        <v>97</v>
      </c>
      <c r="J11" s="15">
        <v>52</v>
      </c>
      <c r="K11" s="15">
        <v>34</v>
      </c>
      <c r="L11" s="15">
        <v>23</v>
      </c>
      <c r="M11" s="73">
        <v>42.874000000000002</v>
      </c>
      <c r="N11" s="104">
        <v>42.874000000000002</v>
      </c>
      <c r="O11" s="57">
        <v>7000</v>
      </c>
      <c r="P11" s="58">
        <f t="shared" si="0"/>
        <v>300118</v>
      </c>
    </row>
    <row r="12" spans="1:16" ht="26.25" customHeight="1" x14ac:dyDescent="0.2">
      <c r="A12" s="100"/>
      <c r="B12" s="100"/>
      <c r="C12" s="65" t="s">
        <v>3812</v>
      </c>
      <c r="D12" s="70" t="s">
        <v>57</v>
      </c>
      <c r="E12" s="12">
        <v>44550</v>
      </c>
      <c r="F12" s="68" t="s">
        <v>59</v>
      </c>
      <c r="G12" s="12">
        <v>44555</v>
      </c>
      <c r="H12" s="69" t="s">
        <v>3349</v>
      </c>
      <c r="I12" s="15">
        <v>95</v>
      </c>
      <c r="J12" s="15">
        <v>58</v>
      </c>
      <c r="K12" s="15">
        <v>30</v>
      </c>
      <c r="L12" s="15">
        <v>23</v>
      </c>
      <c r="M12" s="73">
        <v>41.325000000000003</v>
      </c>
      <c r="N12" s="104">
        <v>42</v>
      </c>
      <c r="O12" s="57">
        <v>7000</v>
      </c>
      <c r="P12" s="58">
        <f t="shared" si="0"/>
        <v>294000</v>
      </c>
    </row>
    <row r="13" spans="1:16" ht="26.25" customHeight="1" x14ac:dyDescent="0.2">
      <c r="A13" s="100"/>
      <c r="B13" s="100"/>
      <c r="C13" s="65" t="s">
        <v>3813</v>
      </c>
      <c r="D13" s="70" t="s">
        <v>57</v>
      </c>
      <c r="E13" s="12">
        <v>44550</v>
      </c>
      <c r="F13" s="68" t="s">
        <v>59</v>
      </c>
      <c r="G13" s="12">
        <v>44555</v>
      </c>
      <c r="H13" s="69" t="s">
        <v>3349</v>
      </c>
      <c r="I13" s="15">
        <v>72</v>
      </c>
      <c r="J13" s="15">
        <v>62</v>
      </c>
      <c r="K13" s="15">
        <v>25</v>
      </c>
      <c r="L13" s="15">
        <v>12</v>
      </c>
      <c r="M13" s="73">
        <v>27.9</v>
      </c>
      <c r="N13" s="104">
        <v>27.9</v>
      </c>
      <c r="O13" s="57">
        <v>7000</v>
      </c>
      <c r="P13" s="58">
        <f t="shared" si="0"/>
        <v>195300</v>
      </c>
    </row>
    <row r="14" spans="1:16" ht="26.25" customHeight="1" x14ac:dyDescent="0.2">
      <c r="A14" s="100"/>
      <c r="B14" s="100"/>
      <c r="C14" s="65" t="s">
        <v>3814</v>
      </c>
      <c r="D14" s="70" t="s">
        <v>57</v>
      </c>
      <c r="E14" s="12">
        <v>44550</v>
      </c>
      <c r="F14" s="68" t="s">
        <v>59</v>
      </c>
      <c r="G14" s="12">
        <v>44555</v>
      </c>
      <c r="H14" s="69" t="s">
        <v>3349</v>
      </c>
      <c r="I14" s="15">
        <v>30</v>
      </c>
      <c r="J14" s="15">
        <v>34</v>
      </c>
      <c r="K14" s="15">
        <v>15</v>
      </c>
      <c r="L14" s="15">
        <v>3</v>
      </c>
      <c r="M14" s="73">
        <v>3.8250000000000002</v>
      </c>
      <c r="N14" s="104">
        <v>3.8250000000000002</v>
      </c>
      <c r="O14" s="57">
        <v>7000</v>
      </c>
      <c r="P14" s="58">
        <f t="shared" si="0"/>
        <v>26775</v>
      </c>
    </row>
    <row r="15" spans="1:16" ht="26.25" customHeight="1" x14ac:dyDescent="0.2">
      <c r="A15" s="100"/>
      <c r="B15" s="100"/>
      <c r="C15" s="65" t="s">
        <v>3815</v>
      </c>
      <c r="D15" s="70" t="s">
        <v>57</v>
      </c>
      <c r="E15" s="12">
        <v>44550</v>
      </c>
      <c r="F15" s="68" t="s">
        <v>59</v>
      </c>
      <c r="G15" s="12">
        <v>44555</v>
      </c>
      <c r="H15" s="69" t="s">
        <v>3349</v>
      </c>
      <c r="I15" s="15">
        <v>30</v>
      </c>
      <c r="J15" s="15">
        <v>26</v>
      </c>
      <c r="K15" s="15">
        <v>17</v>
      </c>
      <c r="L15" s="15">
        <v>1</v>
      </c>
      <c r="M15" s="73">
        <v>3.3149999999999999</v>
      </c>
      <c r="N15" s="104">
        <v>4</v>
      </c>
      <c r="O15" s="57">
        <v>7000</v>
      </c>
      <c r="P15" s="58">
        <f t="shared" si="0"/>
        <v>28000</v>
      </c>
    </row>
    <row r="16" spans="1:16" ht="26.25" customHeight="1" x14ac:dyDescent="0.2">
      <c r="A16" s="100"/>
      <c r="B16" s="101"/>
      <c r="C16" s="65" t="s">
        <v>3816</v>
      </c>
      <c r="D16" s="70" t="s">
        <v>57</v>
      </c>
      <c r="E16" s="12">
        <v>44550</v>
      </c>
      <c r="F16" s="68" t="s">
        <v>59</v>
      </c>
      <c r="G16" s="12">
        <v>44555</v>
      </c>
      <c r="H16" s="69" t="s">
        <v>3349</v>
      </c>
      <c r="I16" s="15">
        <v>53</v>
      </c>
      <c r="J16" s="15">
        <v>37</v>
      </c>
      <c r="K16" s="15">
        <v>17</v>
      </c>
      <c r="L16" s="15">
        <v>5</v>
      </c>
      <c r="M16" s="73">
        <v>8.3342500000000008</v>
      </c>
      <c r="N16" s="104">
        <v>9</v>
      </c>
      <c r="O16" s="57">
        <v>7000</v>
      </c>
      <c r="P16" s="58">
        <f t="shared" si="0"/>
        <v>63000</v>
      </c>
    </row>
    <row r="17" spans="1:16" ht="26.25" customHeight="1" x14ac:dyDescent="0.2">
      <c r="A17" s="100"/>
      <c r="B17" s="100" t="s">
        <v>3817</v>
      </c>
      <c r="C17" s="65" t="s">
        <v>3818</v>
      </c>
      <c r="D17" s="70" t="s">
        <v>57</v>
      </c>
      <c r="E17" s="12">
        <v>44550</v>
      </c>
      <c r="F17" s="68" t="s">
        <v>59</v>
      </c>
      <c r="G17" s="12">
        <v>44555</v>
      </c>
      <c r="H17" s="69" t="s">
        <v>3349</v>
      </c>
      <c r="I17" s="15">
        <v>28</v>
      </c>
      <c r="J17" s="15">
        <v>23</v>
      </c>
      <c r="K17" s="15">
        <v>15</v>
      </c>
      <c r="L17" s="15">
        <v>2</v>
      </c>
      <c r="M17" s="73">
        <v>2.415</v>
      </c>
      <c r="N17" s="104">
        <v>3</v>
      </c>
      <c r="O17" s="57">
        <v>7000</v>
      </c>
      <c r="P17" s="58">
        <f t="shared" si="0"/>
        <v>21000</v>
      </c>
    </row>
    <row r="18" spans="1:16" ht="22.5" customHeight="1" x14ac:dyDescent="0.2">
      <c r="A18" s="159" t="s">
        <v>30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1"/>
      <c r="M18" s="71">
        <f>SUBTOTAL(109,Table224578910112345678910111213141516171819202122232425262728293031323334353738394041424344454647484950515253545556575859606162[KG VOLUME])</f>
        <v>198.49275</v>
      </c>
      <c r="N18" s="61">
        <f>SUM(N3:N17)</f>
        <v>205.30349999999999</v>
      </c>
      <c r="O18" s="162">
        <f>SUM(P3:P17)</f>
        <v>1437124.5</v>
      </c>
      <c r="P18" s="163"/>
    </row>
    <row r="19" spans="1:16" ht="18" customHeight="1" x14ac:dyDescent="0.2">
      <c r="A19" s="78"/>
      <c r="B19" s="49" t="s">
        <v>42</v>
      </c>
      <c r="C19" s="48"/>
      <c r="D19" s="50" t="s">
        <v>43</v>
      </c>
      <c r="E19" s="78"/>
      <c r="F19" s="78"/>
      <c r="G19" s="78"/>
      <c r="H19" s="78"/>
      <c r="I19" s="78"/>
      <c r="J19" s="78"/>
      <c r="K19" s="78"/>
      <c r="L19" s="78"/>
      <c r="M19" s="79"/>
      <c r="N19" s="80" t="s">
        <v>52</v>
      </c>
      <c r="O19" s="81"/>
      <c r="P19" s="81">
        <v>0</v>
      </c>
    </row>
    <row r="20" spans="1:16" ht="18" customHeight="1" thickBot="1" x14ac:dyDescent="0.25">
      <c r="A20" s="78"/>
      <c r="B20" s="49"/>
      <c r="C20" s="48"/>
      <c r="D20" s="50"/>
      <c r="E20" s="78"/>
      <c r="F20" s="78"/>
      <c r="G20" s="78"/>
      <c r="H20" s="78"/>
      <c r="I20" s="78"/>
      <c r="J20" s="78"/>
      <c r="K20" s="78"/>
      <c r="L20" s="78"/>
      <c r="M20" s="79"/>
      <c r="N20" s="82" t="s">
        <v>53</v>
      </c>
      <c r="O20" s="83"/>
      <c r="P20" s="83">
        <f>O18-P19</f>
        <v>1437124.5</v>
      </c>
    </row>
    <row r="21" spans="1:16" ht="18" customHeight="1" x14ac:dyDescent="0.2">
      <c r="A21" s="10"/>
      <c r="H21" s="56"/>
      <c r="N21" s="55" t="s">
        <v>31</v>
      </c>
      <c r="P21" s="62">
        <f>P20*1%</f>
        <v>14371.245000000001</v>
      </c>
    </row>
    <row r="22" spans="1:16" ht="18" customHeight="1" thickBot="1" x14ac:dyDescent="0.25">
      <c r="A22" s="10"/>
      <c r="H22" s="56"/>
      <c r="N22" s="55" t="s">
        <v>54</v>
      </c>
      <c r="P22" s="64">
        <f>P20*2%</f>
        <v>28742.49</v>
      </c>
    </row>
    <row r="23" spans="1:16" ht="18" customHeight="1" x14ac:dyDescent="0.2">
      <c r="A23" s="10"/>
      <c r="H23" s="56"/>
      <c r="N23" s="59" t="s">
        <v>32</v>
      </c>
      <c r="O23" s="60"/>
      <c r="P23" s="63">
        <f>P20+P21-P22</f>
        <v>1422753.2550000001</v>
      </c>
    </row>
    <row r="25" spans="1:16" x14ac:dyDescent="0.2">
      <c r="A25" s="10"/>
      <c r="H25" s="56"/>
      <c r="P25" s="64"/>
    </row>
    <row r="26" spans="1:16" x14ac:dyDescent="0.2">
      <c r="A26" s="10"/>
      <c r="H26" s="56"/>
      <c r="O26" s="51"/>
      <c r="P26" s="6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</sheetData>
  <mergeCells count="2">
    <mergeCell ref="A18:L18"/>
    <mergeCell ref="O18:P18"/>
  </mergeCells>
  <conditionalFormatting sqref="C3:C17">
    <cfRule type="duplicateValues" dxfId="623" priority="9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workbookViewId="0">
      <selection activeCell="N15" sqref="N3:N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403919</v>
      </c>
      <c r="B3" s="99" t="s">
        <v>3819</v>
      </c>
      <c r="C3" s="90" t="s">
        <v>3820</v>
      </c>
      <c r="D3" s="102" t="s">
        <v>57</v>
      </c>
      <c r="E3" s="91">
        <v>44550</v>
      </c>
      <c r="F3" s="102" t="s">
        <v>59</v>
      </c>
      <c r="G3" s="91">
        <v>44555</v>
      </c>
      <c r="H3" s="90" t="s">
        <v>3349</v>
      </c>
      <c r="I3" s="90">
        <v>68</v>
      </c>
      <c r="J3" s="90">
        <v>52</v>
      </c>
      <c r="K3" s="90">
        <v>14</v>
      </c>
      <c r="L3" s="90">
        <v>10</v>
      </c>
      <c r="M3" s="90">
        <v>12.375999999999999</v>
      </c>
      <c r="N3" s="104">
        <v>13</v>
      </c>
      <c r="O3" s="57">
        <v>7000</v>
      </c>
      <c r="P3" s="58">
        <f t="shared" ref="P3:P15" si="0">N3*O3</f>
        <v>91000</v>
      </c>
    </row>
    <row r="4" spans="1:16" ht="26.25" customHeight="1" x14ac:dyDescent="0.2">
      <c r="A4" s="100"/>
      <c r="B4" s="100"/>
      <c r="C4" s="90" t="s">
        <v>3821</v>
      </c>
      <c r="D4" s="102" t="s">
        <v>57</v>
      </c>
      <c r="E4" s="91">
        <v>44550</v>
      </c>
      <c r="F4" s="102" t="s">
        <v>59</v>
      </c>
      <c r="G4" s="91">
        <v>44555</v>
      </c>
      <c r="H4" s="90" t="s">
        <v>3349</v>
      </c>
      <c r="I4" s="90">
        <v>30</v>
      </c>
      <c r="J4" s="90">
        <v>25</v>
      </c>
      <c r="K4" s="90">
        <v>15</v>
      </c>
      <c r="L4" s="90">
        <v>2</v>
      </c>
      <c r="M4" s="90">
        <v>2.8125</v>
      </c>
      <c r="N4" s="104">
        <v>2.8125</v>
      </c>
      <c r="O4" s="57">
        <v>7000</v>
      </c>
      <c r="P4" s="58">
        <f t="shared" si="0"/>
        <v>19687.5</v>
      </c>
    </row>
    <row r="5" spans="1:16" ht="26.25" customHeight="1" x14ac:dyDescent="0.2">
      <c r="A5" s="100"/>
      <c r="B5" s="100"/>
      <c r="C5" s="90" t="s">
        <v>3822</v>
      </c>
      <c r="D5" s="102" t="s">
        <v>57</v>
      </c>
      <c r="E5" s="91">
        <v>44550</v>
      </c>
      <c r="F5" s="102" t="s">
        <v>59</v>
      </c>
      <c r="G5" s="91">
        <v>44555</v>
      </c>
      <c r="H5" s="90" t="s">
        <v>3349</v>
      </c>
      <c r="I5" s="90">
        <v>50</v>
      </c>
      <c r="J5" s="90">
        <v>47</v>
      </c>
      <c r="K5" s="90">
        <v>15</v>
      </c>
      <c r="L5" s="90">
        <v>3</v>
      </c>
      <c r="M5" s="90">
        <v>8.8125</v>
      </c>
      <c r="N5" s="104">
        <v>8.8125</v>
      </c>
      <c r="O5" s="57">
        <v>7000</v>
      </c>
      <c r="P5" s="58">
        <f t="shared" si="0"/>
        <v>61687.5</v>
      </c>
    </row>
    <row r="6" spans="1:16" ht="26.25" customHeight="1" x14ac:dyDescent="0.2">
      <c r="A6" s="100"/>
      <c r="B6" s="100"/>
      <c r="C6" s="90" t="s">
        <v>3823</v>
      </c>
      <c r="D6" s="102" t="s">
        <v>57</v>
      </c>
      <c r="E6" s="91">
        <v>44550</v>
      </c>
      <c r="F6" s="102" t="s">
        <v>59</v>
      </c>
      <c r="G6" s="91">
        <v>44555</v>
      </c>
      <c r="H6" s="90" t="s">
        <v>3349</v>
      </c>
      <c r="I6" s="90">
        <v>35</v>
      </c>
      <c r="J6" s="90">
        <v>46</v>
      </c>
      <c r="K6" s="90">
        <v>10</v>
      </c>
      <c r="L6" s="90">
        <v>3</v>
      </c>
      <c r="M6" s="90">
        <v>4.0250000000000004</v>
      </c>
      <c r="N6" s="104">
        <v>4.0250000000000004</v>
      </c>
      <c r="O6" s="57">
        <v>7000</v>
      </c>
      <c r="P6" s="58">
        <f t="shared" si="0"/>
        <v>28175.000000000004</v>
      </c>
    </row>
    <row r="7" spans="1:16" ht="26.25" customHeight="1" x14ac:dyDescent="0.2">
      <c r="A7" s="100"/>
      <c r="B7" s="100"/>
      <c r="C7" s="65" t="s">
        <v>3824</v>
      </c>
      <c r="D7" s="70" t="s">
        <v>57</v>
      </c>
      <c r="E7" s="12">
        <v>44550</v>
      </c>
      <c r="F7" s="68" t="s">
        <v>59</v>
      </c>
      <c r="G7" s="12">
        <v>44555</v>
      </c>
      <c r="H7" s="69" t="s">
        <v>3349</v>
      </c>
      <c r="I7" s="15">
        <v>132</v>
      </c>
      <c r="J7" s="15">
        <v>25</v>
      </c>
      <c r="K7" s="15">
        <v>25</v>
      </c>
      <c r="L7" s="15">
        <v>14</v>
      </c>
      <c r="M7" s="73">
        <v>20.625</v>
      </c>
      <c r="N7" s="104">
        <v>20.625</v>
      </c>
      <c r="O7" s="57">
        <v>7000</v>
      </c>
      <c r="P7" s="58">
        <f t="shared" si="0"/>
        <v>144375</v>
      </c>
    </row>
    <row r="8" spans="1:16" ht="26.25" customHeight="1" x14ac:dyDescent="0.2">
      <c r="A8" s="100"/>
      <c r="B8" s="100"/>
      <c r="C8" s="65" t="s">
        <v>3825</v>
      </c>
      <c r="D8" s="70" t="s">
        <v>57</v>
      </c>
      <c r="E8" s="12">
        <v>44550</v>
      </c>
      <c r="F8" s="68" t="s">
        <v>59</v>
      </c>
      <c r="G8" s="12">
        <v>44555</v>
      </c>
      <c r="H8" s="69" t="s">
        <v>3349</v>
      </c>
      <c r="I8" s="15">
        <v>30</v>
      </c>
      <c r="J8" s="15">
        <v>25</v>
      </c>
      <c r="K8" s="15">
        <v>23</v>
      </c>
      <c r="L8" s="15">
        <v>2</v>
      </c>
      <c r="M8" s="73">
        <v>4.3125</v>
      </c>
      <c r="N8" s="104">
        <v>5</v>
      </c>
      <c r="O8" s="57">
        <v>7000</v>
      </c>
      <c r="P8" s="58">
        <f t="shared" si="0"/>
        <v>35000</v>
      </c>
    </row>
    <row r="9" spans="1:16" ht="26.25" customHeight="1" x14ac:dyDescent="0.2">
      <c r="A9" s="100"/>
      <c r="B9" s="100"/>
      <c r="C9" s="65" t="s">
        <v>3826</v>
      </c>
      <c r="D9" s="70" t="s">
        <v>57</v>
      </c>
      <c r="E9" s="12">
        <v>44550</v>
      </c>
      <c r="F9" s="68" t="s">
        <v>59</v>
      </c>
      <c r="G9" s="12">
        <v>44555</v>
      </c>
      <c r="H9" s="69" t="s">
        <v>3349</v>
      </c>
      <c r="I9" s="15">
        <v>62</v>
      </c>
      <c r="J9" s="15">
        <v>25</v>
      </c>
      <c r="K9" s="15">
        <v>12</v>
      </c>
      <c r="L9" s="15">
        <v>10</v>
      </c>
      <c r="M9" s="73">
        <v>4.6500000000000004</v>
      </c>
      <c r="N9" s="104">
        <v>10</v>
      </c>
      <c r="O9" s="57">
        <v>7000</v>
      </c>
      <c r="P9" s="58">
        <f t="shared" si="0"/>
        <v>70000</v>
      </c>
    </row>
    <row r="10" spans="1:16" ht="26.25" customHeight="1" x14ac:dyDescent="0.2">
      <c r="A10" s="100"/>
      <c r="B10" s="100"/>
      <c r="C10" s="65" t="s">
        <v>3827</v>
      </c>
      <c r="D10" s="70" t="s">
        <v>57</v>
      </c>
      <c r="E10" s="12">
        <v>44550</v>
      </c>
      <c r="F10" s="68" t="s">
        <v>59</v>
      </c>
      <c r="G10" s="12">
        <v>44555</v>
      </c>
      <c r="H10" s="69" t="s">
        <v>3349</v>
      </c>
      <c r="I10" s="15">
        <v>43</v>
      </c>
      <c r="J10" s="15">
        <v>30</v>
      </c>
      <c r="K10" s="15">
        <v>10</v>
      </c>
      <c r="L10" s="15">
        <v>4</v>
      </c>
      <c r="M10" s="73">
        <v>3.2250000000000001</v>
      </c>
      <c r="N10" s="104">
        <v>4</v>
      </c>
      <c r="O10" s="57">
        <v>7000</v>
      </c>
      <c r="P10" s="58">
        <f t="shared" si="0"/>
        <v>28000</v>
      </c>
    </row>
    <row r="11" spans="1:16" ht="26.25" customHeight="1" x14ac:dyDescent="0.2">
      <c r="A11" s="100"/>
      <c r="B11" s="100"/>
      <c r="C11" s="65" t="s">
        <v>3828</v>
      </c>
      <c r="D11" s="70" t="s">
        <v>57</v>
      </c>
      <c r="E11" s="12">
        <v>44550</v>
      </c>
      <c r="F11" s="68" t="s">
        <v>59</v>
      </c>
      <c r="G11" s="12">
        <v>44555</v>
      </c>
      <c r="H11" s="69" t="s">
        <v>3349</v>
      </c>
      <c r="I11" s="15">
        <v>85</v>
      </c>
      <c r="J11" s="15">
        <v>65</v>
      </c>
      <c r="K11" s="15">
        <v>23</v>
      </c>
      <c r="L11" s="15">
        <v>8</v>
      </c>
      <c r="M11" s="73">
        <v>31.768750000000001</v>
      </c>
      <c r="N11" s="104">
        <v>31.768750000000001</v>
      </c>
      <c r="O11" s="57">
        <v>7000</v>
      </c>
      <c r="P11" s="58">
        <f t="shared" si="0"/>
        <v>222381.25</v>
      </c>
    </row>
    <row r="12" spans="1:16" ht="26.25" customHeight="1" x14ac:dyDescent="0.2">
      <c r="A12" s="100"/>
      <c r="B12" s="100"/>
      <c r="C12" s="65" t="s">
        <v>3829</v>
      </c>
      <c r="D12" s="70" t="s">
        <v>57</v>
      </c>
      <c r="E12" s="12">
        <v>44550</v>
      </c>
      <c r="F12" s="68" t="s">
        <v>59</v>
      </c>
      <c r="G12" s="12">
        <v>44555</v>
      </c>
      <c r="H12" s="69" t="s">
        <v>3349</v>
      </c>
      <c r="I12" s="15">
        <v>37</v>
      </c>
      <c r="J12" s="15">
        <v>30</v>
      </c>
      <c r="K12" s="15">
        <v>27</v>
      </c>
      <c r="L12" s="15">
        <v>4</v>
      </c>
      <c r="M12" s="73">
        <v>7.4924999999999997</v>
      </c>
      <c r="N12" s="104">
        <v>8</v>
      </c>
      <c r="O12" s="57">
        <v>7000</v>
      </c>
      <c r="P12" s="58">
        <f t="shared" si="0"/>
        <v>56000</v>
      </c>
    </row>
    <row r="13" spans="1:16" ht="26.25" customHeight="1" x14ac:dyDescent="0.2">
      <c r="A13" s="100"/>
      <c r="B13" s="100"/>
      <c r="C13" s="65" t="s">
        <v>3830</v>
      </c>
      <c r="D13" s="70" t="s">
        <v>57</v>
      </c>
      <c r="E13" s="12">
        <v>44550</v>
      </c>
      <c r="F13" s="68" t="s">
        <v>59</v>
      </c>
      <c r="G13" s="12">
        <v>44555</v>
      </c>
      <c r="H13" s="69" t="s">
        <v>3349</v>
      </c>
      <c r="I13" s="15">
        <v>90</v>
      </c>
      <c r="J13" s="15">
        <v>55</v>
      </c>
      <c r="K13" s="15">
        <v>21</v>
      </c>
      <c r="L13" s="15">
        <v>16</v>
      </c>
      <c r="M13" s="73">
        <v>25.987500000000001</v>
      </c>
      <c r="N13" s="104">
        <v>25.987500000000001</v>
      </c>
      <c r="O13" s="57">
        <v>7000</v>
      </c>
      <c r="P13" s="58">
        <f t="shared" si="0"/>
        <v>181912.5</v>
      </c>
    </row>
    <row r="14" spans="1:16" ht="26.25" customHeight="1" x14ac:dyDescent="0.2">
      <c r="A14" s="100"/>
      <c r="B14" s="101"/>
      <c r="C14" s="65" t="s">
        <v>3831</v>
      </c>
      <c r="D14" s="70" t="s">
        <v>57</v>
      </c>
      <c r="E14" s="12">
        <v>44550</v>
      </c>
      <c r="F14" s="68" t="s">
        <v>59</v>
      </c>
      <c r="G14" s="12">
        <v>44555</v>
      </c>
      <c r="H14" s="69" t="s">
        <v>3349</v>
      </c>
      <c r="I14" s="15">
        <v>106</v>
      </c>
      <c r="J14" s="15">
        <v>86</v>
      </c>
      <c r="K14" s="15">
        <v>25</v>
      </c>
      <c r="L14" s="15">
        <v>45</v>
      </c>
      <c r="M14" s="73">
        <v>56.975000000000001</v>
      </c>
      <c r="N14" s="104">
        <v>56.975000000000001</v>
      </c>
      <c r="O14" s="57">
        <v>7000</v>
      </c>
      <c r="P14" s="58">
        <f t="shared" si="0"/>
        <v>398825</v>
      </c>
    </row>
    <row r="15" spans="1:16" ht="26.25" customHeight="1" x14ac:dyDescent="0.2">
      <c r="A15" s="100"/>
      <c r="B15" s="100" t="s">
        <v>3832</v>
      </c>
      <c r="C15" s="65" t="s">
        <v>3833</v>
      </c>
      <c r="D15" s="70" t="s">
        <v>57</v>
      </c>
      <c r="E15" s="12">
        <v>44550</v>
      </c>
      <c r="F15" s="68" t="s">
        <v>59</v>
      </c>
      <c r="G15" s="12">
        <v>44555</v>
      </c>
      <c r="H15" s="69" t="s">
        <v>3349</v>
      </c>
      <c r="I15" s="15">
        <v>32</v>
      </c>
      <c r="J15" s="15">
        <v>23</v>
      </c>
      <c r="K15" s="15">
        <v>10</v>
      </c>
      <c r="L15" s="15">
        <v>1</v>
      </c>
      <c r="M15" s="73">
        <v>1.84</v>
      </c>
      <c r="N15" s="104">
        <v>1.84</v>
      </c>
      <c r="O15" s="57">
        <v>7000</v>
      </c>
      <c r="P15" s="58">
        <f t="shared" si="0"/>
        <v>12880</v>
      </c>
    </row>
    <row r="16" spans="1:16" ht="22.5" customHeight="1" x14ac:dyDescent="0.2">
      <c r="A16" s="159" t="s">
        <v>30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1"/>
      <c r="M16" s="71">
        <f>SUBTOTAL(109,Table22457891011234567891011121314151617181920212223242526272829303132333435373839404142434445464748495051525354555657585960616263[KG VOLUME])</f>
        <v>184.90225000000001</v>
      </c>
      <c r="N16" s="61">
        <f>SUM(N3:N15)</f>
        <v>192.84625</v>
      </c>
      <c r="O16" s="162">
        <f>SUM(P3:P15)</f>
        <v>1349923.75</v>
      </c>
      <c r="P16" s="163"/>
    </row>
    <row r="17" spans="1:16" ht="18" customHeight="1" x14ac:dyDescent="0.2">
      <c r="A17" s="78"/>
      <c r="B17" s="49" t="s">
        <v>42</v>
      </c>
      <c r="C17" s="48"/>
      <c r="D17" s="50" t="s">
        <v>43</v>
      </c>
      <c r="E17" s="78"/>
      <c r="F17" s="78"/>
      <c r="G17" s="78"/>
      <c r="H17" s="78"/>
      <c r="I17" s="78"/>
      <c r="J17" s="78"/>
      <c r="K17" s="78"/>
      <c r="L17" s="78"/>
      <c r="M17" s="79"/>
      <c r="N17" s="80" t="s">
        <v>52</v>
      </c>
      <c r="O17" s="81"/>
      <c r="P17" s="81">
        <v>0</v>
      </c>
    </row>
    <row r="18" spans="1:16" ht="18" customHeight="1" thickBot="1" x14ac:dyDescent="0.25">
      <c r="A18" s="78"/>
      <c r="B18" s="49"/>
      <c r="C18" s="48"/>
      <c r="D18" s="50"/>
      <c r="E18" s="78"/>
      <c r="F18" s="78"/>
      <c r="G18" s="78"/>
      <c r="H18" s="78"/>
      <c r="I18" s="78"/>
      <c r="J18" s="78"/>
      <c r="K18" s="78"/>
      <c r="L18" s="78"/>
      <c r="M18" s="79"/>
      <c r="N18" s="82" t="s">
        <v>53</v>
      </c>
      <c r="O18" s="83"/>
      <c r="P18" s="83">
        <f>O16-P17</f>
        <v>1349923.75</v>
      </c>
    </row>
    <row r="19" spans="1:16" ht="18" customHeight="1" x14ac:dyDescent="0.2">
      <c r="A19" s="10"/>
      <c r="H19" s="56"/>
      <c r="N19" s="55" t="s">
        <v>31</v>
      </c>
      <c r="P19" s="62">
        <f>P18*1%</f>
        <v>13499.237500000001</v>
      </c>
    </row>
    <row r="20" spans="1:16" ht="18" customHeight="1" thickBot="1" x14ac:dyDescent="0.25">
      <c r="A20" s="10"/>
      <c r="H20" s="56"/>
      <c r="N20" s="55" t="s">
        <v>54</v>
      </c>
      <c r="P20" s="64">
        <f>P18*2%</f>
        <v>26998.475000000002</v>
      </c>
    </row>
    <row r="21" spans="1:16" ht="18" customHeight="1" x14ac:dyDescent="0.2">
      <c r="A21" s="10"/>
      <c r="H21" s="56"/>
      <c r="N21" s="59" t="s">
        <v>32</v>
      </c>
      <c r="O21" s="60"/>
      <c r="P21" s="63">
        <f>P18+P19-P20</f>
        <v>1336424.5125</v>
      </c>
    </row>
    <row r="23" spans="1:16" x14ac:dyDescent="0.2">
      <c r="A23" s="10"/>
      <c r="H23" s="56"/>
      <c r="P23" s="64"/>
    </row>
    <row r="24" spans="1:16" x14ac:dyDescent="0.2">
      <c r="A24" s="10"/>
      <c r="H24" s="56"/>
      <c r="O24" s="51"/>
      <c r="P24" s="6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</sheetData>
  <mergeCells count="2">
    <mergeCell ref="A16:L16"/>
    <mergeCell ref="O16:P16"/>
  </mergeCells>
  <conditionalFormatting sqref="C3:C15">
    <cfRule type="duplicateValues" dxfId="607" priority="9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5"/>
  <sheetViews>
    <sheetView topLeftCell="A70" workbookViewId="0">
      <selection activeCell="A3" sqref="A3:XFD7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4" customHeight="1" x14ac:dyDescent="0.2">
      <c r="A3" s="99">
        <v>402699</v>
      </c>
      <c r="B3" s="99" t="s">
        <v>3834</v>
      </c>
      <c r="C3" s="90" t="s">
        <v>3835</v>
      </c>
      <c r="D3" s="102" t="s">
        <v>57</v>
      </c>
      <c r="E3" s="91">
        <v>44550</v>
      </c>
      <c r="F3" s="102" t="s">
        <v>59</v>
      </c>
      <c r="G3" s="91">
        <v>44555</v>
      </c>
      <c r="H3" s="90" t="s">
        <v>3349</v>
      </c>
      <c r="I3" s="90">
        <v>90</v>
      </c>
      <c r="J3" s="90">
        <v>54</v>
      </c>
      <c r="K3" s="90">
        <v>30</v>
      </c>
      <c r="L3" s="90">
        <v>14</v>
      </c>
      <c r="M3" s="90">
        <v>36.450000000000003</v>
      </c>
      <c r="N3" s="104">
        <v>37</v>
      </c>
      <c r="O3" s="57">
        <v>7000</v>
      </c>
      <c r="P3" s="58">
        <f t="shared" ref="P3:P66" si="0">N3*O3</f>
        <v>259000</v>
      </c>
    </row>
    <row r="4" spans="1:16" ht="24" customHeight="1" x14ac:dyDescent="0.2">
      <c r="A4" s="100"/>
      <c r="B4" s="100"/>
      <c r="C4" s="90" t="s">
        <v>3836</v>
      </c>
      <c r="D4" s="102" t="s">
        <v>57</v>
      </c>
      <c r="E4" s="91">
        <v>44550</v>
      </c>
      <c r="F4" s="102" t="s">
        <v>59</v>
      </c>
      <c r="G4" s="91">
        <v>44555</v>
      </c>
      <c r="H4" s="90" t="s">
        <v>3349</v>
      </c>
      <c r="I4" s="90">
        <v>87</v>
      </c>
      <c r="J4" s="90">
        <v>68</v>
      </c>
      <c r="K4" s="90">
        <v>18</v>
      </c>
      <c r="L4" s="90">
        <v>16</v>
      </c>
      <c r="M4" s="90">
        <v>26.622</v>
      </c>
      <c r="N4" s="104">
        <v>26.622</v>
      </c>
      <c r="O4" s="57">
        <v>7000</v>
      </c>
      <c r="P4" s="58">
        <f t="shared" si="0"/>
        <v>186354</v>
      </c>
    </row>
    <row r="5" spans="1:16" ht="24" customHeight="1" x14ac:dyDescent="0.2">
      <c r="A5" s="100"/>
      <c r="B5" s="100"/>
      <c r="C5" s="65" t="s">
        <v>3837</v>
      </c>
      <c r="D5" s="70" t="s">
        <v>57</v>
      </c>
      <c r="E5" s="12">
        <v>44550</v>
      </c>
      <c r="F5" s="68" t="s">
        <v>59</v>
      </c>
      <c r="G5" s="12">
        <v>44555</v>
      </c>
      <c r="H5" s="69" t="s">
        <v>3349</v>
      </c>
      <c r="I5" s="15">
        <v>87</v>
      </c>
      <c r="J5" s="15">
        <v>52</v>
      </c>
      <c r="K5" s="15">
        <v>27</v>
      </c>
      <c r="L5" s="15">
        <v>6</v>
      </c>
      <c r="M5" s="73">
        <v>30.536999999999999</v>
      </c>
      <c r="N5" s="104">
        <v>30.536999999999999</v>
      </c>
      <c r="O5" s="57">
        <v>7000</v>
      </c>
      <c r="P5" s="58">
        <f t="shared" si="0"/>
        <v>213759</v>
      </c>
    </row>
    <row r="6" spans="1:16" ht="24" customHeight="1" x14ac:dyDescent="0.2">
      <c r="A6" s="100"/>
      <c r="B6" s="100"/>
      <c r="C6" s="65" t="s">
        <v>3838</v>
      </c>
      <c r="D6" s="70" t="s">
        <v>57</v>
      </c>
      <c r="E6" s="12">
        <v>44550</v>
      </c>
      <c r="F6" s="68" t="s">
        <v>59</v>
      </c>
      <c r="G6" s="12">
        <v>44555</v>
      </c>
      <c r="H6" s="69" t="s">
        <v>3349</v>
      </c>
      <c r="I6" s="15">
        <v>85</v>
      </c>
      <c r="J6" s="15">
        <v>54</v>
      </c>
      <c r="K6" s="15">
        <v>26</v>
      </c>
      <c r="L6" s="15">
        <v>9</v>
      </c>
      <c r="M6" s="73">
        <v>29.835000000000001</v>
      </c>
      <c r="N6" s="104">
        <v>29.835000000000001</v>
      </c>
      <c r="O6" s="57">
        <v>7000</v>
      </c>
      <c r="P6" s="58">
        <f t="shared" si="0"/>
        <v>208845</v>
      </c>
    </row>
    <row r="7" spans="1:16" ht="24" customHeight="1" x14ac:dyDescent="0.2">
      <c r="A7" s="100"/>
      <c r="B7" s="100"/>
      <c r="C7" s="65" t="s">
        <v>3839</v>
      </c>
      <c r="D7" s="70" t="s">
        <v>57</v>
      </c>
      <c r="E7" s="12">
        <v>44550</v>
      </c>
      <c r="F7" s="68" t="s">
        <v>59</v>
      </c>
      <c r="G7" s="12">
        <v>44555</v>
      </c>
      <c r="H7" s="69" t="s">
        <v>3349</v>
      </c>
      <c r="I7" s="15">
        <v>75</v>
      </c>
      <c r="J7" s="15">
        <v>62</v>
      </c>
      <c r="K7" s="15">
        <v>18</v>
      </c>
      <c r="L7" s="15">
        <v>4</v>
      </c>
      <c r="M7" s="73">
        <v>20.925000000000001</v>
      </c>
      <c r="N7" s="104">
        <v>20.925000000000001</v>
      </c>
      <c r="O7" s="57">
        <v>7000</v>
      </c>
      <c r="P7" s="58">
        <f t="shared" si="0"/>
        <v>146475</v>
      </c>
    </row>
    <row r="8" spans="1:16" ht="24" customHeight="1" x14ac:dyDescent="0.2">
      <c r="A8" s="100"/>
      <c r="B8" s="100"/>
      <c r="C8" s="65" t="s">
        <v>3840</v>
      </c>
      <c r="D8" s="70" t="s">
        <v>57</v>
      </c>
      <c r="E8" s="12">
        <v>44550</v>
      </c>
      <c r="F8" s="68" t="s">
        <v>59</v>
      </c>
      <c r="G8" s="12">
        <v>44555</v>
      </c>
      <c r="H8" s="69" t="s">
        <v>3349</v>
      </c>
      <c r="I8" s="15">
        <v>82</v>
      </c>
      <c r="J8" s="15">
        <v>53</v>
      </c>
      <c r="K8" s="15">
        <v>70</v>
      </c>
      <c r="L8" s="15">
        <v>1</v>
      </c>
      <c r="M8" s="73">
        <v>76.055000000000007</v>
      </c>
      <c r="N8" s="104">
        <v>76.055000000000007</v>
      </c>
      <c r="O8" s="57">
        <v>7000</v>
      </c>
      <c r="P8" s="58">
        <f t="shared" si="0"/>
        <v>532385</v>
      </c>
    </row>
    <row r="9" spans="1:16" ht="24" customHeight="1" x14ac:dyDescent="0.2">
      <c r="A9" s="100"/>
      <c r="B9" s="100"/>
      <c r="C9" s="65" t="s">
        <v>3841</v>
      </c>
      <c r="D9" s="70" t="s">
        <v>57</v>
      </c>
      <c r="E9" s="12">
        <v>44550</v>
      </c>
      <c r="F9" s="68" t="s">
        <v>59</v>
      </c>
      <c r="G9" s="12">
        <v>44555</v>
      </c>
      <c r="H9" s="69" t="s">
        <v>3349</v>
      </c>
      <c r="I9" s="15">
        <v>42</v>
      </c>
      <c r="J9" s="15">
        <v>30</v>
      </c>
      <c r="K9" s="15">
        <v>6</v>
      </c>
      <c r="L9" s="15">
        <v>2</v>
      </c>
      <c r="M9" s="73">
        <v>1.89</v>
      </c>
      <c r="N9" s="104">
        <v>2</v>
      </c>
      <c r="O9" s="57">
        <v>7000</v>
      </c>
      <c r="P9" s="58">
        <f t="shared" si="0"/>
        <v>14000</v>
      </c>
    </row>
    <row r="10" spans="1:16" ht="24" customHeight="1" x14ac:dyDescent="0.2">
      <c r="A10" s="100"/>
      <c r="B10" s="100"/>
      <c r="C10" s="65" t="s">
        <v>3842</v>
      </c>
      <c r="D10" s="70" t="s">
        <v>57</v>
      </c>
      <c r="E10" s="12">
        <v>44550</v>
      </c>
      <c r="F10" s="68" t="s">
        <v>59</v>
      </c>
      <c r="G10" s="12">
        <v>44555</v>
      </c>
      <c r="H10" s="69" t="s">
        <v>3349</v>
      </c>
      <c r="I10" s="15">
        <v>36</v>
      </c>
      <c r="J10" s="15">
        <v>33</v>
      </c>
      <c r="K10" s="15">
        <v>11</v>
      </c>
      <c r="L10" s="15">
        <v>1</v>
      </c>
      <c r="M10" s="73">
        <v>3.2669999999999999</v>
      </c>
      <c r="N10" s="104">
        <v>3.2669999999999999</v>
      </c>
      <c r="O10" s="57">
        <v>7000</v>
      </c>
      <c r="P10" s="58">
        <f t="shared" si="0"/>
        <v>22869</v>
      </c>
    </row>
    <row r="11" spans="1:16" ht="24" customHeight="1" x14ac:dyDescent="0.2">
      <c r="A11" s="100"/>
      <c r="B11" s="100"/>
      <c r="C11" s="65" t="s">
        <v>3843</v>
      </c>
      <c r="D11" s="70" t="s">
        <v>57</v>
      </c>
      <c r="E11" s="12">
        <v>44550</v>
      </c>
      <c r="F11" s="68" t="s">
        <v>59</v>
      </c>
      <c r="G11" s="12">
        <v>44555</v>
      </c>
      <c r="H11" s="69" t="s">
        <v>3349</v>
      </c>
      <c r="I11" s="15">
        <v>73</v>
      </c>
      <c r="J11" s="15">
        <v>38</v>
      </c>
      <c r="K11" s="15">
        <v>8</v>
      </c>
      <c r="L11" s="15">
        <v>1</v>
      </c>
      <c r="M11" s="73">
        <v>5.548</v>
      </c>
      <c r="N11" s="104">
        <v>5.548</v>
      </c>
      <c r="O11" s="57">
        <v>7000</v>
      </c>
      <c r="P11" s="58">
        <f t="shared" si="0"/>
        <v>38836</v>
      </c>
    </row>
    <row r="12" spans="1:16" ht="24" customHeight="1" x14ac:dyDescent="0.2">
      <c r="A12" s="100"/>
      <c r="B12" s="100"/>
      <c r="C12" s="65" t="s">
        <v>3844</v>
      </c>
      <c r="D12" s="70" t="s">
        <v>57</v>
      </c>
      <c r="E12" s="12">
        <v>44550</v>
      </c>
      <c r="F12" s="68" t="s">
        <v>59</v>
      </c>
      <c r="G12" s="12">
        <v>44555</v>
      </c>
      <c r="H12" s="69" t="s">
        <v>3349</v>
      </c>
      <c r="I12" s="15">
        <v>20</v>
      </c>
      <c r="J12" s="15">
        <v>24</v>
      </c>
      <c r="K12" s="15">
        <v>10</v>
      </c>
      <c r="L12" s="15">
        <v>1</v>
      </c>
      <c r="M12" s="73">
        <v>1.2</v>
      </c>
      <c r="N12" s="104">
        <v>1.2</v>
      </c>
      <c r="O12" s="57">
        <v>7000</v>
      </c>
      <c r="P12" s="58">
        <f t="shared" si="0"/>
        <v>8400</v>
      </c>
    </row>
    <row r="13" spans="1:16" ht="24" customHeight="1" x14ac:dyDescent="0.2">
      <c r="A13" s="100"/>
      <c r="B13" s="100"/>
      <c r="C13" s="65" t="s">
        <v>3845</v>
      </c>
      <c r="D13" s="70" t="s">
        <v>57</v>
      </c>
      <c r="E13" s="12">
        <v>44550</v>
      </c>
      <c r="F13" s="68" t="s">
        <v>59</v>
      </c>
      <c r="G13" s="12">
        <v>44555</v>
      </c>
      <c r="H13" s="69" t="s">
        <v>3349</v>
      </c>
      <c r="I13" s="15">
        <v>63</v>
      </c>
      <c r="J13" s="15">
        <v>17</v>
      </c>
      <c r="K13" s="15">
        <v>17</v>
      </c>
      <c r="L13" s="15">
        <v>2</v>
      </c>
      <c r="M13" s="73">
        <v>4.5517500000000002</v>
      </c>
      <c r="N13" s="104">
        <v>4.5517500000000002</v>
      </c>
      <c r="O13" s="57">
        <v>7000</v>
      </c>
      <c r="P13" s="58">
        <f t="shared" si="0"/>
        <v>31862.25</v>
      </c>
    </row>
    <row r="14" spans="1:16" ht="24" customHeight="1" x14ac:dyDescent="0.2">
      <c r="A14" s="100"/>
      <c r="B14" s="100"/>
      <c r="C14" s="65" t="s">
        <v>3846</v>
      </c>
      <c r="D14" s="70" t="s">
        <v>57</v>
      </c>
      <c r="E14" s="12">
        <v>44550</v>
      </c>
      <c r="F14" s="68" t="s">
        <v>59</v>
      </c>
      <c r="G14" s="12">
        <v>44555</v>
      </c>
      <c r="H14" s="69" t="s">
        <v>3349</v>
      </c>
      <c r="I14" s="15">
        <v>102</v>
      </c>
      <c r="J14" s="15">
        <v>24</v>
      </c>
      <c r="K14" s="15">
        <v>6</v>
      </c>
      <c r="L14" s="15">
        <v>2</v>
      </c>
      <c r="M14" s="73">
        <v>3.6720000000000002</v>
      </c>
      <c r="N14" s="104">
        <v>3.6720000000000002</v>
      </c>
      <c r="O14" s="57">
        <v>7000</v>
      </c>
      <c r="P14" s="58">
        <f t="shared" si="0"/>
        <v>25704</v>
      </c>
    </row>
    <row r="15" spans="1:16" ht="24" customHeight="1" x14ac:dyDescent="0.2">
      <c r="A15" s="100"/>
      <c r="B15" s="100"/>
      <c r="C15" s="65" t="s">
        <v>3847</v>
      </c>
      <c r="D15" s="70" t="s">
        <v>57</v>
      </c>
      <c r="E15" s="12">
        <v>44550</v>
      </c>
      <c r="F15" s="68" t="s">
        <v>59</v>
      </c>
      <c r="G15" s="12">
        <v>44555</v>
      </c>
      <c r="H15" s="69" t="s">
        <v>3349</v>
      </c>
      <c r="I15" s="15">
        <v>107</v>
      </c>
      <c r="J15" s="15">
        <v>60</v>
      </c>
      <c r="K15" s="15">
        <v>52</v>
      </c>
      <c r="L15" s="15">
        <v>19</v>
      </c>
      <c r="M15" s="73">
        <v>83.46</v>
      </c>
      <c r="N15" s="104">
        <v>84</v>
      </c>
      <c r="O15" s="57">
        <v>7000</v>
      </c>
      <c r="P15" s="58">
        <f t="shared" si="0"/>
        <v>588000</v>
      </c>
    </row>
    <row r="16" spans="1:16" ht="24" customHeight="1" x14ac:dyDescent="0.2">
      <c r="A16" s="100"/>
      <c r="B16" s="100"/>
      <c r="C16" s="65" t="s">
        <v>3848</v>
      </c>
      <c r="D16" s="70" t="s">
        <v>57</v>
      </c>
      <c r="E16" s="12">
        <v>44550</v>
      </c>
      <c r="F16" s="68" t="s">
        <v>59</v>
      </c>
      <c r="G16" s="12">
        <v>44555</v>
      </c>
      <c r="H16" s="69" t="s">
        <v>3349</v>
      </c>
      <c r="I16" s="15">
        <v>26</v>
      </c>
      <c r="J16" s="15">
        <v>17</v>
      </c>
      <c r="K16" s="15">
        <v>15</v>
      </c>
      <c r="L16" s="15">
        <v>4</v>
      </c>
      <c r="M16" s="73">
        <v>1.6575</v>
      </c>
      <c r="N16" s="104">
        <v>4</v>
      </c>
      <c r="O16" s="57">
        <v>7000</v>
      </c>
      <c r="P16" s="58">
        <f t="shared" si="0"/>
        <v>28000</v>
      </c>
    </row>
    <row r="17" spans="1:16" ht="24" customHeight="1" x14ac:dyDescent="0.2">
      <c r="A17" s="100"/>
      <c r="B17" s="100"/>
      <c r="C17" s="65" t="s">
        <v>3849</v>
      </c>
      <c r="D17" s="70" t="s">
        <v>57</v>
      </c>
      <c r="E17" s="12">
        <v>44550</v>
      </c>
      <c r="F17" s="68" t="s">
        <v>59</v>
      </c>
      <c r="G17" s="12">
        <v>44555</v>
      </c>
      <c r="H17" s="69" t="s">
        <v>3349</v>
      </c>
      <c r="I17" s="15">
        <v>63</v>
      </c>
      <c r="J17" s="15">
        <v>55</v>
      </c>
      <c r="K17" s="15">
        <v>20</v>
      </c>
      <c r="L17" s="15">
        <v>6</v>
      </c>
      <c r="M17" s="73">
        <v>17.324999999999999</v>
      </c>
      <c r="N17" s="104">
        <v>18</v>
      </c>
      <c r="O17" s="57">
        <v>7000</v>
      </c>
      <c r="P17" s="58">
        <f t="shared" si="0"/>
        <v>126000</v>
      </c>
    </row>
    <row r="18" spans="1:16" ht="24" customHeight="1" x14ac:dyDescent="0.2">
      <c r="A18" s="100"/>
      <c r="B18" s="100"/>
      <c r="C18" s="65" t="s">
        <v>3850</v>
      </c>
      <c r="D18" s="70" t="s">
        <v>57</v>
      </c>
      <c r="E18" s="12">
        <v>44550</v>
      </c>
      <c r="F18" s="68" t="s">
        <v>59</v>
      </c>
      <c r="G18" s="12">
        <v>44555</v>
      </c>
      <c r="H18" s="69" t="s">
        <v>3349</v>
      </c>
      <c r="I18" s="15">
        <v>62</v>
      </c>
      <c r="J18" s="15">
        <v>54</v>
      </c>
      <c r="K18" s="15">
        <v>17</v>
      </c>
      <c r="L18" s="15">
        <v>7</v>
      </c>
      <c r="M18" s="73">
        <v>14.228999999999999</v>
      </c>
      <c r="N18" s="104">
        <v>14.228999999999999</v>
      </c>
      <c r="O18" s="57">
        <v>7000</v>
      </c>
      <c r="P18" s="58">
        <f t="shared" si="0"/>
        <v>99603</v>
      </c>
    </row>
    <row r="19" spans="1:16" ht="24" customHeight="1" x14ac:dyDescent="0.2">
      <c r="A19" s="100"/>
      <c r="B19" s="100"/>
      <c r="C19" s="65" t="s">
        <v>3851</v>
      </c>
      <c r="D19" s="70" t="s">
        <v>57</v>
      </c>
      <c r="E19" s="12">
        <v>44550</v>
      </c>
      <c r="F19" s="68" t="s">
        <v>59</v>
      </c>
      <c r="G19" s="12">
        <v>44555</v>
      </c>
      <c r="H19" s="69" t="s">
        <v>3349</v>
      </c>
      <c r="I19" s="15">
        <v>45</v>
      </c>
      <c r="J19" s="15">
        <v>23</v>
      </c>
      <c r="K19" s="15">
        <v>12</v>
      </c>
      <c r="L19" s="15">
        <v>5</v>
      </c>
      <c r="M19" s="73">
        <v>3.105</v>
      </c>
      <c r="N19" s="104">
        <v>5</v>
      </c>
      <c r="O19" s="57">
        <v>7000</v>
      </c>
      <c r="P19" s="58">
        <f t="shared" si="0"/>
        <v>35000</v>
      </c>
    </row>
    <row r="20" spans="1:16" ht="24" customHeight="1" x14ac:dyDescent="0.2">
      <c r="A20" s="100"/>
      <c r="B20" s="100"/>
      <c r="C20" s="65" t="s">
        <v>3852</v>
      </c>
      <c r="D20" s="70" t="s">
        <v>57</v>
      </c>
      <c r="E20" s="12">
        <v>44550</v>
      </c>
      <c r="F20" s="68" t="s">
        <v>59</v>
      </c>
      <c r="G20" s="12">
        <v>44555</v>
      </c>
      <c r="H20" s="69" t="s">
        <v>3349</v>
      </c>
      <c r="I20" s="15">
        <v>77</v>
      </c>
      <c r="J20" s="15">
        <v>62</v>
      </c>
      <c r="K20" s="15">
        <v>20</v>
      </c>
      <c r="L20" s="15">
        <v>11</v>
      </c>
      <c r="M20" s="73">
        <v>23.87</v>
      </c>
      <c r="N20" s="104">
        <v>23.87</v>
      </c>
      <c r="O20" s="57">
        <v>7000</v>
      </c>
      <c r="P20" s="58">
        <f t="shared" si="0"/>
        <v>167090</v>
      </c>
    </row>
    <row r="21" spans="1:16" ht="24" customHeight="1" x14ac:dyDescent="0.2">
      <c r="A21" s="100"/>
      <c r="B21" s="100"/>
      <c r="C21" s="65" t="s">
        <v>3853</v>
      </c>
      <c r="D21" s="70" t="s">
        <v>57</v>
      </c>
      <c r="E21" s="12">
        <v>44550</v>
      </c>
      <c r="F21" s="68" t="s">
        <v>59</v>
      </c>
      <c r="G21" s="12">
        <v>44555</v>
      </c>
      <c r="H21" s="69" t="s">
        <v>3349</v>
      </c>
      <c r="I21" s="15">
        <v>56</v>
      </c>
      <c r="J21" s="15">
        <v>42</v>
      </c>
      <c r="K21" s="15">
        <v>15</v>
      </c>
      <c r="L21" s="15">
        <v>3</v>
      </c>
      <c r="M21" s="73">
        <v>8.82</v>
      </c>
      <c r="N21" s="104">
        <v>8.82</v>
      </c>
      <c r="O21" s="57">
        <v>7000</v>
      </c>
      <c r="P21" s="58">
        <f t="shared" si="0"/>
        <v>61740</v>
      </c>
    </row>
    <row r="22" spans="1:16" ht="24" customHeight="1" x14ac:dyDescent="0.2">
      <c r="A22" s="100"/>
      <c r="B22" s="100"/>
      <c r="C22" s="65" t="s">
        <v>3854</v>
      </c>
      <c r="D22" s="70" t="s">
        <v>57</v>
      </c>
      <c r="E22" s="12">
        <v>44550</v>
      </c>
      <c r="F22" s="68" t="s">
        <v>59</v>
      </c>
      <c r="G22" s="12">
        <v>44555</v>
      </c>
      <c r="H22" s="69" t="s">
        <v>3349</v>
      </c>
      <c r="I22" s="15">
        <v>77</v>
      </c>
      <c r="J22" s="15">
        <v>58</v>
      </c>
      <c r="K22" s="15">
        <v>22</v>
      </c>
      <c r="L22" s="15">
        <v>16</v>
      </c>
      <c r="M22" s="73">
        <v>24.562999999999999</v>
      </c>
      <c r="N22" s="104">
        <v>24.562999999999999</v>
      </c>
      <c r="O22" s="57">
        <v>7000</v>
      </c>
      <c r="P22" s="58">
        <f t="shared" si="0"/>
        <v>171941</v>
      </c>
    </row>
    <row r="23" spans="1:16" ht="24" customHeight="1" x14ac:dyDescent="0.2">
      <c r="A23" s="100"/>
      <c r="B23" s="100"/>
      <c r="C23" s="65" t="s">
        <v>3855</v>
      </c>
      <c r="D23" s="70" t="s">
        <v>57</v>
      </c>
      <c r="E23" s="12">
        <v>44550</v>
      </c>
      <c r="F23" s="68" t="s">
        <v>59</v>
      </c>
      <c r="G23" s="12">
        <v>44555</v>
      </c>
      <c r="H23" s="69" t="s">
        <v>3349</v>
      </c>
      <c r="I23" s="15">
        <v>38</v>
      </c>
      <c r="J23" s="15">
        <v>34</v>
      </c>
      <c r="K23" s="15">
        <v>12</v>
      </c>
      <c r="L23" s="15">
        <v>2</v>
      </c>
      <c r="M23" s="73">
        <v>3.8759999999999999</v>
      </c>
      <c r="N23" s="104">
        <v>3.8759999999999999</v>
      </c>
      <c r="O23" s="57">
        <v>7000</v>
      </c>
      <c r="P23" s="58">
        <f t="shared" si="0"/>
        <v>27132</v>
      </c>
    </row>
    <row r="24" spans="1:16" ht="24" customHeight="1" x14ac:dyDescent="0.2">
      <c r="A24" s="100"/>
      <c r="B24" s="100"/>
      <c r="C24" s="65" t="s">
        <v>3856</v>
      </c>
      <c r="D24" s="70" t="s">
        <v>57</v>
      </c>
      <c r="E24" s="12">
        <v>44550</v>
      </c>
      <c r="F24" s="68" t="s">
        <v>59</v>
      </c>
      <c r="G24" s="12">
        <v>44555</v>
      </c>
      <c r="H24" s="69" t="s">
        <v>3349</v>
      </c>
      <c r="I24" s="15">
        <v>62</v>
      </c>
      <c r="J24" s="15">
        <v>58</v>
      </c>
      <c r="K24" s="15">
        <v>22</v>
      </c>
      <c r="L24" s="15">
        <v>7</v>
      </c>
      <c r="M24" s="73">
        <v>19.777999999999999</v>
      </c>
      <c r="N24" s="104">
        <v>19.777999999999999</v>
      </c>
      <c r="O24" s="57">
        <v>7000</v>
      </c>
      <c r="P24" s="58">
        <f t="shared" si="0"/>
        <v>138446</v>
      </c>
    </row>
    <row r="25" spans="1:16" ht="24" customHeight="1" x14ac:dyDescent="0.2">
      <c r="A25" s="100"/>
      <c r="B25" s="100"/>
      <c r="C25" s="65" t="s">
        <v>3857</v>
      </c>
      <c r="D25" s="70" t="s">
        <v>57</v>
      </c>
      <c r="E25" s="12">
        <v>44550</v>
      </c>
      <c r="F25" s="68" t="s">
        <v>59</v>
      </c>
      <c r="G25" s="12">
        <v>44555</v>
      </c>
      <c r="H25" s="69" t="s">
        <v>3349</v>
      </c>
      <c r="I25" s="15">
        <v>97</v>
      </c>
      <c r="J25" s="15">
        <v>54</v>
      </c>
      <c r="K25" s="15">
        <v>35</v>
      </c>
      <c r="L25" s="15">
        <v>20</v>
      </c>
      <c r="M25" s="73">
        <v>45.832500000000003</v>
      </c>
      <c r="N25" s="104">
        <v>45.832500000000003</v>
      </c>
      <c r="O25" s="57">
        <v>7000</v>
      </c>
      <c r="P25" s="58">
        <f t="shared" si="0"/>
        <v>320827.5</v>
      </c>
    </row>
    <row r="26" spans="1:16" ht="24" customHeight="1" x14ac:dyDescent="0.2">
      <c r="A26" s="100"/>
      <c r="B26" s="100"/>
      <c r="C26" s="65" t="s">
        <v>3858</v>
      </c>
      <c r="D26" s="70" t="s">
        <v>57</v>
      </c>
      <c r="E26" s="12">
        <v>44550</v>
      </c>
      <c r="F26" s="68" t="s">
        <v>59</v>
      </c>
      <c r="G26" s="12">
        <v>44555</v>
      </c>
      <c r="H26" s="69" t="s">
        <v>3349</v>
      </c>
      <c r="I26" s="15">
        <v>87</v>
      </c>
      <c r="J26" s="15">
        <v>60</v>
      </c>
      <c r="K26" s="15">
        <v>40</v>
      </c>
      <c r="L26" s="15">
        <v>23</v>
      </c>
      <c r="M26" s="73">
        <v>52.2</v>
      </c>
      <c r="N26" s="104">
        <v>52.2</v>
      </c>
      <c r="O26" s="57">
        <v>7000</v>
      </c>
      <c r="P26" s="58">
        <f t="shared" si="0"/>
        <v>365400</v>
      </c>
    </row>
    <row r="27" spans="1:16" ht="24" customHeight="1" x14ac:dyDescent="0.2">
      <c r="A27" s="100"/>
      <c r="B27" s="100"/>
      <c r="C27" s="65" t="s">
        <v>3859</v>
      </c>
      <c r="D27" s="70" t="s">
        <v>57</v>
      </c>
      <c r="E27" s="12">
        <v>44550</v>
      </c>
      <c r="F27" s="68" t="s">
        <v>59</v>
      </c>
      <c r="G27" s="12">
        <v>44555</v>
      </c>
      <c r="H27" s="69" t="s">
        <v>3349</v>
      </c>
      <c r="I27" s="15">
        <v>72</v>
      </c>
      <c r="J27" s="15">
        <v>55</v>
      </c>
      <c r="K27" s="15">
        <v>20</v>
      </c>
      <c r="L27" s="15">
        <v>13</v>
      </c>
      <c r="M27" s="73">
        <v>19.8</v>
      </c>
      <c r="N27" s="104">
        <v>19.8</v>
      </c>
      <c r="O27" s="57">
        <v>7000</v>
      </c>
      <c r="P27" s="58">
        <f t="shared" si="0"/>
        <v>138600</v>
      </c>
    </row>
    <row r="28" spans="1:16" ht="24" customHeight="1" x14ac:dyDescent="0.2">
      <c r="A28" s="100"/>
      <c r="B28" s="100"/>
      <c r="C28" s="65" t="s">
        <v>3860</v>
      </c>
      <c r="D28" s="70" t="s">
        <v>57</v>
      </c>
      <c r="E28" s="12">
        <v>44550</v>
      </c>
      <c r="F28" s="68" t="s">
        <v>59</v>
      </c>
      <c r="G28" s="12">
        <v>44555</v>
      </c>
      <c r="H28" s="69" t="s">
        <v>3349</v>
      </c>
      <c r="I28" s="15">
        <v>52</v>
      </c>
      <c r="J28" s="15">
        <v>57</v>
      </c>
      <c r="K28" s="15">
        <v>17</v>
      </c>
      <c r="L28" s="15">
        <v>3</v>
      </c>
      <c r="M28" s="73">
        <v>12.597</v>
      </c>
      <c r="N28" s="104">
        <v>12.597</v>
      </c>
      <c r="O28" s="57">
        <v>7000</v>
      </c>
      <c r="P28" s="58">
        <f t="shared" si="0"/>
        <v>88179</v>
      </c>
    </row>
    <row r="29" spans="1:16" ht="24" customHeight="1" x14ac:dyDescent="0.2">
      <c r="A29" s="100"/>
      <c r="B29" s="100"/>
      <c r="C29" s="65" t="s">
        <v>3861</v>
      </c>
      <c r="D29" s="70" t="s">
        <v>57</v>
      </c>
      <c r="E29" s="12">
        <v>44550</v>
      </c>
      <c r="F29" s="68" t="s">
        <v>59</v>
      </c>
      <c r="G29" s="12">
        <v>44555</v>
      </c>
      <c r="H29" s="69" t="s">
        <v>3349</v>
      </c>
      <c r="I29" s="15">
        <v>30</v>
      </c>
      <c r="J29" s="15">
        <v>36</v>
      </c>
      <c r="K29" s="15">
        <v>25</v>
      </c>
      <c r="L29" s="15">
        <v>5</v>
      </c>
      <c r="M29" s="73">
        <v>6.75</v>
      </c>
      <c r="N29" s="104">
        <v>6.75</v>
      </c>
      <c r="O29" s="57">
        <v>7000</v>
      </c>
      <c r="P29" s="58">
        <f t="shared" si="0"/>
        <v>47250</v>
      </c>
    </row>
    <row r="30" spans="1:16" ht="24" customHeight="1" x14ac:dyDescent="0.2">
      <c r="A30" s="100"/>
      <c r="B30" s="100"/>
      <c r="C30" s="65" t="s">
        <v>3862</v>
      </c>
      <c r="D30" s="70" t="s">
        <v>57</v>
      </c>
      <c r="E30" s="12">
        <v>44550</v>
      </c>
      <c r="F30" s="68" t="s">
        <v>59</v>
      </c>
      <c r="G30" s="12">
        <v>44555</v>
      </c>
      <c r="H30" s="69" t="s">
        <v>3349</v>
      </c>
      <c r="I30" s="15">
        <v>43</v>
      </c>
      <c r="J30" s="15">
        <v>31</v>
      </c>
      <c r="K30" s="15">
        <v>31</v>
      </c>
      <c r="L30" s="15">
        <v>1</v>
      </c>
      <c r="M30" s="73">
        <v>10.33075</v>
      </c>
      <c r="N30" s="104">
        <v>11</v>
      </c>
      <c r="O30" s="57">
        <v>7000</v>
      </c>
      <c r="P30" s="58">
        <f t="shared" si="0"/>
        <v>77000</v>
      </c>
    </row>
    <row r="31" spans="1:16" ht="24" customHeight="1" x14ac:dyDescent="0.2">
      <c r="A31" s="100"/>
      <c r="B31" s="100"/>
      <c r="C31" s="65" t="s">
        <v>3863</v>
      </c>
      <c r="D31" s="70" t="s">
        <v>57</v>
      </c>
      <c r="E31" s="12">
        <v>44550</v>
      </c>
      <c r="F31" s="68" t="s">
        <v>59</v>
      </c>
      <c r="G31" s="12">
        <v>44555</v>
      </c>
      <c r="H31" s="69" t="s">
        <v>3349</v>
      </c>
      <c r="I31" s="15">
        <v>51</v>
      </c>
      <c r="J31" s="15">
        <v>37</v>
      </c>
      <c r="K31" s="15">
        <v>18</v>
      </c>
      <c r="L31" s="15">
        <v>1</v>
      </c>
      <c r="M31" s="73">
        <v>8.4915000000000003</v>
      </c>
      <c r="N31" s="104">
        <v>9</v>
      </c>
      <c r="O31" s="57">
        <v>7000</v>
      </c>
      <c r="P31" s="58">
        <f t="shared" si="0"/>
        <v>63000</v>
      </c>
    </row>
    <row r="32" spans="1:16" ht="24" customHeight="1" x14ac:dyDescent="0.2">
      <c r="A32" s="100"/>
      <c r="B32" s="100"/>
      <c r="C32" s="65" t="s">
        <v>3864</v>
      </c>
      <c r="D32" s="70" t="s">
        <v>57</v>
      </c>
      <c r="E32" s="12">
        <v>44550</v>
      </c>
      <c r="F32" s="68" t="s">
        <v>59</v>
      </c>
      <c r="G32" s="12">
        <v>44555</v>
      </c>
      <c r="H32" s="69" t="s">
        <v>3349</v>
      </c>
      <c r="I32" s="15">
        <v>43</v>
      </c>
      <c r="J32" s="15">
        <v>31</v>
      </c>
      <c r="K32" s="15">
        <v>31</v>
      </c>
      <c r="L32" s="15">
        <v>1</v>
      </c>
      <c r="M32" s="73">
        <v>10.33075</v>
      </c>
      <c r="N32" s="104">
        <v>11</v>
      </c>
      <c r="O32" s="57">
        <v>7000</v>
      </c>
      <c r="P32" s="58">
        <f t="shared" si="0"/>
        <v>77000</v>
      </c>
    </row>
    <row r="33" spans="1:16" ht="24" customHeight="1" x14ac:dyDescent="0.2">
      <c r="A33" s="100"/>
      <c r="B33" s="100"/>
      <c r="C33" s="65" t="s">
        <v>3865</v>
      </c>
      <c r="D33" s="70" t="s">
        <v>57</v>
      </c>
      <c r="E33" s="12">
        <v>44550</v>
      </c>
      <c r="F33" s="68" t="s">
        <v>59</v>
      </c>
      <c r="G33" s="12">
        <v>44555</v>
      </c>
      <c r="H33" s="69" t="s">
        <v>3349</v>
      </c>
      <c r="I33" s="15">
        <v>67</v>
      </c>
      <c r="J33" s="15">
        <v>50</v>
      </c>
      <c r="K33" s="15">
        <v>17</v>
      </c>
      <c r="L33" s="15">
        <v>4</v>
      </c>
      <c r="M33" s="73">
        <v>14.237500000000001</v>
      </c>
      <c r="N33" s="104">
        <v>14.237500000000001</v>
      </c>
      <c r="O33" s="57">
        <v>7000</v>
      </c>
      <c r="P33" s="58">
        <f t="shared" si="0"/>
        <v>99662.5</v>
      </c>
    </row>
    <row r="34" spans="1:16" ht="24" customHeight="1" x14ac:dyDescent="0.2">
      <c r="A34" s="100"/>
      <c r="B34" s="100"/>
      <c r="C34" s="65" t="s">
        <v>3866</v>
      </c>
      <c r="D34" s="70" t="s">
        <v>57</v>
      </c>
      <c r="E34" s="12">
        <v>44550</v>
      </c>
      <c r="F34" s="68" t="s">
        <v>59</v>
      </c>
      <c r="G34" s="12">
        <v>44555</v>
      </c>
      <c r="H34" s="69" t="s">
        <v>3349</v>
      </c>
      <c r="I34" s="15">
        <v>93</v>
      </c>
      <c r="J34" s="15">
        <v>43</v>
      </c>
      <c r="K34" s="15">
        <v>10</v>
      </c>
      <c r="L34" s="15">
        <v>1</v>
      </c>
      <c r="M34" s="73">
        <v>9.9975000000000005</v>
      </c>
      <c r="N34" s="104">
        <v>9.9975000000000005</v>
      </c>
      <c r="O34" s="57">
        <v>7000</v>
      </c>
      <c r="P34" s="58">
        <f t="shared" si="0"/>
        <v>69982.5</v>
      </c>
    </row>
    <row r="35" spans="1:16" ht="24" customHeight="1" x14ac:dyDescent="0.2">
      <c r="A35" s="100"/>
      <c r="B35" s="100"/>
      <c r="C35" s="65" t="s">
        <v>3867</v>
      </c>
      <c r="D35" s="70" t="s">
        <v>57</v>
      </c>
      <c r="E35" s="12">
        <v>44550</v>
      </c>
      <c r="F35" s="68" t="s">
        <v>59</v>
      </c>
      <c r="G35" s="12">
        <v>44555</v>
      </c>
      <c r="H35" s="69" t="s">
        <v>3349</v>
      </c>
      <c r="I35" s="15">
        <v>73</v>
      </c>
      <c r="J35" s="15">
        <v>58</v>
      </c>
      <c r="K35" s="15">
        <v>21</v>
      </c>
      <c r="L35" s="15">
        <v>12</v>
      </c>
      <c r="M35" s="73">
        <v>22.2285</v>
      </c>
      <c r="N35" s="104">
        <v>22.2285</v>
      </c>
      <c r="O35" s="57">
        <v>7000</v>
      </c>
      <c r="P35" s="58">
        <f t="shared" si="0"/>
        <v>155599.5</v>
      </c>
    </row>
    <row r="36" spans="1:16" ht="24" customHeight="1" x14ac:dyDescent="0.2">
      <c r="A36" s="100"/>
      <c r="B36" s="100"/>
      <c r="C36" s="65" t="s">
        <v>3868</v>
      </c>
      <c r="D36" s="70" t="s">
        <v>57</v>
      </c>
      <c r="E36" s="12">
        <v>44550</v>
      </c>
      <c r="F36" s="68" t="s">
        <v>59</v>
      </c>
      <c r="G36" s="12">
        <v>44555</v>
      </c>
      <c r="H36" s="69" t="s">
        <v>3349</v>
      </c>
      <c r="I36" s="15">
        <v>93</v>
      </c>
      <c r="J36" s="15">
        <v>54</v>
      </c>
      <c r="K36" s="15">
        <v>32</v>
      </c>
      <c r="L36" s="15">
        <v>19</v>
      </c>
      <c r="M36" s="73">
        <v>40.176000000000002</v>
      </c>
      <c r="N36" s="104">
        <v>40.176000000000002</v>
      </c>
      <c r="O36" s="57">
        <v>7000</v>
      </c>
      <c r="P36" s="58">
        <f t="shared" si="0"/>
        <v>281232</v>
      </c>
    </row>
    <row r="37" spans="1:16" ht="24" customHeight="1" x14ac:dyDescent="0.2">
      <c r="A37" s="100"/>
      <c r="B37" s="100"/>
      <c r="C37" s="65" t="s">
        <v>3869</v>
      </c>
      <c r="D37" s="70" t="s">
        <v>57</v>
      </c>
      <c r="E37" s="12">
        <v>44550</v>
      </c>
      <c r="F37" s="68" t="s">
        <v>59</v>
      </c>
      <c r="G37" s="12">
        <v>44555</v>
      </c>
      <c r="H37" s="69" t="s">
        <v>3349</v>
      </c>
      <c r="I37" s="15">
        <v>67</v>
      </c>
      <c r="J37" s="15">
        <v>57</v>
      </c>
      <c r="K37" s="15">
        <v>22</v>
      </c>
      <c r="L37" s="15">
        <v>8</v>
      </c>
      <c r="M37" s="73">
        <v>21.0045</v>
      </c>
      <c r="N37" s="104">
        <v>21.0045</v>
      </c>
      <c r="O37" s="57">
        <v>7000</v>
      </c>
      <c r="P37" s="58">
        <f t="shared" si="0"/>
        <v>147031.5</v>
      </c>
    </row>
    <row r="38" spans="1:16" ht="24" customHeight="1" x14ac:dyDescent="0.2">
      <c r="A38" s="100"/>
      <c r="B38" s="100"/>
      <c r="C38" s="65" t="s">
        <v>3870</v>
      </c>
      <c r="D38" s="70" t="s">
        <v>57</v>
      </c>
      <c r="E38" s="12">
        <v>44550</v>
      </c>
      <c r="F38" s="68" t="s">
        <v>59</v>
      </c>
      <c r="G38" s="12">
        <v>44555</v>
      </c>
      <c r="H38" s="69" t="s">
        <v>3349</v>
      </c>
      <c r="I38" s="15">
        <v>37</v>
      </c>
      <c r="J38" s="15">
        <v>30</v>
      </c>
      <c r="K38" s="15">
        <v>34</v>
      </c>
      <c r="L38" s="15">
        <v>7</v>
      </c>
      <c r="M38" s="73">
        <v>9.4350000000000005</v>
      </c>
      <c r="N38" s="104">
        <v>10</v>
      </c>
      <c r="O38" s="57">
        <v>7000</v>
      </c>
      <c r="P38" s="58">
        <f t="shared" si="0"/>
        <v>70000</v>
      </c>
    </row>
    <row r="39" spans="1:16" ht="24" customHeight="1" x14ac:dyDescent="0.2">
      <c r="A39" s="100"/>
      <c r="B39" s="100"/>
      <c r="C39" s="65" t="s">
        <v>3871</v>
      </c>
      <c r="D39" s="70" t="s">
        <v>57</v>
      </c>
      <c r="E39" s="12">
        <v>44550</v>
      </c>
      <c r="F39" s="68" t="s">
        <v>59</v>
      </c>
      <c r="G39" s="12">
        <v>44555</v>
      </c>
      <c r="H39" s="69" t="s">
        <v>3349</v>
      </c>
      <c r="I39" s="15">
        <v>108</v>
      </c>
      <c r="J39" s="15">
        <v>58</v>
      </c>
      <c r="K39" s="15">
        <v>30</v>
      </c>
      <c r="L39" s="15">
        <v>33</v>
      </c>
      <c r="M39" s="73">
        <v>46.98</v>
      </c>
      <c r="N39" s="104">
        <v>46.98</v>
      </c>
      <c r="O39" s="57">
        <v>7000</v>
      </c>
      <c r="P39" s="58">
        <f t="shared" si="0"/>
        <v>328860</v>
      </c>
    </row>
    <row r="40" spans="1:16" ht="24" customHeight="1" x14ac:dyDescent="0.2">
      <c r="A40" s="100"/>
      <c r="B40" s="100"/>
      <c r="C40" s="65" t="s">
        <v>3872</v>
      </c>
      <c r="D40" s="70" t="s">
        <v>57</v>
      </c>
      <c r="E40" s="12">
        <v>44550</v>
      </c>
      <c r="F40" s="68" t="s">
        <v>59</v>
      </c>
      <c r="G40" s="12">
        <v>44555</v>
      </c>
      <c r="H40" s="69" t="s">
        <v>3349</v>
      </c>
      <c r="I40" s="15">
        <v>105</v>
      </c>
      <c r="J40" s="15">
        <v>57</v>
      </c>
      <c r="K40" s="15">
        <v>32</v>
      </c>
      <c r="L40" s="15">
        <v>20</v>
      </c>
      <c r="M40" s="73">
        <v>47.88</v>
      </c>
      <c r="N40" s="104">
        <v>47.88</v>
      </c>
      <c r="O40" s="57">
        <v>7000</v>
      </c>
      <c r="P40" s="58">
        <f t="shared" si="0"/>
        <v>335160</v>
      </c>
    </row>
    <row r="41" spans="1:16" ht="24" customHeight="1" x14ac:dyDescent="0.2">
      <c r="A41" s="100"/>
      <c r="B41" s="100"/>
      <c r="C41" s="65" t="s">
        <v>3873</v>
      </c>
      <c r="D41" s="70" t="s">
        <v>57</v>
      </c>
      <c r="E41" s="12">
        <v>44550</v>
      </c>
      <c r="F41" s="68" t="s">
        <v>59</v>
      </c>
      <c r="G41" s="12">
        <v>44555</v>
      </c>
      <c r="H41" s="69" t="s">
        <v>3349</v>
      </c>
      <c r="I41" s="15">
        <v>74</v>
      </c>
      <c r="J41" s="15">
        <v>54</v>
      </c>
      <c r="K41" s="15">
        <v>10</v>
      </c>
      <c r="L41" s="15">
        <v>3</v>
      </c>
      <c r="M41" s="73">
        <v>9.99</v>
      </c>
      <c r="N41" s="104">
        <v>9.99</v>
      </c>
      <c r="O41" s="57">
        <v>7000</v>
      </c>
      <c r="P41" s="58">
        <f t="shared" si="0"/>
        <v>69930</v>
      </c>
    </row>
    <row r="42" spans="1:16" ht="24" customHeight="1" x14ac:dyDescent="0.2">
      <c r="A42" s="100"/>
      <c r="B42" s="100"/>
      <c r="C42" s="65" t="s">
        <v>3874</v>
      </c>
      <c r="D42" s="70" t="s">
        <v>57</v>
      </c>
      <c r="E42" s="12">
        <v>44550</v>
      </c>
      <c r="F42" s="68" t="s">
        <v>59</v>
      </c>
      <c r="G42" s="12">
        <v>44555</v>
      </c>
      <c r="H42" s="69" t="s">
        <v>3349</v>
      </c>
      <c r="I42" s="15">
        <v>67</v>
      </c>
      <c r="J42" s="15">
        <v>60</v>
      </c>
      <c r="K42" s="15">
        <v>38</v>
      </c>
      <c r="L42" s="15">
        <v>16</v>
      </c>
      <c r="M42" s="73">
        <v>38.19</v>
      </c>
      <c r="N42" s="104">
        <v>38.19</v>
      </c>
      <c r="O42" s="57">
        <v>7000</v>
      </c>
      <c r="P42" s="58">
        <f t="shared" si="0"/>
        <v>267330</v>
      </c>
    </row>
    <row r="43" spans="1:16" ht="24" customHeight="1" x14ac:dyDescent="0.2">
      <c r="A43" s="100"/>
      <c r="B43" s="100"/>
      <c r="C43" s="65" t="s">
        <v>3875</v>
      </c>
      <c r="D43" s="70" t="s">
        <v>57</v>
      </c>
      <c r="E43" s="12">
        <v>44550</v>
      </c>
      <c r="F43" s="68" t="s">
        <v>59</v>
      </c>
      <c r="G43" s="12">
        <v>44555</v>
      </c>
      <c r="H43" s="69" t="s">
        <v>3349</v>
      </c>
      <c r="I43" s="15">
        <v>74</v>
      </c>
      <c r="J43" s="15">
        <v>60</v>
      </c>
      <c r="K43" s="15">
        <v>41</v>
      </c>
      <c r="L43" s="15">
        <v>14</v>
      </c>
      <c r="M43" s="73">
        <v>45.51</v>
      </c>
      <c r="N43" s="104">
        <v>45.51</v>
      </c>
      <c r="O43" s="57">
        <v>7000</v>
      </c>
      <c r="P43" s="58">
        <f t="shared" si="0"/>
        <v>318570</v>
      </c>
    </row>
    <row r="44" spans="1:16" ht="24" customHeight="1" x14ac:dyDescent="0.2">
      <c r="A44" s="100"/>
      <c r="B44" s="100"/>
      <c r="C44" s="65" t="s">
        <v>3876</v>
      </c>
      <c r="D44" s="70" t="s">
        <v>57</v>
      </c>
      <c r="E44" s="12">
        <v>44550</v>
      </c>
      <c r="F44" s="68" t="s">
        <v>59</v>
      </c>
      <c r="G44" s="12">
        <v>44555</v>
      </c>
      <c r="H44" s="69" t="s">
        <v>3349</v>
      </c>
      <c r="I44" s="15">
        <v>38</v>
      </c>
      <c r="J44" s="15">
        <v>34</v>
      </c>
      <c r="K44" s="15">
        <v>17</v>
      </c>
      <c r="L44" s="15">
        <v>3</v>
      </c>
      <c r="M44" s="73">
        <v>5.4909999999999997</v>
      </c>
      <c r="N44" s="104">
        <v>6</v>
      </c>
      <c r="O44" s="57">
        <v>7000</v>
      </c>
      <c r="P44" s="58">
        <f t="shared" si="0"/>
        <v>42000</v>
      </c>
    </row>
    <row r="45" spans="1:16" ht="24" customHeight="1" x14ac:dyDescent="0.2">
      <c r="A45" s="100"/>
      <c r="B45" s="100"/>
      <c r="C45" s="65" t="s">
        <v>3877</v>
      </c>
      <c r="D45" s="70" t="s">
        <v>57</v>
      </c>
      <c r="E45" s="12">
        <v>44550</v>
      </c>
      <c r="F45" s="68" t="s">
        <v>59</v>
      </c>
      <c r="G45" s="12">
        <v>44555</v>
      </c>
      <c r="H45" s="69" t="s">
        <v>3349</v>
      </c>
      <c r="I45" s="15">
        <v>52</v>
      </c>
      <c r="J45" s="15">
        <v>40</v>
      </c>
      <c r="K45" s="15">
        <v>30</v>
      </c>
      <c r="L45" s="15">
        <v>7</v>
      </c>
      <c r="M45" s="73">
        <v>15.6</v>
      </c>
      <c r="N45" s="104">
        <v>15.6</v>
      </c>
      <c r="O45" s="57">
        <v>7000</v>
      </c>
      <c r="P45" s="58">
        <f t="shared" si="0"/>
        <v>109200</v>
      </c>
    </row>
    <row r="46" spans="1:16" ht="24" customHeight="1" x14ac:dyDescent="0.2">
      <c r="A46" s="100"/>
      <c r="B46" s="100"/>
      <c r="C46" s="65" t="s">
        <v>3878</v>
      </c>
      <c r="D46" s="70" t="s">
        <v>57</v>
      </c>
      <c r="E46" s="12">
        <v>44550</v>
      </c>
      <c r="F46" s="68" t="s">
        <v>59</v>
      </c>
      <c r="G46" s="12">
        <v>44555</v>
      </c>
      <c r="H46" s="69" t="s">
        <v>3349</v>
      </c>
      <c r="I46" s="15">
        <v>85</v>
      </c>
      <c r="J46" s="15">
        <v>48</v>
      </c>
      <c r="K46" s="15">
        <v>37</v>
      </c>
      <c r="L46" s="15">
        <v>22</v>
      </c>
      <c r="M46" s="73">
        <v>37.74</v>
      </c>
      <c r="N46" s="104">
        <v>37.74</v>
      </c>
      <c r="O46" s="57">
        <v>7000</v>
      </c>
      <c r="P46" s="58">
        <f t="shared" si="0"/>
        <v>264180</v>
      </c>
    </row>
    <row r="47" spans="1:16" ht="24" customHeight="1" x14ac:dyDescent="0.2">
      <c r="A47" s="100"/>
      <c r="B47" s="100"/>
      <c r="C47" s="65" t="s">
        <v>3879</v>
      </c>
      <c r="D47" s="70" t="s">
        <v>57</v>
      </c>
      <c r="E47" s="12">
        <v>44550</v>
      </c>
      <c r="F47" s="68" t="s">
        <v>59</v>
      </c>
      <c r="G47" s="12">
        <v>44555</v>
      </c>
      <c r="H47" s="69" t="s">
        <v>3349</v>
      </c>
      <c r="I47" s="15">
        <v>80</v>
      </c>
      <c r="J47" s="15">
        <v>60</v>
      </c>
      <c r="K47" s="15">
        <v>14</v>
      </c>
      <c r="L47" s="15">
        <v>9</v>
      </c>
      <c r="M47" s="73">
        <v>16.8</v>
      </c>
      <c r="N47" s="104">
        <v>16.8</v>
      </c>
      <c r="O47" s="57">
        <v>7000</v>
      </c>
      <c r="P47" s="58">
        <f t="shared" si="0"/>
        <v>117600</v>
      </c>
    </row>
    <row r="48" spans="1:16" ht="24" customHeight="1" x14ac:dyDescent="0.2">
      <c r="A48" s="100"/>
      <c r="B48" s="100"/>
      <c r="C48" s="65" t="s">
        <v>3880</v>
      </c>
      <c r="D48" s="70" t="s">
        <v>57</v>
      </c>
      <c r="E48" s="12">
        <v>44550</v>
      </c>
      <c r="F48" s="68" t="s">
        <v>59</v>
      </c>
      <c r="G48" s="12">
        <v>44555</v>
      </c>
      <c r="H48" s="69" t="s">
        <v>3349</v>
      </c>
      <c r="I48" s="15">
        <v>65</v>
      </c>
      <c r="J48" s="15">
        <v>46</v>
      </c>
      <c r="K48" s="15">
        <v>12</v>
      </c>
      <c r="L48" s="15">
        <v>9</v>
      </c>
      <c r="M48" s="73">
        <v>8.9700000000000006</v>
      </c>
      <c r="N48" s="104">
        <v>9</v>
      </c>
      <c r="O48" s="57">
        <v>7000</v>
      </c>
      <c r="P48" s="58">
        <f t="shared" si="0"/>
        <v>63000</v>
      </c>
    </row>
    <row r="49" spans="1:16" ht="24" customHeight="1" x14ac:dyDescent="0.2">
      <c r="A49" s="100"/>
      <c r="B49" s="100"/>
      <c r="C49" s="65" t="s">
        <v>3881</v>
      </c>
      <c r="D49" s="70" t="s">
        <v>57</v>
      </c>
      <c r="E49" s="12">
        <v>44550</v>
      </c>
      <c r="F49" s="68" t="s">
        <v>59</v>
      </c>
      <c r="G49" s="12">
        <v>44555</v>
      </c>
      <c r="H49" s="69" t="s">
        <v>3349</v>
      </c>
      <c r="I49" s="15">
        <v>34</v>
      </c>
      <c r="J49" s="15">
        <v>34</v>
      </c>
      <c r="K49" s="15">
        <v>13</v>
      </c>
      <c r="L49" s="15">
        <v>1</v>
      </c>
      <c r="M49" s="73">
        <v>3.7570000000000001</v>
      </c>
      <c r="N49" s="104">
        <v>3.7570000000000001</v>
      </c>
      <c r="O49" s="57">
        <v>7000</v>
      </c>
      <c r="P49" s="58">
        <f t="shared" si="0"/>
        <v>26299</v>
      </c>
    </row>
    <row r="50" spans="1:16" ht="24" customHeight="1" x14ac:dyDescent="0.2">
      <c r="A50" s="100"/>
      <c r="B50" s="100"/>
      <c r="C50" s="65" t="s">
        <v>3882</v>
      </c>
      <c r="D50" s="70" t="s">
        <v>57</v>
      </c>
      <c r="E50" s="12">
        <v>44550</v>
      </c>
      <c r="F50" s="68" t="s">
        <v>59</v>
      </c>
      <c r="G50" s="12">
        <v>44555</v>
      </c>
      <c r="H50" s="69" t="s">
        <v>3349</v>
      </c>
      <c r="I50" s="15">
        <v>45</v>
      </c>
      <c r="J50" s="15">
        <v>24</v>
      </c>
      <c r="K50" s="15">
        <v>17</v>
      </c>
      <c r="L50" s="15">
        <v>2</v>
      </c>
      <c r="M50" s="73">
        <v>4.59</v>
      </c>
      <c r="N50" s="104">
        <v>4.59</v>
      </c>
      <c r="O50" s="57">
        <v>7000</v>
      </c>
      <c r="P50" s="58">
        <f t="shared" si="0"/>
        <v>32130</v>
      </c>
    </row>
    <row r="51" spans="1:16" ht="24" customHeight="1" x14ac:dyDescent="0.2">
      <c r="A51" s="100"/>
      <c r="B51" s="100"/>
      <c r="C51" s="65" t="s">
        <v>3883</v>
      </c>
      <c r="D51" s="70" t="s">
        <v>57</v>
      </c>
      <c r="E51" s="12">
        <v>44550</v>
      </c>
      <c r="F51" s="68" t="s">
        <v>59</v>
      </c>
      <c r="G51" s="12">
        <v>44555</v>
      </c>
      <c r="H51" s="69" t="s">
        <v>3349</v>
      </c>
      <c r="I51" s="15">
        <v>43</v>
      </c>
      <c r="J51" s="15">
        <v>42</v>
      </c>
      <c r="K51" s="15">
        <v>20</v>
      </c>
      <c r="L51" s="15">
        <v>3</v>
      </c>
      <c r="M51" s="73">
        <v>9.0299999999999994</v>
      </c>
      <c r="N51" s="104">
        <v>9.0299999999999994</v>
      </c>
      <c r="O51" s="57">
        <v>7000</v>
      </c>
      <c r="P51" s="58">
        <f t="shared" si="0"/>
        <v>63209.999999999993</v>
      </c>
    </row>
    <row r="52" spans="1:16" ht="24" customHeight="1" x14ac:dyDescent="0.2">
      <c r="A52" s="100"/>
      <c r="B52" s="100"/>
      <c r="C52" s="65" t="s">
        <v>3884</v>
      </c>
      <c r="D52" s="70" t="s">
        <v>57</v>
      </c>
      <c r="E52" s="12">
        <v>44550</v>
      </c>
      <c r="F52" s="68" t="s">
        <v>59</v>
      </c>
      <c r="G52" s="12">
        <v>44555</v>
      </c>
      <c r="H52" s="69" t="s">
        <v>3349</v>
      </c>
      <c r="I52" s="15">
        <v>55</v>
      </c>
      <c r="J52" s="15">
        <v>45</v>
      </c>
      <c r="K52" s="15">
        <v>27</v>
      </c>
      <c r="L52" s="15">
        <v>8</v>
      </c>
      <c r="M52" s="73">
        <v>16.706250000000001</v>
      </c>
      <c r="N52" s="104">
        <v>16.706250000000001</v>
      </c>
      <c r="O52" s="57">
        <v>7000</v>
      </c>
      <c r="P52" s="58">
        <f t="shared" si="0"/>
        <v>116943.75</v>
      </c>
    </row>
    <row r="53" spans="1:16" ht="24" customHeight="1" x14ac:dyDescent="0.2">
      <c r="A53" s="100"/>
      <c r="B53" s="100"/>
      <c r="C53" s="65" t="s">
        <v>3885</v>
      </c>
      <c r="D53" s="70" t="s">
        <v>57</v>
      </c>
      <c r="E53" s="12">
        <v>44550</v>
      </c>
      <c r="F53" s="68" t="s">
        <v>59</v>
      </c>
      <c r="G53" s="12">
        <v>44555</v>
      </c>
      <c r="H53" s="69" t="s">
        <v>3349</v>
      </c>
      <c r="I53" s="15">
        <v>95</v>
      </c>
      <c r="J53" s="15">
        <v>53</v>
      </c>
      <c r="K53" s="15">
        <v>30</v>
      </c>
      <c r="L53" s="15">
        <v>23</v>
      </c>
      <c r="M53" s="73">
        <v>37.762500000000003</v>
      </c>
      <c r="N53" s="104">
        <v>37.762500000000003</v>
      </c>
      <c r="O53" s="57">
        <v>7000</v>
      </c>
      <c r="P53" s="58">
        <f t="shared" si="0"/>
        <v>264337.5</v>
      </c>
    </row>
    <row r="54" spans="1:16" ht="24" customHeight="1" x14ac:dyDescent="0.2">
      <c r="A54" s="100"/>
      <c r="B54" s="100"/>
      <c r="C54" s="65" t="s">
        <v>3886</v>
      </c>
      <c r="D54" s="70" t="s">
        <v>57</v>
      </c>
      <c r="E54" s="12">
        <v>44550</v>
      </c>
      <c r="F54" s="68" t="s">
        <v>59</v>
      </c>
      <c r="G54" s="12">
        <v>44555</v>
      </c>
      <c r="H54" s="69" t="s">
        <v>3349</v>
      </c>
      <c r="I54" s="15">
        <v>94</v>
      </c>
      <c r="J54" s="15">
        <v>57</v>
      </c>
      <c r="K54" s="15">
        <v>30</v>
      </c>
      <c r="L54" s="15">
        <v>22</v>
      </c>
      <c r="M54" s="73">
        <v>40.185000000000002</v>
      </c>
      <c r="N54" s="104">
        <v>40.185000000000002</v>
      </c>
      <c r="O54" s="57">
        <v>7000</v>
      </c>
      <c r="P54" s="58">
        <f t="shared" si="0"/>
        <v>281295</v>
      </c>
    </row>
    <row r="55" spans="1:16" ht="24" customHeight="1" x14ac:dyDescent="0.2">
      <c r="A55" s="100"/>
      <c r="B55" s="100"/>
      <c r="C55" s="65" t="s">
        <v>3887</v>
      </c>
      <c r="D55" s="70" t="s">
        <v>57</v>
      </c>
      <c r="E55" s="12">
        <v>44550</v>
      </c>
      <c r="F55" s="68" t="s">
        <v>59</v>
      </c>
      <c r="G55" s="12">
        <v>44555</v>
      </c>
      <c r="H55" s="69" t="s">
        <v>3349</v>
      </c>
      <c r="I55" s="15">
        <v>90</v>
      </c>
      <c r="J55" s="15">
        <v>50</v>
      </c>
      <c r="K55" s="15">
        <v>25</v>
      </c>
      <c r="L55" s="15">
        <v>25</v>
      </c>
      <c r="M55" s="73">
        <v>28.125</v>
      </c>
      <c r="N55" s="104">
        <v>28.125</v>
      </c>
      <c r="O55" s="57">
        <v>7000</v>
      </c>
      <c r="P55" s="58">
        <f t="shared" si="0"/>
        <v>196875</v>
      </c>
    </row>
    <row r="56" spans="1:16" ht="24" customHeight="1" x14ac:dyDescent="0.2">
      <c r="A56" s="100"/>
      <c r="B56" s="100"/>
      <c r="C56" s="65" t="s">
        <v>3888</v>
      </c>
      <c r="D56" s="70" t="s">
        <v>57</v>
      </c>
      <c r="E56" s="12">
        <v>44550</v>
      </c>
      <c r="F56" s="68" t="s">
        <v>59</v>
      </c>
      <c r="G56" s="12">
        <v>44555</v>
      </c>
      <c r="H56" s="69" t="s">
        <v>3349</v>
      </c>
      <c r="I56" s="15">
        <v>40</v>
      </c>
      <c r="J56" s="15">
        <v>57</v>
      </c>
      <c r="K56" s="15">
        <v>17</v>
      </c>
      <c r="L56" s="15">
        <v>5</v>
      </c>
      <c r="M56" s="73">
        <v>9.69</v>
      </c>
      <c r="N56" s="104">
        <v>9.69</v>
      </c>
      <c r="O56" s="57">
        <v>7000</v>
      </c>
      <c r="P56" s="58">
        <f t="shared" si="0"/>
        <v>67830</v>
      </c>
    </row>
    <row r="57" spans="1:16" ht="24" customHeight="1" x14ac:dyDescent="0.2">
      <c r="A57" s="100"/>
      <c r="B57" s="100"/>
      <c r="C57" s="65" t="s">
        <v>3889</v>
      </c>
      <c r="D57" s="70" t="s">
        <v>57</v>
      </c>
      <c r="E57" s="12">
        <v>44550</v>
      </c>
      <c r="F57" s="68" t="s">
        <v>59</v>
      </c>
      <c r="G57" s="12">
        <v>44555</v>
      </c>
      <c r="H57" s="69" t="s">
        <v>3349</v>
      </c>
      <c r="I57" s="15">
        <v>67</v>
      </c>
      <c r="J57" s="15">
        <v>58</v>
      </c>
      <c r="K57" s="15">
        <v>22</v>
      </c>
      <c r="L57" s="15">
        <v>13</v>
      </c>
      <c r="M57" s="73">
        <v>21.373000000000001</v>
      </c>
      <c r="N57" s="104">
        <v>22</v>
      </c>
      <c r="O57" s="57">
        <v>7000</v>
      </c>
      <c r="P57" s="58">
        <f t="shared" si="0"/>
        <v>154000</v>
      </c>
    </row>
    <row r="58" spans="1:16" ht="24" customHeight="1" x14ac:dyDescent="0.2">
      <c r="A58" s="100"/>
      <c r="B58" s="100"/>
      <c r="C58" s="65" t="s">
        <v>3890</v>
      </c>
      <c r="D58" s="70" t="s">
        <v>57</v>
      </c>
      <c r="E58" s="12">
        <v>44550</v>
      </c>
      <c r="F58" s="68" t="s">
        <v>59</v>
      </c>
      <c r="G58" s="12">
        <v>44555</v>
      </c>
      <c r="H58" s="69" t="s">
        <v>3349</v>
      </c>
      <c r="I58" s="15">
        <v>55</v>
      </c>
      <c r="J58" s="15">
        <v>27</v>
      </c>
      <c r="K58" s="15">
        <v>42</v>
      </c>
      <c r="L58" s="15">
        <v>10</v>
      </c>
      <c r="M58" s="73">
        <v>15.592499999999999</v>
      </c>
      <c r="N58" s="104">
        <v>15.592499999999999</v>
      </c>
      <c r="O58" s="57">
        <v>7000</v>
      </c>
      <c r="P58" s="58">
        <f t="shared" si="0"/>
        <v>109147.5</v>
      </c>
    </row>
    <row r="59" spans="1:16" ht="24" customHeight="1" x14ac:dyDescent="0.2">
      <c r="A59" s="100"/>
      <c r="B59" s="100"/>
      <c r="C59" s="65" t="s">
        <v>3891</v>
      </c>
      <c r="D59" s="70" t="s">
        <v>57</v>
      </c>
      <c r="E59" s="12">
        <v>44550</v>
      </c>
      <c r="F59" s="68" t="s">
        <v>59</v>
      </c>
      <c r="G59" s="12">
        <v>44555</v>
      </c>
      <c r="H59" s="69" t="s">
        <v>3349</v>
      </c>
      <c r="I59" s="15">
        <v>100</v>
      </c>
      <c r="J59" s="15">
        <v>57</v>
      </c>
      <c r="K59" s="15">
        <v>30</v>
      </c>
      <c r="L59" s="15">
        <v>27</v>
      </c>
      <c r="M59" s="73">
        <v>42.75</v>
      </c>
      <c r="N59" s="104">
        <v>42.75</v>
      </c>
      <c r="O59" s="57">
        <v>7000</v>
      </c>
      <c r="P59" s="58">
        <f t="shared" si="0"/>
        <v>299250</v>
      </c>
    </row>
    <row r="60" spans="1:16" ht="24" customHeight="1" x14ac:dyDescent="0.2">
      <c r="A60" s="100"/>
      <c r="B60" s="100"/>
      <c r="C60" s="90" t="s">
        <v>3892</v>
      </c>
      <c r="D60" s="102" t="s">
        <v>57</v>
      </c>
      <c r="E60" s="91">
        <v>44550</v>
      </c>
      <c r="F60" s="102" t="s">
        <v>59</v>
      </c>
      <c r="G60" s="91">
        <v>44555</v>
      </c>
      <c r="H60" s="90" t="s">
        <v>3349</v>
      </c>
      <c r="I60" s="90">
        <v>105</v>
      </c>
      <c r="J60" s="90">
        <v>64</v>
      </c>
      <c r="K60" s="90">
        <v>22</v>
      </c>
      <c r="L60" s="90">
        <v>21</v>
      </c>
      <c r="M60" s="90">
        <v>36.96</v>
      </c>
      <c r="N60" s="104">
        <v>36.96</v>
      </c>
      <c r="O60" s="57">
        <v>7000</v>
      </c>
      <c r="P60" s="58">
        <f t="shared" si="0"/>
        <v>258720</v>
      </c>
    </row>
    <row r="61" spans="1:16" ht="24" customHeight="1" x14ac:dyDescent="0.2">
      <c r="A61" s="100"/>
      <c r="B61" s="100"/>
      <c r="C61" s="90" t="s">
        <v>3893</v>
      </c>
      <c r="D61" s="102" t="s">
        <v>57</v>
      </c>
      <c r="E61" s="91">
        <v>44550</v>
      </c>
      <c r="F61" s="102" t="s">
        <v>59</v>
      </c>
      <c r="G61" s="91">
        <v>44555</v>
      </c>
      <c r="H61" s="90" t="s">
        <v>3349</v>
      </c>
      <c r="I61" s="90">
        <v>30</v>
      </c>
      <c r="J61" s="90">
        <v>23</v>
      </c>
      <c r="K61" s="90">
        <v>21</v>
      </c>
      <c r="L61" s="90">
        <v>1</v>
      </c>
      <c r="M61" s="90">
        <v>3.6225000000000001</v>
      </c>
      <c r="N61" s="104">
        <v>3.6225000000000001</v>
      </c>
      <c r="O61" s="57">
        <v>7000</v>
      </c>
      <c r="P61" s="58">
        <f t="shared" si="0"/>
        <v>25357.5</v>
      </c>
    </row>
    <row r="62" spans="1:16" ht="24" customHeight="1" x14ac:dyDescent="0.2">
      <c r="A62" s="100"/>
      <c r="B62" s="100"/>
      <c r="C62" s="65" t="s">
        <v>3894</v>
      </c>
      <c r="D62" s="70" t="s">
        <v>57</v>
      </c>
      <c r="E62" s="12">
        <v>44550</v>
      </c>
      <c r="F62" s="68" t="s">
        <v>59</v>
      </c>
      <c r="G62" s="12">
        <v>44555</v>
      </c>
      <c r="H62" s="69" t="s">
        <v>3349</v>
      </c>
      <c r="I62" s="15">
        <v>70</v>
      </c>
      <c r="J62" s="15">
        <v>66</v>
      </c>
      <c r="K62" s="15">
        <v>17</v>
      </c>
      <c r="L62" s="15">
        <v>9</v>
      </c>
      <c r="M62" s="73">
        <v>19.635000000000002</v>
      </c>
      <c r="N62" s="104">
        <v>19.635000000000002</v>
      </c>
      <c r="O62" s="57">
        <v>7000</v>
      </c>
      <c r="P62" s="58">
        <f t="shared" si="0"/>
        <v>137445</v>
      </c>
    </row>
    <row r="63" spans="1:16" ht="24" customHeight="1" x14ac:dyDescent="0.2">
      <c r="A63" s="100"/>
      <c r="B63" s="100"/>
      <c r="C63" s="65" t="s">
        <v>3895</v>
      </c>
      <c r="D63" s="70" t="s">
        <v>57</v>
      </c>
      <c r="E63" s="12">
        <v>44550</v>
      </c>
      <c r="F63" s="68" t="s">
        <v>59</v>
      </c>
      <c r="G63" s="12">
        <v>44555</v>
      </c>
      <c r="H63" s="69" t="s">
        <v>3349</v>
      </c>
      <c r="I63" s="15">
        <v>64</v>
      </c>
      <c r="J63" s="15">
        <v>8</v>
      </c>
      <c r="K63" s="15">
        <v>8</v>
      </c>
      <c r="L63" s="15">
        <v>1</v>
      </c>
      <c r="M63" s="73">
        <v>1.024</v>
      </c>
      <c r="N63" s="104">
        <v>1.024</v>
      </c>
      <c r="O63" s="57">
        <v>7000</v>
      </c>
      <c r="P63" s="58">
        <f t="shared" si="0"/>
        <v>7168</v>
      </c>
    </row>
    <row r="64" spans="1:16" ht="24" customHeight="1" x14ac:dyDescent="0.2">
      <c r="A64" s="100"/>
      <c r="B64" s="100"/>
      <c r="C64" s="65" t="s">
        <v>3896</v>
      </c>
      <c r="D64" s="70" t="s">
        <v>57</v>
      </c>
      <c r="E64" s="12">
        <v>44550</v>
      </c>
      <c r="F64" s="68" t="s">
        <v>59</v>
      </c>
      <c r="G64" s="12">
        <v>44555</v>
      </c>
      <c r="H64" s="69" t="s">
        <v>3349</v>
      </c>
      <c r="I64" s="15">
        <v>40</v>
      </c>
      <c r="J64" s="15">
        <v>38</v>
      </c>
      <c r="K64" s="15">
        <v>17</v>
      </c>
      <c r="L64" s="15">
        <v>3</v>
      </c>
      <c r="M64" s="73">
        <v>6.46</v>
      </c>
      <c r="N64" s="104">
        <v>7</v>
      </c>
      <c r="O64" s="57">
        <v>7000</v>
      </c>
      <c r="P64" s="58">
        <f t="shared" si="0"/>
        <v>49000</v>
      </c>
    </row>
    <row r="65" spans="1:16" ht="24" customHeight="1" x14ac:dyDescent="0.2">
      <c r="A65" s="100"/>
      <c r="B65" s="100"/>
      <c r="C65" s="65" t="s">
        <v>3897</v>
      </c>
      <c r="D65" s="70" t="s">
        <v>57</v>
      </c>
      <c r="E65" s="12">
        <v>44550</v>
      </c>
      <c r="F65" s="68" t="s">
        <v>59</v>
      </c>
      <c r="G65" s="12">
        <v>44555</v>
      </c>
      <c r="H65" s="69" t="s">
        <v>3349</v>
      </c>
      <c r="I65" s="15">
        <v>120</v>
      </c>
      <c r="J65" s="15">
        <v>7</v>
      </c>
      <c r="K65" s="15">
        <v>7</v>
      </c>
      <c r="L65" s="15">
        <v>1</v>
      </c>
      <c r="M65" s="73">
        <v>1.47</v>
      </c>
      <c r="N65" s="104">
        <v>2</v>
      </c>
      <c r="O65" s="57">
        <v>7000</v>
      </c>
      <c r="P65" s="58">
        <f t="shared" si="0"/>
        <v>14000</v>
      </c>
    </row>
    <row r="66" spans="1:16" ht="24" customHeight="1" x14ac:dyDescent="0.2">
      <c r="A66" s="100"/>
      <c r="B66" s="100"/>
      <c r="C66" s="65" t="s">
        <v>3898</v>
      </c>
      <c r="D66" s="70" t="s">
        <v>57</v>
      </c>
      <c r="E66" s="12">
        <v>44550</v>
      </c>
      <c r="F66" s="68" t="s">
        <v>59</v>
      </c>
      <c r="G66" s="12">
        <v>44555</v>
      </c>
      <c r="H66" s="69" t="s">
        <v>3349</v>
      </c>
      <c r="I66" s="15">
        <v>92</v>
      </c>
      <c r="J66" s="15">
        <v>45</v>
      </c>
      <c r="K66" s="15">
        <v>47</v>
      </c>
      <c r="L66" s="15">
        <v>20</v>
      </c>
      <c r="M66" s="73">
        <v>48.645000000000003</v>
      </c>
      <c r="N66" s="104">
        <v>48.645000000000003</v>
      </c>
      <c r="O66" s="57">
        <v>7000</v>
      </c>
      <c r="P66" s="58">
        <f t="shared" si="0"/>
        <v>340515</v>
      </c>
    </row>
    <row r="67" spans="1:16" ht="24" customHeight="1" x14ac:dyDescent="0.2">
      <c r="A67" s="100"/>
      <c r="B67" s="100"/>
      <c r="C67" s="65" t="s">
        <v>3899</v>
      </c>
      <c r="D67" s="70" t="s">
        <v>57</v>
      </c>
      <c r="E67" s="12">
        <v>44550</v>
      </c>
      <c r="F67" s="68" t="s">
        <v>59</v>
      </c>
      <c r="G67" s="12">
        <v>44555</v>
      </c>
      <c r="H67" s="69" t="s">
        <v>3349</v>
      </c>
      <c r="I67" s="15">
        <v>40</v>
      </c>
      <c r="J67" s="15">
        <v>30</v>
      </c>
      <c r="K67" s="15">
        <v>20</v>
      </c>
      <c r="L67" s="15">
        <v>13</v>
      </c>
      <c r="M67" s="73">
        <v>6</v>
      </c>
      <c r="N67" s="104">
        <v>13</v>
      </c>
      <c r="O67" s="57">
        <v>7000</v>
      </c>
      <c r="P67" s="58">
        <f t="shared" ref="P67:P74" si="1">N67*O67</f>
        <v>91000</v>
      </c>
    </row>
    <row r="68" spans="1:16" ht="24" customHeight="1" x14ac:dyDescent="0.2">
      <c r="A68" s="100"/>
      <c r="B68" s="100"/>
      <c r="C68" s="65" t="s">
        <v>3900</v>
      </c>
      <c r="D68" s="70" t="s">
        <v>57</v>
      </c>
      <c r="E68" s="12">
        <v>44550</v>
      </c>
      <c r="F68" s="68" t="s">
        <v>59</v>
      </c>
      <c r="G68" s="12">
        <v>44555</v>
      </c>
      <c r="H68" s="69" t="s">
        <v>3349</v>
      </c>
      <c r="I68" s="15">
        <v>45</v>
      </c>
      <c r="J68" s="15">
        <v>45</v>
      </c>
      <c r="K68" s="15">
        <v>5</v>
      </c>
      <c r="L68" s="15">
        <v>1</v>
      </c>
      <c r="M68" s="73">
        <v>2.53125</v>
      </c>
      <c r="N68" s="104">
        <v>2.53125</v>
      </c>
      <c r="O68" s="57">
        <v>7000</v>
      </c>
      <c r="P68" s="58">
        <f t="shared" si="1"/>
        <v>17718.75</v>
      </c>
    </row>
    <row r="69" spans="1:16" ht="24" customHeight="1" x14ac:dyDescent="0.2">
      <c r="A69" s="100"/>
      <c r="B69" s="100"/>
      <c r="C69" s="65" t="s">
        <v>3901</v>
      </c>
      <c r="D69" s="70" t="s">
        <v>57</v>
      </c>
      <c r="E69" s="12">
        <v>44550</v>
      </c>
      <c r="F69" s="68" t="s">
        <v>59</v>
      </c>
      <c r="G69" s="12">
        <v>44555</v>
      </c>
      <c r="H69" s="69" t="s">
        <v>3349</v>
      </c>
      <c r="I69" s="15">
        <v>48</v>
      </c>
      <c r="J69" s="15">
        <v>50</v>
      </c>
      <c r="K69" s="15">
        <v>35</v>
      </c>
      <c r="L69" s="15">
        <v>15</v>
      </c>
      <c r="M69" s="73">
        <v>21</v>
      </c>
      <c r="N69" s="104">
        <v>21</v>
      </c>
      <c r="O69" s="57">
        <v>7000</v>
      </c>
      <c r="P69" s="58">
        <f t="shared" si="1"/>
        <v>147000</v>
      </c>
    </row>
    <row r="70" spans="1:16" ht="24" customHeight="1" x14ac:dyDescent="0.2">
      <c r="A70" s="100"/>
      <c r="B70" s="101"/>
      <c r="C70" s="65" t="s">
        <v>3902</v>
      </c>
      <c r="D70" s="70" t="s">
        <v>57</v>
      </c>
      <c r="E70" s="12">
        <v>44550</v>
      </c>
      <c r="F70" s="68" t="s">
        <v>59</v>
      </c>
      <c r="G70" s="12">
        <v>44555</v>
      </c>
      <c r="H70" s="69" t="s">
        <v>3349</v>
      </c>
      <c r="I70" s="15">
        <v>47</v>
      </c>
      <c r="J70" s="15">
        <v>43</v>
      </c>
      <c r="K70" s="15">
        <v>31</v>
      </c>
      <c r="L70" s="15">
        <v>36</v>
      </c>
      <c r="M70" s="73">
        <v>15.662750000000001</v>
      </c>
      <c r="N70" s="104">
        <v>36</v>
      </c>
      <c r="O70" s="57">
        <v>7000</v>
      </c>
      <c r="P70" s="58">
        <f t="shared" si="1"/>
        <v>252000</v>
      </c>
    </row>
    <row r="71" spans="1:16" ht="24" customHeight="1" x14ac:dyDescent="0.2">
      <c r="A71" s="100"/>
      <c r="B71" s="100" t="s">
        <v>3903</v>
      </c>
      <c r="C71" s="65" t="s">
        <v>3904</v>
      </c>
      <c r="D71" s="70" t="s">
        <v>57</v>
      </c>
      <c r="E71" s="12">
        <v>44550</v>
      </c>
      <c r="F71" s="68" t="s">
        <v>59</v>
      </c>
      <c r="G71" s="12">
        <v>44555</v>
      </c>
      <c r="H71" s="69" t="s">
        <v>3349</v>
      </c>
      <c r="I71" s="15">
        <v>40</v>
      </c>
      <c r="J71" s="15">
        <v>26</v>
      </c>
      <c r="K71" s="15">
        <v>26</v>
      </c>
      <c r="L71" s="15">
        <v>10</v>
      </c>
      <c r="M71" s="73">
        <v>6.76</v>
      </c>
      <c r="N71" s="104">
        <v>10</v>
      </c>
      <c r="O71" s="57">
        <v>7000</v>
      </c>
      <c r="P71" s="58">
        <f t="shared" si="1"/>
        <v>70000</v>
      </c>
    </row>
    <row r="72" spans="1:16" ht="24" customHeight="1" x14ac:dyDescent="0.2">
      <c r="A72" s="100"/>
      <c r="B72" s="100"/>
      <c r="C72" s="65" t="s">
        <v>3905</v>
      </c>
      <c r="D72" s="70" t="s">
        <v>57</v>
      </c>
      <c r="E72" s="12">
        <v>44550</v>
      </c>
      <c r="F72" s="68" t="s">
        <v>59</v>
      </c>
      <c r="G72" s="12">
        <v>44555</v>
      </c>
      <c r="H72" s="69" t="s">
        <v>3349</v>
      </c>
      <c r="I72" s="15">
        <v>20</v>
      </c>
      <c r="J72" s="15">
        <v>15</v>
      </c>
      <c r="K72" s="15">
        <v>6</v>
      </c>
      <c r="L72" s="15">
        <v>1</v>
      </c>
      <c r="M72" s="73">
        <v>0.45</v>
      </c>
      <c r="N72" s="104">
        <v>2</v>
      </c>
      <c r="O72" s="57">
        <v>7000</v>
      </c>
      <c r="P72" s="58">
        <f t="shared" si="1"/>
        <v>14000</v>
      </c>
    </row>
    <row r="73" spans="1:16" ht="24" customHeight="1" x14ac:dyDescent="0.2">
      <c r="A73" s="100"/>
      <c r="B73" s="101"/>
      <c r="C73" s="65" t="s">
        <v>3906</v>
      </c>
      <c r="D73" s="70" t="s">
        <v>57</v>
      </c>
      <c r="E73" s="12">
        <v>44550</v>
      </c>
      <c r="F73" s="68" t="s">
        <v>59</v>
      </c>
      <c r="G73" s="12">
        <v>44555</v>
      </c>
      <c r="H73" s="69" t="s">
        <v>3349</v>
      </c>
      <c r="I73" s="15">
        <v>37</v>
      </c>
      <c r="J73" s="15">
        <v>55</v>
      </c>
      <c r="K73" s="15">
        <v>27</v>
      </c>
      <c r="L73" s="15">
        <v>6</v>
      </c>
      <c r="M73" s="73">
        <v>13.73625</v>
      </c>
      <c r="N73" s="104">
        <v>13.73625</v>
      </c>
      <c r="O73" s="57">
        <v>7000</v>
      </c>
      <c r="P73" s="58">
        <f t="shared" si="1"/>
        <v>96153.75</v>
      </c>
    </row>
    <row r="74" spans="1:16" ht="24" customHeight="1" x14ac:dyDescent="0.2">
      <c r="A74" s="100"/>
      <c r="B74" s="100" t="s">
        <v>3907</v>
      </c>
      <c r="C74" s="65" t="s">
        <v>3908</v>
      </c>
      <c r="D74" s="70" t="s">
        <v>57</v>
      </c>
      <c r="E74" s="12">
        <v>44550</v>
      </c>
      <c r="F74" s="68" t="s">
        <v>59</v>
      </c>
      <c r="G74" s="12">
        <v>44555</v>
      </c>
      <c r="H74" s="69" t="s">
        <v>3349</v>
      </c>
      <c r="I74" s="15">
        <v>65</v>
      </c>
      <c r="J74" s="15">
        <v>34</v>
      </c>
      <c r="K74" s="15">
        <v>25</v>
      </c>
      <c r="L74" s="15">
        <v>3</v>
      </c>
      <c r="M74" s="73">
        <v>13.8125</v>
      </c>
      <c r="N74" s="104">
        <v>13.8125</v>
      </c>
      <c r="O74" s="57">
        <v>7000</v>
      </c>
      <c r="P74" s="58">
        <f t="shared" si="1"/>
        <v>96687.5</v>
      </c>
    </row>
    <row r="75" spans="1:16" ht="22.5" customHeight="1" x14ac:dyDescent="0.2">
      <c r="A75" s="159" t="s">
        <v>30</v>
      </c>
      <c r="B75" s="160"/>
      <c r="C75" s="160"/>
      <c r="D75" s="160"/>
      <c r="E75" s="160"/>
      <c r="F75" s="160"/>
      <c r="G75" s="160"/>
      <c r="H75" s="160"/>
      <c r="I75" s="160"/>
      <c r="J75" s="160"/>
      <c r="K75" s="160"/>
      <c r="L75" s="161"/>
      <c r="M75" s="71">
        <f>SUBTOTAL(109,Table2245789101123456789101112131415161718192021222324252627282930313233343537383940414243444546474849505152535455565758596061626364[KG VOLUME])</f>
        <v>1425.1292499999997</v>
      </c>
      <c r="N75" s="61">
        <f>SUM(N3:N74)</f>
        <v>1468.0169999999998</v>
      </c>
      <c r="O75" s="162">
        <f>SUM(P3:P74)</f>
        <v>10276119</v>
      </c>
      <c r="P75" s="163"/>
    </row>
    <row r="76" spans="1:16" ht="18" customHeight="1" x14ac:dyDescent="0.2">
      <c r="A76" s="78"/>
      <c r="B76" s="49" t="s">
        <v>42</v>
      </c>
      <c r="C76" s="48"/>
      <c r="D76" s="50" t="s">
        <v>43</v>
      </c>
      <c r="E76" s="78"/>
      <c r="F76" s="78"/>
      <c r="G76" s="78"/>
      <c r="H76" s="78"/>
      <c r="I76" s="78"/>
      <c r="J76" s="78"/>
      <c r="K76" s="78"/>
      <c r="L76" s="78"/>
      <c r="M76" s="79"/>
      <c r="N76" s="80" t="s">
        <v>52</v>
      </c>
      <c r="O76" s="81"/>
      <c r="P76" s="81">
        <v>0</v>
      </c>
    </row>
    <row r="77" spans="1:16" ht="18" customHeight="1" thickBot="1" x14ac:dyDescent="0.25">
      <c r="A77" s="78"/>
      <c r="B77" s="49"/>
      <c r="C77" s="48"/>
      <c r="D77" s="50"/>
      <c r="E77" s="78"/>
      <c r="F77" s="78"/>
      <c r="G77" s="78"/>
      <c r="H77" s="78"/>
      <c r="I77" s="78"/>
      <c r="J77" s="78"/>
      <c r="K77" s="78"/>
      <c r="L77" s="78"/>
      <c r="M77" s="79"/>
      <c r="N77" s="82" t="s">
        <v>53</v>
      </c>
      <c r="O77" s="83"/>
      <c r="P77" s="83">
        <f>O75-P76</f>
        <v>10276119</v>
      </c>
    </row>
    <row r="78" spans="1:16" ht="18" customHeight="1" x14ac:dyDescent="0.2">
      <c r="A78" s="10"/>
      <c r="H78" s="56"/>
      <c r="N78" s="55" t="s">
        <v>31</v>
      </c>
      <c r="P78" s="62">
        <f>P77*1%</f>
        <v>102761.19</v>
      </c>
    </row>
    <row r="79" spans="1:16" ht="18" customHeight="1" thickBot="1" x14ac:dyDescent="0.25">
      <c r="A79" s="10"/>
      <c r="H79" s="56"/>
      <c r="N79" s="55" t="s">
        <v>54</v>
      </c>
      <c r="P79" s="64">
        <f>P77*2%</f>
        <v>205522.38</v>
      </c>
    </row>
    <row r="80" spans="1:16" ht="18" customHeight="1" x14ac:dyDescent="0.2">
      <c r="A80" s="10"/>
      <c r="H80" s="56"/>
      <c r="N80" s="59" t="s">
        <v>32</v>
      </c>
      <c r="O80" s="60"/>
      <c r="P80" s="63">
        <f>P77+P78-P79</f>
        <v>10173357.809999999</v>
      </c>
    </row>
    <row r="82" spans="1:16" x14ac:dyDescent="0.2">
      <c r="A82" s="10"/>
      <c r="H82" s="56"/>
      <c r="P82" s="64"/>
    </row>
    <row r="83" spans="1:16" x14ac:dyDescent="0.2">
      <c r="A83" s="10"/>
      <c r="H83" s="56"/>
      <c r="O83" s="51"/>
      <c r="P83" s="64"/>
    </row>
    <row r="84" spans="1:16" s="3" customFormat="1" x14ac:dyDescent="0.25">
      <c r="A84" s="10"/>
      <c r="B84" s="2"/>
      <c r="C84" s="2"/>
      <c r="E84" s="11"/>
      <c r="H84" s="56"/>
      <c r="N84" s="14"/>
      <c r="O84" s="14"/>
      <c r="P84" s="14"/>
    </row>
    <row r="85" spans="1:16" s="3" customFormat="1" x14ac:dyDescent="0.25">
      <c r="A85" s="10"/>
      <c r="B85" s="2"/>
      <c r="C85" s="2"/>
      <c r="E85" s="11"/>
      <c r="H85" s="56"/>
      <c r="N85" s="14"/>
      <c r="O85" s="14"/>
      <c r="P85" s="14"/>
    </row>
    <row r="86" spans="1:16" s="3" customFormat="1" x14ac:dyDescent="0.25">
      <c r="A86" s="10"/>
      <c r="B86" s="2"/>
      <c r="C86" s="2"/>
      <c r="E86" s="11"/>
      <c r="H86" s="56"/>
      <c r="N86" s="14"/>
      <c r="O86" s="14"/>
      <c r="P86" s="14"/>
    </row>
    <row r="87" spans="1:16" s="3" customFormat="1" x14ac:dyDescent="0.25">
      <c r="A87" s="10"/>
      <c r="B87" s="2"/>
      <c r="C87" s="2"/>
      <c r="E87" s="11"/>
      <c r="H87" s="56"/>
      <c r="N87" s="14"/>
      <c r="O87" s="14"/>
      <c r="P87" s="14"/>
    </row>
    <row r="88" spans="1:16" s="3" customFormat="1" x14ac:dyDescent="0.25">
      <c r="A88" s="10"/>
      <c r="B88" s="2"/>
      <c r="C88" s="2"/>
      <c r="E88" s="11"/>
      <c r="H88" s="56"/>
      <c r="N88" s="14"/>
      <c r="O88" s="14"/>
      <c r="P88" s="14"/>
    </row>
    <row r="89" spans="1:16" s="3" customFormat="1" x14ac:dyDescent="0.25">
      <c r="A89" s="10"/>
      <c r="B89" s="2"/>
      <c r="C89" s="2"/>
      <c r="E89" s="11"/>
      <c r="H89" s="56"/>
      <c r="N89" s="14"/>
      <c r="O89" s="14"/>
      <c r="P89" s="14"/>
    </row>
    <row r="90" spans="1:16" s="3" customFormat="1" x14ac:dyDescent="0.25">
      <c r="A90" s="10"/>
      <c r="B90" s="2"/>
      <c r="C90" s="2"/>
      <c r="E90" s="11"/>
      <c r="H90" s="56"/>
      <c r="N90" s="14"/>
      <c r="O90" s="14"/>
      <c r="P90" s="14"/>
    </row>
    <row r="91" spans="1:16" s="3" customFormat="1" x14ac:dyDescent="0.25">
      <c r="A91" s="10"/>
      <c r="B91" s="2"/>
      <c r="C91" s="2"/>
      <c r="E91" s="11"/>
      <c r="H91" s="56"/>
      <c r="N91" s="14"/>
      <c r="O91" s="14"/>
      <c r="P91" s="14"/>
    </row>
    <row r="92" spans="1:16" s="3" customFormat="1" x14ac:dyDescent="0.25">
      <c r="A92" s="10"/>
      <c r="B92" s="2"/>
      <c r="C92" s="2"/>
      <c r="E92" s="11"/>
      <c r="H92" s="56"/>
      <c r="N92" s="14"/>
      <c r="O92" s="14"/>
      <c r="P92" s="14"/>
    </row>
    <row r="93" spans="1:16" s="3" customFormat="1" x14ac:dyDescent="0.25">
      <c r="A93" s="10"/>
      <c r="B93" s="2"/>
      <c r="C93" s="2"/>
      <c r="E93" s="11"/>
      <c r="H93" s="56"/>
      <c r="N93" s="14"/>
      <c r="O93" s="14"/>
      <c r="P93" s="14"/>
    </row>
    <row r="94" spans="1:16" s="3" customFormat="1" x14ac:dyDescent="0.25">
      <c r="A94" s="10"/>
      <c r="B94" s="2"/>
      <c r="C94" s="2"/>
      <c r="E94" s="11"/>
      <c r="H94" s="56"/>
      <c r="N94" s="14"/>
      <c r="O94" s="14"/>
      <c r="P94" s="14"/>
    </row>
    <row r="95" spans="1:16" s="3" customFormat="1" x14ac:dyDescent="0.25">
      <c r="A95" s="10"/>
      <c r="B95" s="2"/>
      <c r="C95" s="2"/>
      <c r="E95" s="11"/>
      <c r="H95" s="56"/>
      <c r="N95" s="14"/>
      <c r="O95" s="14"/>
      <c r="P95" s="14"/>
    </row>
  </sheetData>
  <mergeCells count="2">
    <mergeCell ref="A75:L75"/>
    <mergeCell ref="O75:P75"/>
  </mergeCells>
  <conditionalFormatting sqref="C3:C74">
    <cfRule type="duplicateValues" dxfId="591" priority="9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"/>
  <sheetViews>
    <sheetView workbookViewId="0">
      <selection activeCell="N54" sqref="N3:N5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403981</v>
      </c>
      <c r="B3" s="99" t="s">
        <v>3909</v>
      </c>
      <c r="C3" s="90" t="s">
        <v>3910</v>
      </c>
      <c r="D3" s="102" t="s">
        <v>57</v>
      </c>
      <c r="E3" s="91">
        <v>44551</v>
      </c>
      <c r="F3" s="102" t="s">
        <v>58</v>
      </c>
      <c r="G3" s="91">
        <v>44555</v>
      </c>
      <c r="H3" s="90" t="s">
        <v>3349</v>
      </c>
      <c r="I3" s="90">
        <v>88</v>
      </c>
      <c r="J3" s="90">
        <v>61</v>
      </c>
      <c r="K3" s="90">
        <v>12</v>
      </c>
      <c r="L3" s="90">
        <v>5</v>
      </c>
      <c r="M3" s="90">
        <v>16.103999999999999</v>
      </c>
      <c r="N3" s="104">
        <v>16.103999999999999</v>
      </c>
      <c r="O3" s="57">
        <v>7000</v>
      </c>
      <c r="P3" s="58">
        <f t="shared" ref="P3:P54" si="0">N3*O3</f>
        <v>112728</v>
      </c>
    </row>
    <row r="4" spans="1:16" ht="26.25" customHeight="1" x14ac:dyDescent="0.2">
      <c r="A4" s="100"/>
      <c r="B4" s="100"/>
      <c r="C4" s="90" t="s">
        <v>3911</v>
      </c>
      <c r="D4" s="102" t="s">
        <v>57</v>
      </c>
      <c r="E4" s="91">
        <v>44551</v>
      </c>
      <c r="F4" s="102" t="s">
        <v>58</v>
      </c>
      <c r="G4" s="91">
        <v>44555</v>
      </c>
      <c r="H4" s="90" t="s">
        <v>3349</v>
      </c>
      <c r="I4" s="90">
        <v>64</v>
      </c>
      <c r="J4" s="90">
        <v>38</v>
      </c>
      <c r="K4" s="90">
        <v>8</v>
      </c>
      <c r="L4" s="90">
        <v>2</v>
      </c>
      <c r="M4" s="90">
        <v>4.8639999999999999</v>
      </c>
      <c r="N4" s="104">
        <v>4.8639999999999999</v>
      </c>
      <c r="O4" s="57">
        <v>7000</v>
      </c>
      <c r="P4" s="58">
        <f t="shared" si="0"/>
        <v>34048</v>
      </c>
    </row>
    <row r="5" spans="1:16" ht="26.25" customHeight="1" x14ac:dyDescent="0.2">
      <c r="A5" s="100"/>
      <c r="B5" s="100"/>
      <c r="C5" s="90" t="s">
        <v>3912</v>
      </c>
      <c r="D5" s="102" t="s">
        <v>57</v>
      </c>
      <c r="E5" s="91">
        <v>44551</v>
      </c>
      <c r="F5" s="102" t="s">
        <v>58</v>
      </c>
      <c r="G5" s="91">
        <v>44555</v>
      </c>
      <c r="H5" s="90" t="s">
        <v>3349</v>
      </c>
      <c r="I5" s="90">
        <v>82</v>
      </c>
      <c r="J5" s="90">
        <v>58</v>
      </c>
      <c r="K5" s="90">
        <v>30</v>
      </c>
      <c r="L5" s="90">
        <v>5</v>
      </c>
      <c r="M5" s="90">
        <v>35.67</v>
      </c>
      <c r="N5" s="104">
        <v>35.67</v>
      </c>
      <c r="O5" s="57">
        <v>7000</v>
      </c>
      <c r="P5" s="58">
        <f t="shared" si="0"/>
        <v>249690</v>
      </c>
    </row>
    <row r="6" spans="1:16" ht="26.25" customHeight="1" x14ac:dyDescent="0.2">
      <c r="A6" s="100"/>
      <c r="B6" s="100"/>
      <c r="C6" s="65" t="s">
        <v>3913</v>
      </c>
      <c r="D6" s="70" t="s">
        <v>57</v>
      </c>
      <c r="E6" s="12">
        <v>44551</v>
      </c>
      <c r="F6" s="68" t="s">
        <v>58</v>
      </c>
      <c r="G6" s="12">
        <v>44555</v>
      </c>
      <c r="H6" s="69" t="s">
        <v>3349</v>
      </c>
      <c r="I6" s="15">
        <v>80</v>
      </c>
      <c r="J6" s="15">
        <v>56</v>
      </c>
      <c r="K6" s="15">
        <v>27</v>
      </c>
      <c r="L6" s="15">
        <v>10</v>
      </c>
      <c r="M6" s="73">
        <v>30.24</v>
      </c>
      <c r="N6" s="104">
        <v>30.24</v>
      </c>
      <c r="O6" s="57">
        <v>7000</v>
      </c>
      <c r="P6" s="58">
        <f t="shared" si="0"/>
        <v>211680</v>
      </c>
    </row>
    <row r="7" spans="1:16" ht="26.25" customHeight="1" x14ac:dyDescent="0.2">
      <c r="A7" s="100"/>
      <c r="B7" s="100"/>
      <c r="C7" s="65" t="s">
        <v>3914</v>
      </c>
      <c r="D7" s="70" t="s">
        <v>57</v>
      </c>
      <c r="E7" s="12">
        <v>44551</v>
      </c>
      <c r="F7" s="68" t="s">
        <v>58</v>
      </c>
      <c r="G7" s="12">
        <v>44555</v>
      </c>
      <c r="H7" s="69" t="s">
        <v>3349</v>
      </c>
      <c r="I7" s="15">
        <v>45</v>
      </c>
      <c r="J7" s="15">
        <v>25</v>
      </c>
      <c r="K7" s="15">
        <v>16</v>
      </c>
      <c r="L7" s="15">
        <v>5</v>
      </c>
      <c r="M7" s="73">
        <v>4.5</v>
      </c>
      <c r="N7" s="104">
        <v>6</v>
      </c>
      <c r="O7" s="57">
        <v>7000</v>
      </c>
      <c r="P7" s="58">
        <f t="shared" si="0"/>
        <v>42000</v>
      </c>
    </row>
    <row r="8" spans="1:16" ht="26.25" customHeight="1" x14ac:dyDescent="0.2">
      <c r="A8" s="100"/>
      <c r="B8" s="100"/>
      <c r="C8" s="65" t="s">
        <v>3915</v>
      </c>
      <c r="D8" s="70" t="s">
        <v>57</v>
      </c>
      <c r="E8" s="12">
        <v>44551</v>
      </c>
      <c r="F8" s="68" t="s">
        <v>58</v>
      </c>
      <c r="G8" s="12">
        <v>44555</v>
      </c>
      <c r="H8" s="69" t="s">
        <v>3349</v>
      </c>
      <c r="I8" s="15">
        <v>95</v>
      </c>
      <c r="J8" s="15">
        <v>55</v>
      </c>
      <c r="K8" s="15">
        <v>18</v>
      </c>
      <c r="L8" s="15">
        <v>8</v>
      </c>
      <c r="M8" s="73">
        <v>23.512499999999999</v>
      </c>
      <c r="N8" s="104">
        <v>23.512499999999999</v>
      </c>
      <c r="O8" s="57">
        <v>7000</v>
      </c>
      <c r="P8" s="58">
        <f t="shared" si="0"/>
        <v>164587.5</v>
      </c>
    </row>
    <row r="9" spans="1:16" ht="26.25" customHeight="1" x14ac:dyDescent="0.2">
      <c r="A9" s="100"/>
      <c r="B9" s="100"/>
      <c r="C9" s="65" t="s">
        <v>3916</v>
      </c>
      <c r="D9" s="70" t="s">
        <v>57</v>
      </c>
      <c r="E9" s="12">
        <v>44551</v>
      </c>
      <c r="F9" s="68" t="s">
        <v>58</v>
      </c>
      <c r="G9" s="12">
        <v>44555</v>
      </c>
      <c r="H9" s="69" t="s">
        <v>3349</v>
      </c>
      <c r="I9" s="15">
        <v>58</v>
      </c>
      <c r="J9" s="15">
        <v>32</v>
      </c>
      <c r="K9" s="15">
        <v>16</v>
      </c>
      <c r="L9" s="15">
        <v>2</v>
      </c>
      <c r="M9" s="73">
        <v>7.4240000000000004</v>
      </c>
      <c r="N9" s="104">
        <v>8</v>
      </c>
      <c r="O9" s="57">
        <v>7000</v>
      </c>
      <c r="P9" s="58">
        <f t="shared" si="0"/>
        <v>56000</v>
      </c>
    </row>
    <row r="10" spans="1:16" ht="26.25" customHeight="1" x14ac:dyDescent="0.2">
      <c r="A10" s="100"/>
      <c r="B10" s="100"/>
      <c r="C10" s="65" t="s">
        <v>3917</v>
      </c>
      <c r="D10" s="70" t="s">
        <v>57</v>
      </c>
      <c r="E10" s="12">
        <v>44551</v>
      </c>
      <c r="F10" s="68" t="s">
        <v>58</v>
      </c>
      <c r="G10" s="12">
        <v>44555</v>
      </c>
      <c r="H10" s="69" t="s">
        <v>3349</v>
      </c>
      <c r="I10" s="15">
        <v>94</v>
      </c>
      <c r="J10" s="15">
        <v>64</v>
      </c>
      <c r="K10" s="15">
        <v>22</v>
      </c>
      <c r="L10" s="15">
        <v>23</v>
      </c>
      <c r="M10" s="73">
        <v>33.088000000000001</v>
      </c>
      <c r="N10" s="104">
        <v>33.088000000000001</v>
      </c>
      <c r="O10" s="57">
        <v>7000</v>
      </c>
      <c r="P10" s="58">
        <f t="shared" si="0"/>
        <v>231616</v>
      </c>
    </row>
    <row r="11" spans="1:16" ht="26.25" customHeight="1" x14ac:dyDescent="0.2">
      <c r="A11" s="100"/>
      <c r="B11" s="100"/>
      <c r="C11" s="65" t="s">
        <v>3918</v>
      </c>
      <c r="D11" s="70" t="s">
        <v>57</v>
      </c>
      <c r="E11" s="12">
        <v>44551</v>
      </c>
      <c r="F11" s="68" t="s">
        <v>58</v>
      </c>
      <c r="G11" s="12">
        <v>44555</v>
      </c>
      <c r="H11" s="69" t="s">
        <v>3349</v>
      </c>
      <c r="I11" s="15">
        <v>30</v>
      </c>
      <c r="J11" s="15">
        <v>30</v>
      </c>
      <c r="K11" s="15">
        <v>12</v>
      </c>
      <c r="L11" s="15">
        <v>5</v>
      </c>
      <c r="M11" s="73">
        <v>2.7</v>
      </c>
      <c r="N11" s="104">
        <v>5</v>
      </c>
      <c r="O11" s="57">
        <v>7000</v>
      </c>
      <c r="P11" s="58">
        <f t="shared" si="0"/>
        <v>35000</v>
      </c>
    </row>
    <row r="12" spans="1:16" ht="26.25" customHeight="1" x14ac:dyDescent="0.2">
      <c r="A12" s="100"/>
      <c r="B12" s="100"/>
      <c r="C12" s="65" t="s">
        <v>3919</v>
      </c>
      <c r="D12" s="70" t="s">
        <v>57</v>
      </c>
      <c r="E12" s="12">
        <v>44551</v>
      </c>
      <c r="F12" s="68" t="s">
        <v>58</v>
      </c>
      <c r="G12" s="12">
        <v>44555</v>
      </c>
      <c r="H12" s="69" t="s">
        <v>3349</v>
      </c>
      <c r="I12" s="15">
        <v>57</v>
      </c>
      <c r="J12" s="15">
        <v>45</v>
      </c>
      <c r="K12" s="15">
        <v>22</v>
      </c>
      <c r="L12" s="15">
        <v>12</v>
      </c>
      <c r="M12" s="73">
        <v>14.1075</v>
      </c>
      <c r="N12" s="104">
        <v>14.1075</v>
      </c>
      <c r="O12" s="57">
        <v>7000</v>
      </c>
      <c r="P12" s="58">
        <f t="shared" si="0"/>
        <v>98752.5</v>
      </c>
    </row>
    <row r="13" spans="1:16" ht="26.25" customHeight="1" x14ac:dyDescent="0.2">
      <c r="A13" s="100"/>
      <c r="B13" s="100"/>
      <c r="C13" s="65" t="s">
        <v>3920</v>
      </c>
      <c r="D13" s="70" t="s">
        <v>57</v>
      </c>
      <c r="E13" s="12">
        <v>44551</v>
      </c>
      <c r="F13" s="68" t="s">
        <v>58</v>
      </c>
      <c r="G13" s="12">
        <v>44555</v>
      </c>
      <c r="H13" s="69" t="s">
        <v>3349</v>
      </c>
      <c r="I13" s="15">
        <v>62</v>
      </c>
      <c r="J13" s="15">
        <v>50</v>
      </c>
      <c r="K13" s="15">
        <v>20</v>
      </c>
      <c r="L13" s="15">
        <v>5</v>
      </c>
      <c r="M13" s="73">
        <v>15.5</v>
      </c>
      <c r="N13" s="104">
        <v>17</v>
      </c>
      <c r="O13" s="57">
        <v>7000</v>
      </c>
      <c r="P13" s="58">
        <f t="shared" si="0"/>
        <v>119000</v>
      </c>
    </row>
    <row r="14" spans="1:16" ht="26.25" customHeight="1" x14ac:dyDescent="0.2">
      <c r="A14" s="100"/>
      <c r="B14" s="100"/>
      <c r="C14" s="65" t="s">
        <v>3921</v>
      </c>
      <c r="D14" s="70" t="s">
        <v>57</v>
      </c>
      <c r="E14" s="12">
        <v>44551</v>
      </c>
      <c r="F14" s="68" t="s">
        <v>58</v>
      </c>
      <c r="G14" s="12">
        <v>44555</v>
      </c>
      <c r="H14" s="69" t="s">
        <v>3349</v>
      </c>
      <c r="I14" s="15">
        <v>38</v>
      </c>
      <c r="J14" s="15">
        <v>28</v>
      </c>
      <c r="K14" s="15">
        <v>10</v>
      </c>
      <c r="L14" s="15">
        <v>3</v>
      </c>
      <c r="M14" s="73">
        <v>2.66</v>
      </c>
      <c r="N14" s="104">
        <v>3</v>
      </c>
      <c r="O14" s="57">
        <v>7000</v>
      </c>
      <c r="P14" s="58">
        <f t="shared" si="0"/>
        <v>21000</v>
      </c>
    </row>
    <row r="15" spans="1:16" ht="26.25" customHeight="1" x14ac:dyDescent="0.2">
      <c r="A15" s="100"/>
      <c r="B15" s="100"/>
      <c r="C15" s="65" t="s">
        <v>3922</v>
      </c>
      <c r="D15" s="70" t="s">
        <v>57</v>
      </c>
      <c r="E15" s="12">
        <v>44551</v>
      </c>
      <c r="F15" s="68" t="s">
        <v>58</v>
      </c>
      <c r="G15" s="12">
        <v>44555</v>
      </c>
      <c r="H15" s="69" t="s">
        <v>3349</v>
      </c>
      <c r="I15" s="15">
        <v>44</v>
      </c>
      <c r="J15" s="15">
        <v>34</v>
      </c>
      <c r="K15" s="15">
        <v>12</v>
      </c>
      <c r="L15" s="15">
        <v>2</v>
      </c>
      <c r="M15" s="73">
        <v>4.4880000000000004</v>
      </c>
      <c r="N15" s="104">
        <v>5</v>
      </c>
      <c r="O15" s="57">
        <v>7000</v>
      </c>
      <c r="P15" s="58">
        <f t="shared" si="0"/>
        <v>35000</v>
      </c>
    </row>
    <row r="16" spans="1:16" ht="26.25" customHeight="1" x14ac:dyDescent="0.2">
      <c r="A16" s="100"/>
      <c r="B16" s="100"/>
      <c r="C16" s="65" t="s">
        <v>3923</v>
      </c>
      <c r="D16" s="70" t="s">
        <v>57</v>
      </c>
      <c r="E16" s="12">
        <v>44551</v>
      </c>
      <c r="F16" s="68" t="s">
        <v>58</v>
      </c>
      <c r="G16" s="12">
        <v>44555</v>
      </c>
      <c r="H16" s="69" t="s">
        <v>3349</v>
      </c>
      <c r="I16" s="15">
        <v>30</v>
      </c>
      <c r="J16" s="15">
        <v>32</v>
      </c>
      <c r="K16" s="15">
        <v>12</v>
      </c>
      <c r="L16" s="15">
        <v>2</v>
      </c>
      <c r="M16" s="73">
        <v>2.88</v>
      </c>
      <c r="N16" s="104">
        <v>2.88</v>
      </c>
      <c r="O16" s="57">
        <v>7000</v>
      </c>
      <c r="P16" s="58">
        <f t="shared" si="0"/>
        <v>20160</v>
      </c>
    </row>
    <row r="17" spans="1:16" ht="26.25" customHeight="1" x14ac:dyDescent="0.2">
      <c r="A17" s="100"/>
      <c r="B17" s="100"/>
      <c r="C17" s="65" t="s">
        <v>3924</v>
      </c>
      <c r="D17" s="70" t="s">
        <v>57</v>
      </c>
      <c r="E17" s="12">
        <v>44551</v>
      </c>
      <c r="F17" s="68" t="s">
        <v>58</v>
      </c>
      <c r="G17" s="12">
        <v>44555</v>
      </c>
      <c r="H17" s="69" t="s">
        <v>3349</v>
      </c>
      <c r="I17" s="15">
        <v>57</v>
      </c>
      <c r="J17" s="15">
        <v>45</v>
      </c>
      <c r="K17" s="15">
        <v>41</v>
      </c>
      <c r="L17" s="15">
        <v>7</v>
      </c>
      <c r="M17" s="73">
        <v>26.291250000000002</v>
      </c>
      <c r="N17" s="104">
        <v>26.291250000000002</v>
      </c>
      <c r="O17" s="57">
        <v>7000</v>
      </c>
      <c r="P17" s="58">
        <f t="shared" si="0"/>
        <v>184038.75</v>
      </c>
    </row>
    <row r="18" spans="1:16" ht="26.25" customHeight="1" x14ac:dyDescent="0.2">
      <c r="A18" s="100"/>
      <c r="B18" s="100"/>
      <c r="C18" s="65" t="s">
        <v>3925</v>
      </c>
      <c r="D18" s="70" t="s">
        <v>57</v>
      </c>
      <c r="E18" s="12">
        <v>44551</v>
      </c>
      <c r="F18" s="68" t="s">
        <v>58</v>
      </c>
      <c r="G18" s="12">
        <v>44555</v>
      </c>
      <c r="H18" s="69" t="s">
        <v>3349</v>
      </c>
      <c r="I18" s="15">
        <v>103</v>
      </c>
      <c r="J18" s="15">
        <v>57</v>
      </c>
      <c r="K18" s="15">
        <v>24</v>
      </c>
      <c r="L18" s="15">
        <v>2</v>
      </c>
      <c r="M18" s="73">
        <v>35.225999999999999</v>
      </c>
      <c r="N18" s="104">
        <v>35.225999999999999</v>
      </c>
      <c r="O18" s="57">
        <v>7000</v>
      </c>
      <c r="P18" s="58">
        <f t="shared" si="0"/>
        <v>246582</v>
      </c>
    </row>
    <row r="19" spans="1:16" ht="26.25" customHeight="1" x14ac:dyDescent="0.2">
      <c r="A19" s="100"/>
      <c r="B19" s="100"/>
      <c r="C19" s="65" t="s">
        <v>3926</v>
      </c>
      <c r="D19" s="70" t="s">
        <v>57</v>
      </c>
      <c r="E19" s="12">
        <v>44551</v>
      </c>
      <c r="F19" s="68" t="s">
        <v>58</v>
      </c>
      <c r="G19" s="12">
        <v>44555</v>
      </c>
      <c r="H19" s="69" t="s">
        <v>3349</v>
      </c>
      <c r="I19" s="15">
        <v>52</v>
      </c>
      <c r="J19" s="15">
        <v>42</v>
      </c>
      <c r="K19" s="15">
        <v>31</v>
      </c>
      <c r="L19" s="15">
        <v>8</v>
      </c>
      <c r="M19" s="73">
        <v>16.925999999999998</v>
      </c>
      <c r="N19" s="104">
        <v>16.925999999999998</v>
      </c>
      <c r="O19" s="57">
        <v>7000</v>
      </c>
      <c r="P19" s="58">
        <f t="shared" si="0"/>
        <v>118481.99999999999</v>
      </c>
    </row>
    <row r="20" spans="1:16" ht="26.25" customHeight="1" x14ac:dyDescent="0.2">
      <c r="A20" s="100"/>
      <c r="B20" s="100"/>
      <c r="C20" s="65" t="s">
        <v>3927</v>
      </c>
      <c r="D20" s="70" t="s">
        <v>57</v>
      </c>
      <c r="E20" s="12">
        <v>44551</v>
      </c>
      <c r="F20" s="68" t="s">
        <v>58</v>
      </c>
      <c r="G20" s="12">
        <v>44555</v>
      </c>
      <c r="H20" s="69" t="s">
        <v>3349</v>
      </c>
      <c r="I20" s="15">
        <v>28</v>
      </c>
      <c r="J20" s="15">
        <v>20</v>
      </c>
      <c r="K20" s="15">
        <v>10</v>
      </c>
      <c r="L20" s="15">
        <v>2</v>
      </c>
      <c r="M20" s="73">
        <v>1.4</v>
      </c>
      <c r="N20" s="104">
        <v>3</v>
      </c>
      <c r="O20" s="57">
        <v>7000</v>
      </c>
      <c r="P20" s="58">
        <f t="shared" si="0"/>
        <v>21000</v>
      </c>
    </row>
    <row r="21" spans="1:16" ht="26.25" customHeight="1" x14ac:dyDescent="0.2">
      <c r="A21" s="100"/>
      <c r="B21" s="100"/>
      <c r="C21" s="65" t="s">
        <v>3928</v>
      </c>
      <c r="D21" s="70" t="s">
        <v>57</v>
      </c>
      <c r="E21" s="12">
        <v>44551</v>
      </c>
      <c r="F21" s="68" t="s">
        <v>58</v>
      </c>
      <c r="G21" s="12">
        <v>44555</v>
      </c>
      <c r="H21" s="69" t="s">
        <v>3349</v>
      </c>
      <c r="I21" s="15">
        <v>97</v>
      </c>
      <c r="J21" s="15">
        <v>62</v>
      </c>
      <c r="K21" s="15">
        <v>24</v>
      </c>
      <c r="L21" s="15">
        <v>9</v>
      </c>
      <c r="M21" s="73">
        <v>36.084000000000003</v>
      </c>
      <c r="N21" s="104">
        <v>36.084000000000003</v>
      </c>
      <c r="O21" s="57">
        <v>7000</v>
      </c>
      <c r="P21" s="58">
        <f t="shared" si="0"/>
        <v>252588.00000000003</v>
      </c>
    </row>
    <row r="22" spans="1:16" ht="26.25" customHeight="1" x14ac:dyDescent="0.2">
      <c r="A22" s="100"/>
      <c r="B22" s="100"/>
      <c r="C22" s="65" t="s">
        <v>3929</v>
      </c>
      <c r="D22" s="70" t="s">
        <v>57</v>
      </c>
      <c r="E22" s="12">
        <v>44551</v>
      </c>
      <c r="F22" s="68" t="s">
        <v>58</v>
      </c>
      <c r="G22" s="12">
        <v>44555</v>
      </c>
      <c r="H22" s="69" t="s">
        <v>3349</v>
      </c>
      <c r="I22" s="15">
        <v>17</v>
      </c>
      <c r="J22" s="15">
        <v>10</v>
      </c>
      <c r="K22" s="15">
        <v>8</v>
      </c>
      <c r="L22" s="15">
        <v>1</v>
      </c>
      <c r="M22" s="73">
        <v>0.34</v>
      </c>
      <c r="N22" s="104">
        <v>2</v>
      </c>
      <c r="O22" s="57">
        <v>7000</v>
      </c>
      <c r="P22" s="58">
        <f t="shared" si="0"/>
        <v>14000</v>
      </c>
    </row>
    <row r="23" spans="1:16" ht="26.25" customHeight="1" x14ac:dyDescent="0.2">
      <c r="A23" s="100"/>
      <c r="B23" s="100"/>
      <c r="C23" s="65" t="s">
        <v>3930</v>
      </c>
      <c r="D23" s="70" t="s">
        <v>57</v>
      </c>
      <c r="E23" s="12">
        <v>44551</v>
      </c>
      <c r="F23" s="68" t="s">
        <v>58</v>
      </c>
      <c r="G23" s="12">
        <v>44555</v>
      </c>
      <c r="H23" s="69" t="s">
        <v>3349</v>
      </c>
      <c r="I23" s="15">
        <v>57</v>
      </c>
      <c r="J23" s="15">
        <v>57</v>
      </c>
      <c r="K23" s="15">
        <v>17</v>
      </c>
      <c r="L23" s="15">
        <v>8</v>
      </c>
      <c r="M23" s="73">
        <v>13.808249999999999</v>
      </c>
      <c r="N23" s="104">
        <v>13.808249999999999</v>
      </c>
      <c r="O23" s="57">
        <v>7000</v>
      </c>
      <c r="P23" s="58">
        <f t="shared" si="0"/>
        <v>96657.75</v>
      </c>
    </row>
    <row r="24" spans="1:16" ht="26.25" customHeight="1" x14ac:dyDescent="0.2">
      <c r="A24" s="100"/>
      <c r="B24" s="100"/>
      <c r="C24" s="65" t="s">
        <v>3931</v>
      </c>
      <c r="D24" s="70" t="s">
        <v>57</v>
      </c>
      <c r="E24" s="12">
        <v>44551</v>
      </c>
      <c r="F24" s="68" t="s">
        <v>58</v>
      </c>
      <c r="G24" s="12">
        <v>44555</v>
      </c>
      <c r="H24" s="69" t="s">
        <v>3349</v>
      </c>
      <c r="I24" s="15">
        <v>84</v>
      </c>
      <c r="J24" s="15">
        <v>61</v>
      </c>
      <c r="K24" s="15">
        <v>23</v>
      </c>
      <c r="L24" s="15">
        <v>13</v>
      </c>
      <c r="M24" s="73">
        <v>29.463000000000001</v>
      </c>
      <c r="N24" s="104">
        <v>30</v>
      </c>
      <c r="O24" s="57">
        <v>7000</v>
      </c>
      <c r="P24" s="58">
        <f t="shared" si="0"/>
        <v>210000</v>
      </c>
    </row>
    <row r="25" spans="1:16" ht="26.25" customHeight="1" x14ac:dyDescent="0.2">
      <c r="A25" s="100"/>
      <c r="B25" s="100"/>
      <c r="C25" s="65" t="s">
        <v>3932</v>
      </c>
      <c r="D25" s="70" t="s">
        <v>57</v>
      </c>
      <c r="E25" s="12">
        <v>44551</v>
      </c>
      <c r="F25" s="68" t="s">
        <v>58</v>
      </c>
      <c r="G25" s="12">
        <v>44555</v>
      </c>
      <c r="H25" s="69" t="s">
        <v>3349</v>
      </c>
      <c r="I25" s="15">
        <v>15</v>
      </c>
      <c r="J25" s="15">
        <v>10</v>
      </c>
      <c r="K25" s="15">
        <v>8</v>
      </c>
      <c r="L25" s="15">
        <v>1</v>
      </c>
      <c r="M25" s="73">
        <v>0.3</v>
      </c>
      <c r="N25" s="104">
        <v>2</v>
      </c>
      <c r="O25" s="57">
        <v>7000</v>
      </c>
      <c r="P25" s="58">
        <f t="shared" si="0"/>
        <v>14000</v>
      </c>
    </row>
    <row r="26" spans="1:16" ht="26.25" customHeight="1" x14ac:dyDescent="0.2">
      <c r="A26" s="100"/>
      <c r="B26" s="100"/>
      <c r="C26" s="65" t="s">
        <v>3933</v>
      </c>
      <c r="D26" s="70" t="s">
        <v>57</v>
      </c>
      <c r="E26" s="12">
        <v>44551</v>
      </c>
      <c r="F26" s="68" t="s">
        <v>58</v>
      </c>
      <c r="G26" s="12">
        <v>44555</v>
      </c>
      <c r="H26" s="69" t="s">
        <v>3349</v>
      </c>
      <c r="I26" s="15">
        <v>88</v>
      </c>
      <c r="J26" s="15">
        <v>52</v>
      </c>
      <c r="K26" s="15">
        <v>22</v>
      </c>
      <c r="L26" s="15">
        <v>10</v>
      </c>
      <c r="M26" s="73">
        <v>25.167999999999999</v>
      </c>
      <c r="N26" s="104">
        <v>25.167999999999999</v>
      </c>
      <c r="O26" s="57">
        <v>7000</v>
      </c>
      <c r="P26" s="58">
        <f t="shared" si="0"/>
        <v>176176</v>
      </c>
    </row>
    <row r="27" spans="1:16" ht="26.25" customHeight="1" x14ac:dyDescent="0.2">
      <c r="A27" s="100"/>
      <c r="B27" s="100"/>
      <c r="C27" s="65" t="s">
        <v>3934</v>
      </c>
      <c r="D27" s="70" t="s">
        <v>57</v>
      </c>
      <c r="E27" s="12">
        <v>44551</v>
      </c>
      <c r="F27" s="68" t="s">
        <v>58</v>
      </c>
      <c r="G27" s="12">
        <v>44555</v>
      </c>
      <c r="H27" s="69" t="s">
        <v>3349</v>
      </c>
      <c r="I27" s="15">
        <v>37</v>
      </c>
      <c r="J27" s="15">
        <v>47</v>
      </c>
      <c r="K27" s="15">
        <v>21</v>
      </c>
      <c r="L27" s="15">
        <v>6</v>
      </c>
      <c r="M27" s="73">
        <v>9.1297499999999996</v>
      </c>
      <c r="N27" s="104">
        <v>9.1297499999999996</v>
      </c>
      <c r="O27" s="57">
        <v>7000</v>
      </c>
      <c r="P27" s="58">
        <f t="shared" si="0"/>
        <v>63908.25</v>
      </c>
    </row>
    <row r="28" spans="1:16" ht="26.25" customHeight="1" x14ac:dyDescent="0.2">
      <c r="A28" s="100"/>
      <c r="B28" s="100"/>
      <c r="C28" s="65" t="s">
        <v>3935</v>
      </c>
      <c r="D28" s="70" t="s">
        <v>57</v>
      </c>
      <c r="E28" s="12">
        <v>44551</v>
      </c>
      <c r="F28" s="68" t="s">
        <v>58</v>
      </c>
      <c r="G28" s="12">
        <v>44555</v>
      </c>
      <c r="H28" s="69" t="s">
        <v>3349</v>
      </c>
      <c r="I28" s="15">
        <v>92</v>
      </c>
      <c r="J28" s="15">
        <v>40</v>
      </c>
      <c r="K28" s="15">
        <v>22</v>
      </c>
      <c r="L28" s="15">
        <v>11</v>
      </c>
      <c r="M28" s="73">
        <v>20.239999999999998</v>
      </c>
      <c r="N28" s="104">
        <v>20.239999999999998</v>
      </c>
      <c r="O28" s="57">
        <v>7000</v>
      </c>
      <c r="P28" s="58">
        <f t="shared" si="0"/>
        <v>141680</v>
      </c>
    </row>
    <row r="29" spans="1:16" ht="26.25" customHeight="1" x14ac:dyDescent="0.2">
      <c r="A29" s="100"/>
      <c r="B29" s="100"/>
      <c r="C29" s="65" t="s">
        <v>3936</v>
      </c>
      <c r="D29" s="70" t="s">
        <v>57</v>
      </c>
      <c r="E29" s="12">
        <v>44551</v>
      </c>
      <c r="F29" s="68" t="s">
        <v>58</v>
      </c>
      <c r="G29" s="12">
        <v>44555</v>
      </c>
      <c r="H29" s="69" t="s">
        <v>3349</v>
      </c>
      <c r="I29" s="15">
        <v>54</v>
      </c>
      <c r="J29" s="15">
        <v>36</v>
      </c>
      <c r="K29" s="15">
        <v>12</v>
      </c>
      <c r="L29" s="15">
        <v>4</v>
      </c>
      <c r="M29" s="73">
        <v>5.8319999999999999</v>
      </c>
      <c r="N29" s="104">
        <v>5.8319999999999999</v>
      </c>
      <c r="O29" s="57">
        <v>7000</v>
      </c>
      <c r="P29" s="58">
        <f t="shared" si="0"/>
        <v>40824</v>
      </c>
    </row>
    <row r="30" spans="1:16" ht="26.25" customHeight="1" x14ac:dyDescent="0.2">
      <c r="A30" s="100"/>
      <c r="B30" s="100"/>
      <c r="C30" s="65" t="s">
        <v>3937</v>
      </c>
      <c r="D30" s="70" t="s">
        <v>57</v>
      </c>
      <c r="E30" s="12">
        <v>44551</v>
      </c>
      <c r="F30" s="68" t="s">
        <v>58</v>
      </c>
      <c r="G30" s="12">
        <v>44555</v>
      </c>
      <c r="H30" s="69" t="s">
        <v>3349</v>
      </c>
      <c r="I30" s="15">
        <v>80</v>
      </c>
      <c r="J30" s="15">
        <v>57</v>
      </c>
      <c r="K30" s="15">
        <v>25</v>
      </c>
      <c r="L30" s="15">
        <v>22</v>
      </c>
      <c r="M30" s="73">
        <v>28.5</v>
      </c>
      <c r="N30" s="104">
        <v>30</v>
      </c>
      <c r="O30" s="57">
        <v>7000</v>
      </c>
      <c r="P30" s="58">
        <f t="shared" si="0"/>
        <v>210000</v>
      </c>
    </row>
    <row r="31" spans="1:16" ht="26.25" customHeight="1" x14ac:dyDescent="0.2">
      <c r="A31" s="100"/>
      <c r="B31" s="100"/>
      <c r="C31" s="65" t="s">
        <v>3938</v>
      </c>
      <c r="D31" s="70" t="s">
        <v>57</v>
      </c>
      <c r="E31" s="12">
        <v>44551</v>
      </c>
      <c r="F31" s="68" t="s">
        <v>58</v>
      </c>
      <c r="G31" s="12">
        <v>44555</v>
      </c>
      <c r="H31" s="69" t="s">
        <v>3349</v>
      </c>
      <c r="I31" s="15">
        <v>52</v>
      </c>
      <c r="J31" s="15">
        <v>42</v>
      </c>
      <c r="K31" s="15">
        <v>13</v>
      </c>
      <c r="L31" s="15">
        <v>3</v>
      </c>
      <c r="M31" s="73">
        <v>7.0979999999999999</v>
      </c>
      <c r="N31" s="104">
        <v>7.0979999999999999</v>
      </c>
      <c r="O31" s="57">
        <v>7000</v>
      </c>
      <c r="P31" s="58">
        <f t="shared" si="0"/>
        <v>49686</v>
      </c>
    </row>
    <row r="32" spans="1:16" ht="26.25" customHeight="1" x14ac:dyDescent="0.2">
      <c r="A32" s="100"/>
      <c r="B32" s="100"/>
      <c r="C32" s="65" t="s">
        <v>3939</v>
      </c>
      <c r="D32" s="70" t="s">
        <v>57</v>
      </c>
      <c r="E32" s="12">
        <v>44551</v>
      </c>
      <c r="F32" s="68" t="s">
        <v>58</v>
      </c>
      <c r="G32" s="12">
        <v>44555</v>
      </c>
      <c r="H32" s="69" t="s">
        <v>3349</v>
      </c>
      <c r="I32" s="15">
        <v>74</v>
      </c>
      <c r="J32" s="15">
        <v>41</v>
      </c>
      <c r="K32" s="15">
        <v>23</v>
      </c>
      <c r="L32" s="15">
        <v>2</v>
      </c>
      <c r="M32" s="73">
        <v>17.445499999999999</v>
      </c>
      <c r="N32" s="104">
        <v>18</v>
      </c>
      <c r="O32" s="57">
        <v>7000</v>
      </c>
      <c r="P32" s="58">
        <f t="shared" si="0"/>
        <v>126000</v>
      </c>
    </row>
    <row r="33" spans="1:16" ht="26.25" customHeight="1" x14ac:dyDescent="0.2">
      <c r="A33" s="100"/>
      <c r="B33" s="100"/>
      <c r="C33" s="65" t="s">
        <v>3940</v>
      </c>
      <c r="D33" s="70" t="s">
        <v>57</v>
      </c>
      <c r="E33" s="12">
        <v>44551</v>
      </c>
      <c r="F33" s="68" t="s">
        <v>58</v>
      </c>
      <c r="G33" s="12">
        <v>44555</v>
      </c>
      <c r="H33" s="69" t="s">
        <v>3349</v>
      </c>
      <c r="I33" s="15">
        <v>27</v>
      </c>
      <c r="J33" s="15">
        <v>17</v>
      </c>
      <c r="K33" s="15">
        <v>10</v>
      </c>
      <c r="L33" s="15">
        <v>1</v>
      </c>
      <c r="M33" s="73">
        <v>1.1475</v>
      </c>
      <c r="N33" s="104">
        <v>1.1475</v>
      </c>
      <c r="O33" s="57">
        <v>7000</v>
      </c>
      <c r="P33" s="58">
        <f t="shared" si="0"/>
        <v>8032.5</v>
      </c>
    </row>
    <row r="34" spans="1:16" ht="26.25" customHeight="1" x14ac:dyDescent="0.2">
      <c r="A34" s="100"/>
      <c r="B34" s="100"/>
      <c r="C34" s="65" t="s">
        <v>3941</v>
      </c>
      <c r="D34" s="70" t="s">
        <v>57</v>
      </c>
      <c r="E34" s="12">
        <v>44551</v>
      </c>
      <c r="F34" s="68" t="s">
        <v>58</v>
      </c>
      <c r="G34" s="12">
        <v>44555</v>
      </c>
      <c r="H34" s="69" t="s">
        <v>3349</v>
      </c>
      <c r="I34" s="15">
        <v>15</v>
      </c>
      <c r="J34" s="15">
        <v>10</v>
      </c>
      <c r="K34" s="15">
        <v>8</v>
      </c>
      <c r="L34" s="15">
        <v>1</v>
      </c>
      <c r="M34" s="73">
        <v>0.3</v>
      </c>
      <c r="N34" s="104">
        <v>2</v>
      </c>
      <c r="O34" s="57">
        <v>7000</v>
      </c>
      <c r="P34" s="58">
        <f t="shared" si="0"/>
        <v>14000</v>
      </c>
    </row>
    <row r="35" spans="1:16" ht="26.25" customHeight="1" x14ac:dyDescent="0.2">
      <c r="A35" s="100"/>
      <c r="B35" s="100"/>
      <c r="C35" s="65" t="s">
        <v>3942</v>
      </c>
      <c r="D35" s="70" t="s">
        <v>57</v>
      </c>
      <c r="E35" s="12">
        <v>44551</v>
      </c>
      <c r="F35" s="68" t="s">
        <v>58</v>
      </c>
      <c r="G35" s="12">
        <v>44555</v>
      </c>
      <c r="H35" s="69" t="s">
        <v>3349</v>
      </c>
      <c r="I35" s="15">
        <v>52</v>
      </c>
      <c r="J35" s="15">
        <v>44</v>
      </c>
      <c r="K35" s="15">
        <v>13</v>
      </c>
      <c r="L35" s="15">
        <v>4</v>
      </c>
      <c r="M35" s="73">
        <v>7.4359999999999999</v>
      </c>
      <c r="N35" s="104">
        <v>8</v>
      </c>
      <c r="O35" s="57">
        <v>7000</v>
      </c>
      <c r="P35" s="58">
        <f t="shared" si="0"/>
        <v>56000</v>
      </c>
    </row>
    <row r="36" spans="1:16" ht="26.25" customHeight="1" x14ac:dyDescent="0.2">
      <c r="A36" s="100"/>
      <c r="B36" s="100"/>
      <c r="C36" s="65" t="s">
        <v>3943</v>
      </c>
      <c r="D36" s="70" t="s">
        <v>57</v>
      </c>
      <c r="E36" s="12">
        <v>44551</v>
      </c>
      <c r="F36" s="68" t="s">
        <v>58</v>
      </c>
      <c r="G36" s="12">
        <v>44555</v>
      </c>
      <c r="H36" s="69" t="s">
        <v>3349</v>
      </c>
      <c r="I36" s="15">
        <v>54</v>
      </c>
      <c r="J36" s="15">
        <v>36</v>
      </c>
      <c r="K36" s="15">
        <v>18</v>
      </c>
      <c r="L36" s="15">
        <v>2</v>
      </c>
      <c r="M36" s="73">
        <v>8.7479999999999993</v>
      </c>
      <c r="N36" s="104">
        <v>8.7479999999999993</v>
      </c>
      <c r="O36" s="57">
        <v>7000</v>
      </c>
      <c r="P36" s="58">
        <f t="shared" si="0"/>
        <v>61235.999999999993</v>
      </c>
    </row>
    <row r="37" spans="1:16" ht="26.25" customHeight="1" x14ac:dyDescent="0.2">
      <c r="A37" s="100"/>
      <c r="B37" s="100"/>
      <c r="C37" s="65" t="s">
        <v>3944</v>
      </c>
      <c r="D37" s="70" t="s">
        <v>57</v>
      </c>
      <c r="E37" s="12">
        <v>44551</v>
      </c>
      <c r="F37" s="68" t="s">
        <v>58</v>
      </c>
      <c r="G37" s="12">
        <v>44555</v>
      </c>
      <c r="H37" s="69" t="s">
        <v>3349</v>
      </c>
      <c r="I37" s="15">
        <v>62</v>
      </c>
      <c r="J37" s="15">
        <v>42</v>
      </c>
      <c r="K37" s="15">
        <v>27</v>
      </c>
      <c r="L37" s="15">
        <v>9</v>
      </c>
      <c r="M37" s="73">
        <v>17.577000000000002</v>
      </c>
      <c r="N37" s="104">
        <v>17.577000000000002</v>
      </c>
      <c r="O37" s="57">
        <v>7000</v>
      </c>
      <c r="P37" s="58">
        <f t="shared" si="0"/>
        <v>123039.00000000001</v>
      </c>
    </row>
    <row r="38" spans="1:16" ht="26.25" customHeight="1" x14ac:dyDescent="0.2">
      <c r="A38" s="100"/>
      <c r="B38" s="100"/>
      <c r="C38" s="65" t="s">
        <v>3945</v>
      </c>
      <c r="D38" s="70" t="s">
        <v>57</v>
      </c>
      <c r="E38" s="12">
        <v>44551</v>
      </c>
      <c r="F38" s="68" t="s">
        <v>58</v>
      </c>
      <c r="G38" s="12">
        <v>44555</v>
      </c>
      <c r="H38" s="69" t="s">
        <v>3349</v>
      </c>
      <c r="I38" s="15">
        <v>58</v>
      </c>
      <c r="J38" s="15">
        <v>40</v>
      </c>
      <c r="K38" s="15">
        <v>20</v>
      </c>
      <c r="L38" s="15">
        <v>7</v>
      </c>
      <c r="M38" s="73">
        <v>11.6</v>
      </c>
      <c r="N38" s="104">
        <v>11.6</v>
      </c>
      <c r="O38" s="57">
        <v>7000</v>
      </c>
      <c r="P38" s="58">
        <f t="shared" si="0"/>
        <v>81200</v>
      </c>
    </row>
    <row r="39" spans="1:16" ht="26.25" customHeight="1" x14ac:dyDescent="0.2">
      <c r="A39" s="100"/>
      <c r="B39" s="100"/>
      <c r="C39" s="65" t="s">
        <v>3946</v>
      </c>
      <c r="D39" s="70" t="s">
        <v>57</v>
      </c>
      <c r="E39" s="12">
        <v>44551</v>
      </c>
      <c r="F39" s="68" t="s">
        <v>58</v>
      </c>
      <c r="G39" s="12">
        <v>44555</v>
      </c>
      <c r="H39" s="69" t="s">
        <v>3349</v>
      </c>
      <c r="I39" s="15">
        <v>35</v>
      </c>
      <c r="J39" s="15">
        <v>115</v>
      </c>
      <c r="K39" s="15">
        <v>15</v>
      </c>
      <c r="L39" s="15">
        <v>1</v>
      </c>
      <c r="M39" s="73">
        <v>15.09375</v>
      </c>
      <c r="N39" s="104">
        <v>15.09375</v>
      </c>
      <c r="O39" s="57">
        <v>7000</v>
      </c>
      <c r="P39" s="58">
        <f t="shared" si="0"/>
        <v>105656.25</v>
      </c>
    </row>
    <row r="40" spans="1:16" ht="26.25" customHeight="1" x14ac:dyDescent="0.2">
      <c r="A40" s="100"/>
      <c r="B40" s="100"/>
      <c r="C40" s="65" t="s">
        <v>3947</v>
      </c>
      <c r="D40" s="70" t="s">
        <v>57</v>
      </c>
      <c r="E40" s="12">
        <v>44551</v>
      </c>
      <c r="F40" s="68" t="s">
        <v>58</v>
      </c>
      <c r="G40" s="12">
        <v>44555</v>
      </c>
      <c r="H40" s="69" t="s">
        <v>3349</v>
      </c>
      <c r="I40" s="15">
        <v>67</v>
      </c>
      <c r="J40" s="15">
        <v>58</v>
      </c>
      <c r="K40" s="15">
        <v>23</v>
      </c>
      <c r="L40" s="15">
        <v>4</v>
      </c>
      <c r="M40" s="73">
        <v>22.3445</v>
      </c>
      <c r="N40" s="104">
        <v>23</v>
      </c>
      <c r="O40" s="57">
        <v>7000</v>
      </c>
      <c r="P40" s="58">
        <f t="shared" si="0"/>
        <v>161000</v>
      </c>
    </row>
    <row r="41" spans="1:16" ht="26.25" customHeight="1" x14ac:dyDescent="0.2">
      <c r="A41" s="100"/>
      <c r="B41" s="100"/>
      <c r="C41" s="65" t="s">
        <v>3948</v>
      </c>
      <c r="D41" s="70" t="s">
        <v>57</v>
      </c>
      <c r="E41" s="12">
        <v>44551</v>
      </c>
      <c r="F41" s="68" t="s">
        <v>58</v>
      </c>
      <c r="G41" s="12">
        <v>44555</v>
      </c>
      <c r="H41" s="69" t="s">
        <v>3349</v>
      </c>
      <c r="I41" s="15">
        <v>104</v>
      </c>
      <c r="J41" s="15">
        <v>68</v>
      </c>
      <c r="K41" s="15">
        <v>25</v>
      </c>
      <c r="L41" s="15">
        <v>11</v>
      </c>
      <c r="M41" s="73">
        <v>44.2</v>
      </c>
      <c r="N41" s="104">
        <v>44.2</v>
      </c>
      <c r="O41" s="57">
        <v>7000</v>
      </c>
      <c r="P41" s="58">
        <f t="shared" si="0"/>
        <v>309400</v>
      </c>
    </row>
    <row r="42" spans="1:16" ht="26.25" customHeight="1" x14ac:dyDescent="0.2">
      <c r="A42" s="100"/>
      <c r="B42" s="100"/>
      <c r="C42" s="65" t="s">
        <v>3949</v>
      </c>
      <c r="D42" s="70" t="s">
        <v>57</v>
      </c>
      <c r="E42" s="12">
        <v>44551</v>
      </c>
      <c r="F42" s="68" t="s">
        <v>58</v>
      </c>
      <c r="G42" s="12">
        <v>44555</v>
      </c>
      <c r="H42" s="69" t="s">
        <v>3349</v>
      </c>
      <c r="I42" s="15">
        <v>92</v>
      </c>
      <c r="J42" s="15">
        <v>62</v>
      </c>
      <c r="K42" s="15">
        <v>38</v>
      </c>
      <c r="L42" s="15">
        <v>23</v>
      </c>
      <c r="M42" s="73">
        <v>54.188000000000002</v>
      </c>
      <c r="N42" s="104">
        <v>54.188000000000002</v>
      </c>
      <c r="O42" s="57">
        <v>7000</v>
      </c>
      <c r="P42" s="58">
        <f t="shared" si="0"/>
        <v>379316</v>
      </c>
    </row>
    <row r="43" spans="1:16" ht="26.25" customHeight="1" x14ac:dyDescent="0.2">
      <c r="A43" s="100"/>
      <c r="B43" s="100"/>
      <c r="C43" s="65" t="s">
        <v>3950</v>
      </c>
      <c r="D43" s="70" t="s">
        <v>57</v>
      </c>
      <c r="E43" s="12">
        <v>44551</v>
      </c>
      <c r="F43" s="68" t="s">
        <v>58</v>
      </c>
      <c r="G43" s="12">
        <v>44555</v>
      </c>
      <c r="H43" s="69" t="s">
        <v>3349</v>
      </c>
      <c r="I43" s="15">
        <v>77</v>
      </c>
      <c r="J43" s="15">
        <v>46</v>
      </c>
      <c r="K43" s="15">
        <v>37</v>
      </c>
      <c r="L43" s="15">
        <v>14</v>
      </c>
      <c r="M43" s="73">
        <v>32.763500000000001</v>
      </c>
      <c r="N43" s="104">
        <v>32.763500000000001</v>
      </c>
      <c r="O43" s="57">
        <v>7000</v>
      </c>
      <c r="P43" s="58">
        <f t="shared" si="0"/>
        <v>229344.5</v>
      </c>
    </row>
    <row r="44" spans="1:16" ht="26.25" customHeight="1" x14ac:dyDescent="0.2">
      <c r="A44" s="100"/>
      <c r="B44" s="100"/>
      <c r="C44" s="65" t="s">
        <v>3951</v>
      </c>
      <c r="D44" s="70" t="s">
        <v>57</v>
      </c>
      <c r="E44" s="12">
        <v>44551</v>
      </c>
      <c r="F44" s="68" t="s">
        <v>58</v>
      </c>
      <c r="G44" s="12">
        <v>44555</v>
      </c>
      <c r="H44" s="69" t="s">
        <v>3349</v>
      </c>
      <c r="I44" s="15">
        <v>76</v>
      </c>
      <c r="J44" s="15">
        <v>41</v>
      </c>
      <c r="K44" s="15">
        <v>25</v>
      </c>
      <c r="L44" s="15">
        <v>11</v>
      </c>
      <c r="M44" s="73">
        <v>19.475000000000001</v>
      </c>
      <c r="N44" s="104">
        <v>20</v>
      </c>
      <c r="O44" s="57">
        <v>7000</v>
      </c>
      <c r="P44" s="58">
        <f t="shared" si="0"/>
        <v>140000</v>
      </c>
    </row>
    <row r="45" spans="1:16" ht="26.25" customHeight="1" x14ac:dyDescent="0.2">
      <c r="A45" s="100"/>
      <c r="B45" s="100"/>
      <c r="C45" s="65" t="s">
        <v>3952</v>
      </c>
      <c r="D45" s="70" t="s">
        <v>57</v>
      </c>
      <c r="E45" s="12">
        <v>44551</v>
      </c>
      <c r="F45" s="68" t="s">
        <v>58</v>
      </c>
      <c r="G45" s="12">
        <v>44555</v>
      </c>
      <c r="H45" s="69" t="s">
        <v>3349</v>
      </c>
      <c r="I45" s="15">
        <v>87</v>
      </c>
      <c r="J45" s="15">
        <v>51</v>
      </c>
      <c r="K45" s="15">
        <v>18</v>
      </c>
      <c r="L45" s="15">
        <v>10</v>
      </c>
      <c r="M45" s="73">
        <v>19.9665</v>
      </c>
      <c r="N45" s="104">
        <v>19.9665</v>
      </c>
      <c r="O45" s="57">
        <v>7000</v>
      </c>
      <c r="P45" s="58">
        <f t="shared" si="0"/>
        <v>139765.5</v>
      </c>
    </row>
    <row r="46" spans="1:16" ht="26.25" customHeight="1" x14ac:dyDescent="0.2">
      <c r="A46" s="100"/>
      <c r="B46" s="100"/>
      <c r="C46" s="90" t="s">
        <v>3953</v>
      </c>
      <c r="D46" s="102" t="s">
        <v>57</v>
      </c>
      <c r="E46" s="91">
        <v>44551</v>
      </c>
      <c r="F46" s="102" t="s">
        <v>58</v>
      </c>
      <c r="G46" s="91">
        <v>44555</v>
      </c>
      <c r="H46" s="90" t="s">
        <v>3349</v>
      </c>
      <c r="I46" s="90">
        <v>100</v>
      </c>
      <c r="J46" s="90">
        <v>51</v>
      </c>
      <c r="K46" s="90">
        <v>27</v>
      </c>
      <c r="L46" s="90">
        <v>35</v>
      </c>
      <c r="M46" s="90">
        <v>34.424999999999997</v>
      </c>
      <c r="N46" s="104">
        <v>36</v>
      </c>
      <c r="O46" s="57">
        <v>7000</v>
      </c>
      <c r="P46" s="58">
        <f t="shared" si="0"/>
        <v>252000</v>
      </c>
    </row>
    <row r="47" spans="1:16" ht="26.25" customHeight="1" x14ac:dyDescent="0.2">
      <c r="A47" s="100"/>
      <c r="B47" s="100"/>
      <c r="C47" s="65" t="s">
        <v>3954</v>
      </c>
      <c r="D47" s="70" t="s">
        <v>57</v>
      </c>
      <c r="E47" s="12">
        <v>44551</v>
      </c>
      <c r="F47" s="68" t="s">
        <v>58</v>
      </c>
      <c r="G47" s="12">
        <v>44555</v>
      </c>
      <c r="H47" s="69" t="s">
        <v>3349</v>
      </c>
      <c r="I47" s="15">
        <v>47</v>
      </c>
      <c r="J47" s="15">
        <v>47</v>
      </c>
      <c r="K47" s="15">
        <v>27</v>
      </c>
      <c r="L47" s="15">
        <v>7</v>
      </c>
      <c r="M47" s="73">
        <v>14.91075</v>
      </c>
      <c r="N47" s="104">
        <v>14.91075</v>
      </c>
      <c r="O47" s="57">
        <v>7000</v>
      </c>
      <c r="P47" s="58">
        <f t="shared" si="0"/>
        <v>104375.25</v>
      </c>
    </row>
    <row r="48" spans="1:16" ht="26.25" customHeight="1" x14ac:dyDescent="0.2">
      <c r="A48" s="100"/>
      <c r="B48" s="100"/>
      <c r="C48" s="65" t="s">
        <v>3955</v>
      </c>
      <c r="D48" s="70" t="s">
        <v>57</v>
      </c>
      <c r="E48" s="12">
        <v>44551</v>
      </c>
      <c r="F48" s="68" t="s">
        <v>58</v>
      </c>
      <c r="G48" s="12">
        <v>44555</v>
      </c>
      <c r="H48" s="69" t="s">
        <v>3349</v>
      </c>
      <c r="I48" s="15">
        <v>97</v>
      </c>
      <c r="J48" s="15">
        <v>10</v>
      </c>
      <c r="K48" s="15">
        <v>10</v>
      </c>
      <c r="L48" s="15">
        <v>2</v>
      </c>
      <c r="M48" s="73">
        <v>2.4249999999999998</v>
      </c>
      <c r="N48" s="104">
        <v>3</v>
      </c>
      <c r="O48" s="57">
        <v>7000</v>
      </c>
      <c r="P48" s="58">
        <f t="shared" si="0"/>
        <v>21000</v>
      </c>
    </row>
    <row r="49" spans="1:16" ht="26.25" customHeight="1" x14ac:dyDescent="0.2">
      <c r="A49" s="100"/>
      <c r="B49" s="100"/>
      <c r="C49" s="65" t="s">
        <v>3956</v>
      </c>
      <c r="D49" s="70" t="s">
        <v>57</v>
      </c>
      <c r="E49" s="12">
        <v>44551</v>
      </c>
      <c r="F49" s="68" t="s">
        <v>58</v>
      </c>
      <c r="G49" s="12">
        <v>44555</v>
      </c>
      <c r="H49" s="69" t="s">
        <v>3349</v>
      </c>
      <c r="I49" s="15">
        <v>33</v>
      </c>
      <c r="J49" s="15">
        <v>33</v>
      </c>
      <c r="K49" s="15">
        <v>39</v>
      </c>
      <c r="L49" s="15">
        <v>2</v>
      </c>
      <c r="M49" s="73">
        <v>10.617749999999999</v>
      </c>
      <c r="N49" s="104">
        <v>10.617749999999999</v>
      </c>
      <c r="O49" s="57">
        <v>7000</v>
      </c>
      <c r="P49" s="58">
        <f t="shared" si="0"/>
        <v>74324.25</v>
      </c>
    </row>
    <row r="50" spans="1:16" ht="26.25" customHeight="1" x14ac:dyDescent="0.2">
      <c r="A50" s="100"/>
      <c r="B50" s="100"/>
      <c r="C50" s="65" t="s">
        <v>3957</v>
      </c>
      <c r="D50" s="70" t="s">
        <v>57</v>
      </c>
      <c r="E50" s="12">
        <v>44551</v>
      </c>
      <c r="F50" s="68" t="s">
        <v>58</v>
      </c>
      <c r="G50" s="12">
        <v>44555</v>
      </c>
      <c r="H50" s="69" t="s">
        <v>3349</v>
      </c>
      <c r="I50" s="15">
        <v>222</v>
      </c>
      <c r="J50" s="15">
        <v>25</v>
      </c>
      <c r="K50" s="15">
        <v>25</v>
      </c>
      <c r="L50" s="15">
        <v>50</v>
      </c>
      <c r="M50" s="73">
        <v>34.6875</v>
      </c>
      <c r="N50" s="104">
        <v>50</v>
      </c>
      <c r="O50" s="57">
        <v>7000</v>
      </c>
      <c r="P50" s="58">
        <f t="shared" si="0"/>
        <v>350000</v>
      </c>
    </row>
    <row r="51" spans="1:16" ht="26.25" customHeight="1" x14ac:dyDescent="0.2">
      <c r="A51" s="100"/>
      <c r="B51" s="100"/>
      <c r="C51" s="65" t="s">
        <v>3958</v>
      </c>
      <c r="D51" s="70" t="s">
        <v>57</v>
      </c>
      <c r="E51" s="12">
        <v>44551</v>
      </c>
      <c r="F51" s="68" t="s">
        <v>58</v>
      </c>
      <c r="G51" s="12">
        <v>44555</v>
      </c>
      <c r="H51" s="69" t="s">
        <v>3349</v>
      </c>
      <c r="I51" s="15">
        <v>131</v>
      </c>
      <c r="J51" s="15">
        <v>2</v>
      </c>
      <c r="K51" s="15">
        <v>2</v>
      </c>
      <c r="L51" s="15">
        <v>1</v>
      </c>
      <c r="M51" s="73">
        <v>0.13100000000000001</v>
      </c>
      <c r="N51" s="104">
        <v>1</v>
      </c>
      <c r="O51" s="57">
        <v>7000</v>
      </c>
      <c r="P51" s="58">
        <f t="shared" si="0"/>
        <v>7000</v>
      </c>
    </row>
    <row r="52" spans="1:16" ht="26.25" customHeight="1" x14ac:dyDescent="0.2">
      <c r="A52" s="100"/>
      <c r="B52" s="101"/>
      <c r="C52" s="65" t="s">
        <v>3959</v>
      </c>
      <c r="D52" s="70" t="s">
        <v>57</v>
      </c>
      <c r="E52" s="12">
        <v>44551</v>
      </c>
      <c r="F52" s="68" t="s">
        <v>58</v>
      </c>
      <c r="G52" s="12">
        <v>44555</v>
      </c>
      <c r="H52" s="69" t="s">
        <v>3349</v>
      </c>
      <c r="I52" s="15">
        <v>54</v>
      </c>
      <c r="J52" s="15">
        <v>32</v>
      </c>
      <c r="K52" s="15">
        <v>35</v>
      </c>
      <c r="L52" s="15">
        <v>7</v>
      </c>
      <c r="M52" s="73">
        <v>15.12</v>
      </c>
      <c r="N52" s="104">
        <v>15.12</v>
      </c>
      <c r="O52" s="57">
        <v>7000</v>
      </c>
      <c r="P52" s="58">
        <f t="shared" si="0"/>
        <v>105840</v>
      </c>
    </row>
    <row r="53" spans="1:16" ht="26.25" customHeight="1" x14ac:dyDescent="0.2">
      <c r="A53" s="100"/>
      <c r="B53" s="90" t="s">
        <v>3960</v>
      </c>
      <c r="C53" s="65" t="s">
        <v>3961</v>
      </c>
      <c r="D53" s="70" t="s">
        <v>57</v>
      </c>
      <c r="E53" s="12">
        <v>44551</v>
      </c>
      <c r="F53" s="68" t="s">
        <v>58</v>
      </c>
      <c r="G53" s="12">
        <v>44555</v>
      </c>
      <c r="H53" s="69" t="s">
        <v>3349</v>
      </c>
      <c r="I53" s="15">
        <v>110</v>
      </c>
      <c r="J53" s="15">
        <v>30</v>
      </c>
      <c r="K53" s="15">
        <v>30</v>
      </c>
      <c r="L53" s="15">
        <v>13</v>
      </c>
      <c r="M53" s="73">
        <v>24.75</v>
      </c>
      <c r="N53" s="104">
        <v>24.75</v>
      </c>
      <c r="O53" s="57">
        <v>7000</v>
      </c>
      <c r="P53" s="58">
        <f t="shared" si="0"/>
        <v>173250</v>
      </c>
    </row>
    <row r="54" spans="1:16" ht="26.25" customHeight="1" x14ac:dyDescent="0.2">
      <c r="A54" s="100"/>
      <c r="B54" s="100" t="s">
        <v>3962</v>
      </c>
      <c r="C54" s="65" t="s">
        <v>3963</v>
      </c>
      <c r="D54" s="70" t="s">
        <v>57</v>
      </c>
      <c r="E54" s="12">
        <v>44551</v>
      </c>
      <c r="F54" s="68" t="s">
        <v>58</v>
      </c>
      <c r="G54" s="12">
        <v>44555</v>
      </c>
      <c r="H54" s="69" t="s">
        <v>3349</v>
      </c>
      <c r="I54" s="15">
        <v>45</v>
      </c>
      <c r="J54" s="15">
        <v>20</v>
      </c>
      <c r="K54" s="15">
        <v>18</v>
      </c>
      <c r="L54" s="15">
        <v>3</v>
      </c>
      <c r="M54" s="73">
        <v>4.05</v>
      </c>
      <c r="N54" s="104">
        <v>4.05</v>
      </c>
      <c r="O54" s="57">
        <v>7000</v>
      </c>
      <c r="P54" s="58">
        <f t="shared" si="0"/>
        <v>28350</v>
      </c>
    </row>
    <row r="55" spans="1:16" ht="22.5" customHeight="1" x14ac:dyDescent="0.2">
      <c r="A55" s="159" t="s">
        <v>30</v>
      </c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1"/>
      <c r="M55" s="71">
        <f>SUBTOTAL(109,Table224578910112345678910111213141516171819202122232425262728293031323334353738394041424344454647484950515253545556575859606162636465[KG VOLUME])</f>
        <v>866.94649999999979</v>
      </c>
      <c r="N55" s="61">
        <f>SUM(N3:N54)</f>
        <v>903.00200000000007</v>
      </c>
      <c r="O55" s="162">
        <f>SUM(P3:P54)</f>
        <v>6321014</v>
      </c>
      <c r="P55" s="163"/>
    </row>
    <row r="56" spans="1:16" ht="18" customHeight="1" x14ac:dyDescent="0.2">
      <c r="A56" s="78"/>
      <c r="B56" s="49" t="s">
        <v>42</v>
      </c>
      <c r="C56" s="48"/>
      <c r="D56" s="50" t="s">
        <v>43</v>
      </c>
      <c r="E56" s="78"/>
      <c r="F56" s="78"/>
      <c r="G56" s="78"/>
      <c r="H56" s="78"/>
      <c r="I56" s="78"/>
      <c r="J56" s="78"/>
      <c r="K56" s="78"/>
      <c r="L56" s="78"/>
      <c r="M56" s="79"/>
      <c r="N56" s="80" t="s">
        <v>52</v>
      </c>
      <c r="O56" s="81"/>
      <c r="P56" s="81">
        <v>0</v>
      </c>
    </row>
    <row r="57" spans="1:16" ht="18" customHeight="1" thickBot="1" x14ac:dyDescent="0.25">
      <c r="A57" s="78"/>
      <c r="B57" s="49"/>
      <c r="C57" s="48"/>
      <c r="D57" s="50"/>
      <c r="E57" s="78"/>
      <c r="F57" s="78"/>
      <c r="G57" s="78"/>
      <c r="H57" s="78"/>
      <c r="I57" s="78"/>
      <c r="J57" s="78"/>
      <c r="K57" s="78"/>
      <c r="L57" s="78"/>
      <c r="M57" s="79"/>
      <c r="N57" s="82" t="s">
        <v>53</v>
      </c>
      <c r="O57" s="83"/>
      <c r="P57" s="83">
        <f>O55-P56</f>
        <v>6321014</v>
      </c>
    </row>
    <row r="58" spans="1:16" ht="18" customHeight="1" x14ac:dyDescent="0.2">
      <c r="A58" s="10"/>
      <c r="H58" s="56"/>
      <c r="N58" s="55" t="s">
        <v>31</v>
      </c>
      <c r="P58" s="62">
        <f>P57*1%</f>
        <v>63210.14</v>
      </c>
    </row>
    <row r="59" spans="1:16" ht="18" customHeight="1" thickBot="1" x14ac:dyDescent="0.25">
      <c r="A59" s="10"/>
      <c r="H59" s="56"/>
      <c r="N59" s="55" t="s">
        <v>54</v>
      </c>
      <c r="P59" s="64">
        <f>P57*2%</f>
        <v>126420.28</v>
      </c>
    </row>
    <row r="60" spans="1:16" ht="18" customHeight="1" x14ac:dyDescent="0.2">
      <c r="A60" s="10"/>
      <c r="H60" s="56"/>
      <c r="N60" s="59" t="s">
        <v>32</v>
      </c>
      <c r="O60" s="60"/>
      <c r="P60" s="63">
        <f>P57+P58-P59</f>
        <v>6257803.8599999994</v>
      </c>
    </row>
    <row r="62" spans="1:16" x14ac:dyDescent="0.2">
      <c r="A62" s="10"/>
      <c r="H62" s="56"/>
      <c r="P62" s="64"/>
    </row>
    <row r="63" spans="1:16" x14ac:dyDescent="0.2">
      <c r="A63" s="10"/>
      <c r="H63" s="56"/>
      <c r="O63" s="51"/>
      <c r="P63" s="64"/>
    </row>
    <row r="64" spans="1:16" s="3" customFormat="1" x14ac:dyDescent="0.25">
      <c r="A64" s="10"/>
      <c r="B64" s="2"/>
      <c r="C64" s="2"/>
      <c r="E64" s="11"/>
      <c r="H64" s="56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6"/>
      <c r="N65" s="14"/>
      <c r="O65" s="14"/>
      <c r="P65" s="14"/>
    </row>
    <row r="66" spans="1:16" s="3" customFormat="1" x14ac:dyDescent="0.25">
      <c r="A66" s="10"/>
      <c r="B66" s="2"/>
      <c r="C66" s="2"/>
      <c r="E66" s="11"/>
      <c r="H66" s="56"/>
      <c r="N66" s="14"/>
      <c r="O66" s="14"/>
      <c r="P66" s="14"/>
    </row>
    <row r="67" spans="1:16" s="3" customFormat="1" x14ac:dyDescent="0.25">
      <c r="A67" s="10"/>
      <c r="B67" s="2"/>
      <c r="C67" s="2"/>
      <c r="E67" s="11"/>
      <c r="H67" s="56"/>
      <c r="N67" s="14"/>
      <c r="O67" s="14"/>
      <c r="P67" s="14"/>
    </row>
    <row r="68" spans="1:16" s="3" customFormat="1" x14ac:dyDescent="0.25">
      <c r="A68" s="10"/>
      <c r="B68" s="2"/>
      <c r="C68" s="2"/>
      <c r="E68" s="11"/>
      <c r="H68" s="56"/>
      <c r="N68" s="14"/>
      <c r="O68" s="14"/>
      <c r="P68" s="14"/>
    </row>
    <row r="69" spans="1:16" s="3" customFormat="1" x14ac:dyDescent="0.25">
      <c r="A69" s="10"/>
      <c r="B69" s="2"/>
      <c r="C69" s="2"/>
      <c r="E69" s="11"/>
      <c r="H69" s="56"/>
      <c r="N69" s="14"/>
      <c r="O69" s="14"/>
      <c r="P69" s="14"/>
    </row>
    <row r="70" spans="1:16" s="3" customFormat="1" x14ac:dyDescent="0.25">
      <c r="A70" s="10"/>
      <c r="B70" s="2"/>
      <c r="C70" s="2"/>
      <c r="E70" s="11"/>
      <c r="H70" s="56"/>
      <c r="N70" s="14"/>
      <c r="O70" s="14"/>
      <c r="P70" s="14"/>
    </row>
    <row r="71" spans="1:16" s="3" customFormat="1" x14ac:dyDescent="0.25">
      <c r="A71" s="10"/>
      <c r="B71" s="2"/>
      <c r="C71" s="2"/>
      <c r="E71" s="11"/>
      <c r="H71" s="56"/>
      <c r="N71" s="14"/>
      <c r="O71" s="14"/>
      <c r="P71" s="14"/>
    </row>
    <row r="72" spans="1:16" s="3" customFormat="1" x14ac:dyDescent="0.25">
      <c r="A72" s="10"/>
      <c r="B72" s="2"/>
      <c r="C72" s="2"/>
      <c r="E72" s="11"/>
      <c r="H72" s="56"/>
      <c r="N72" s="14"/>
      <c r="O72" s="14"/>
      <c r="P72" s="14"/>
    </row>
    <row r="73" spans="1:16" s="3" customFormat="1" x14ac:dyDescent="0.25">
      <c r="A73" s="10"/>
      <c r="B73" s="2"/>
      <c r="C73" s="2"/>
      <c r="E73" s="11"/>
      <c r="H73" s="56"/>
      <c r="N73" s="14"/>
      <c r="O73" s="14"/>
      <c r="P73" s="14"/>
    </row>
    <row r="74" spans="1:16" s="3" customFormat="1" x14ac:dyDescent="0.25">
      <c r="A74" s="10"/>
      <c r="B74" s="2"/>
      <c r="C74" s="2"/>
      <c r="E74" s="11"/>
      <c r="H74" s="56"/>
      <c r="N74" s="14"/>
      <c r="O74" s="14"/>
      <c r="P74" s="14"/>
    </row>
    <row r="75" spans="1:16" s="3" customFormat="1" x14ac:dyDescent="0.25">
      <c r="A75" s="10"/>
      <c r="B75" s="2"/>
      <c r="C75" s="2"/>
      <c r="E75" s="11"/>
      <c r="H75" s="56"/>
      <c r="N75" s="14"/>
      <c r="O75" s="14"/>
      <c r="P75" s="14"/>
    </row>
  </sheetData>
  <mergeCells count="2">
    <mergeCell ref="A55:L55"/>
    <mergeCell ref="O55:P55"/>
  </mergeCells>
  <conditionalFormatting sqref="C3:C54">
    <cfRule type="duplicateValues" dxfId="575" priority="9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6"/>
  <sheetViews>
    <sheetView topLeftCell="A28" workbookViewId="0">
      <selection activeCell="O37" sqref="O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403921</v>
      </c>
      <c r="B3" s="99" t="s">
        <v>3964</v>
      </c>
      <c r="C3" s="90" t="s">
        <v>3965</v>
      </c>
      <c r="D3" s="102" t="s">
        <v>57</v>
      </c>
      <c r="E3" s="91">
        <v>44551</v>
      </c>
      <c r="F3" s="102" t="s">
        <v>58</v>
      </c>
      <c r="G3" s="91">
        <v>44555</v>
      </c>
      <c r="H3" s="90" t="s">
        <v>3349</v>
      </c>
      <c r="I3" s="90">
        <v>88</v>
      </c>
      <c r="J3" s="90">
        <v>53</v>
      </c>
      <c r="K3" s="90">
        <v>26</v>
      </c>
      <c r="L3" s="90">
        <v>20</v>
      </c>
      <c r="M3" s="90">
        <v>30.315999999999999</v>
      </c>
      <c r="N3" s="104">
        <v>31</v>
      </c>
      <c r="O3" s="57">
        <v>7000</v>
      </c>
      <c r="P3" s="58">
        <f t="shared" ref="P3:P35" si="0">N3*O3</f>
        <v>217000</v>
      </c>
    </row>
    <row r="4" spans="1:16" ht="26.25" customHeight="1" x14ac:dyDescent="0.2">
      <c r="A4" s="100"/>
      <c r="B4" s="100"/>
      <c r="C4" s="90" t="s">
        <v>3966</v>
      </c>
      <c r="D4" s="102" t="s">
        <v>57</v>
      </c>
      <c r="E4" s="91">
        <v>44551</v>
      </c>
      <c r="F4" s="102" t="s">
        <v>58</v>
      </c>
      <c r="G4" s="91">
        <v>44555</v>
      </c>
      <c r="H4" s="90" t="s">
        <v>3349</v>
      </c>
      <c r="I4" s="90">
        <v>67</v>
      </c>
      <c r="J4" s="90">
        <v>54</v>
      </c>
      <c r="K4" s="90">
        <v>18</v>
      </c>
      <c r="L4" s="90">
        <v>7</v>
      </c>
      <c r="M4" s="90">
        <v>16.280999999999999</v>
      </c>
      <c r="N4" s="104">
        <v>16.280999999999999</v>
      </c>
      <c r="O4" s="57">
        <v>7000</v>
      </c>
      <c r="P4" s="58">
        <f t="shared" si="0"/>
        <v>113966.99999999999</v>
      </c>
    </row>
    <row r="5" spans="1:16" ht="26.25" customHeight="1" x14ac:dyDescent="0.2">
      <c r="A5" s="100"/>
      <c r="B5" s="100"/>
      <c r="C5" s="65" t="s">
        <v>3967</v>
      </c>
      <c r="D5" s="70" t="s">
        <v>57</v>
      </c>
      <c r="E5" s="12">
        <v>44551</v>
      </c>
      <c r="F5" s="68" t="s">
        <v>58</v>
      </c>
      <c r="G5" s="12">
        <v>44555</v>
      </c>
      <c r="H5" s="69" t="s">
        <v>3349</v>
      </c>
      <c r="I5" s="15">
        <v>92</v>
      </c>
      <c r="J5" s="15">
        <v>56</v>
      </c>
      <c r="K5" s="15">
        <v>29</v>
      </c>
      <c r="L5" s="15">
        <v>10</v>
      </c>
      <c r="M5" s="73">
        <v>37.351999999999997</v>
      </c>
      <c r="N5" s="104">
        <v>38</v>
      </c>
      <c r="O5" s="57">
        <v>7000</v>
      </c>
      <c r="P5" s="58">
        <f t="shared" si="0"/>
        <v>266000</v>
      </c>
    </row>
    <row r="6" spans="1:16" ht="26.25" customHeight="1" x14ac:dyDescent="0.2">
      <c r="A6" s="100"/>
      <c r="B6" s="100"/>
      <c r="C6" s="65" t="s">
        <v>3968</v>
      </c>
      <c r="D6" s="70" t="s">
        <v>57</v>
      </c>
      <c r="E6" s="12">
        <v>44551</v>
      </c>
      <c r="F6" s="68" t="s">
        <v>58</v>
      </c>
      <c r="G6" s="12">
        <v>44555</v>
      </c>
      <c r="H6" s="69" t="s">
        <v>3349</v>
      </c>
      <c r="I6" s="15">
        <v>88</v>
      </c>
      <c r="J6" s="15">
        <v>67</v>
      </c>
      <c r="K6" s="15">
        <v>32</v>
      </c>
      <c r="L6" s="15">
        <v>21</v>
      </c>
      <c r="M6" s="73">
        <v>47.167999999999999</v>
      </c>
      <c r="N6" s="104">
        <v>47.167999999999999</v>
      </c>
      <c r="O6" s="57">
        <v>7000</v>
      </c>
      <c r="P6" s="58">
        <f t="shared" si="0"/>
        <v>330176</v>
      </c>
    </row>
    <row r="7" spans="1:16" ht="26.25" customHeight="1" x14ac:dyDescent="0.2">
      <c r="A7" s="100"/>
      <c r="B7" s="100"/>
      <c r="C7" s="65" t="s">
        <v>3969</v>
      </c>
      <c r="D7" s="70" t="s">
        <v>57</v>
      </c>
      <c r="E7" s="12">
        <v>44551</v>
      </c>
      <c r="F7" s="68" t="s">
        <v>58</v>
      </c>
      <c r="G7" s="12">
        <v>44555</v>
      </c>
      <c r="H7" s="69" t="s">
        <v>3349</v>
      </c>
      <c r="I7" s="15">
        <v>57</v>
      </c>
      <c r="J7" s="15">
        <v>48</v>
      </c>
      <c r="K7" s="15">
        <v>22</v>
      </c>
      <c r="L7" s="15">
        <v>9</v>
      </c>
      <c r="M7" s="73">
        <v>15.048</v>
      </c>
      <c r="N7" s="104">
        <v>15.048</v>
      </c>
      <c r="O7" s="57">
        <v>7000</v>
      </c>
      <c r="P7" s="58">
        <f t="shared" si="0"/>
        <v>105336</v>
      </c>
    </row>
    <row r="8" spans="1:16" ht="26.25" customHeight="1" x14ac:dyDescent="0.2">
      <c r="A8" s="100"/>
      <c r="B8" s="100"/>
      <c r="C8" s="65" t="s">
        <v>3970</v>
      </c>
      <c r="D8" s="70" t="s">
        <v>57</v>
      </c>
      <c r="E8" s="12">
        <v>44551</v>
      </c>
      <c r="F8" s="68" t="s">
        <v>58</v>
      </c>
      <c r="G8" s="12">
        <v>44555</v>
      </c>
      <c r="H8" s="69" t="s">
        <v>3349</v>
      </c>
      <c r="I8" s="15">
        <v>98</v>
      </c>
      <c r="J8" s="15">
        <v>64</v>
      </c>
      <c r="K8" s="15">
        <v>35</v>
      </c>
      <c r="L8" s="15">
        <v>28</v>
      </c>
      <c r="M8" s="73">
        <v>54.88</v>
      </c>
      <c r="N8" s="104">
        <v>54.88</v>
      </c>
      <c r="O8" s="57">
        <v>7000</v>
      </c>
      <c r="P8" s="58">
        <f t="shared" si="0"/>
        <v>384160</v>
      </c>
    </row>
    <row r="9" spans="1:16" ht="26.25" customHeight="1" x14ac:dyDescent="0.2">
      <c r="A9" s="100"/>
      <c r="B9" s="100"/>
      <c r="C9" s="65" t="s">
        <v>3971</v>
      </c>
      <c r="D9" s="70" t="s">
        <v>57</v>
      </c>
      <c r="E9" s="12">
        <v>44551</v>
      </c>
      <c r="F9" s="68" t="s">
        <v>58</v>
      </c>
      <c r="G9" s="12">
        <v>44555</v>
      </c>
      <c r="H9" s="69" t="s">
        <v>3349</v>
      </c>
      <c r="I9" s="15">
        <v>66</v>
      </c>
      <c r="J9" s="15">
        <v>44</v>
      </c>
      <c r="K9" s="15">
        <v>23</v>
      </c>
      <c r="L9" s="15">
        <v>6</v>
      </c>
      <c r="M9" s="73">
        <v>16.698</v>
      </c>
      <c r="N9" s="104">
        <v>16.698</v>
      </c>
      <c r="O9" s="57">
        <v>7000</v>
      </c>
      <c r="P9" s="58">
        <f t="shared" si="0"/>
        <v>116886</v>
      </c>
    </row>
    <row r="10" spans="1:16" ht="26.25" customHeight="1" x14ac:dyDescent="0.2">
      <c r="A10" s="100"/>
      <c r="B10" s="100"/>
      <c r="C10" s="65" t="s">
        <v>3972</v>
      </c>
      <c r="D10" s="70" t="s">
        <v>57</v>
      </c>
      <c r="E10" s="12">
        <v>44551</v>
      </c>
      <c r="F10" s="68" t="s">
        <v>58</v>
      </c>
      <c r="G10" s="12">
        <v>44555</v>
      </c>
      <c r="H10" s="69" t="s">
        <v>3349</v>
      </c>
      <c r="I10" s="15">
        <v>54</v>
      </c>
      <c r="J10" s="15">
        <v>32</v>
      </c>
      <c r="K10" s="15">
        <v>16</v>
      </c>
      <c r="L10" s="15">
        <v>6</v>
      </c>
      <c r="M10" s="73">
        <v>6.9119999999999999</v>
      </c>
      <c r="N10" s="104">
        <v>6.9119999999999999</v>
      </c>
      <c r="O10" s="57">
        <v>7000</v>
      </c>
      <c r="P10" s="58">
        <f t="shared" si="0"/>
        <v>48384</v>
      </c>
    </row>
    <row r="11" spans="1:16" ht="26.25" customHeight="1" x14ac:dyDescent="0.2">
      <c r="A11" s="100"/>
      <c r="B11" s="100"/>
      <c r="C11" s="65" t="s">
        <v>3973</v>
      </c>
      <c r="D11" s="70" t="s">
        <v>57</v>
      </c>
      <c r="E11" s="12">
        <v>44551</v>
      </c>
      <c r="F11" s="68" t="s">
        <v>58</v>
      </c>
      <c r="G11" s="12">
        <v>44555</v>
      </c>
      <c r="H11" s="69" t="s">
        <v>3349</v>
      </c>
      <c r="I11" s="15">
        <v>78</v>
      </c>
      <c r="J11" s="15">
        <v>43</v>
      </c>
      <c r="K11" s="15">
        <v>22</v>
      </c>
      <c r="L11" s="15">
        <v>8</v>
      </c>
      <c r="M11" s="73">
        <v>18.446999999999999</v>
      </c>
      <c r="N11" s="104">
        <v>19</v>
      </c>
      <c r="O11" s="57">
        <v>7000</v>
      </c>
      <c r="P11" s="58">
        <f t="shared" si="0"/>
        <v>133000</v>
      </c>
    </row>
    <row r="12" spans="1:16" ht="26.25" customHeight="1" x14ac:dyDescent="0.2">
      <c r="A12" s="100"/>
      <c r="B12" s="100"/>
      <c r="C12" s="65" t="s">
        <v>3974</v>
      </c>
      <c r="D12" s="70" t="s">
        <v>57</v>
      </c>
      <c r="E12" s="12">
        <v>44551</v>
      </c>
      <c r="F12" s="68" t="s">
        <v>58</v>
      </c>
      <c r="G12" s="12">
        <v>44555</v>
      </c>
      <c r="H12" s="69" t="s">
        <v>3349</v>
      </c>
      <c r="I12" s="15">
        <v>95</v>
      </c>
      <c r="J12" s="15">
        <v>58</v>
      </c>
      <c r="K12" s="15">
        <v>32</v>
      </c>
      <c r="L12" s="15">
        <v>21</v>
      </c>
      <c r="M12" s="73">
        <v>44.08</v>
      </c>
      <c r="N12" s="104">
        <v>44.08</v>
      </c>
      <c r="O12" s="57">
        <v>7000</v>
      </c>
      <c r="P12" s="58">
        <f t="shared" si="0"/>
        <v>308560</v>
      </c>
    </row>
    <row r="13" spans="1:16" ht="26.25" customHeight="1" x14ac:dyDescent="0.2">
      <c r="A13" s="100"/>
      <c r="B13" s="100"/>
      <c r="C13" s="65" t="s">
        <v>3975</v>
      </c>
      <c r="D13" s="70" t="s">
        <v>57</v>
      </c>
      <c r="E13" s="12">
        <v>44551</v>
      </c>
      <c r="F13" s="68" t="s">
        <v>58</v>
      </c>
      <c r="G13" s="12">
        <v>44555</v>
      </c>
      <c r="H13" s="69" t="s">
        <v>3349</v>
      </c>
      <c r="I13" s="15">
        <v>45</v>
      </c>
      <c r="J13" s="15">
        <v>35</v>
      </c>
      <c r="K13" s="15">
        <v>18</v>
      </c>
      <c r="L13" s="15">
        <v>4</v>
      </c>
      <c r="M13" s="73">
        <v>7.0875000000000004</v>
      </c>
      <c r="N13" s="104">
        <v>7.0875000000000004</v>
      </c>
      <c r="O13" s="57">
        <v>7000</v>
      </c>
      <c r="P13" s="58">
        <f t="shared" si="0"/>
        <v>49612.5</v>
      </c>
    </row>
    <row r="14" spans="1:16" ht="26.25" customHeight="1" x14ac:dyDescent="0.2">
      <c r="A14" s="100"/>
      <c r="B14" s="100"/>
      <c r="C14" s="65" t="s">
        <v>3976</v>
      </c>
      <c r="D14" s="70" t="s">
        <v>57</v>
      </c>
      <c r="E14" s="12">
        <v>44551</v>
      </c>
      <c r="F14" s="68" t="s">
        <v>58</v>
      </c>
      <c r="G14" s="12">
        <v>44555</v>
      </c>
      <c r="H14" s="69" t="s">
        <v>3349</v>
      </c>
      <c r="I14" s="15">
        <v>89</v>
      </c>
      <c r="J14" s="15">
        <v>53</v>
      </c>
      <c r="K14" s="15">
        <v>23</v>
      </c>
      <c r="L14" s="15">
        <v>11</v>
      </c>
      <c r="M14" s="73">
        <v>27.12275</v>
      </c>
      <c r="N14" s="104">
        <v>27.12275</v>
      </c>
      <c r="O14" s="57">
        <v>7000</v>
      </c>
      <c r="P14" s="58">
        <f t="shared" si="0"/>
        <v>189859.25</v>
      </c>
    </row>
    <row r="15" spans="1:16" ht="26.25" customHeight="1" x14ac:dyDescent="0.2">
      <c r="A15" s="100"/>
      <c r="B15" s="100"/>
      <c r="C15" s="65" t="s">
        <v>3977</v>
      </c>
      <c r="D15" s="70" t="s">
        <v>57</v>
      </c>
      <c r="E15" s="12">
        <v>44551</v>
      </c>
      <c r="F15" s="68" t="s">
        <v>58</v>
      </c>
      <c r="G15" s="12">
        <v>44555</v>
      </c>
      <c r="H15" s="69" t="s">
        <v>3349</v>
      </c>
      <c r="I15" s="15">
        <v>75</v>
      </c>
      <c r="J15" s="15">
        <v>54</v>
      </c>
      <c r="K15" s="15">
        <v>22</v>
      </c>
      <c r="L15" s="15">
        <v>5</v>
      </c>
      <c r="M15" s="73">
        <v>22.274999999999999</v>
      </c>
      <c r="N15" s="104">
        <v>22.274999999999999</v>
      </c>
      <c r="O15" s="57">
        <v>7000</v>
      </c>
      <c r="P15" s="58">
        <f t="shared" si="0"/>
        <v>155925</v>
      </c>
    </row>
    <row r="16" spans="1:16" ht="26.25" customHeight="1" x14ac:dyDescent="0.2">
      <c r="A16" s="100"/>
      <c r="B16" s="100"/>
      <c r="C16" s="65" t="s">
        <v>3978</v>
      </c>
      <c r="D16" s="70" t="s">
        <v>57</v>
      </c>
      <c r="E16" s="12">
        <v>44551</v>
      </c>
      <c r="F16" s="68" t="s">
        <v>58</v>
      </c>
      <c r="G16" s="12">
        <v>44555</v>
      </c>
      <c r="H16" s="69" t="s">
        <v>3349</v>
      </c>
      <c r="I16" s="15">
        <v>98</v>
      </c>
      <c r="J16" s="15">
        <v>66</v>
      </c>
      <c r="K16" s="15">
        <v>22</v>
      </c>
      <c r="L16" s="15">
        <v>9</v>
      </c>
      <c r="M16" s="73">
        <v>35.573999999999998</v>
      </c>
      <c r="N16" s="104">
        <v>35.573999999999998</v>
      </c>
      <c r="O16" s="57">
        <v>7000</v>
      </c>
      <c r="P16" s="58">
        <f t="shared" si="0"/>
        <v>249018</v>
      </c>
    </row>
    <row r="17" spans="1:16" ht="26.25" customHeight="1" x14ac:dyDescent="0.2">
      <c r="A17" s="100"/>
      <c r="B17" s="100"/>
      <c r="C17" s="65" t="s">
        <v>3979</v>
      </c>
      <c r="D17" s="70" t="s">
        <v>57</v>
      </c>
      <c r="E17" s="12">
        <v>44551</v>
      </c>
      <c r="F17" s="68" t="s">
        <v>58</v>
      </c>
      <c r="G17" s="12">
        <v>44555</v>
      </c>
      <c r="H17" s="69" t="s">
        <v>3349</v>
      </c>
      <c r="I17" s="15">
        <v>90</v>
      </c>
      <c r="J17" s="15">
        <v>55</v>
      </c>
      <c r="K17" s="15">
        <v>27</v>
      </c>
      <c r="L17" s="15">
        <v>15</v>
      </c>
      <c r="M17" s="73">
        <v>33.412500000000001</v>
      </c>
      <c r="N17" s="104">
        <v>34</v>
      </c>
      <c r="O17" s="57">
        <v>7000</v>
      </c>
      <c r="P17" s="58">
        <f t="shared" si="0"/>
        <v>238000</v>
      </c>
    </row>
    <row r="18" spans="1:16" ht="26.25" customHeight="1" x14ac:dyDescent="0.2">
      <c r="A18" s="100"/>
      <c r="B18" s="100"/>
      <c r="C18" s="65" t="s">
        <v>3980</v>
      </c>
      <c r="D18" s="70" t="s">
        <v>57</v>
      </c>
      <c r="E18" s="12">
        <v>44551</v>
      </c>
      <c r="F18" s="68" t="s">
        <v>58</v>
      </c>
      <c r="G18" s="12">
        <v>44555</v>
      </c>
      <c r="H18" s="69" t="s">
        <v>3349</v>
      </c>
      <c r="I18" s="15">
        <v>60</v>
      </c>
      <c r="J18" s="15">
        <v>50</v>
      </c>
      <c r="K18" s="15">
        <v>12</v>
      </c>
      <c r="L18" s="15">
        <v>5</v>
      </c>
      <c r="M18" s="73">
        <v>9</v>
      </c>
      <c r="N18" s="104">
        <v>9</v>
      </c>
      <c r="O18" s="57">
        <v>7000</v>
      </c>
      <c r="P18" s="58">
        <f t="shared" si="0"/>
        <v>63000</v>
      </c>
    </row>
    <row r="19" spans="1:16" ht="26.25" customHeight="1" x14ac:dyDescent="0.2">
      <c r="A19" s="100"/>
      <c r="B19" s="100"/>
      <c r="C19" s="65" t="s">
        <v>3981</v>
      </c>
      <c r="D19" s="70" t="s">
        <v>57</v>
      </c>
      <c r="E19" s="12">
        <v>44551</v>
      </c>
      <c r="F19" s="68" t="s">
        <v>58</v>
      </c>
      <c r="G19" s="12">
        <v>44555</v>
      </c>
      <c r="H19" s="69" t="s">
        <v>3349</v>
      </c>
      <c r="I19" s="15">
        <v>43</v>
      </c>
      <c r="J19" s="15">
        <v>38</v>
      </c>
      <c r="K19" s="15">
        <v>17</v>
      </c>
      <c r="L19" s="15">
        <v>5</v>
      </c>
      <c r="M19" s="73">
        <v>6.9444999999999997</v>
      </c>
      <c r="N19" s="104">
        <v>6.9444999999999997</v>
      </c>
      <c r="O19" s="57">
        <v>7000</v>
      </c>
      <c r="P19" s="58">
        <f t="shared" si="0"/>
        <v>48611.5</v>
      </c>
    </row>
    <row r="20" spans="1:16" ht="26.25" customHeight="1" x14ac:dyDescent="0.2">
      <c r="A20" s="100"/>
      <c r="B20" s="100"/>
      <c r="C20" s="65" t="s">
        <v>3982</v>
      </c>
      <c r="D20" s="70" t="s">
        <v>57</v>
      </c>
      <c r="E20" s="12">
        <v>44551</v>
      </c>
      <c r="F20" s="68" t="s">
        <v>58</v>
      </c>
      <c r="G20" s="12">
        <v>44555</v>
      </c>
      <c r="H20" s="69" t="s">
        <v>3349</v>
      </c>
      <c r="I20" s="15">
        <v>94</v>
      </c>
      <c r="J20" s="15">
        <v>75</v>
      </c>
      <c r="K20" s="15">
        <v>28</v>
      </c>
      <c r="L20" s="15">
        <v>17</v>
      </c>
      <c r="M20" s="73">
        <v>49.35</v>
      </c>
      <c r="N20" s="104">
        <v>50</v>
      </c>
      <c r="O20" s="57">
        <v>7000</v>
      </c>
      <c r="P20" s="58">
        <f t="shared" si="0"/>
        <v>350000</v>
      </c>
    </row>
    <row r="21" spans="1:16" ht="26.25" customHeight="1" x14ac:dyDescent="0.2">
      <c r="A21" s="100"/>
      <c r="B21" s="100"/>
      <c r="C21" s="65" t="s">
        <v>3983</v>
      </c>
      <c r="D21" s="70" t="s">
        <v>57</v>
      </c>
      <c r="E21" s="12">
        <v>44551</v>
      </c>
      <c r="F21" s="68" t="s">
        <v>58</v>
      </c>
      <c r="G21" s="12">
        <v>44555</v>
      </c>
      <c r="H21" s="69" t="s">
        <v>3349</v>
      </c>
      <c r="I21" s="15">
        <v>20</v>
      </c>
      <c r="J21" s="15">
        <v>101</v>
      </c>
      <c r="K21" s="15">
        <v>8</v>
      </c>
      <c r="L21" s="15">
        <v>1</v>
      </c>
      <c r="M21" s="73">
        <v>4.04</v>
      </c>
      <c r="N21" s="104">
        <v>4.04</v>
      </c>
      <c r="O21" s="57">
        <v>7000</v>
      </c>
      <c r="P21" s="58">
        <f t="shared" si="0"/>
        <v>28280</v>
      </c>
    </row>
    <row r="22" spans="1:16" ht="26.25" customHeight="1" x14ac:dyDescent="0.2">
      <c r="A22" s="100"/>
      <c r="B22" s="100"/>
      <c r="C22" s="65" t="s">
        <v>3984</v>
      </c>
      <c r="D22" s="70" t="s">
        <v>57</v>
      </c>
      <c r="E22" s="12">
        <v>44551</v>
      </c>
      <c r="F22" s="68" t="s">
        <v>58</v>
      </c>
      <c r="G22" s="12">
        <v>44555</v>
      </c>
      <c r="H22" s="69" t="s">
        <v>3349</v>
      </c>
      <c r="I22" s="15">
        <v>57</v>
      </c>
      <c r="J22" s="15">
        <v>34</v>
      </c>
      <c r="K22" s="15">
        <v>12</v>
      </c>
      <c r="L22" s="15">
        <v>4</v>
      </c>
      <c r="M22" s="73">
        <v>5.8140000000000001</v>
      </c>
      <c r="N22" s="104">
        <v>5.8140000000000001</v>
      </c>
      <c r="O22" s="57">
        <v>7000</v>
      </c>
      <c r="P22" s="58">
        <f t="shared" si="0"/>
        <v>40698</v>
      </c>
    </row>
    <row r="23" spans="1:16" ht="26.25" customHeight="1" x14ac:dyDescent="0.2">
      <c r="A23" s="100"/>
      <c r="B23" s="100"/>
      <c r="C23" s="65" t="s">
        <v>3985</v>
      </c>
      <c r="D23" s="70" t="s">
        <v>57</v>
      </c>
      <c r="E23" s="12">
        <v>44551</v>
      </c>
      <c r="F23" s="68" t="s">
        <v>58</v>
      </c>
      <c r="G23" s="12">
        <v>44555</v>
      </c>
      <c r="H23" s="69" t="s">
        <v>3349</v>
      </c>
      <c r="I23" s="15">
        <v>20</v>
      </c>
      <c r="J23" s="15">
        <v>15</v>
      </c>
      <c r="K23" s="15">
        <v>9</v>
      </c>
      <c r="L23" s="15">
        <v>1</v>
      </c>
      <c r="M23" s="73">
        <v>0.67500000000000004</v>
      </c>
      <c r="N23" s="104">
        <v>1</v>
      </c>
      <c r="O23" s="57">
        <v>7000</v>
      </c>
      <c r="P23" s="58">
        <f t="shared" si="0"/>
        <v>7000</v>
      </c>
    </row>
    <row r="24" spans="1:16" ht="26.25" customHeight="1" x14ac:dyDescent="0.2">
      <c r="A24" s="100"/>
      <c r="B24" s="100"/>
      <c r="C24" s="65" t="s">
        <v>3986</v>
      </c>
      <c r="D24" s="70" t="s">
        <v>57</v>
      </c>
      <c r="E24" s="12">
        <v>44551</v>
      </c>
      <c r="F24" s="68" t="s">
        <v>58</v>
      </c>
      <c r="G24" s="12">
        <v>44555</v>
      </c>
      <c r="H24" s="69" t="s">
        <v>3349</v>
      </c>
      <c r="I24" s="15">
        <v>54</v>
      </c>
      <c r="J24" s="15">
        <v>34</v>
      </c>
      <c r="K24" s="15">
        <v>12</v>
      </c>
      <c r="L24" s="15">
        <v>5</v>
      </c>
      <c r="M24" s="73">
        <v>5.508</v>
      </c>
      <c r="N24" s="104">
        <v>5.508</v>
      </c>
      <c r="O24" s="57">
        <v>7000</v>
      </c>
      <c r="P24" s="58">
        <f t="shared" si="0"/>
        <v>38556</v>
      </c>
    </row>
    <row r="25" spans="1:16" ht="26.25" customHeight="1" x14ac:dyDescent="0.2">
      <c r="A25" s="100"/>
      <c r="B25" s="100"/>
      <c r="C25" s="65" t="s">
        <v>3987</v>
      </c>
      <c r="D25" s="70" t="s">
        <v>57</v>
      </c>
      <c r="E25" s="12">
        <v>44551</v>
      </c>
      <c r="F25" s="68" t="s">
        <v>58</v>
      </c>
      <c r="G25" s="12">
        <v>44555</v>
      </c>
      <c r="H25" s="69" t="s">
        <v>3349</v>
      </c>
      <c r="I25" s="15">
        <v>45</v>
      </c>
      <c r="J25" s="15">
        <v>32</v>
      </c>
      <c r="K25" s="15">
        <v>18</v>
      </c>
      <c r="L25" s="15">
        <v>1</v>
      </c>
      <c r="M25" s="73">
        <v>6.48</v>
      </c>
      <c r="N25" s="104">
        <v>7</v>
      </c>
      <c r="O25" s="57">
        <v>7000</v>
      </c>
      <c r="P25" s="58">
        <f t="shared" si="0"/>
        <v>49000</v>
      </c>
    </row>
    <row r="26" spans="1:16" ht="26.25" customHeight="1" x14ac:dyDescent="0.2">
      <c r="A26" s="100"/>
      <c r="B26" s="100"/>
      <c r="C26" s="65" t="s">
        <v>3988</v>
      </c>
      <c r="D26" s="70" t="s">
        <v>57</v>
      </c>
      <c r="E26" s="12">
        <v>44551</v>
      </c>
      <c r="F26" s="68" t="s">
        <v>58</v>
      </c>
      <c r="G26" s="12">
        <v>44555</v>
      </c>
      <c r="H26" s="69" t="s">
        <v>3349</v>
      </c>
      <c r="I26" s="15">
        <v>98</v>
      </c>
      <c r="J26" s="15">
        <v>12</v>
      </c>
      <c r="K26" s="15">
        <v>10</v>
      </c>
      <c r="L26" s="15">
        <v>3</v>
      </c>
      <c r="M26" s="73">
        <v>2.94</v>
      </c>
      <c r="N26" s="104">
        <v>3</v>
      </c>
      <c r="O26" s="57">
        <v>7000</v>
      </c>
      <c r="P26" s="58">
        <f t="shared" si="0"/>
        <v>21000</v>
      </c>
    </row>
    <row r="27" spans="1:16" ht="26.25" customHeight="1" x14ac:dyDescent="0.2">
      <c r="A27" s="100"/>
      <c r="B27" s="100"/>
      <c r="C27" s="65" t="s">
        <v>3989</v>
      </c>
      <c r="D27" s="70" t="s">
        <v>57</v>
      </c>
      <c r="E27" s="12">
        <v>44551</v>
      </c>
      <c r="F27" s="68" t="s">
        <v>58</v>
      </c>
      <c r="G27" s="12">
        <v>44555</v>
      </c>
      <c r="H27" s="69" t="s">
        <v>3349</v>
      </c>
      <c r="I27" s="15">
        <v>88</v>
      </c>
      <c r="J27" s="15">
        <v>15</v>
      </c>
      <c r="K27" s="15">
        <v>9</v>
      </c>
      <c r="L27" s="15">
        <v>1</v>
      </c>
      <c r="M27" s="73">
        <v>2.97</v>
      </c>
      <c r="N27" s="104">
        <v>2.97</v>
      </c>
      <c r="O27" s="57">
        <v>7000</v>
      </c>
      <c r="P27" s="58">
        <f t="shared" si="0"/>
        <v>20790</v>
      </c>
    </row>
    <row r="28" spans="1:16" ht="26.25" customHeight="1" x14ac:dyDescent="0.2">
      <c r="A28" s="100"/>
      <c r="B28" s="100"/>
      <c r="C28" s="65" t="s">
        <v>3990</v>
      </c>
      <c r="D28" s="70" t="s">
        <v>57</v>
      </c>
      <c r="E28" s="12">
        <v>44551</v>
      </c>
      <c r="F28" s="68" t="s">
        <v>58</v>
      </c>
      <c r="G28" s="12">
        <v>44555</v>
      </c>
      <c r="H28" s="69" t="s">
        <v>3349</v>
      </c>
      <c r="I28" s="15">
        <v>54</v>
      </c>
      <c r="J28" s="15">
        <v>34</v>
      </c>
      <c r="K28" s="15">
        <v>15</v>
      </c>
      <c r="L28" s="15">
        <v>4</v>
      </c>
      <c r="M28" s="73">
        <v>6.8849999999999998</v>
      </c>
      <c r="N28" s="104">
        <v>6.8849999999999998</v>
      </c>
      <c r="O28" s="57">
        <v>7000</v>
      </c>
      <c r="P28" s="58">
        <f t="shared" si="0"/>
        <v>48195</v>
      </c>
    </row>
    <row r="29" spans="1:16" ht="26.25" customHeight="1" x14ac:dyDescent="0.2">
      <c r="A29" s="100"/>
      <c r="B29" s="100"/>
      <c r="C29" s="65" t="s">
        <v>3991</v>
      </c>
      <c r="D29" s="70" t="s">
        <v>57</v>
      </c>
      <c r="E29" s="12">
        <v>44551</v>
      </c>
      <c r="F29" s="68" t="s">
        <v>58</v>
      </c>
      <c r="G29" s="12">
        <v>44555</v>
      </c>
      <c r="H29" s="69" t="s">
        <v>3349</v>
      </c>
      <c r="I29" s="15">
        <v>55</v>
      </c>
      <c r="J29" s="15">
        <v>36</v>
      </c>
      <c r="K29" s="15">
        <v>15</v>
      </c>
      <c r="L29" s="15">
        <v>4</v>
      </c>
      <c r="M29" s="73">
        <v>7.4249999999999998</v>
      </c>
      <c r="N29" s="104">
        <v>8</v>
      </c>
      <c r="O29" s="57">
        <v>7000</v>
      </c>
      <c r="P29" s="58">
        <f t="shared" si="0"/>
        <v>56000</v>
      </c>
    </row>
    <row r="30" spans="1:16" ht="26.25" customHeight="1" x14ac:dyDescent="0.2">
      <c r="A30" s="100"/>
      <c r="B30" s="100"/>
      <c r="C30" s="65" t="s">
        <v>3992</v>
      </c>
      <c r="D30" s="70" t="s">
        <v>57</v>
      </c>
      <c r="E30" s="12">
        <v>44551</v>
      </c>
      <c r="F30" s="68" t="s">
        <v>58</v>
      </c>
      <c r="G30" s="12">
        <v>44555</v>
      </c>
      <c r="H30" s="69" t="s">
        <v>3349</v>
      </c>
      <c r="I30" s="15">
        <v>40</v>
      </c>
      <c r="J30" s="15">
        <v>35</v>
      </c>
      <c r="K30" s="15">
        <v>18</v>
      </c>
      <c r="L30" s="15">
        <v>2</v>
      </c>
      <c r="M30" s="73">
        <v>6.3</v>
      </c>
      <c r="N30" s="104">
        <v>7</v>
      </c>
      <c r="O30" s="57">
        <v>7000</v>
      </c>
      <c r="P30" s="58">
        <f t="shared" si="0"/>
        <v>49000</v>
      </c>
    </row>
    <row r="31" spans="1:16" ht="26.25" customHeight="1" x14ac:dyDescent="0.2">
      <c r="A31" s="100"/>
      <c r="B31" s="100"/>
      <c r="C31" s="65" t="s">
        <v>3993</v>
      </c>
      <c r="D31" s="70" t="s">
        <v>57</v>
      </c>
      <c r="E31" s="12">
        <v>44551</v>
      </c>
      <c r="F31" s="68" t="s">
        <v>58</v>
      </c>
      <c r="G31" s="12">
        <v>44555</v>
      </c>
      <c r="H31" s="69" t="s">
        <v>3349</v>
      </c>
      <c r="I31" s="15">
        <v>61</v>
      </c>
      <c r="J31" s="15">
        <v>58</v>
      </c>
      <c r="K31" s="15">
        <v>11</v>
      </c>
      <c r="L31" s="15">
        <v>4</v>
      </c>
      <c r="M31" s="73">
        <v>9.7294999999999998</v>
      </c>
      <c r="N31" s="104">
        <v>9.7294999999999998</v>
      </c>
      <c r="O31" s="57">
        <v>7000</v>
      </c>
      <c r="P31" s="58">
        <f t="shared" si="0"/>
        <v>68106.5</v>
      </c>
    </row>
    <row r="32" spans="1:16" ht="26.25" customHeight="1" x14ac:dyDescent="0.2">
      <c r="A32" s="100"/>
      <c r="B32" s="100"/>
      <c r="C32" s="65" t="s">
        <v>3994</v>
      </c>
      <c r="D32" s="70" t="s">
        <v>57</v>
      </c>
      <c r="E32" s="12">
        <v>44551</v>
      </c>
      <c r="F32" s="68" t="s">
        <v>58</v>
      </c>
      <c r="G32" s="12">
        <v>44555</v>
      </c>
      <c r="H32" s="69" t="s">
        <v>3349</v>
      </c>
      <c r="I32" s="15">
        <v>47</v>
      </c>
      <c r="J32" s="15">
        <v>32</v>
      </c>
      <c r="K32" s="15">
        <v>15</v>
      </c>
      <c r="L32" s="15">
        <v>4</v>
      </c>
      <c r="M32" s="73">
        <v>5.64</v>
      </c>
      <c r="N32" s="104">
        <v>5.64</v>
      </c>
      <c r="O32" s="57">
        <v>7000</v>
      </c>
      <c r="P32" s="58">
        <f t="shared" si="0"/>
        <v>39480</v>
      </c>
    </row>
    <row r="33" spans="1:16" ht="26.25" customHeight="1" x14ac:dyDescent="0.2">
      <c r="A33" s="100"/>
      <c r="B33" s="100"/>
      <c r="C33" s="65" t="s">
        <v>3995</v>
      </c>
      <c r="D33" s="70" t="s">
        <v>57</v>
      </c>
      <c r="E33" s="12">
        <v>44551</v>
      </c>
      <c r="F33" s="68" t="s">
        <v>58</v>
      </c>
      <c r="G33" s="12">
        <v>44555</v>
      </c>
      <c r="H33" s="69" t="s">
        <v>3349</v>
      </c>
      <c r="I33" s="15">
        <v>40</v>
      </c>
      <c r="J33" s="15">
        <v>42</v>
      </c>
      <c r="K33" s="15">
        <v>23</v>
      </c>
      <c r="L33" s="15">
        <v>5</v>
      </c>
      <c r="M33" s="73">
        <v>9.66</v>
      </c>
      <c r="N33" s="104">
        <v>9.66</v>
      </c>
      <c r="O33" s="57">
        <v>7000</v>
      </c>
      <c r="P33" s="58">
        <f t="shared" si="0"/>
        <v>67620</v>
      </c>
    </row>
    <row r="34" spans="1:16" ht="26.25" customHeight="1" x14ac:dyDescent="0.2">
      <c r="A34" s="100"/>
      <c r="B34" s="101"/>
      <c r="C34" s="65" t="s">
        <v>3996</v>
      </c>
      <c r="D34" s="70" t="s">
        <v>57</v>
      </c>
      <c r="E34" s="12">
        <v>44551</v>
      </c>
      <c r="F34" s="68" t="s">
        <v>58</v>
      </c>
      <c r="G34" s="12">
        <v>44555</v>
      </c>
      <c r="H34" s="69" t="s">
        <v>3349</v>
      </c>
      <c r="I34" s="15">
        <v>52</v>
      </c>
      <c r="J34" s="15">
        <v>13</v>
      </c>
      <c r="K34" s="15">
        <v>14</v>
      </c>
      <c r="L34" s="15">
        <v>3</v>
      </c>
      <c r="M34" s="73">
        <v>2.3660000000000001</v>
      </c>
      <c r="N34" s="104">
        <v>4</v>
      </c>
      <c r="O34" s="57">
        <v>7000</v>
      </c>
      <c r="P34" s="58">
        <f t="shared" si="0"/>
        <v>28000</v>
      </c>
    </row>
    <row r="35" spans="1:16" ht="26.25" customHeight="1" x14ac:dyDescent="0.2">
      <c r="A35" s="100"/>
      <c r="B35" s="100" t="s">
        <v>3997</v>
      </c>
      <c r="C35" s="65" t="s">
        <v>3998</v>
      </c>
      <c r="D35" s="70" t="s">
        <v>57</v>
      </c>
      <c r="E35" s="12">
        <v>44551</v>
      </c>
      <c r="F35" s="68" t="s">
        <v>58</v>
      </c>
      <c r="G35" s="12">
        <v>44555</v>
      </c>
      <c r="H35" s="69" t="s">
        <v>3349</v>
      </c>
      <c r="I35" s="15">
        <v>56</v>
      </c>
      <c r="J35" s="15">
        <v>34</v>
      </c>
      <c r="K35" s="15">
        <v>22</v>
      </c>
      <c r="L35" s="15">
        <v>7</v>
      </c>
      <c r="M35" s="73">
        <v>10.472</v>
      </c>
      <c r="N35" s="104">
        <v>11</v>
      </c>
      <c r="O35" s="57">
        <v>7000</v>
      </c>
      <c r="P35" s="58">
        <f t="shared" si="0"/>
        <v>77000</v>
      </c>
    </row>
    <row r="36" spans="1:16" ht="22.5" customHeight="1" x14ac:dyDescent="0.2">
      <c r="A36" s="159" t="s">
        <v>30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1"/>
      <c r="M36" s="71">
        <f>SUBTOTAL(109,Table22457891011234567891011121314151617181920212223242526272829303132333435373839404142434445464748495051525354555657585960616263646566[KG VOLUME])</f>
        <v>564.85275000000001</v>
      </c>
      <c r="N36" s="61">
        <f>SUM(N3:N35)</f>
        <v>572.31725000000006</v>
      </c>
      <c r="O36" s="162">
        <f>SUM(P3:P35)</f>
        <v>4006220.75</v>
      </c>
      <c r="P36" s="163"/>
    </row>
    <row r="37" spans="1:16" ht="18" customHeight="1" x14ac:dyDescent="0.2">
      <c r="A37" s="78"/>
      <c r="B37" s="49" t="s">
        <v>42</v>
      </c>
      <c r="C37" s="48"/>
      <c r="D37" s="50" t="s">
        <v>43</v>
      </c>
      <c r="E37" s="78"/>
      <c r="F37" s="78"/>
      <c r="G37" s="78"/>
      <c r="H37" s="78"/>
      <c r="I37" s="78"/>
      <c r="J37" s="78"/>
      <c r="K37" s="78"/>
      <c r="L37" s="78"/>
      <c r="M37" s="79"/>
      <c r="N37" s="80" t="s">
        <v>52</v>
      </c>
      <c r="O37" s="81"/>
      <c r="P37" s="81">
        <v>0</v>
      </c>
    </row>
    <row r="38" spans="1:16" ht="18" customHeight="1" thickBot="1" x14ac:dyDescent="0.25">
      <c r="A38" s="78"/>
      <c r="B38" s="49"/>
      <c r="C38" s="48"/>
      <c r="D38" s="50"/>
      <c r="E38" s="78"/>
      <c r="F38" s="78"/>
      <c r="G38" s="78"/>
      <c r="H38" s="78"/>
      <c r="I38" s="78"/>
      <c r="J38" s="78"/>
      <c r="K38" s="78"/>
      <c r="L38" s="78"/>
      <c r="M38" s="79"/>
      <c r="N38" s="82" t="s">
        <v>53</v>
      </c>
      <c r="O38" s="83"/>
      <c r="P38" s="83">
        <f>O36-P37</f>
        <v>4006220.75</v>
      </c>
    </row>
    <row r="39" spans="1:16" ht="18" customHeight="1" x14ac:dyDescent="0.2">
      <c r="A39" s="10"/>
      <c r="H39" s="56"/>
      <c r="N39" s="55" t="s">
        <v>31</v>
      </c>
      <c r="P39" s="62">
        <f>P38*1%</f>
        <v>40062.207500000004</v>
      </c>
    </row>
    <row r="40" spans="1:16" ht="18" customHeight="1" thickBot="1" x14ac:dyDescent="0.25">
      <c r="A40" s="10"/>
      <c r="H40" s="56"/>
      <c r="N40" s="55" t="s">
        <v>54</v>
      </c>
      <c r="P40" s="64">
        <f>P38*2%</f>
        <v>80124.415000000008</v>
      </c>
    </row>
    <row r="41" spans="1:16" ht="18" customHeight="1" x14ac:dyDescent="0.2">
      <c r="A41" s="10"/>
      <c r="H41" s="56"/>
      <c r="N41" s="59" t="s">
        <v>32</v>
      </c>
      <c r="O41" s="60"/>
      <c r="P41" s="63">
        <f>P38+P39-P40</f>
        <v>3966158.5425</v>
      </c>
    </row>
    <row r="43" spans="1:16" x14ac:dyDescent="0.2">
      <c r="A43" s="10"/>
      <c r="H43" s="56"/>
      <c r="P43" s="64"/>
    </row>
    <row r="44" spans="1:16" x14ac:dyDescent="0.2">
      <c r="A44" s="10"/>
      <c r="H44" s="56"/>
      <c r="O44" s="51"/>
      <c r="P44" s="6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</sheetData>
  <mergeCells count="2">
    <mergeCell ref="A36:L36"/>
    <mergeCell ref="O36:P36"/>
  </mergeCells>
  <conditionalFormatting sqref="C3:C35">
    <cfRule type="duplicateValues" dxfId="559" priority="9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1"/>
  <sheetViews>
    <sheetView workbookViewId="0">
      <selection activeCell="N40" sqref="N3:N4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402704</v>
      </c>
      <c r="B3" s="99" t="s">
        <v>3999</v>
      </c>
      <c r="C3" s="90" t="s">
        <v>4000</v>
      </c>
      <c r="D3" s="102" t="s">
        <v>57</v>
      </c>
      <c r="E3" s="91">
        <v>44551</v>
      </c>
      <c r="F3" s="102" t="s">
        <v>58</v>
      </c>
      <c r="G3" s="91">
        <v>44555</v>
      </c>
      <c r="H3" s="90" t="s">
        <v>3349</v>
      </c>
      <c r="I3" s="90">
        <v>80</v>
      </c>
      <c r="J3" s="90">
        <v>60</v>
      </c>
      <c r="K3" s="90">
        <v>26</v>
      </c>
      <c r="L3" s="90">
        <v>6</v>
      </c>
      <c r="M3" s="90">
        <v>31.2</v>
      </c>
      <c r="N3" s="104">
        <v>31.2</v>
      </c>
      <c r="O3" s="57">
        <v>7000</v>
      </c>
      <c r="P3" s="58">
        <f t="shared" ref="P3:P40" si="0">N3*O3</f>
        <v>218400</v>
      </c>
    </row>
    <row r="4" spans="1:16" ht="26.25" customHeight="1" x14ac:dyDescent="0.2">
      <c r="A4" s="100"/>
      <c r="B4" s="100"/>
      <c r="C4" s="90" t="s">
        <v>4001</v>
      </c>
      <c r="D4" s="102" t="s">
        <v>57</v>
      </c>
      <c r="E4" s="91">
        <v>44551</v>
      </c>
      <c r="F4" s="102" t="s">
        <v>58</v>
      </c>
      <c r="G4" s="91">
        <v>44555</v>
      </c>
      <c r="H4" s="90" t="s">
        <v>3349</v>
      </c>
      <c r="I4" s="90">
        <v>90</v>
      </c>
      <c r="J4" s="90">
        <v>62</v>
      </c>
      <c r="K4" s="90">
        <v>29</v>
      </c>
      <c r="L4" s="90">
        <v>11</v>
      </c>
      <c r="M4" s="90">
        <v>40.454999999999998</v>
      </c>
      <c r="N4" s="104">
        <v>41</v>
      </c>
      <c r="O4" s="57">
        <v>7000</v>
      </c>
      <c r="P4" s="58">
        <f t="shared" si="0"/>
        <v>287000</v>
      </c>
    </row>
    <row r="5" spans="1:16" ht="26.25" customHeight="1" x14ac:dyDescent="0.2">
      <c r="A5" s="100"/>
      <c r="B5" s="100"/>
      <c r="C5" s="65" t="s">
        <v>4002</v>
      </c>
      <c r="D5" s="70" t="s">
        <v>57</v>
      </c>
      <c r="E5" s="12">
        <v>44551</v>
      </c>
      <c r="F5" s="68" t="s">
        <v>58</v>
      </c>
      <c r="G5" s="12">
        <v>44555</v>
      </c>
      <c r="H5" s="69" t="s">
        <v>3349</v>
      </c>
      <c r="I5" s="15">
        <v>65</v>
      </c>
      <c r="J5" s="15">
        <v>62</v>
      </c>
      <c r="K5" s="15">
        <v>21</v>
      </c>
      <c r="L5" s="15">
        <v>5</v>
      </c>
      <c r="M5" s="73">
        <v>21.157499999999999</v>
      </c>
      <c r="N5" s="104">
        <v>21.157499999999999</v>
      </c>
      <c r="O5" s="57">
        <v>7000</v>
      </c>
      <c r="P5" s="58">
        <f t="shared" si="0"/>
        <v>148102.5</v>
      </c>
    </row>
    <row r="6" spans="1:16" ht="26.25" customHeight="1" x14ac:dyDescent="0.2">
      <c r="A6" s="100"/>
      <c r="B6" s="100"/>
      <c r="C6" s="65" t="s">
        <v>4003</v>
      </c>
      <c r="D6" s="70" t="s">
        <v>57</v>
      </c>
      <c r="E6" s="12">
        <v>44551</v>
      </c>
      <c r="F6" s="68" t="s">
        <v>58</v>
      </c>
      <c r="G6" s="12">
        <v>44555</v>
      </c>
      <c r="H6" s="69" t="s">
        <v>3349</v>
      </c>
      <c r="I6" s="15">
        <v>10</v>
      </c>
      <c r="J6" s="15">
        <v>12</v>
      </c>
      <c r="K6" s="15">
        <v>6</v>
      </c>
      <c r="L6" s="15">
        <v>1</v>
      </c>
      <c r="M6" s="73">
        <v>0.18</v>
      </c>
      <c r="N6" s="104">
        <v>1</v>
      </c>
      <c r="O6" s="57">
        <v>7000</v>
      </c>
      <c r="P6" s="58">
        <f t="shared" si="0"/>
        <v>7000</v>
      </c>
    </row>
    <row r="7" spans="1:16" ht="26.25" customHeight="1" x14ac:dyDescent="0.2">
      <c r="A7" s="100"/>
      <c r="B7" s="100"/>
      <c r="C7" s="65" t="s">
        <v>4004</v>
      </c>
      <c r="D7" s="70" t="s">
        <v>57</v>
      </c>
      <c r="E7" s="12">
        <v>44551</v>
      </c>
      <c r="F7" s="68" t="s">
        <v>58</v>
      </c>
      <c r="G7" s="12">
        <v>44555</v>
      </c>
      <c r="H7" s="69" t="s">
        <v>3349</v>
      </c>
      <c r="I7" s="15">
        <v>15</v>
      </c>
      <c r="J7" s="15">
        <v>12</v>
      </c>
      <c r="K7" s="15">
        <v>8</v>
      </c>
      <c r="L7" s="15">
        <v>3</v>
      </c>
      <c r="M7" s="73">
        <v>0.36</v>
      </c>
      <c r="N7" s="104">
        <v>4</v>
      </c>
      <c r="O7" s="57">
        <v>7000</v>
      </c>
      <c r="P7" s="58">
        <f t="shared" si="0"/>
        <v>28000</v>
      </c>
    </row>
    <row r="8" spans="1:16" ht="26.25" customHeight="1" x14ac:dyDescent="0.2">
      <c r="A8" s="100"/>
      <c r="B8" s="100"/>
      <c r="C8" s="65" t="s">
        <v>4005</v>
      </c>
      <c r="D8" s="70" t="s">
        <v>57</v>
      </c>
      <c r="E8" s="12">
        <v>44551</v>
      </c>
      <c r="F8" s="68" t="s">
        <v>58</v>
      </c>
      <c r="G8" s="12">
        <v>44555</v>
      </c>
      <c r="H8" s="69" t="s">
        <v>3349</v>
      </c>
      <c r="I8" s="15">
        <v>90</v>
      </c>
      <c r="J8" s="15">
        <v>56</v>
      </c>
      <c r="K8" s="15">
        <v>34</v>
      </c>
      <c r="L8" s="15">
        <v>18</v>
      </c>
      <c r="M8" s="73">
        <v>42.84</v>
      </c>
      <c r="N8" s="104">
        <v>42.84</v>
      </c>
      <c r="O8" s="57">
        <v>7000</v>
      </c>
      <c r="P8" s="58">
        <f t="shared" si="0"/>
        <v>299880</v>
      </c>
    </row>
    <row r="9" spans="1:16" ht="26.25" customHeight="1" x14ac:dyDescent="0.2">
      <c r="A9" s="100"/>
      <c r="B9" s="100"/>
      <c r="C9" s="65" t="s">
        <v>4006</v>
      </c>
      <c r="D9" s="70" t="s">
        <v>57</v>
      </c>
      <c r="E9" s="12">
        <v>44551</v>
      </c>
      <c r="F9" s="68" t="s">
        <v>58</v>
      </c>
      <c r="G9" s="12">
        <v>44555</v>
      </c>
      <c r="H9" s="69" t="s">
        <v>3349</v>
      </c>
      <c r="I9" s="15">
        <v>89</v>
      </c>
      <c r="J9" s="15">
        <v>57</v>
      </c>
      <c r="K9" s="15">
        <v>32</v>
      </c>
      <c r="L9" s="15">
        <v>10</v>
      </c>
      <c r="M9" s="73">
        <v>40.584000000000003</v>
      </c>
      <c r="N9" s="104">
        <v>40.584000000000003</v>
      </c>
      <c r="O9" s="57">
        <v>7000</v>
      </c>
      <c r="P9" s="58">
        <f t="shared" si="0"/>
        <v>284088</v>
      </c>
    </row>
    <row r="10" spans="1:16" ht="26.25" customHeight="1" x14ac:dyDescent="0.2">
      <c r="A10" s="100"/>
      <c r="B10" s="100"/>
      <c r="C10" s="65" t="s">
        <v>4007</v>
      </c>
      <c r="D10" s="70" t="s">
        <v>57</v>
      </c>
      <c r="E10" s="12">
        <v>44551</v>
      </c>
      <c r="F10" s="68" t="s">
        <v>58</v>
      </c>
      <c r="G10" s="12">
        <v>44555</v>
      </c>
      <c r="H10" s="69" t="s">
        <v>3349</v>
      </c>
      <c r="I10" s="15">
        <v>45</v>
      </c>
      <c r="J10" s="15">
        <v>25</v>
      </c>
      <c r="K10" s="15">
        <v>16</v>
      </c>
      <c r="L10" s="15">
        <v>3</v>
      </c>
      <c r="M10" s="73">
        <v>4.5</v>
      </c>
      <c r="N10" s="104">
        <v>6</v>
      </c>
      <c r="O10" s="57">
        <v>7000</v>
      </c>
      <c r="P10" s="58">
        <f t="shared" si="0"/>
        <v>42000</v>
      </c>
    </row>
    <row r="11" spans="1:16" ht="26.25" customHeight="1" x14ac:dyDescent="0.2">
      <c r="A11" s="100"/>
      <c r="B11" s="100"/>
      <c r="C11" s="65" t="s">
        <v>4008</v>
      </c>
      <c r="D11" s="70" t="s">
        <v>57</v>
      </c>
      <c r="E11" s="12">
        <v>44551</v>
      </c>
      <c r="F11" s="68" t="s">
        <v>58</v>
      </c>
      <c r="G11" s="12">
        <v>44555</v>
      </c>
      <c r="H11" s="69" t="s">
        <v>3349</v>
      </c>
      <c r="I11" s="15">
        <v>87</v>
      </c>
      <c r="J11" s="15">
        <v>52</v>
      </c>
      <c r="K11" s="15">
        <v>26</v>
      </c>
      <c r="L11" s="15">
        <v>13</v>
      </c>
      <c r="M11" s="73">
        <v>29.405999999999999</v>
      </c>
      <c r="N11" s="104">
        <v>30</v>
      </c>
      <c r="O11" s="57">
        <v>7000</v>
      </c>
      <c r="P11" s="58">
        <f t="shared" si="0"/>
        <v>210000</v>
      </c>
    </row>
    <row r="12" spans="1:16" ht="26.25" customHeight="1" x14ac:dyDescent="0.2">
      <c r="A12" s="100"/>
      <c r="B12" s="100"/>
      <c r="C12" s="65" t="s">
        <v>4009</v>
      </c>
      <c r="D12" s="70" t="s">
        <v>57</v>
      </c>
      <c r="E12" s="12">
        <v>44551</v>
      </c>
      <c r="F12" s="68" t="s">
        <v>58</v>
      </c>
      <c r="G12" s="12">
        <v>44555</v>
      </c>
      <c r="H12" s="69" t="s">
        <v>3349</v>
      </c>
      <c r="I12" s="15">
        <v>100</v>
      </c>
      <c r="J12" s="15">
        <v>60</v>
      </c>
      <c r="K12" s="15">
        <v>32</v>
      </c>
      <c r="L12" s="15">
        <v>15</v>
      </c>
      <c r="M12" s="73">
        <v>48</v>
      </c>
      <c r="N12" s="104">
        <v>48</v>
      </c>
      <c r="O12" s="57">
        <v>7000</v>
      </c>
      <c r="P12" s="58">
        <f t="shared" si="0"/>
        <v>336000</v>
      </c>
    </row>
    <row r="13" spans="1:16" ht="26.25" customHeight="1" x14ac:dyDescent="0.2">
      <c r="A13" s="100"/>
      <c r="B13" s="100"/>
      <c r="C13" s="65" t="s">
        <v>4010</v>
      </c>
      <c r="D13" s="70" t="s">
        <v>57</v>
      </c>
      <c r="E13" s="12">
        <v>44551</v>
      </c>
      <c r="F13" s="68" t="s">
        <v>58</v>
      </c>
      <c r="G13" s="12">
        <v>44555</v>
      </c>
      <c r="H13" s="69" t="s">
        <v>3349</v>
      </c>
      <c r="I13" s="15">
        <v>80</v>
      </c>
      <c r="J13" s="15">
        <v>60</v>
      </c>
      <c r="K13" s="15">
        <v>25</v>
      </c>
      <c r="L13" s="15">
        <v>11</v>
      </c>
      <c r="M13" s="73">
        <v>30</v>
      </c>
      <c r="N13" s="104">
        <v>30</v>
      </c>
      <c r="O13" s="57">
        <v>7000</v>
      </c>
      <c r="P13" s="58">
        <f t="shared" si="0"/>
        <v>210000</v>
      </c>
    </row>
    <row r="14" spans="1:16" ht="26.25" customHeight="1" x14ac:dyDescent="0.2">
      <c r="A14" s="100"/>
      <c r="B14" s="100"/>
      <c r="C14" s="65" t="s">
        <v>4011</v>
      </c>
      <c r="D14" s="70" t="s">
        <v>57</v>
      </c>
      <c r="E14" s="12">
        <v>44551</v>
      </c>
      <c r="F14" s="68" t="s">
        <v>58</v>
      </c>
      <c r="G14" s="12">
        <v>44555</v>
      </c>
      <c r="H14" s="69" t="s">
        <v>3349</v>
      </c>
      <c r="I14" s="15">
        <v>60</v>
      </c>
      <c r="J14" s="15">
        <v>47</v>
      </c>
      <c r="K14" s="15">
        <v>50</v>
      </c>
      <c r="L14" s="15">
        <v>24</v>
      </c>
      <c r="M14" s="73">
        <v>35.25</v>
      </c>
      <c r="N14" s="104">
        <v>35.25</v>
      </c>
      <c r="O14" s="57">
        <v>7000</v>
      </c>
      <c r="P14" s="58">
        <f t="shared" si="0"/>
        <v>246750</v>
      </c>
    </row>
    <row r="15" spans="1:16" ht="26.25" customHeight="1" x14ac:dyDescent="0.2">
      <c r="A15" s="100"/>
      <c r="B15" s="100"/>
      <c r="C15" s="65" t="s">
        <v>4012</v>
      </c>
      <c r="D15" s="70" t="s">
        <v>57</v>
      </c>
      <c r="E15" s="12">
        <v>44551</v>
      </c>
      <c r="F15" s="68" t="s">
        <v>58</v>
      </c>
      <c r="G15" s="12">
        <v>44555</v>
      </c>
      <c r="H15" s="69" t="s">
        <v>3349</v>
      </c>
      <c r="I15" s="15">
        <v>72</v>
      </c>
      <c r="J15" s="15">
        <v>54</v>
      </c>
      <c r="K15" s="15">
        <v>23</v>
      </c>
      <c r="L15" s="15">
        <v>11</v>
      </c>
      <c r="M15" s="73">
        <v>22.356000000000002</v>
      </c>
      <c r="N15" s="104">
        <v>23</v>
      </c>
      <c r="O15" s="57">
        <v>7000</v>
      </c>
      <c r="P15" s="58">
        <f t="shared" si="0"/>
        <v>161000</v>
      </c>
    </row>
    <row r="16" spans="1:16" ht="26.25" customHeight="1" x14ac:dyDescent="0.2">
      <c r="A16" s="100"/>
      <c r="B16" s="100"/>
      <c r="C16" s="65" t="s">
        <v>4013</v>
      </c>
      <c r="D16" s="70" t="s">
        <v>57</v>
      </c>
      <c r="E16" s="12">
        <v>44551</v>
      </c>
      <c r="F16" s="68" t="s">
        <v>58</v>
      </c>
      <c r="G16" s="12">
        <v>44555</v>
      </c>
      <c r="H16" s="69" t="s">
        <v>3349</v>
      </c>
      <c r="I16" s="15">
        <v>100</v>
      </c>
      <c r="J16" s="15">
        <v>50</v>
      </c>
      <c r="K16" s="15">
        <v>25</v>
      </c>
      <c r="L16" s="15">
        <v>5</v>
      </c>
      <c r="M16" s="73">
        <v>31.25</v>
      </c>
      <c r="N16" s="104">
        <v>31.25</v>
      </c>
      <c r="O16" s="57">
        <v>7000</v>
      </c>
      <c r="P16" s="58">
        <f t="shared" si="0"/>
        <v>218750</v>
      </c>
    </row>
    <row r="17" spans="1:16" ht="26.25" customHeight="1" x14ac:dyDescent="0.2">
      <c r="A17" s="100"/>
      <c r="B17" s="100"/>
      <c r="C17" s="65" t="s">
        <v>4014</v>
      </c>
      <c r="D17" s="70" t="s">
        <v>57</v>
      </c>
      <c r="E17" s="12">
        <v>44551</v>
      </c>
      <c r="F17" s="68" t="s">
        <v>58</v>
      </c>
      <c r="G17" s="12">
        <v>44555</v>
      </c>
      <c r="H17" s="69" t="s">
        <v>3349</v>
      </c>
      <c r="I17" s="15">
        <v>93</v>
      </c>
      <c r="J17" s="15">
        <v>63</v>
      </c>
      <c r="K17" s="15">
        <v>32</v>
      </c>
      <c r="L17" s="15">
        <v>18</v>
      </c>
      <c r="M17" s="73">
        <v>46.872</v>
      </c>
      <c r="N17" s="104">
        <v>46.872</v>
      </c>
      <c r="O17" s="57">
        <v>7000</v>
      </c>
      <c r="P17" s="58">
        <f t="shared" si="0"/>
        <v>328104</v>
      </c>
    </row>
    <row r="18" spans="1:16" ht="26.25" customHeight="1" x14ac:dyDescent="0.2">
      <c r="A18" s="100"/>
      <c r="B18" s="100"/>
      <c r="C18" s="65" t="s">
        <v>4015</v>
      </c>
      <c r="D18" s="70" t="s">
        <v>57</v>
      </c>
      <c r="E18" s="12">
        <v>44551</v>
      </c>
      <c r="F18" s="68" t="s">
        <v>58</v>
      </c>
      <c r="G18" s="12">
        <v>44555</v>
      </c>
      <c r="H18" s="69" t="s">
        <v>3349</v>
      </c>
      <c r="I18" s="15">
        <v>72</v>
      </c>
      <c r="J18" s="15">
        <v>53</v>
      </c>
      <c r="K18" s="15">
        <v>24</v>
      </c>
      <c r="L18" s="15">
        <v>7</v>
      </c>
      <c r="M18" s="73">
        <v>22.896000000000001</v>
      </c>
      <c r="N18" s="104">
        <v>22.896000000000001</v>
      </c>
      <c r="O18" s="57">
        <v>7000</v>
      </c>
      <c r="P18" s="58">
        <f t="shared" si="0"/>
        <v>160272</v>
      </c>
    </row>
    <row r="19" spans="1:16" ht="26.25" customHeight="1" x14ac:dyDescent="0.2">
      <c r="A19" s="100"/>
      <c r="B19" s="100"/>
      <c r="C19" s="65" t="s">
        <v>4016</v>
      </c>
      <c r="D19" s="70" t="s">
        <v>57</v>
      </c>
      <c r="E19" s="12">
        <v>44551</v>
      </c>
      <c r="F19" s="68" t="s">
        <v>58</v>
      </c>
      <c r="G19" s="12">
        <v>44555</v>
      </c>
      <c r="H19" s="69" t="s">
        <v>3349</v>
      </c>
      <c r="I19" s="15">
        <v>60</v>
      </c>
      <c r="J19" s="15">
        <v>45</v>
      </c>
      <c r="K19" s="15">
        <v>26</v>
      </c>
      <c r="L19" s="15">
        <v>3</v>
      </c>
      <c r="M19" s="73">
        <v>17.55</v>
      </c>
      <c r="N19" s="104">
        <v>17.55</v>
      </c>
      <c r="O19" s="57">
        <v>7000</v>
      </c>
      <c r="P19" s="58">
        <f t="shared" si="0"/>
        <v>122850</v>
      </c>
    </row>
    <row r="20" spans="1:16" ht="26.25" customHeight="1" x14ac:dyDescent="0.2">
      <c r="A20" s="100"/>
      <c r="B20" s="100"/>
      <c r="C20" s="65" t="s">
        <v>4017</v>
      </c>
      <c r="D20" s="70" t="s">
        <v>57</v>
      </c>
      <c r="E20" s="12">
        <v>44551</v>
      </c>
      <c r="F20" s="68" t="s">
        <v>58</v>
      </c>
      <c r="G20" s="12">
        <v>44555</v>
      </c>
      <c r="H20" s="69" t="s">
        <v>3349</v>
      </c>
      <c r="I20" s="15">
        <v>43</v>
      </c>
      <c r="J20" s="15">
        <v>29</v>
      </c>
      <c r="K20" s="15">
        <v>25</v>
      </c>
      <c r="L20" s="15">
        <v>4</v>
      </c>
      <c r="M20" s="73">
        <v>7.7937500000000002</v>
      </c>
      <c r="N20" s="104">
        <v>7.7937500000000002</v>
      </c>
      <c r="O20" s="57">
        <v>7000</v>
      </c>
      <c r="P20" s="58">
        <f t="shared" si="0"/>
        <v>54556.25</v>
      </c>
    </row>
    <row r="21" spans="1:16" ht="26.25" customHeight="1" x14ac:dyDescent="0.2">
      <c r="A21" s="100"/>
      <c r="B21" s="100"/>
      <c r="C21" s="65" t="s">
        <v>4018</v>
      </c>
      <c r="D21" s="70" t="s">
        <v>57</v>
      </c>
      <c r="E21" s="12">
        <v>44551</v>
      </c>
      <c r="F21" s="68" t="s">
        <v>58</v>
      </c>
      <c r="G21" s="12">
        <v>44555</v>
      </c>
      <c r="H21" s="69" t="s">
        <v>3349</v>
      </c>
      <c r="I21" s="15">
        <v>90</v>
      </c>
      <c r="J21" s="15">
        <v>57</v>
      </c>
      <c r="K21" s="15">
        <v>35</v>
      </c>
      <c r="L21" s="15">
        <v>18</v>
      </c>
      <c r="M21" s="73">
        <v>44.887500000000003</v>
      </c>
      <c r="N21" s="104">
        <v>44.887500000000003</v>
      </c>
      <c r="O21" s="57">
        <v>7000</v>
      </c>
      <c r="P21" s="58">
        <f t="shared" si="0"/>
        <v>314212.5</v>
      </c>
    </row>
    <row r="22" spans="1:16" ht="26.25" customHeight="1" x14ac:dyDescent="0.2">
      <c r="A22" s="100"/>
      <c r="B22" s="100"/>
      <c r="C22" s="65" t="s">
        <v>4019</v>
      </c>
      <c r="D22" s="70" t="s">
        <v>57</v>
      </c>
      <c r="E22" s="12">
        <v>44551</v>
      </c>
      <c r="F22" s="68" t="s">
        <v>58</v>
      </c>
      <c r="G22" s="12">
        <v>44555</v>
      </c>
      <c r="H22" s="69" t="s">
        <v>3349</v>
      </c>
      <c r="I22" s="15">
        <v>73</v>
      </c>
      <c r="J22" s="15">
        <v>63</v>
      </c>
      <c r="K22" s="15">
        <v>31</v>
      </c>
      <c r="L22" s="15">
        <v>14</v>
      </c>
      <c r="M22" s="73">
        <v>35.642249999999997</v>
      </c>
      <c r="N22" s="104">
        <v>35.642249999999997</v>
      </c>
      <c r="O22" s="57">
        <v>7000</v>
      </c>
      <c r="P22" s="58">
        <f t="shared" si="0"/>
        <v>249495.74999999997</v>
      </c>
    </row>
    <row r="23" spans="1:16" ht="26.25" customHeight="1" x14ac:dyDescent="0.2">
      <c r="A23" s="100"/>
      <c r="B23" s="100"/>
      <c r="C23" s="65" t="s">
        <v>4020</v>
      </c>
      <c r="D23" s="70" t="s">
        <v>57</v>
      </c>
      <c r="E23" s="12">
        <v>44551</v>
      </c>
      <c r="F23" s="68" t="s">
        <v>58</v>
      </c>
      <c r="G23" s="12">
        <v>44555</v>
      </c>
      <c r="H23" s="69" t="s">
        <v>3349</v>
      </c>
      <c r="I23" s="15">
        <v>100</v>
      </c>
      <c r="J23" s="15">
        <v>40</v>
      </c>
      <c r="K23" s="15">
        <v>33</v>
      </c>
      <c r="L23" s="15">
        <v>14</v>
      </c>
      <c r="M23" s="73">
        <v>33</v>
      </c>
      <c r="N23" s="104">
        <v>33</v>
      </c>
      <c r="O23" s="57">
        <v>7000</v>
      </c>
      <c r="P23" s="58">
        <f t="shared" si="0"/>
        <v>231000</v>
      </c>
    </row>
    <row r="24" spans="1:16" ht="26.25" customHeight="1" x14ac:dyDescent="0.2">
      <c r="A24" s="100"/>
      <c r="B24" s="100"/>
      <c r="C24" s="65" t="s">
        <v>4021</v>
      </c>
      <c r="D24" s="70" t="s">
        <v>57</v>
      </c>
      <c r="E24" s="12">
        <v>44551</v>
      </c>
      <c r="F24" s="68" t="s">
        <v>58</v>
      </c>
      <c r="G24" s="12">
        <v>44555</v>
      </c>
      <c r="H24" s="69" t="s">
        <v>3349</v>
      </c>
      <c r="I24" s="15">
        <v>88</v>
      </c>
      <c r="J24" s="15">
        <v>57</v>
      </c>
      <c r="K24" s="15">
        <v>23</v>
      </c>
      <c r="L24" s="15">
        <v>10</v>
      </c>
      <c r="M24" s="73">
        <v>28.841999999999999</v>
      </c>
      <c r="N24" s="104">
        <v>28.841999999999999</v>
      </c>
      <c r="O24" s="57">
        <v>7000</v>
      </c>
      <c r="P24" s="58">
        <f t="shared" si="0"/>
        <v>201894</v>
      </c>
    </row>
    <row r="25" spans="1:16" ht="26.25" customHeight="1" x14ac:dyDescent="0.2">
      <c r="A25" s="100"/>
      <c r="B25" s="100"/>
      <c r="C25" s="65" t="s">
        <v>4022</v>
      </c>
      <c r="D25" s="70" t="s">
        <v>57</v>
      </c>
      <c r="E25" s="12">
        <v>44551</v>
      </c>
      <c r="F25" s="68" t="s">
        <v>58</v>
      </c>
      <c r="G25" s="12">
        <v>44555</v>
      </c>
      <c r="H25" s="69" t="s">
        <v>3349</v>
      </c>
      <c r="I25" s="15">
        <v>95</v>
      </c>
      <c r="J25" s="15">
        <v>40</v>
      </c>
      <c r="K25" s="15">
        <v>23</v>
      </c>
      <c r="L25" s="15">
        <v>13</v>
      </c>
      <c r="M25" s="73">
        <v>21.85</v>
      </c>
      <c r="N25" s="104">
        <v>21.85</v>
      </c>
      <c r="O25" s="57">
        <v>7000</v>
      </c>
      <c r="P25" s="58">
        <f t="shared" si="0"/>
        <v>152950</v>
      </c>
    </row>
    <row r="26" spans="1:16" ht="26.25" customHeight="1" x14ac:dyDescent="0.2">
      <c r="A26" s="100"/>
      <c r="B26" s="100"/>
      <c r="C26" s="65" t="s">
        <v>4023</v>
      </c>
      <c r="D26" s="70" t="s">
        <v>57</v>
      </c>
      <c r="E26" s="12">
        <v>44551</v>
      </c>
      <c r="F26" s="68" t="s">
        <v>58</v>
      </c>
      <c r="G26" s="12">
        <v>44555</v>
      </c>
      <c r="H26" s="69" t="s">
        <v>3349</v>
      </c>
      <c r="I26" s="15">
        <v>87</v>
      </c>
      <c r="J26" s="15">
        <v>64</v>
      </c>
      <c r="K26" s="15">
        <v>23</v>
      </c>
      <c r="L26" s="15">
        <v>9</v>
      </c>
      <c r="M26" s="73">
        <v>32.015999999999998</v>
      </c>
      <c r="N26" s="104">
        <v>32.015999999999998</v>
      </c>
      <c r="O26" s="57">
        <v>7000</v>
      </c>
      <c r="P26" s="58">
        <f t="shared" si="0"/>
        <v>224112</v>
      </c>
    </row>
    <row r="27" spans="1:16" ht="26.25" customHeight="1" x14ac:dyDescent="0.2">
      <c r="A27" s="100"/>
      <c r="B27" s="100"/>
      <c r="C27" s="65" t="s">
        <v>4024</v>
      </c>
      <c r="D27" s="70" t="s">
        <v>57</v>
      </c>
      <c r="E27" s="12">
        <v>44551</v>
      </c>
      <c r="F27" s="68" t="s">
        <v>58</v>
      </c>
      <c r="G27" s="12">
        <v>44555</v>
      </c>
      <c r="H27" s="69" t="s">
        <v>3349</v>
      </c>
      <c r="I27" s="15">
        <v>30</v>
      </c>
      <c r="J27" s="15">
        <v>25</v>
      </c>
      <c r="K27" s="15">
        <v>16</v>
      </c>
      <c r="L27" s="15">
        <v>1</v>
      </c>
      <c r="M27" s="73">
        <v>3</v>
      </c>
      <c r="N27" s="104">
        <v>3</v>
      </c>
      <c r="O27" s="57">
        <v>7000</v>
      </c>
      <c r="P27" s="58">
        <f t="shared" si="0"/>
        <v>21000</v>
      </c>
    </row>
    <row r="28" spans="1:16" ht="26.25" customHeight="1" x14ac:dyDescent="0.2">
      <c r="A28" s="100"/>
      <c r="B28" s="100"/>
      <c r="C28" s="65" t="s">
        <v>4025</v>
      </c>
      <c r="D28" s="70" t="s">
        <v>57</v>
      </c>
      <c r="E28" s="12">
        <v>44551</v>
      </c>
      <c r="F28" s="68" t="s">
        <v>58</v>
      </c>
      <c r="G28" s="12">
        <v>44555</v>
      </c>
      <c r="H28" s="69" t="s">
        <v>3349</v>
      </c>
      <c r="I28" s="15">
        <v>86</v>
      </c>
      <c r="J28" s="15">
        <v>56</v>
      </c>
      <c r="K28" s="15">
        <v>12</v>
      </c>
      <c r="L28" s="15">
        <v>12</v>
      </c>
      <c r="M28" s="73">
        <v>14.448</v>
      </c>
      <c r="N28" s="104">
        <v>15</v>
      </c>
      <c r="O28" s="57">
        <v>7000</v>
      </c>
      <c r="P28" s="58">
        <f t="shared" si="0"/>
        <v>105000</v>
      </c>
    </row>
    <row r="29" spans="1:16" ht="26.25" customHeight="1" x14ac:dyDescent="0.2">
      <c r="A29" s="100"/>
      <c r="B29" s="100"/>
      <c r="C29" s="90" t="s">
        <v>4026</v>
      </c>
      <c r="D29" s="102" t="s">
        <v>57</v>
      </c>
      <c r="E29" s="91">
        <v>44551</v>
      </c>
      <c r="F29" s="102" t="s">
        <v>58</v>
      </c>
      <c r="G29" s="91">
        <v>44555</v>
      </c>
      <c r="H29" s="90" t="s">
        <v>3349</v>
      </c>
      <c r="I29" s="90">
        <v>70</v>
      </c>
      <c r="J29" s="90">
        <v>42</v>
      </c>
      <c r="K29" s="90">
        <v>25</v>
      </c>
      <c r="L29" s="90">
        <v>12</v>
      </c>
      <c r="M29" s="90">
        <v>18.375</v>
      </c>
      <c r="N29" s="104">
        <v>19</v>
      </c>
      <c r="O29" s="57">
        <v>7000</v>
      </c>
      <c r="P29" s="58">
        <f t="shared" si="0"/>
        <v>133000</v>
      </c>
    </row>
    <row r="30" spans="1:16" ht="26.25" customHeight="1" x14ac:dyDescent="0.2">
      <c r="A30" s="100"/>
      <c r="B30" s="100"/>
      <c r="C30" s="90" t="s">
        <v>4027</v>
      </c>
      <c r="D30" s="102" t="s">
        <v>57</v>
      </c>
      <c r="E30" s="91">
        <v>44551</v>
      </c>
      <c r="F30" s="102" t="s">
        <v>58</v>
      </c>
      <c r="G30" s="91">
        <v>44555</v>
      </c>
      <c r="H30" s="90" t="s">
        <v>3349</v>
      </c>
      <c r="I30" s="90">
        <v>63</v>
      </c>
      <c r="J30" s="90">
        <v>43</v>
      </c>
      <c r="K30" s="90">
        <v>30</v>
      </c>
      <c r="L30" s="90">
        <v>5</v>
      </c>
      <c r="M30" s="90">
        <v>20.317499999999999</v>
      </c>
      <c r="N30" s="104">
        <v>21</v>
      </c>
      <c r="O30" s="57">
        <v>7000</v>
      </c>
      <c r="P30" s="58">
        <f t="shared" si="0"/>
        <v>147000</v>
      </c>
    </row>
    <row r="31" spans="1:16" ht="26.25" customHeight="1" x14ac:dyDescent="0.2">
      <c r="A31" s="100"/>
      <c r="B31" s="100"/>
      <c r="C31" s="65" t="s">
        <v>4028</v>
      </c>
      <c r="D31" s="70" t="s">
        <v>57</v>
      </c>
      <c r="E31" s="12">
        <v>44551</v>
      </c>
      <c r="F31" s="68" t="s">
        <v>58</v>
      </c>
      <c r="G31" s="12">
        <v>44555</v>
      </c>
      <c r="H31" s="69" t="s">
        <v>3349</v>
      </c>
      <c r="I31" s="15">
        <v>50</v>
      </c>
      <c r="J31" s="15">
        <v>33</v>
      </c>
      <c r="K31" s="15">
        <v>15</v>
      </c>
      <c r="L31" s="15">
        <v>3</v>
      </c>
      <c r="M31" s="73">
        <v>6.1875</v>
      </c>
      <c r="N31" s="104">
        <v>6.1875</v>
      </c>
      <c r="O31" s="57">
        <v>7000</v>
      </c>
      <c r="P31" s="58">
        <f t="shared" si="0"/>
        <v>43312.5</v>
      </c>
    </row>
    <row r="32" spans="1:16" ht="26.25" customHeight="1" x14ac:dyDescent="0.2">
      <c r="A32" s="100"/>
      <c r="B32" s="100"/>
      <c r="C32" s="65" t="s">
        <v>4029</v>
      </c>
      <c r="D32" s="70" t="s">
        <v>57</v>
      </c>
      <c r="E32" s="12">
        <v>44551</v>
      </c>
      <c r="F32" s="68" t="s">
        <v>58</v>
      </c>
      <c r="G32" s="12">
        <v>44555</v>
      </c>
      <c r="H32" s="69" t="s">
        <v>3349</v>
      </c>
      <c r="I32" s="15">
        <v>70</v>
      </c>
      <c r="J32" s="15">
        <v>50</v>
      </c>
      <c r="K32" s="15">
        <v>22</v>
      </c>
      <c r="L32" s="15">
        <v>4</v>
      </c>
      <c r="M32" s="73">
        <v>19.25</v>
      </c>
      <c r="N32" s="104">
        <v>19.25</v>
      </c>
      <c r="O32" s="57">
        <v>7000</v>
      </c>
      <c r="P32" s="58">
        <f t="shared" si="0"/>
        <v>134750</v>
      </c>
    </row>
    <row r="33" spans="1:16" ht="26.25" customHeight="1" x14ac:dyDescent="0.2">
      <c r="A33" s="100"/>
      <c r="B33" s="100"/>
      <c r="C33" s="65" t="s">
        <v>4030</v>
      </c>
      <c r="D33" s="70" t="s">
        <v>57</v>
      </c>
      <c r="E33" s="12">
        <v>44551</v>
      </c>
      <c r="F33" s="68" t="s">
        <v>58</v>
      </c>
      <c r="G33" s="12">
        <v>44555</v>
      </c>
      <c r="H33" s="69" t="s">
        <v>3349</v>
      </c>
      <c r="I33" s="15">
        <v>81</v>
      </c>
      <c r="J33" s="15">
        <v>63</v>
      </c>
      <c r="K33" s="15">
        <v>25</v>
      </c>
      <c r="L33" s="15">
        <v>11</v>
      </c>
      <c r="M33" s="73">
        <v>31.893750000000001</v>
      </c>
      <c r="N33" s="104">
        <v>31.893750000000001</v>
      </c>
      <c r="O33" s="57">
        <v>7000</v>
      </c>
      <c r="P33" s="58">
        <f t="shared" si="0"/>
        <v>223256.25</v>
      </c>
    </row>
    <row r="34" spans="1:16" ht="26.25" customHeight="1" x14ac:dyDescent="0.2">
      <c r="A34" s="100"/>
      <c r="B34" s="100"/>
      <c r="C34" s="65" t="s">
        <v>4031</v>
      </c>
      <c r="D34" s="70" t="s">
        <v>57</v>
      </c>
      <c r="E34" s="12">
        <v>44551</v>
      </c>
      <c r="F34" s="68" t="s">
        <v>58</v>
      </c>
      <c r="G34" s="12">
        <v>44555</v>
      </c>
      <c r="H34" s="69" t="s">
        <v>3349</v>
      </c>
      <c r="I34" s="15">
        <v>94</v>
      </c>
      <c r="J34" s="15">
        <v>63</v>
      </c>
      <c r="K34" s="15">
        <v>45</v>
      </c>
      <c r="L34" s="15">
        <v>23</v>
      </c>
      <c r="M34" s="73">
        <v>66.622500000000002</v>
      </c>
      <c r="N34" s="104">
        <v>66.622500000000002</v>
      </c>
      <c r="O34" s="57">
        <v>7000</v>
      </c>
      <c r="P34" s="58">
        <f t="shared" si="0"/>
        <v>466357.5</v>
      </c>
    </row>
    <row r="35" spans="1:16" ht="26.25" customHeight="1" x14ac:dyDescent="0.2">
      <c r="A35" s="100"/>
      <c r="B35" s="100"/>
      <c r="C35" s="65" t="s">
        <v>4032</v>
      </c>
      <c r="D35" s="70" t="s">
        <v>57</v>
      </c>
      <c r="E35" s="12">
        <v>44551</v>
      </c>
      <c r="F35" s="68" t="s">
        <v>58</v>
      </c>
      <c r="G35" s="12">
        <v>44555</v>
      </c>
      <c r="H35" s="69" t="s">
        <v>3349</v>
      </c>
      <c r="I35" s="15">
        <v>45</v>
      </c>
      <c r="J35" s="15">
        <v>32</v>
      </c>
      <c r="K35" s="15">
        <v>11</v>
      </c>
      <c r="L35" s="15">
        <v>4</v>
      </c>
      <c r="M35" s="73">
        <v>3.96</v>
      </c>
      <c r="N35" s="104">
        <v>4</v>
      </c>
      <c r="O35" s="57">
        <v>7000</v>
      </c>
      <c r="P35" s="58">
        <f t="shared" si="0"/>
        <v>28000</v>
      </c>
    </row>
    <row r="36" spans="1:16" ht="26.25" customHeight="1" x14ac:dyDescent="0.2">
      <c r="A36" s="100"/>
      <c r="B36" s="101"/>
      <c r="C36" s="65" t="s">
        <v>4033</v>
      </c>
      <c r="D36" s="70" t="s">
        <v>57</v>
      </c>
      <c r="E36" s="12">
        <v>44551</v>
      </c>
      <c r="F36" s="68" t="s">
        <v>58</v>
      </c>
      <c r="G36" s="12">
        <v>44555</v>
      </c>
      <c r="H36" s="69" t="s">
        <v>3349</v>
      </c>
      <c r="I36" s="15">
        <v>54</v>
      </c>
      <c r="J36" s="15">
        <v>34</v>
      </c>
      <c r="K36" s="15">
        <v>12</v>
      </c>
      <c r="L36" s="15">
        <v>3</v>
      </c>
      <c r="M36" s="73">
        <v>5.508</v>
      </c>
      <c r="N36" s="104">
        <v>5.508</v>
      </c>
      <c r="O36" s="57">
        <v>7000</v>
      </c>
      <c r="P36" s="58">
        <f t="shared" si="0"/>
        <v>38556</v>
      </c>
    </row>
    <row r="37" spans="1:16" ht="26.25" customHeight="1" x14ac:dyDescent="0.2">
      <c r="A37" s="100"/>
      <c r="B37" s="100" t="s">
        <v>4034</v>
      </c>
      <c r="C37" s="65" t="s">
        <v>4035</v>
      </c>
      <c r="D37" s="70" t="s">
        <v>57</v>
      </c>
      <c r="E37" s="12">
        <v>44551</v>
      </c>
      <c r="F37" s="68" t="s">
        <v>58</v>
      </c>
      <c r="G37" s="12">
        <v>44555</v>
      </c>
      <c r="H37" s="69" t="s">
        <v>3349</v>
      </c>
      <c r="I37" s="15">
        <v>70</v>
      </c>
      <c r="J37" s="15">
        <v>34</v>
      </c>
      <c r="K37" s="15">
        <v>34</v>
      </c>
      <c r="L37" s="15">
        <v>12</v>
      </c>
      <c r="M37" s="73">
        <v>20.23</v>
      </c>
      <c r="N37" s="104">
        <v>20.23</v>
      </c>
      <c r="O37" s="57">
        <v>7000</v>
      </c>
      <c r="P37" s="58">
        <f t="shared" si="0"/>
        <v>141610</v>
      </c>
    </row>
    <row r="38" spans="1:16" ht="26.25" customHeight="1" x14ac:dyDescent="0.2">
      <c r="A38" s="100"/>
      <c r="B38" s="100"/>
      <c r="C38" s="65" t="s">
        <v>4036</v>
      </c>
      <c r="D38" s="70" t="s">
        <v>57</v>
      </c>
      <c r="E38" s="12">
        <v>44551</v>
      </c>
      <c r="F38" s="68" t="s">
        <v>58</v>
      </c>
      <c r="G38" s="12">
        <v>44555</v>
      </c>
      <c r="H38" s="69" t="s">
        <v>3349</v>
      </c>
      <c r="I38" s="15">
        <v>61</v>
      </c>
      <c r="J38" s="15">
        <v>45</v>
      </c>
      <c r="K38" s="15">
        <v>12</v>
      </c>
      <c r="L38" s="15">
        <v>3</v>
      </c>
      <c r="M38" s="73">
        <v>8.2349999999999994</v>
      </c>
      <c r="N38" s="104">
        <v>8.2349999999999994</v>
      </c>
      <c r="O38" s="57">
        <v>7000</v>
      </c>
      <c r="P38" s="58">
        <f t="shared" si="0"/>
        <v>57644.999999999993</v>
      </c>
    </row>
    <row r="39" spans="1:16" ht="26.25" customHeight="1" x14ac:dyDescent="0.2">
      <c r="A39" s="100"/>
      <c r="B39" s="100"/>
      <c r="C39" s="65" t="s">
        <v>4037</v>
      </c>
      <c r="D39" s="70" t="s">
        <v>57</v>
      </c>
      <c r="E39" s="12">
        <v>44551</v>
      </c>
      <c r="F39" s="68" t="s">
        <v>58</v>
      </c>
      <c r="G39" s="12">
        <v>44555</v>
      </c>
      <c r="H39" s="69" t="s">
        <v>3349</v>
      </c>
      <c r="I39" s="15">
        <v>65</v>
      </c>
      <c r="J39" s="15">
        <v>33</v>
      </c>
      <c r="K39" s="15">
        <v>15</v>
      </c>
      <c r="L39" s="15">
        <v>6</v>
      </c>
      <c r="M39" s="73">
        <v>8.0437499999999993</v>
      </c>
      <c r="N39" s="104">
        <v>8.0437499999999993</v>
      </c>
      <c r="O39" s="57">
        <v>7000</v>
      </c>
      <c r="P39" s="58">
        <f t="shared" si="0"/>
        <v>56306.249999999993</v>
      </c>
    </row>
    <row r="40" spans="1:16" ht="26.25" customHeight="1" x14ac:dyDescent="0.2">
      <c r="A40" s="100"/>
      <c r="B40" s="100"/>
      <c r="C40" s="65" t="s">
        <v>4038</v>
      </c>
      <c r="D40" s="70" t="s">
        <v>57</v>
      </c>
      <c r="E40" s="12">
        <v>44551</v>
      </c>
      <c r="F40" s="68" t="s">
        <v>58</v>
      </c>
      <c r="G40" s="12">
        <v>44555</v>
      </c>
      <c r="H40" s="69" t="s">
        <v>3349</v>
      </c>
      <c r="I40" s="15">
        <v>75</v>
      </c>
      <c r="J40" s="15">
        <v>63</v>
      </c>
      <c r="K40" s="15">
        <v>23</v>
      </c>
      <c r="L40" s="15">
        <v>8</v>
      </c>
      <c r="M40" s="73">
        <v>27.168749999999999</v>
      </c>
      <c r="N40" s="104">
        <v>27.168749999999999</v>
      </c>
      <c r="O40" s="57">
        <v>7000</v>
      </c>
      <c r="P40" s="58">
        <f t="shared" si="0"/>
        <v>190181.25</v>
      </c>
    </row>
    <row r="41" spans="1:16" ht="22.5" customHeight="1" x14ac:dyDescent="0.2">
      <c r="A41" s="159" t="s">
        <v>30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1"/>
      <c r="M41" s="71">
        <f>SUBTOTAL(109,Table2245789101123456789101112131415161718192021222324252627282930313233343537383940414243444546474849505152535455565758596061626364656667[KG VOLUME])</f>
        <v>922.12775000000022</v>
      </c>
      <c r="N41" s="61">
        <f>SUM(N3:N40)</f>
        <v>931.77025000000015</v>
      </c>
      <c r="O41" s="162">
        <f>SUM(P3:P40)</f>
        <v>6522391.75</v>
      </c>
      <c r="P41" s="163"/>
    </row>
    <row r="42" spans="1:16" ht="18" customHeight="1" x14ac:dyDescent="0.2">
      <c r="A42" s="78"/>
      <c r="B42" s="49" t="s">
        <v>42</v>
      </c>
      <c r="C42" s="48"/>
      <c r="D42" s="50" t="s">
        <v>43</v>
      </c>
      <c r="E42" s="78"/>
      <c r="F42" s="78"/>
      <c r="G42" s="78"/>
      <c r="H42" s="78"/>
      <c r="I42" s="78"/>
      <c r="J42" s="78"/>
      <c r="K42" s="78"/>
      <c r="L42" s="78"/>
      <c r="M42" s="79"/>
      <c r="N42" s="80" t="s">
        <v>52</v>
      </c>
      <c r="O42" s="81"/>
      <c r="P42" s="81">
        <v>0</v>
      </c>
    </row>
    <row r="43" spans="1:16" ht="18" customHeight="1" thickBot="1" x14ac:dyDescent="0.25">
      <c r="A43" s="78"/>
      <c r="B43" s="49"/>
      <c r="C43" s="48"/>
      <c r="D43" s="50"/>
      <c r="E43" s="78"/>
      <c r="F43" s="78"/>
      <c r="G43" s="78"/>
      <c r="H43" s="78"/>
      <c r="I43" s="78"/>
      <c r="J43" s="78"/>
      <c r="K43" s="78"/>
      <c r="L43" s="78"/>
      <c r="M43" s="79"/>
      <c r="N43" s="82" t="s">
        <v>53</v>
      </c>
      <c r="O43" s="83"/>
      <c r="P43" s="83">
        <f>O41-P42</f>
        <v>6522391.75</v>
      </c>
    </row>
    <row r="44" spans="1:16" ht="18" customHeight="1" x14ac:dyDescent="0.2">
      <c r="A44" s="10"/>
      <c r="H44" s="56"/>
      <c r="N44" s="55" t="s">
        <v>31</v>
      </c>
      <c r="P44" s="62">
        <f>P43*1%</f>
        <v>65223.917500000003</v>
      </c>
    </row>
    <row r="45" spans="1:16" ht="18" customHeight="1" thickBot="1" x14ac:dyDescent="0.25">
      <c r="A45" s="10"/>
      <c r="H45" s="56"/>
      <c r="N45" s="55" t="s">
        <v>54</v>
      </c>
      <c r="P45" s="64">
        <f>P43*2%</f>
        <v>130447.83500000001</v>
      </c>
    </row>
    <row r="46" spans="1:16" ht="18" customHeight="1" x14ac:dyDescent="0.2">
      <c r="A46" s="10"/>
      <c r="H46" s="56"/>
      <c r="N46" s="59" t="s">
        <v>32</v>
      </c>
      <c r="O46" s="60"/>
      <c r="P46" s="63">
        <f>P43+P44-P45</f>
        <v>6457167.8325000005</v>
      </c>
    </row>
    <row r="48" spans="1:16" x14ac:dyDescent="0.2">
      <c r="A48" s="10"/>
      <c r="H48" s="56"/>
      <c r="P48" s="64"/>
    </row>
    <row r="49" spans="1:16" x14ac:dyDescent="0.2">
      <c r="A49" s="10"/>
      <c r="H49" s="56"/>
      <c r="O49" s="51"/>
      <c r="P49" s="6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</sheetData>
  <mergeCells count="2">
    <mergeCell ref="A41:L41"/>
    <mergeCell ref="O41:P41"/>
  </mergeCells>
  <conditionalFormatting sqref="C3:C40">
    <cfRule type="duplicateValues" dxfId="543" priority="9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9"/>
  <sheetViews>
    <sheetView topLeftCell="A2" workbookViewId="0">
      <selection activeCell="N118" sqref="N3:N11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402705</v>
      </c>
      <c r="B3" s="99" t="s">
        <v>4039</v>
      </c>
      <c r="C3" s="90" t="s">
        <v>4040</v>
      </c>
      <c r="D3" s="102" t="s">
        <v>57</v>
      </c>
      <c r="E3" s="91">
        <v>44551</v>
      </c>
      <c r="F3" s="102" t="s">
        <v>59</v>
      </c>
      <c r="G3" s="91">
        <v>44558</v>
      </c>
      <c r="H3" s="90" t="s">
        <v>4156</v>
      </c>
      <c r="I3" s="90">
        <v>105</v>
      </c>
      <c r="J3" s="90">
        <v>60</v>
      </c>
      <c r="K3" s="90">
        <v>35</v>
      </c>
      <c r="L3" s="90">
        <v>11</v>
      </c>
      <c r="M3" s="90">
        <v>55.125</v>
      </c>
      <c r="N3" s="104">
        <v>55.125</v>
      </c>
      <c r="O3" s="57">
        <v>7000</v>
      </c>
      <c r="P3" s="58">
        <f t="shared" ref="P3:P66" si="0">N3*O3</f>
        <v>385875</v>
      </c>
    </row>
    <row r="4" spans="1:16" ht="26.25" customHeight="1" x14ac:dyDescent="0.2">
      <c r="A4" s="100"/>
      <c r="B4" s="100"/>
      <c r="C4" s="90" t="s">
        <v>4041</v>
      </c>
      <c r="D4" s="102" t="s">
        <v>57</v>
      </c>
      <c r="E4" s="91">
        <v>44551</v>
      </c>
      <c r="F4" s="102" t="s">
        <v>59</v>
      </c>
      <c r="G4" s="91">
        <v>44558</v>
      </c>
      <c r="H4" s="90" t="s">
        <v>4156</v>
      </c>
      <c r="I4" s="90">
        <v>100</v>
      </c>
      <c r="J4" s="90">
        <v>62</v>
      </c>
      <c r="K4" s="90">
        <v>15</v>
      </c>
      <c r="L4" s="90">
        <v>10</v>
      </c>
      <c r="M4" s="90">
        <v>23.25</v>
      </c>
      <c r="N4" s="104">
        <v>23.25</v>
      </c>
      <c r="O4" s="57">
        <v>7000</v>
      </c>
      <c r="P4" s="58">
        <f t="shared" si="0"/>
        <v>162750</v>
      </c>
    </row>
    <row r="5" spans="1:16" ht="26.25" customHeight="1" x14ac:dyDescent="0.2">
      <c r="A5" s="100"/>
      <c r="B5" s="100"/>
      <c r="C5" s="90" t="s">
        <v>4042</v>
      </c>
      <c r="D5" s="102" t="s">
        <v>57</v>
      </c>
      <c r="E5" s="91">
        <v>44551</v>
      </c>
      <c r="F5" s="102" t="s">
        <v>59</v>
      </c>
      <c r="G5" s="91">
        <v>44558</v>
      </c>
      <c r="H5" s="90" t="s">
        <v>4156</v>
      </c>
      <c r="I5" s="90">
        <v>105</v>
      </c>
      <c r="J5" s="90">
        <v>63</v>
      </c>
      <c r="K5" s="90">
        <v>27</v>
      </c>
      <c r="L5" s="90">
        <v>20</v>
      </c>
      <c r="M5" s="90">
        <v>44.651249999999997</v>
      </c>
      <c r="N5" s="104">
        <v>44.651249999999997</v>
      </c>
      <c r="O5" s="57">
        <v>7000</v>
      </c>
      <c r="P5" s="58">
        <f t="shared" si="0"/>
        <v>312558.75</v>
      </c>
    </row>
    <row r="6" spans="1:16" ht="26.25" customHeight="1" x14ac:dyDescent="0.2">
      <c r="A6" s="100"/>
      <c r="B6" s="100"/>
      <c r="C6" s="65" t="s">
        <v>4043</v>
      </c>
      <c r="D6" s="70" t="s">
        <v>57</v>
      </c>
      <c r="E6" s="12">
        <v>44551</v>
      </c>
      <c r="F6" s="68" t="s">
        <v>59</v>
      </c>
      <c r="G6" s="12">
        <v>44558</v>
      </c>
      <c r="H6" s="69" t="s">
        <v>4156</v>
      </c>
      <c r="I6" s="15">
        <v>95</v>
      </c>
      <c r="J6" s="15">
        <v>70</v>
      </c>
      <c r="K6" s="15">
        <v>30</v>
      </c>
      <c r="L6" s="15">
        <v>18</v>
      </c>
      <c r="M6" s="73">
        <v>49.875</v>
      </c>
      <c r="N6" s="104">
        <v>49.875</v>
      </c>
      <c r="O6" s="57">
        <v>7000</v>
      </c>
      <c r="P6" s="58">
        <f t="shared" si="0"/>
        <v>349125</v>
      </c>
    </row>
    <row r="7" spans="1:16" ht="26.25" customHeight="1" x14ac:dyDescent="0.2">
      <c r="A7" s="100"/>
      <c r="B7" s="100"/>
      <c r="C7" s="65" t="s">
        <v>4044</v>
      </c>
      <c r="D7" s="70" t="s">
        <v>57</v>
      </c>
      <c r="E7" s="12">
        <v>44551</v>
      </c>
      <c r="F7" s="68" t="s">
        <v>59</v>
      </c>
      <c r="G7" s="12">
        <v>44558</v>
      </c>
      <c r="H7" s="69" t="s">
        <v>4156</v>
      </c>
      <c r="I7" s="15">
        <v>110</v>
      </c>
      <c r="J7" s="15">
        <v>61</v>
      </c>
      <c r="K7" s="15">
        <v>27</v>
      </c>
      <c r="L7" s="15">
        <v>19</v>
      </c>
      <c r="M7" s="73">
        <v>45.292499999999997</v>
      </c>
      <c r="N7" s="104">
        <v>45.292499999999997</v>
      </c>
      <c r="O7" s="57">
        <v>7000</v>
      </c>
      <c r="P7" s="58">
        <f t="shared" si="0"/>
        <v>317047.5</v>
      </c>
    </row>
    <row r="8" spans="1:16" ht="26.25" customHeight="1" x14ac:dyDescent="0.2">
      <c r="A8" s="100"/>
      <c r="B8" s="100"/>
      <c r="C8" s="65" t="s">
        <v>4045</v>
      </c>
      <c r="D8" s="70" t="s">
        <v>57</v>
      </c>
      <c r="E8" s="12">
        <v>44551</v>
      </c>
      <c r="F8" s="68" t="s">
        <v>59</v>
      </c>
      <c r="G8" s="12">
        <v>44558</v>
      </c>
      <c r="H8" s="69" t="s">
        <v>4156</v>
      </c>
      <c r="I8" s="15">
        <v>61</v>
      </c>
      <c r="J8" s="15">
        <v>46</v>
      </c>
      <c r="K8" s="15">
        <v>15</v>
      </c>
      <c r="L8" s="15">
        <v>2</v>
      </c>
      <c r="M8" s="73">
        <v>10.522500000000001</v>
      </c>
      <c r="N8" s="104">
        <v>10.522500000000001</v>
      </c>
      <c r="O8" s="57">
        <v>7000</v>
      </c>
      <c r="P8" s="58">
        <f t="shared" si="0"/>
        <v>73657.5</v>
      </c>
    </row>
    <row r="9" spans="1:16" ht="26.25" customHeight="1" x14ac:dyDescent="0.2">
      <c r="A9" s="100"/>
      <c r="B9" s="100"/>
      <c r="C9" s="65" t="s">
        <v>4046</v>
      </c>
      <c r="D9" s="70" t="s">
        <v>57</v>
      </c>
      <c r="E9" s="12">
        <v>44551</v>
      </c>
      <c r="F9" s="68" t="s">
        <v>59</v>
      </c>
      <c r="G9" s="12">
        <v>44558</v>
      </c>
      <c r="H9" s="69" t="s">
        <v>4156</v>
      </c>
      <c r="I9" s="15">
        <v>92</v>
      </c>
      <c r="J9" s="15">
        <v>20</v>
      </c>
      <c r="K9" s="15">
        <v>22</v>
      </c>
      <c r="L9" s="15">
        <v>6</v>
      </c>
      <c r="M9" s="73">
        <v>10.119999999999999</v>
      </c>
      <c r="N9" s="104">
        <v>10.119999999999999</v>
      </c>
      <c r="O9" s="57">
        <v>7000</v>
      </c>
      <c r="P9" s="58">
        <f t="shared" si="0"/>
        <v>70840</v>
      </c>
    </row>
    <row r="10" spans="1:16" ht="26.25" customHeight="1" x14ac:dyDescent="0.2">
      <c r="A10" s="100"/>
      <c r="B10" s="100"/>
      <c r="C10" s="65" t="s">
        <v>4047</v>
      </c>
      <c r="D10" s="70" t="s">
        <v>57</v>
      </c>
      <c r="E10" s="12">
        <v>44551</v>
      </c>
      <c r="F10" s="68" t="s">
        <v>59</v>
      </c>
      <c r="G10" s="12">
        <v>44558</v>
      </c>
      <c r="H10" s="69" t="s">
        <v>4156</v>
      </c>
      <c r="I10" s="15">
        <v>55</v>
      </c>
      <c r="J10" s="15">
        <v>25</v>
      </c>
      <c r="K10" s="15">
        <v>25</v>
      </c>
      <c r="L10" s="15">
        <v>6</v>
      </c>
      <c r="M10" s="73">
        <v>8.59375</v>
      </c>
      <c r="N10" s="104">
        <v>8.59375</v>
      </c>
      <c r="O10" s="57">
        <v>7000</v>
      </c>
      <c r="P10" s="58">
        <f t="shared" si="0"/>
        <v>60156.25</v>
      </c>
    </row>
    <row r="11" spans="1:16" ht="26.25" customHeight="1" x14ac:dyDescent="0.2">
      <c r="A11" s="100"/>
      <c r="B11" s="100"/>
      <c r="C11" s="65" t="s">
        <v>4048</v>
      </c>
      <c r="D11" s="70" t="s">
        <v>57</v>
      </c>
      <c r="E11" s="12">
        <v>44551</v>
      </c>
      <c r="F11" s="68" t="s">
        <v>59</v>
      </c>
      <c r="G11" s="12">
        <v>44558</v>
      </c>
      <c r="H11" s="69" t="s">
        <v>4156</v>
      </c>
      <c r="I11" s="15">
        <v>46</v>
      </c>
      <c r="J11" s="15">
        <v>37</v>
      </c>
      <c r="K11" s="15">
        <v>24</v>
      </c>
      <c r="L11" s="15">
        <v>7</v>
      </c>
      <c r="M11" s="73">
        <v>10.212</v>
      </c>
      <c r="N11" s="104">
        <v>10.212</v>
      </c>
      <c r="O11" s="57">
        <v>7000</v>
      </c>
      <c r="P11" s="58">
        <f t="shared" si="0"/>
        <v>71484</v>
      </c>
    </row>
    <row r="12" spans="1:16" ht="26.25" customHeight="1" x14ac:dyDescent="0.2">
      <c r="A12" s="100"/>
      <c r="B12" s="100"/>
      <c r="C12" s="65" t="s">
        <v>4049</v>
      </c>
      <c r="D12" s="70" t="s">
        <v>57</v>
      </c>
      <c r="E12" s="12">
        <v>44551</v>
      </c>
      <c r="F12" s="68" t="s">
        <v>59</v>
      </c>
      <c r="G12" s="12">
        <v>44558</v>
      </c>
      <c r="H12" s="69" t="s">
        <v>4156</v>
      </c>
      <c r="I12" s="15">
        <v>92</v>
      </c>
      <c r="J12" s="15">
        <v>60</v>
      </c>
      <c r="K12" s="15">
        <v>10</v>
      </c>
      <c r="L12" s="15">
        <v>3</v>
      </c>
      <c r="M12" s="73">
        <v>13.8</v>
      </c>
      <c r="N12" s="104">
        <v>13.8</v>
      </c>
      <c r="O12" s="57">
        <v>7000</v>
      </c>
      <c r="P12" s="58">
        <f t="shared" si="0"/>
        <v>96600</v>
      </c>
    </row>
    <row r="13" spans="1:16" ht="26.25" customHeight="1" x14ac:dyDescent="0.2">
      <c r="A13" s="100"/>
      <c r="B13" s="100"/>
      <c r="C13" s="65" t="s">
        <v>4050</v>
      </c>
      <c r="D13" s="70" t="s">
        <v>57</v>
      </c>
      <c r="E13" s="12">
        <v>44551</v>
      </c>
      <c r="F13" s="68" t="s">
        <v>59</v>
      </c>
      <c r="G13" s="12">
        <v>44558</v>
      </c>
      <c r="H13" s="69" t="s">
        <v>4156</v>
      </c>
      <c r="I13" s="15">
        <v>90</v>
      </c>
      <c r="J13" s="15">
        <v>70</v>
      </c>
      <c r="K13" s="15">
        <v>36</v>
      </c>
      <c r="L13" s="15">
        <v>44</v>
      </c>
      <c r="M13" s="73">
        <v>56.7</v>
      </c>
      <c r="N13" s="104">
        <v>56.7</v>
      </c>
      <c r="O13" s="57">
        <v>7000</v>
      </c>
      <c r="P13" s="58">
        <f t="shared" si="0"/>
        <v>396900</v>
      </c>
    </row>
    <row r="14" spans="1:16" ht="26.25" customHeight="1" x14ac:dyDescent="0.2">
      <c r="A14" s="100"/>
      <c r="B14" s="100"/>
      <c r="C14" s="65" t="s">
        <v>4051</v>
      </c>
      <c r="D14" s="70" t="s">
        <v>57</v>
      </c>
      <c r="E14" s="12">
        <v>44551</v>
      </c>
      <c r="F14" s="68" t="s">
        <v>59</v>
      </c>
      <c r="G14" s="12">
        <v>44558</v>
      </c>
      <c r="H14" s="69" t="s">
        <v>4156</v>
      </c>
      <c r="I14" s="15">
        <v>82</v>
      </c>
      <c r="J14" s="15">
        <v>62</v>
      </c>
      <c r="K14" s="15">
        <v>20</v>
      </c>
      <c r="L14" s="15">
        <v>11</v>
      </c>
      <c r="M14" s="73">
        <v>25.42</v>
      </c>
      <c r="N14" s="104">
        <v>26</v>
      </c>
      <c r="O14" s="57">
        <v>7000</v>
      </c>
      <c r="P14" s="58">
        <f t="shared" si="0"/>
        <v>182000</v>
      </c>
    </row>
    <row r="15" spans="1:16" ht="26.25" customHeight="1" x14ac:dyDescent="0.2">
      <c r="A15" s="100"/>
      <c r="B15" s="100"/>
      <c r="C15" s="65" t="s">
        <v>4052</v>
      </c>
      <c r="D15" s="70" t="s">
        <v>57</v>
      </c>
      <c r="E15" s="12">
        <v>44551</v>
      </c>
      <c r="F15" s="68" t="s">
        <v>59</v>
      </c>
      <c r="G15" s="12">
        <v>44558</v>
      </c>
      <c r="H15" s="69" t="s">
        <v>4156</v>
      </c>
      <c r="I15" s="15">
        <v>33</v>
      </c>
      <c r="J15" s="15">
        <v>25</v>
      </c>
      <c r="K15" s="15">
        <v>20</v>
      </c>
      <c r="L15" s="15">
        <v>8</v>
      </c>
      <c r="M15" s="73">
        <v>4.125</v>
      </c>
      <c r="N15" s="104">
        <v>8</v>
      </c>
      <c r="O15" s="57">
        <v>7000</v>
      </c>
      <c r="P15" s="58">
        <f t="shared" si="0"/>
        <v>56000</v>
      </c>
    </row>
    <row r="16" spans="1:16" ht="26.25" customHeight="1" x14ac:dyDescent="0.2">
      <c r="A16" s="100"/>
      <c r="B16" s="100"/>
      <c r="C16" s="65" t="s">
        <v>4053</v>
      </c>
      <c r="D16" s="70" t="s">
        <v>57</v>
      </c>
      <c r="E16" s="12">
        <v>44551</v>
      </c>
      <c r="F16" s="68" t="s">
        <v>59</v>
      </c>
      <c r="G16" s="12">
        <v>44558</v>
      </c>
      <c r="H16" s="69" t="s">
        <v>4156</v>
      </c>
      <c r="I16" s="15">
        <v>65</v>
      </c>
      <c r="J16" s="15">
        <v>70</v>
      </c>
      <c r="K16" s="15">
        <v>16</v>
      </c>
      <c r="L16" s="15">
        <v>7</v>
      </c>
      <c r="M16" s="73">
        <v>18.2</v>
      </c>
      <c r="N16" s="104">
        <v>18.2</v>
      </c>
      <c r="O16" s="57">
        <v>7000</v>
      </c>
      <c r="P16" s="58">
        <f t="shared" si="0"/>
        <v>127400</v>
      </c>
    </row>
    <row r="17" spans="1:16" ht="26.25" customHeight="1" x14ac:dyDescent="0.2">
      <c r="A17" s="100"/>
      <c r="B17" s="100"/>
      <c r="C17" s="65" t="s">
        <v>4054</v>
      </c>
      <c r="D17" s="70" t="s">
        <v>57</v>
      </c>
      <c r="E17" s="12">
        <v>44551</v>
      </c>
      <c r="F17" s="68" t="s">
        <v>59</v>
      </c>
      <c r="G17" s="12">
        <v>44558</v>
      </c>
      <c r="H17" s="69" t="s">
        <v>4156</v>
      </c>
      <c r="I17" s="15">
        <v>30</v>
      </c>
      <c r="J17" s="15">
        <v>50</v>
      </c>
      <c r="K17" s="15">
        <v>23</v>
      </c>
      <c r="L17" s="15">
        <v>13</v>
      </c>
      <c r="M17" s="73">
        <v>8.625</v>
      </c>
      <c r="N17" s="104">
        <v>13</v>
      </c>
      <c r="O17" s="57">
        <v>7000</v>
      </c>
      <c r="P17" s="58">
        <f t="shared" si="0"/>
        <v>91000</v>
      </c>
    </row>
    <row r="18" spans="1:16" ht="26.25" customHeight="1" x14ac:dyDescent="0.2">
      <c r="A18" s="100"/>
      <c r="B18" s="100"/>
      <c r="C18" s="65" t="s">
        <v>4055</v>
      </c>
      <c r="D18" s="70" t="s">
        <v>57</v>
      </c>
      <c r="E18" s="12">
        <v>44551</v>
      </c>
      <c r="F18" s="68" t="s">
        <v>59</v>
      </c>
      <c r="G18" s="12">
        <v>44558</v>
      </c>
      <c r="H18" s="69" t="s">
        <v>4156</v>
      </c>
      <c r="I18" s="15">
        <v>70</v>
      </c>
      <c r="J18" s="15">
        <v>61</v>
      </c>
      <c r="K18" s="15">
        <v>15</v>
      </c>
      <c r="L18" s="15">
        <v>4</v>
      </c>
      <c r="M18" s="73">
        <v>16.012499999999999</v>
      </c>
      <c r="N18" s="104">
        <v>16.012499999999999</v>
      </c>
      <c r="O18" s="57">
        <v>7000</v>
      </c>
      <c r="P18" s="58">
        <f t="shared" si="0"/>
        <v>112087.5</v>
      </c>
    </row>
    <row r="19" spans="1:16" ht="26.25" customHeight="1" x14ac:dyDescent="0.2">
      <c r="A19" s="100"/>
      <c r="B19" s="100"/>
      <c r="C19" s="65" t="s">
        <v>4056</v>
      </c>
      <c r="D19" s="70" t="s">
        <v>57</v>
      </c>
      <c r="E19" s="12">
        <v>44551</v>
      </c>
      <c r="F19" s="68" t="s">
        <v>59</v>
      </c>
      <c r="G19" s="12">
        <v>44558</v>
      </c>
      <c r="H19" s="69" t="s">
        <v>4156</v>
      </c>
      <c r="I19" s="15">
        <v>55</v>
      </c>
      <c r="J19" s="15">
        <v>40</v>
      </c>
      <c r="K19" s="15">
        <v>17</v>
      </c>
      <c r="L19" s="15">
        <v>5</v>
      </c>
      <c r="M19" s="73">
        <v>9.35</v>
      </c>
      <c r="N19" s="104">
        <v>10</v>
      </c>
      <c r="O19" s="57">
        <v>7000</v>
      </c>
      <c r="P19" s="58">
        <f t="shared" si="0"/>
        <v>70000</v>
      </c>
    </row>
    <row r="20" spans="1:16" ht="26.25" customHeight="1" x14ac:dyDescent="0.2">
      <c r="A20" s="100"/>
      <c r="B20" s="100"/>
      <c r="C20" s="65" t="s">
        <v>4057</v>
      </c>
      <c r="D20" s="70" t="s">
        <v>57</v>
      </c>
      <c r="E20" s="12">
        <v>44551</v>
      </c>
      <c r="F20" s="68" t="s">
        <v>59</v>
      </c>
      <c r="G20" s="12">
        <v>44558</v>
      </c>
      <c r="H20" s="69" t="s">
        <v>4156</v>
      </c>
      <c r="I20" s="15">
        <v>40</v>
      </c>
      <c r="J20" s="15">
        <v>40</v>
      </c>
      <c r="K20" s="15">
        <v>24</v>
      </c>
      <c r="L20" s="15">
        <v>4</v>
      </c>
      <c r="M20" s="73">
        <v>9.6</v>
      </c>
      <c r="N20" s="104">
        <v>9.6</v>
      </c>
      <c r="O20" s="57">
        <v>7000</v>
      </c>
      <c r="P20" s="58">
        <f t="shared" si="0"/>
        <v>67200</v>
      </c>
    </row>
    <row r="21" spans="1:16" ht="26.25" customHeight="1" x14ac:dyDescent="0.2">
      <c r="A21" s="100"/>
      <c r="B21" s="100"/>
      <c r="C21" s="65" t="s">
        <v>4058</v>
      </c>
      <c r="D21" s="70" t="s">
        <v>57</v>
      </c>
      <c r="E21" s="12">
        <v>44551</v>
      </c>
      <c r="F21" s="68" t="s">
        <v>59</v>
      </c>
      <c r="G21" s="12">
        <v>44558</v>
      </c>
      <c r="H21" s="69" t="s">
        <v>4156</v>
      </c>
      <c r="I21" s="15">
        <v>93</v>
      </c>
      <c r="J21" s="15">
        <v>60</v>
      </c>
      <c r="K21" s="15">
        <v>20</v>
      </c>
      <c r="L21" s="15">
        <v>10</v>
      </c>
      <c r="M21" s="73">
        <v>27.9</v>
      </c>
      <c r="N21" s="104">
        <v>27.9</v>
      </c>
      <c r="O21" s="57">
        <v>7000</v>
      </c>
      <c r="P21" s="58">
        <f t="shared" si="0"/>
        <v>195300</v>
      </c>
    </row>
    <row r="22" spans="1:16" ht="26.25" customHeight="1" x14ac:dyDescent="0.2">
      <c r="A22" s="100"/>
      <c r="B22" s="100"/>
      <c r="C22" s="65" t="s">
        <v>4059</v>
      </c>
      <c r="D22" s="70" t="s">
        <v>57</v>
      </c>
      <c r="E22" s="12">
        <v>44551</v>
      </c>
      <c r="F22" s="68" t="s">
        <v>59</v>
      </c>
      <c r="G22" s="12">
        <v>44558</v>
      </c>
      <c r="H22" s="69" t="s">
        <v>4156</v>
      </c>
      <c r="I22" s="15">
        <v>70</v>
      </c>
      <c r="J22" s="15">
        <v>60</v>
      </c>
      <c r="K22" s="15">
        <v>17</v>
      </c>
      <c r="L22" s="15">
        <v>9</v>
      </c>
      <c r="M22" s="73">
        <v>17.850000000000001</v>
      </c>
      <c r="N22" s="104">
        <v>17.850000000000001</v>
      </c>
      <c r="O22" s="57">
        <v>7000</v>
      </c>
      <c r="P22" s="58">
        <f t="shared" si="0"/>
        <v>124950.00000000001</v>
      </c>
    </row>
    <row r="23" spans="1:16" ht="26.25" customHeight="1" x14ac:dyDescent="0.2">
      <c r="A23" s="100"/>
      <c r="B23" s="100"/>
      <c r="C23" s="65" t="s">
        <v>4060</v>
      </c>
      <c r="D23" s="70" t="s">
        <v>57</v>
      </c>
      <c r="E23" s="12">
        <v>44551</v>
      </c>
      <c r="F23" s="68" t="s">
        <v>59</v>
      </c>
      <c r="G23" s="12">
        <v>44558</v>
      </c>
      <c r="H23" s="69" t="s">
        <v>4156</v>
      </c>
      <c r="I23" s="15">
        <v>103</v>
      </c>
      <c r="J23" s="15">
        <v>15</v>
      </c>
      <c r="K23" s="15">
        <v>15</v>
      </c>
      <c r="L23" s="15">
        <v>1</v>
      </c>
      <c r="M23" s="73">
        <v>5.7937500000000002</v>
      </c>
      <c r="N23" s="104">
        <v>5.7937500000000002</v>
      </c>
      <c r="O23" s="57">
        <v>7000</v>
      </c>
      <c r="P23" s="58">
        <f t="shared" si="0"/>
        <v>40556.25</v>
      </c>
    </row>
    <row r="24" spans="1:16" ht="26.25" customHeight="1" x14ac:dyDescent="0.2">
      <c r="A24" s="100"/>
      <c r="B24" s="100"/>
      <c r="C24" s="65" t="s">
        <v>4061</v>
      </c>
      <c r="D24" s="70" t="s">
        <v>57</v>
      </c>
      <c r="E24" s="12">
        <v>44551</v>
      </c>
      <c r="F24" s="68" t="s">
        <v>59</v>
      </c>
      <c r="G24" s="12">
        <v>44558</v>
      </c>
      <c r="H24" s="69" t="s">
        <v>4156</v>
      </c>
      <c r="I24" s="15">
        <v>25</v>
      </c>
      <c r="J24" s="15">
        <v>30</v>
      </c>
      <c r="K24" s="15">
        <v>20</v>
      </c>
      <c r="L24" s="15">
        <v>9</v>
      </c>
      <c r="M24" s="73">
        <v>3.75</v>
      </c>
      <c r="N24" s="104">
        <v>9</v>
      </c>
      <c r="O24" s="57">
        <v>7000</v>
      </c>
      <c r="P24" s="58">
        <f t="shared" si="0"/>
        <v>63000</v>
      </c>
    </row>
    <row r="25" spans="1:16" ht="26.25" customHeight="1" x14ac:dyDescent="0.2">
      <c r="A25" s="100"/>
      <c r="B25" s="100"/>
      <c r="C25" s="65" t="s">
        <v>4062</v>
      </c>
      <c r="D25" s="70" t="s">
        <v>57</v>
      </c>
      <c r="E25" s="12">
        <v>44551</v>
      </c>
      <c r="F25" s="68" t="s">
        <v>59</v>
      </c>
      <c r="G25" s="12">
        <v>44558</v>
      </c>
      <c r="H25" s="69" t="s">
        <v>4156</v>
      </c>
      <c r="I25" s="15">
        <v>92</v>
      </c>
      <c r="J25" s="15">
        <v>67</v>
      </c>
      <c r="K25" s="15">
        <v>30</v>
      </c>
      <c r="L25" s="15">
        <v>10</v>
      </c>
      <c r="M25" s="73">
        <v>46.23</v>
      </c>
      <c r="N25" s="104">
        <v>46.23</v>
      </c>
      <c r="O25" s="57">
        <v>7000</v>
      </c>
      <c r="P25" s="58">
        <f t="shared" si="0"/>
        <v>323610</v>
      </c>
    </row>
    <row r="26" spans="1:16" ht="26.25" customHeight="1" x14ac:dyDescent="0.2">
      <c r="A26" s="100"/>
      <c r="B26" s="100"/>
      <c r="C26" s="65" t="s">
        <v>4063</v>
      </c>
      <c r="D26" s="70" t="s">
        <v>57</v>
      </c>
      <c r="E26" s="12">
        <v>44551</v>
      </c>
      <c r="F26" s="68" t="s">
        <v>59</v>
      </c>
      <c r="G26" s="12">
        <v>44558</v>
      </c>
      <c r="H26" s="69" t="s">
        <v>4156</v>
      </c>
      <c r="I26" s="15">
        <v>64</v>
      </c>
      <c r="J26" s="15">
        <v>44</v>
      </c>
      <c r="K26" s="15">
        <v>13</v>
      </c>
      <c r="L26" s="15">
        <v>2</v>
      </c>
      <c r="M26" s="73">
        <v>9.1519999999999992</v>
      </c>
      <c r="N26" s="104">
        <v>9.1519999999999992</v>
      </c>
      <c r="O26" s="57">
        <v>7000</v>
      </c>
      <c r="P26" s="58">
        <f t="shared" si="0"/>
        <v>64063.999999999993</v>
      </c>
    </row>
    <row r="27" spans="1:16" ht="26.25" customHeight="1" x14ac:dyDescent="0.2">
      <c r="A27" s="100"/>
      <c r="B27" s="100"/>
      <c r="C27" s="65" t="s">
        <v>4064</v>
      </c>
      <c r="D27" s="70" t="s">
        <v>57</v>
      </c>
      <c r="E27" s="12">
        <v>44551</v>
      </c>
      <c r="F27" s="68" t="s">
        <v>59</v>
      </c>
      <c r="G27" s="12">
        <v>44558</v>
      </c>
      <c r="H27" s="69" t="s">
        <v>4156</v>
      </c>
      <c r="I27" s="15">
        <v>100</v>
      </c>
      <c r="J27" s="15">
        <v>50</v>
      </c>
      <c r="K27" s="15">
        <v>45</v>
      </c>
      <c r="L27" s="15">
        <v>15</v>
      </c>
      <c r="M27" s="73">
        <v>56.25</v>
      </c>
      <c r="N27" s="104">
        <v>56.25</v>
      </c>
      <c r="O27" s="57">
        <v>7000</v>
      </c>
      <c r="P27" s="58">
        <f t="shared" si="0"/>
        <v>393750</v>
      </c>
    </row>
    <row r="28" spans="1:16" ht="26.25" customHeight="1" x14ac:dyDescent="0.2">
      <c r="A28" s="100"/>
      <c r="B28" s="100"/>
      <c r="C28" s="65" t="s">
        <v>4065</v>
      </c>
      <c r="D28" s="70" t="s">
        <v>57</v>
      </c>
      <c r="E28" s="12">
        <v>44551</v>
      </c>
      <c r="F28" s="68" t="s">
        <v>59</v>
      </c>
      <c r="G28" s="12">
        <v>44558</v>
      </c>
      <c r="H28" s="69" t="s">
        <v>4156</v>
      </c>
      <c r="I28" s="15">
        <v>80</v>
      </c>
      <c r="J28" s="15">
        <v>50</v>
      </c>
      <c r="K28" s="15">
        <v>31</v>
      </c>
      <c r="L28" s="15">
        <v>22</v>
      </c>
      <c r="M28" s="73">
        <v>31</v>
      </c>
      <c r="N28" s="104">
        <v>31</v>
      </c>
      <c r="O28" s="57">
        <v>7000</v>
      </c>
      <c r="P28" s="58">
        <f t="shared" si="0"/>
        <v>217000</v>
      </c>
    </row>
    <row r="29" spans="1:16" ht="26.25" customHeight="1" x14ac:dyDescent="0.2">
      <c r="A29" s="100"/>
      <c r="B29" s="100"/>
      <c r="C29" s="65" t="s">
        <v>4066</v>
      </c>
      <c r="D29" s="70" t="s">
        <v>57</v>
      </c>
      <c r="E29" s="12">
        <v>44551</v>
      </c>
      <c r="F29" s="68" t="s">
        <v>59</v>
      </c>
      <c r="G29" s="12">
        <v>44558</v>
      </c>
      <c r="H29" s="69" t="s">
        <v>4156</v>
      </c>
      <c r="I29" s="15">
        <v>53</v>
      </c>
      <c r="J29" s="15">
        <v>43</v>
      </c>
      <c r="K29" s="15">
        <v>34</v>
      </c>
      <c r="L29" s="15">
        <v>15</v>
      </c>
      <c r="M29" s="73">
        <v>19.371500000000001</v>
      </c>
      <c r="N29" s="104">
        <v>20</v>
      </c>
      <c r="O29" s="57">
        <v>7000</v>
      </c>
      <c r="P29" s="58">
        <f t="shared" si="0"/>
        <v>140000</v>
      </c>
    </row>
    <row r="30" spans="1:16" ht="26.25" customHeight="1" x14ac:dyDescent="0.2">
      <c r="A30" s="100"/>
      <c r="B30" s="100"/>
      <c r="C30" s="65" t="s">
        <v>4067</v>
      </c>
      <c r="D30" s="70" t="s">
        <v>57</v>
      </c>
      <c r="E30" s="12">
        <v>44551</v>
      </c>
      <c r="F30" s="68" t="s">
        <v>59</v>
      </c>
      <c r="G30" s="12">
        <v>44558</v>
      </c>
      <c r="H30" s="69" t="s">
        <v>4156</v>
      </c>
      <c r="I30" s="15">
        <v>75</v>
      </c>
      <c r="J30" s="15">
        <v>55</v>
      </c>
      <c r="K30" s="15">
        <v>13</v>
      </c>
      <c r="L30" s="15">
        <v>6</v>
      </c>
      <c r="M30" s="73">
        <v>13.40625</v>
      </c>
      <c r="N30" s="104">
        <v>14</v>
      </c>
      <c r="O30" s="57">
        <v>7000</v>
      </c>
      <c r="P30" s="58">
        <f t="shared" si="0"/>
        <v>98000</v>
      </c>
    </row>
    <row r="31" spans="1:16" ht="26.25" customHeight="1" x14ac:dyDescent="0.2">
      <c r="A31" s="100"/>
      <c r="B31" s="100"/>
      <c r="C31" s="65" t="s">
        <v>4068</v>
      </c>
      <c r="D31" s="70" t="s">
        <v>57</v>
      </c>
      <c r="E31" s="12">
        <v>44551</v>
      </c>
      <c r="F31" s="68" t="s">
        <v>59</v>
      </c>
      <c r="G31" s="12">
        <v>44558</v>
      </c>
      <c r="H31" s="69" t="s">
        <v>4156</v>
      </c>
      <c r="I31" s="15">
        <v>43</v>
      </c>
      <c r="J31" s="15">
        <v>24</v>
      </c>
      <c r="K31" s="15">
        <v>14</v>
      </c>
      <c r="L31" s="15">
        <v>4</v>
      </c>
      <c r="M31" s="73">
        <v>3.6120000000000001</v>
      </c>
      <c r="N31" s="104">
        <v>4</v>
      </c>
      <c r="O31" s="57">
        <v>7000</v>
      </c>
      <c r="P31" s="58">
        <f t="shared" si="0"/>
        <v>28000</v>
      </c>
    </row>
    <row r="32" spans="1:16" ht="26.25" customHeight="1" x14ac:dyDescent="0.2">
      <c r="A32" s="100"/>
      <c r="B32" s="100"/>
      <c r="C32" s="65" t="s">
        <v>4069</v>
      </c>
      <c r="D32" s="70" t="s">
        <v>57</v>
      </c>
      <c r="E32" s="12">
        <v>44551</v>
      </c>
      <c r="F32" s="68" t="s">
        <v>59</v>
      </c>
      <c r="G32" s="12">
        <v>44558</v>
      </c>
      <c r="H32" s="69" t="s">
        <v>4156</v>
      </c>
      <c r="I32" s="15">
        <v>70</v>
      </c>
      <c r="J32" s="15">
        <v>55</v>
      </c>
      <c r="K32" s="15">
        <v>26</v>
      </c>
      <c r="L32" s="15">
        <v>9</v>
      </c>
      <c r="M32" s="73">
        <v>25.024999999999999</v>
      </c>
      <c r="N32" s="104">
        <v>25.024999999999999</v>
      </c>
      <c r="O32" s="57">
        <v>7000</v>
      </c>
      <c r="P32" s="58">
        <f t="shared" si="0"/>
        <v>175175</v>
      </c>
    </row>
    <row r="33" spans="1:16" ht="26.25" customHeight="1" x14ac:dyDescent="0.2">
      <c r="A33" s="100"/>
      <c r="B33" s="100"/>
      <c r="C33" s="65" t="s">
        <v>4070</v>
      </c>
      <c r="D33" s="70" t="s">
        <v>57</v>
      </c>
      <c r="E33" s="12">
        <v>44551</v>
      </c>
      <c r="F33" s="68" t="s">
        <v>59</v>
      </c>
      <c r="G33" s="12">
        <v>44558</v>
      </c>
      <c r="H33" s="69" t="s">
        <v>4156</v>
      </c>
      <c r="I33" s="15">
        <v>92</v>
      </c>
      <c r="J33" s="15">
        <v>54</v>
      </c>
      <c r="K33" s="15">
        <v>15</v>
      </c>
      <c r="L33" s="15">
        <v>6</v>
      </c>
      <c r="M33" s="73">
        <v>18.63</v>
      </c>
      <c r="N33" s="104">
        <v>18.63</v>
      </c>
      <c r="O33" s="57">
        <v>7000</v>
      </c>
      <c r="P33" s="58">
        <f t="shared" si="0"/>
        <v>130410</v>
      </c>
    </row>
    <row r="34" spans="1:16" ht="26.25" customHeight="1" x14ac:dyDescent="0.2">
      <c r="A34" s="100"/>
      <c r="B34" s="100"/>
      <c r="C34" s="65" t="s">
        <v>4071</v>
      </c>
      <c r="D34" s="70" t="s">
        <v>57</v>
      </c>
      <c r="E34" s="12">
        <v>44551</v>
      </c>
      <c r="F34" s="68" t="s">
        <v>59</v>
      </c>
      <c r="G34" s="12">
        <v>44558</v>
      </c>
      <c r="H34" s="69" t="s">
        <v>4156</v>
      </c>
      <c r="I34" s="15">
        <v>90</v>
      </c>
      <c r="J34" s="15">
        <v>63</v>
      </c>
      <c r="K34" s="15">
        <v>20</v>
      </c>
      <c r="L34" s="15">
        <v>10</v>
      </c>
      <c r="M34" s="73">
        <v>28.35</v>
      </c>
      <c r="N34" s="104">
        <v>29</v>
      </c>
      <c r="O34" s="57">
        <v>7000</v>
      </c>
      <c r="P34" s="58">
        <f t="shared" si="0"/>
        <v>203000</v>
      </c>
    </row>
    <row r="35" spans="1:16" ht="26.25" customHeight="1" x14ac:dyDescent="0.2">
      <c r="A35" s="100"/>
      <c r="B35" s="100"/>
      <c r="C35" s="65" t="s">
        <v>4072</v>
      </c>
      <c r="D35" s="70" t="s">
        <v>57</v>
      </c>
      <c r="E35" s="12">
        <v>44551</v>
      </c>
      <c r="F35" s="68" t="s">
        <v>59</v>
      </c>
      <c r="G35" s="12">
        <v>44558</v>
      </c>
      <c r="H35" s="69" t="s">
        <v>4156</v>
      </c>
      <c r="I35" s="15">
        <v>82</v>
      </c>
      <c r="J35" s="15">
        <v>51</v>
      </c>
      <c r="K35" s="15">
        <v>22</v>
      </c>
      <c r="L35" s="15">
        <v>9</v>
      </c>
      <c r="M35" s="73">
        <v>23.001000000000001</v>
      </c>
      <c r="N35" s="104">
        <v>23.001000000000001</v>
      </c>
      <c r="O35" s="57">
        <v>7000</v>
      </c>
      <c r="P35" s="58">
        <f t="shared" si="0"/>
        <v>161007</v>
      </c>
    </row>
    <row r="36" spans="1:16" ht="26.25" customHeight="1" x14ac:dyDescent="0.2">
      <c r="A36" s="100"/>
      <c r="B36" s="100"/>
      <c r="C36" s="65" t="s">
        <v>4073</v>
      </c>
      <c r="D36" s="70" t="s">
        <v>57</v>
      </c>
      <c r="E36" s="12">
        <v>44551</v>
      </c>
      <c r="F36" s="68" t="s">
        <v>59</v>
      </c>
      <c r="G36" s="12">
        <v>44558</v>
      </c>
      <c r="H36" s="69" t="s">
        <v>4156</v>
      </c>
      <c r="I36" s="15">
        <v>80</v>
      </c>
      <c r="J36" s="15">
        <v>60</v>
      </c>
      <c r="K36" s="15">
        <v>30</v>
      </c>
      <c r="L36" s="15">
        <v>8</v>
      </c>
      <c r="M36" s="73">
        <v>36</v>
      </c>
      <c r="N36" s="104">
        <v>36</v>
      </c>
      <c r="O36" s="57">
        <v>7000</v>
      </c>
      <c r="P36" s="58">
        <f t="shared" si="0"/>
        <v>252000</v>
      </c>
    </row>
    <row r="37" spans="1:16" ht="26.25" customHeight="1" x14ac:dyDescent="0.2">
      <c r="A37" s="100"/>
      <c r="B37" s="100"/>
      <c r="C37" s="65" t="s">
        <v>4074</v>
      </c>
      <c r="D37" s="70" t="s">
        <v>57</v>
      </c>
      <c r="E37" s="12">
        <v>44551</v>
      </c>
      <c r="F37" s="68" t="s">
        <v>59</v>
      </c>
      <c r="G37" s="12">
        <v>44558</v>
      </c>
      <c r="H37" s="69" t="s">
        <v>4156</v>
      </c>
      <c r="I37" s="15">
        <v>90</v>
      </c>
      <c r="J37" s="15">
        <v>69</v>
      </c>
      <c r="K37" s="15">
        <v>24</v>
      </c>
      <c r="L37" s="15">
        <v>12</v>
      </c>
      <c r="M37" s="73">
        <v>37.26</v>
      </c>
      <c r="N37" s="104">
        <v>37.26</v>
      </c>
      <c r="O37" s="57">
        <v>7000</v>
      </c>
      <c r="P37" s="58">
        <f t="shared" si="0"/>
        <v>260820</v>
      </c>
    </row>
    <row r="38" spans="1:16" ht="26.25" customHeight="1" x14ac:dyDescent="0.2">
      <c r="A38" s="100"/>
      <c r="B38" s="100"/>
      <c r="C38" s="65" t="s">
        <v>4075</v>
      </c>
      <c r="D38" s="70" t="s">
        <v>57</v>
      </c>
      <c r="E38" s="12">
        <v>44551</v>
      </c>
      <c r="F38" s="68" t="s">
        <v>59</v>
      </c>
      <c r="G38" s="12">
        <v>44558</v>
      </c>
      <c r="H38" s="69" t="s">
        <v>4156</v>
      </c>
      <c r="I38" s="15">
        <v>62</v>
      </c>
      <c r="J38" s="15">
        <v>21</v>
      </c>
      <c r="K38" s="15">
        <v>20</v>
      </c>
      <c r="L38" s="15">
        <v>7</v>
      </c>
      <c r="M38" s="73">
        <v>6.51</v>
      </c>
      <c r="N38" s="104">
        <v>7</v>
      </c>
      <c r="O38" s="57">
        <v>7000</v>
      </c>
      <c r="P38" s="58">
        <f t="shared" si="0"/>
        <v>49000</v>
      </c>
    </row>
    <row r="39" spans="1:16" ht="26.25" customHeight="1" x14ac:dyDescent="0.2">
      <c r="A39" s="100"/>
      <c r="B39" s="100"/>
      <c r="C39" s="65" t="s">
        <v>4076</v>
      </c>
      <c r="D39" s="70" t="s">
        <v>57</v>
      </c>
      <c r="E39" s="12">
        <v>44551</v>
      </c>
      <c r="F39" s="68" t="s">
        <v>59</v>
      </c>
      <c r="G39" s="12">
        <v>44558</v>
      </c>
      <c r="H39" s="69" t="s">
        <v>4156</v>
      </c>
      <c r="I39" s="15">
        <v>84</v>
      </c>
      <c r="J39" s="15">
        <v>56</v>
      </c>
      <c r="K39" s="15">
        <v>22</v>
      </c>
      <c r="L39" s="15">
        <v>6</v>
      </c>
      <c r="M39" s="73">
        <v>25.872</v>
      </c>
      <c r="N39" s="104">
        <v>25.872</v>
      </c>
      <c r="O39" s="57">
        <v>7000</v>
      </c>
      <c r="P39" s="58">
        <f t="shared" si="0"/>
        <v>181104</v>
      </c>
    </row>
    <row r="40" spans="1:16" ht="26.25" customHeight="1" x14ac:dyDescent="0.2">
      <c r="A40" s="100"/>
      <c r="B40" s="100"/>
      <c r="C40" s="65" t="s">
        <v>4077</v>
      </c>
      <c r="D40" s="70" t="s">
        <v>57</v>
      </c>
      <c r="E40" s="12">
        <v>44551</v>
      </c>
      <c r="F40" s="68" t="s">
        <v>59</v>
      </c>
      <c r="G40" s="12">
        <v>44558</v>
      </c>
      <c r="H40" s="69" t="s">
        <v>4156</v>
      </c>
      <c r="I40" s="15">
        <v>62</v>
      </c>
      <c r="J40" s="15">
        <v>60</v>
      </c>
      <c r="K40" s="15">
        <v>22</v>
      </c>
      <c r="L40" s="15">
        <v>9</v>
      </c>
      <c r="M40" s="73">
        <v>20.46</v>
      </c>
      <c r="N40" s="104">
        <v>21</v>
      </c>
      <c r="O40" s="57">
        <v>7000</v>
      </c>
      <c r="P40" s="58">
        <f t="shared" si="0"/>
        <v>147000</v>
      </c>
    </row>
    <row r="41" spans="1:16" ht="26.25" customHeight="1" x14ac:dyDescent="0.2">
      <c r="A41" s="100"/>
      <c r="B41" s="100"/>
      <c r="C41" s="65" t="s">
        <v>4078</v>
      </c>
      <c r="D41" s="70" t="s">
        <v>57</v>
      </c>
      <c r="E41" s="12">
        <v>44551</v>
      </c>
      <c r="F41" s="68" t="s">
        <v>59</v>
      </c>
      <c r="G41" s="12">
        <v>44558</v>
      </c>
      <c r="H41" s="69" t="s">
        <v>4156</v>
      </c>
      <c r="I41" s="15">
        <v>97</v>
      </c>
      <c r="J41" s="15">
        <v>95</v>
      </c>
      <c r="K41" s="15">
        <v>23</v>
      </c>
      <c r="L41" s="15">
        <v>8</v>
      </c>
      <c r="M41" s="73">
        <v>52.986249999999998</v>
      </c>
      <c r="N41" s="104">
        <v>52.986249999999998</v>
      </c>
      <c r="O41" s="57">
        <v>7000</v>
      </c>
      <c r="P41" s="58">
        <f t="shared" si="0"/>
        <v>370903.75</v>
      </c>
    </row>
    <row r="42" spans="1:16" ht="26.25" customHeight="1" x14ac:dyDescent="0.2">
      <c r="A42" s="100"/>
      <c r="B42" s="100"/>
      <c r="C42" s="65" t="s">
        <v>4079</v>
      </c>
      <c r="D42" s="70" t="s">
        <v>57</v>
      </c>
      <c r="E42" s="12">
        <v>44551</v>
      </c>
      <c r="F42" s="68" t="s">
        <v>59</v>
      </c>
      <c r="G42" s="12">
        <v>44558</v>
      </c>
      <c r="H42" s="69" t="s">
        <v>4156</v>
      </c>
      <c r="I42" s="15">
        <v>94</v>
      </c>
      <c r="J42" s="15">
        <v>71</v>
      </c>
      <c r="K42" s="15">
        <v>25</v>
      </c>
      <c r="L42" s="15">
        <v>21</v>
      </c>
      <c r="M42" s="73">
        <v>41.712499999999999</v>
      </c>
      <c r="N42" s="104">
        <v>41.712499999999999</v>
      </c>
      <c r="O42" s="57">
        <v>7000</v>
      </c>
      <c r="P42" s="58">
        <f t="shared" si="0"/>
        <v>291987.5</v>
      </c>
    </row>
    <row r="43" spans="1:16" ht="26.25" customHeight="1" x14ac:dyDescent="0.2">
      <c r="A43" s="100"/>
      <c r="B43" s="100"/>
      <c r="C43" s="65" t="s">
        <v>4080</v>
      </c>
      <c r="D43" s="70" t="s">
        <v>57</v>
      </c>
      <c r="E43" s="12">
        <v>44551</v>
      </c>
      <c r="F43" s="68" t="s">
        <v>59</v>
      </c>
      <c r="G43" s="12">
        <v>44558</v>
      </c>
      <c r="H43" s="69" t="s">
        <v>4156</v>
      </c>
      <c r="I43" s="15">
        <v>75</v>
      </c>
      <c r="J43" s="15">
        <v>60</v>
      </c>
      <c r="K43" s="15">
        <v>2</v>
      </c>
      <c r="L43" s="15">
        <v>7</v>
      </c>
      <c r="M43" s="73">
        <v>2.25</v>
      </c>
      <c r="N43" s="104">
        <v>7</v>
      </c>
      <c r="O43" s="57">
        <v>7000</v>
      </c>
      <c r="P43" s="58">
        <f t="shared" si="0"/>
        <v>49000</v>
      </c>
    </row>
    <row r="44" spans="1:16" ht="26.25" customHeight="1" x14ac:dyDescent="0.2">
      <c r="A44" s="100"/>
      <c r="B44" s="100"/>
      <c r="C44" s="65" t="s">
        <v>4081</v>
      </c>
      <c r="D44" s="70" t="s">
        <v>57</v>
      </c>
      <c r="E44" s="12">
        <v>44551</v>
      </c>
      <c r="F44" s="68" t="s">
        <v>59</v>
      </c>
      <c r="G44" s="12">
        <v>44558</v>
      </c>
      <c r="H44" s="69" t="s">
        <v>4156</v>
      </c>
      <c r="I44" s="15">
        <v>67</v>
      </c>
      <c r="J44" s="15">
        <v>53</v>
      </c>
      <c r="K44" s="15">
        <v>13</v>
      </c>
      <c r="L44" s="15">
        <v>7</v>
      </c>
      <c r="M44" s="73">
        <v>11.540749999999999</v>
      </c>
      <c r="N44" s="104">
        <v>11.540749999999999</v>
      </c>
      <c r="O44" s="57">
        <v>7000</v>
      </c>
      <c r="P44" s="58">
        <f t="shared" si="0"/>
        <v>80785.25</v>
      </c>
    </row>
    <row r="45" spans="1:16" ht="26.25" customHeight="1" x14ac:dyDescent="0.2">
      <c r="A45" s="100"/>
      <c r="B45" s="100"/>
      <c r="C45" s="65" t="s">
        <v>4082</v>
      </c>
      <c r="D45" s="70" t="s">
        <v>57</v>
      </c>
      <c r="E45" s="12">
        <v>44551</v>
      </c>
      <c r="F45" s="68" t="s">
        <v>59</v>
      </c>
      <c r="G45" s="12">
        <v>44558</v>
      </c>
      <c r="H45" s="69" t="s">
        <v>4156</v>
      </c>
      <c r="I45" s="15">
        <v>95</v>
      </c>
      <c r="J45" s="15">
        <v>60</v>
      </c>
      <c r="K45" s="15">
        <v>22</v>
      </c>
      <c r="L45" s="15">
        <v>16</v>
      </c>
      <c r="M45" s="73">
        <v>31.35</v>
      </c>
      <c r="N45" s="104">
        <v>32</v>
      </c>
      <c r="O45" s="57">
        <v>7000</v>
      </c>
      <c r="P45" s="58">
        <f t="shared" si="0"/>
        <v>224000</v>
      </c>
    </row>
    <row r="46" spans="1:16" ht="26.25" customHeight="1" x14ac:dyDescent="0.2">
      <c r="A46" s="100"/>
      <c r="B46" s="100"/>
      <c r="C46" s="65" t="s">
        <v>4083</v>
      </c>
      <c r="D46" s="70" t="s">
        <v>57</v>
      </c>
      <c r="E46" s="12">
        <v>44551</v>
      </c>
      <c r="F46" s="68" t="s">
        <v>59</v>
      </c>
      <c r="G46" s="12">
        <v>44558</v>
      </c>
      <c r="H46" s="69" t="s">
        <v>4156</v>
      </c>
      <c r="I46" s="15">
        <v>60</v>
      </c>
      <c r="J46" s="15">
        <v>60</v>
      </c>
      <c r="K46" s="15">
        <v>14</v>
      </c>
      <c r="L46" s="15">
        <v>15</v>
      </c>
      <c r="M46" s="73">
        <v>12.6</v>
      </c>
      <c r="N46" s="104">
        <v>15</v>
      </c>
      <c r="O46" s="57">
        <v>7000</v>
      </c>
      <c r="P46" s="58">
        <f t="shared" si="0"/>
        <v>105000</v>
      </c>
    </row>
    <row r="47" spans="1:16" ht="26.25" customHeight="1" x14ac:dyDescent="0.2">
      <c r="A47" s="100"/>
      <c r="B47" s="100"/>
      <c r="C47" s="65" t="s">
        <v>4084</v>
      </c>
      <c r="D47" s="70" t="s">
        <v>57</v>
      </c>
      <c r="E47" s="12">
        <v>44551</v>
      </c>
      <c r="F47" s="68" t="s">
        <v>59</v>
      </c>
      <c r="G47" s="12">
        <v>44558</v>
      </c>
      <c r="H47" s="69" t="s">
        <v>4156</v>
      </c>
      <c r="I47" s="15">
        <v>74</v>
      </c>
      <c r="J47" s="15">
        <v>60</v>
      </c>
      <c r="K47" s="15">
        <v>33</v>
      </c>
      <c r="L47" s="15">
        <v>13</v>
      </c>
      <c r="M47" s="73">
        <v>36.630000000000003</v>
      </c>
      <c r="N47" s="104">
        <v>36.630000000000003</v>
      </c>
      <c r="O47" s="57">
        <v>7000</v>
      </c>
      <c r="P47" s="58">
        <f t="shared" si="0"/>
        <v>256410.00000000003</v>
      </c>
    </row>
    <row r="48" spans="1:16" ht="26.25" customHeight="1" x14ac:dyDescent="0.2">
      <c r="A48" s="100"/>
      <c r="B48" s="100"/>
      <c r="C48" s="65" t="s">
        <v>4085</v>
      </c>
      <c r="D48" s="70" t="s">
        <v>57</v>
      </c>
      <c r="E48" s="12">
        <v>44551</v>
      </c>
      <c r="F48" s="68" t="s">
        <v>59</v>
      </c>
      <c r="G48" s="12">
        <v>44558</v>
      </c>
      <c r="H48" s="69" t="s">
        <v>4156</v>
      </c>
      <c r="I48" s="15">
        <v>71</v>
      </c>
      <c r="J48" s="15">
        <v>55</v>
      </c>
      <c r="K48" s="15">
        <v>25</v>
      </c>
      <c r="L48" s="15">
        <v>6</v>
      </c>
      <c r="M48" s="73">
        <v>24.40625</v>
      </c>
      <c r="N48" s="104">
        <v>25</v>
      </c>
      <c r="O48" s="57">
        <v>7000</v>
      </c>
      <c r="P48" s="58">
        <f t="shared" si="0"/>
        <v>175000</v>
      </c>
    </row>
    <row r="49" spans="1:16" ht="26.25" customHeight="1" x14ac:dyDescent="0.2">
      <c r="A49" s="100"/>
      <c r="B49" s="100"/>
      <c r="C49" s="65" t="s">
        <v>4086</v>
      </c>
      <c r="D49" s="70" t="s">
        <v>57</v>
      </c>
      <c r="E49" s="12">
        <v>44551</v>
      </c>
      <c r="F49" s="68" t="s">
        <v>59</v>
      </c>
      <c r="G49" s="12">
        <v>44558</v>
      </c>
      <c r="H49" s="69" t="s">
        <v>4156</v>
      </c>
      <c r="I49" s="15">
        <v>97</v>
      </c>
      <c r="J49" s="15">
        <v>62</v>
      </c>
      <c r="K49" s="15">
        <v>25</v>
      </c>
      <c r="L49" s="15">
        <v>16</v>
      </c>
      <c r="M49" s="73">
        <v>37.587499999999999</v>
      </c>
      <c r="N49" s="104">
        <v>37.587499999999999</v>
      </c>
      <c r="O49" s="57">
        <v>7000</v>
      </c>
      <c r="P49" s="58">
        <f t="shared" si="0"/>
        <v>263112.5</v>
      </c>
    </row>
    <row r="50" spans="1:16" ht="26.25" customHeight="1" x14ac:dyDescent="0.2">
      <c r="A50" s="100"/>
      <c r="B50" s="100"/>
      <c r="C50" s="65" t="s">
        <v>4087</v>
      </c>
      <c r="D50" s="70" t="s">
        <v>57</v>
      </c>
      <c r="E50" s="12">
        <v>44551</v>
      </c>
      <c r="F50" s="68" t="s">
        <v>59</v>
      </c>
      <c r="G50" s="12">
        <v>44558</v>
      </c>
      <c r="H50" s="69" t="s">
        <v>4156</v>
      </c>
      <c r="I50" s="15">
        <v>103</v>
      </c>
      <c r="J50" s="15">
        <v>15</v>
      </c>
      <c r="K50" s="15">
        <v>10</v>
      </c>
      <c r="L50" s="15">
        <v>1</v>
      </c>
      <c r="M50" s="73">
        <v>3.8624999999999998</v>
      </c>
      <c r="N50" s="104">
        <v>3.8624999999999998</v>
      </c>
      <c r="O50" s="57">
        <v>7000</v>
      </c>
      <c r="P50" s="58">
        <f t="shared" si="0"/>
        <v>27037.5</v>
      </c>
    </row>
    <row r="51" spans="1:16" ht="26.25" customHeight="1" x14ac:dyDescent="0.2">
      <c r="A51" s="100"/>
      <c r="B51" s="100"/>
      <c r="C51" s="65" t="s">
        <v>4088</v>
      </c>
      <c r="D51" s="70" t="s">
        <v>57</v>
      </c>
      <c r="E51" s="12">
        <v>44551</v>
      </c>
      <c r="F51" s="68" t="s">
        <v>59</v>
      </c>
      <c r="G51" s="12">
        <v>44558</v>
      </c>
      <c r="H51" s="69" t="s">
        <v>4156</v>
      </c>
      <c r="I51" s="15">
        <v>34</v>
      </c>
      <c r="J51" s="15">
        <v>31</v>
      </c>
      <c r="K51" s="15">
        <v>12</v>
      </c>
      <c r="L51" s="15">
        <v>2</v>
      </c>
      <c r="M51" s="73">
        <v>3.1619999999999999</v>
      </c>
      <c r="N51" s="104">
        <v>3.1619999999999999</v>
      </c>
      <c r="O51" s="57">
        <v>7000</v>
      </c>
      <c r="P51" s="58">
        <f t="shared" si="0"/>
        <v>22134</v>
      </c>
    </row>
    <row r="52" spans="1:16" ht="26.25" customHeight="1" x14ac:dyDescent="0.2">
      <c r="A52" s="100"/>
      <c r="B52" s="100"/>
      <c r="C52" s="65" t="s">
        <v>4089</v>
      </c>
      <c r="D52" s="70" t="s">
        <v>57</v>
      </c>
      <c r="E52" s="12">
        <v>44551</v>
      </c>
      <c r="F52" s="68" t="s">
        <v>59</v>
      </c>
      <c r="G52" s="12">
        <v>44558</v>
      </c>
      <c r="H52" s="69" t="s">
        <v>4156</v>
      </c>
      <c r="I52" s="15">
        <v>65</v>
      </c>
      <c r="J52" s="15">
        <v>62</v>
      </c>
      <c r="K52" s="15">
        <v>12</v>
      </c>
      <c r="L52" s="15">
        <v>12</v>
      </c>
      <c r="M52" s="73">
        <v>12.09</v>
      </c>
      <c r="N52" s="104">
        <v>12.09</v>
      </c>
      <c r="O52" s="57">
        <v>7000</v>
      </c>
      <c r="P52" s="58">
        <f t="shared" si="0"/>
        <v>84630</v>
      </c>
    </row>
    <row r="53" spans="1:16" ht="26.25" customHeight="1" x14ac:dyDescent="0.2">
      <c r="A53" s="100"/>
      <c r="B53" s="100"/>
      <c r="C53" s="65" t="s">
        <v>4090</v>
      </c>
      <c r="D53" s="70" t="s">
        <v>57</v>
      </c>
      <c r="E53" s="12">
        <v>44551</v>
      </c>
      <c r="F53" s="68" t="s">
        <v>59</v>
      </c>
      <c r="G53" s="12">
        <v>44558</v>
      </c>
      <c r="H53" s="69" t="s">
        <v>4156</v>
      </c>
      <c r="I53" s="15">
        <v>125</v>
      </c>
      <c r="J53" s="15">
        <v>30</v>
      </c>
      <c r="K53" s="15">
        <v>5</v>
      </c>
      <c r="L53" s="15">
        <v>1</v>
      </c>
      <c r="M53" s="73">
        <v>4.6875</v>
      </c>
      <c r="N53" s="104">
        <v>4.6875</v>
      </c>
      <c r="O53" s="57">
        <v>7000</v>
      </c>
      <c r="P53" s="58">
        <f t="shared" si="0"/>
        <v>32812.5</v>
      </c>
    </row>
    <row r="54" spans="1:16" ht="26.25" customHeight="1" x14ac:dyDescent="0.2">
      <c r="A54" s="100"/>
      <c r="B54" s="100"/>
      <c r="C54" s="65" t="s">
        <v>4091</v>
      </c>
      <c r="D54" s="70" t="s">
        <v>57</v>
      </c>
      <c r="E54" s="12">
        <v>44551</v>
      </c>
      <c r="F54" s="68" t="s">
        <v>59</v>
      </c>
      <c r="G54" s="12">
        <v>44558</v>
      </c>
      <c r="H54" s="69" t="s">
        <v>4156</v>
      </c>
      <c r="I54" s="15">
        <v>82</v>
      </c>
      <c r="J54" s="15">
        <v>82</v>
      </c>
      <c r="K54" s="15">
        <v>20</v>
      </c>
      <c r="L54" s="15">
        <v>11</v>
      </c>
      <c r="M54" s="73">
        <v>33.619999999999997</v>
      </c>
      <c r="N54" s="104">
        <v>33.619999999999997</v>
      </c>
      <c r="O54" s="57">
        <v>7000</v>
      </c>
      <c r="P54" s="58">
        <f t="shared" si="0"/>
        <v>235339.99999999997</v>
      </c>
    </row>
    <row r="55" spans="1:16" ht="26.25" customHeight="1" x14ac:dyDescent="0.2">
      <c r="A55" s="100"/>
      <c r="B55" s="100"/>
      <c r="C55" s="65" t="s">
        <v>4092</v>
      </c>
      <c r="D55" s="70" t="s">
        <v>57</v>
      </c>
      <c r="E55" s="12">
        <v>44551</v>
      </c>
      <c r="F55" s="68" t="s">
        <v>59</v>
      </c>
      <c r="G55" s="12">
        <v>44558</v>
      </c>
      <c r="H55" s="69" t="s">
        <v>4156</v>
      </c>
      <c r="I55" s="15">
        <v>40</v>
      </c>
      <c r="J55" s="15">
        <v>35</v>
      </c>
      <c r="K55" s="15">
        <v>30</v>
      </c>
      <c r="L55" s="15">
        <v>5</v>
      </c>
      <c r="M55" s="73">
        <v>10.5</v>
      </c>
      <c r="N55" s="104">
        <v>12</v>
      </c>
      <c r="O55" s="57">
        <v>7000</v>
      </c>
      <c r="P55" s="58">
        <f t="shared" si="0"/>
        <v>84000</v>
      </c>
    </row>
    <row r="56" spans="1:16" ht="26.25" customHeight="1" x14ac:dyDescent="0.2">
      <c r="A56" s="100"/>
      <c r="B56" s="100"/>
      <c r="C56" s="65" t="s">
        <v>4093</v>
      </c>
      <c r="D56" s="70" t="s">
        <v>57</v>
      </c>
      <c r="E56" s="12">
        <v>44551</v>
      </c>
      <c r="F56" s="68" t="s">
        <v>59</v>
      </c>
      <c r="G56" s="12">
        <v>44558</v>
      </c>
      <c r="H56" s="69" t="s">
        <v>4156</v>
      </c>
      <c r="I56" s="15">
        <v>90</v>
      </c>
      <c r="J56" s="15">
        <v>62</v>
      </c>
      <c r="K56" s="15">
        <v>17</v>
      </c>
      <c r="L56" s="15">
        <v>9</v>
      </c>
      <c r="M56" s="73">
        <v>23.715</v>
      </c>
      <c r="N56" s="104">
        <v>23.715</v>
      </c>
      <c r="O56" s="57">
        <v>7000</v>
      </c>
      <c r="P56" s="58">
        <f t="shared" si="0"/>
        <v>166005</v>
      </c>
    </row>
    <row r="57" spans="1:16" ht="26.25" customHeight="1" x14ac:dyDescent="0.2">
      <c r="A57" s="100"/>
      <c r="B57" s="100"/>
      <c r="C57" s="65" t="s">
        <v>4094</v>
      </c>
      <c r="D57" s="70" t="s">
        <v>57</v>
      </c>
      <c r="E57" s="12">
        <v>44551</v>
      </c>
      <c r="F57" s="68" t="s">
        <v>59</v>
      </c>
      <c r="G57" s="12">
        <v>44558</v>
      </c>
      <c r="H57" s="69" t="s">
        <v>4156</v>
      </c>
      <c r="I57" s="15">
        <v>98</v>
      </c>
      <c r="J57" s="15">
        <v>62</v>
      </c>
      <c r="K57" s="15">
        <v>20</v>
      </c>
      <c r="L57" s="15">
        <v>18</v>
      </c>
      <c r="M57" s="73">
        <v>30.38</v>
      </c>
      <c r="N57" s="104">
        <v>31</v>
      </c>
      <c r="O57" s="57">
        <v>7000</v>
      </c>
      <c r="P57" s="58">
        <f t="shared" si="0"/>
        <v>217000</v>
      </c>
    </row>
    <row r="58" spans="1:16" ht="26.25" customHeight="1" x14ac:dyDescent="0.2">
      <c r="A58" s="100"/>
      <c r="B58" s="100"/>
      <c r="C58" s="65" t="s">
        <v>4095</v>
      </c>
      <c r="D58" s="70" t="s">
        <v>57</v>
      </c>
      <c r="E58" s="12">
        <v>44551</v>
      </c>
      <c r="F58" s="68" t="s">
        <v>59</v>
      </c>
      <c r="G58" s="12">
        <v>44558</v>
      </c>
      <c r="H58" s="69" t="s">
        <v>4156</v>
      </c>
      <c r="I58" s="15">
        <v>102</v>
      </c>
      <c r="J58" s="15">
        <v>65</v>
      </c>
      <c r="K58" s="15">
        <v>30</v>
      </c>
      <c r="L58" s="15">
        <v>20</v>
      </c>
      <c r="M58" s="73">
        <v>49.725000000000001</v>
      </c>
      <c r="N58" s="104">
        <v>49.725000000000001</v>
      </c>
      <c r="O58" s="57">
        <v>7000</v>
      </c>
      <c r="P58" s="58">
        <f t="shared" si="0"/>
        <v>348075</v>
      </c>
    </row>
    <row r="59" spans="1:16" ht="26.25" customHeight="1" x14ac:dyDescent="0.2">
      <c r="A59" s="100"/>
      <c r="B59" s="100"/>
      <c r="C59" s="65" t="s">
        <v>4096</v>
      </c>
      <c r="D59" s="70" t="s">
        <v>57</v>
      </c>
      <c r="E59" s="12">
        <v>44551</v>
      </c>
      <c r="F59" s="68" t="s">
        <v>59</v>
      </c>
      <c r="G59" s="12">
        <v>44558</v>
      </c>
      <c r="H59" s="69" t="s">
        <v>4156</v>
      </c>
      <c r="I59" s="15">
        <v>65</v>
      </c>
      <c r="J59" s="15">
        <v>60</v>
      </c>
      <c r="K59" s="15">
        <v>10</v>
      </c>
      <c r="L59" s="15">
        <v>2</v>
      </c>
      <c r="M59" s="73">
        <v>9.75</v>
      </c>
      <c r="N59" s="104">
        <v>9.75</v>
      </c>
      <c r="O59" s="57">
        <v>7000</v>
      </c>
      <c r="P59" s="58">
        <f t="shared" si="0"/>
        <v>68250</v>
      </c>
    </row>
    <row r="60" spans="1:16" ht="26.25" customHeight="1" x14ac:dyDescent="0.2">
      <c r="A60" s="100"/>
      <c r="B60" s="100"/>
      <c r="C60" s="65" t="s">
        <v>4097</v>
      </c>
      <c r="D60" s="70" t="s">
        <v>57</v>
      </c>
      <c r="E60" s="12">
        <v>44551</v>
      </c>
      <c r="F60" s="68" t="s">
        <v>59</v>
      </c>
      <c r="G60" s="12">
        <v>44558</v>
      </c>
      <c r="H60" s="69" t="s">
        <v>4156</v>
      </c>
      <c r="I60" s="15">
        <v>95</v>
      </c>
      <c r="J60" s="15">
        <v>61</v>
      </c>
      <c r="K60" s="15">
        <v>22</v>
      </c>
      <c r="L60" s="15">
        <v>17</v>
      </c>
      <c r="M60" s="73">
        <v>31.872499999999999</v>
      </c>
      <c r="N60" s="104">
        <v>31.872499999999999</v>
      </c>
      <c r="O60" s="57">
        <v>7000</v>
      </c>
      <c r="P60" s="58">
        <f t="shared" si="0"/>
        <v>223107.5</v>
      </c>
    </row>
    <row r="61" spans="1:16" ht="26.25" customHeight="1" x14ac:dyDescent="0.2">
      <c r="A61" s="100"/>
      <c r="B61" s="100"/>
      <c r="C61" s="65" t="s">
        <v>4098</v>
      </c>
      <c r="D61" s="70" t="s">
        <v>57</v>
      </c>
      <c r="E61" s="12">
        <v>44551</v>
      </c>
      <c r="F61" s="68" t="s">
        <v>59</v>
      </c>
      <c r="G61" s="12">
        <v>44558</v>
      </c>
      <c r="H61" s="69" t="s">
        <v>4156</v>
      </c>
      <c r="I61" s="15">
        <v>66</v>
      </c>
      <c r="J61" s="15">
        <v>52</v>
      </c>
      <c r="K61" s="15">
        <v>20</v>
      </c>
      <c r="L61" s="15">
        <v>11</v>
      </c>
      <c r="M61" s="73">
        <v>17.16</v>
      </c>
      <c r="N61" s="104">
        <v>17.16</v>
      </c>
      <c r="O61" s="57">
        <v>7000</v>
      </c>
      <c r="P61" s="58">
        <f t="shared" si="0"/>
        <v>120120</v>
      </c>
    </row>
    <row r="62" spans="1:16" ht="26.25" customHeight="1" x14ac:dyDescent="0.2">
      <c r="A62" s="100"/>
      <c r="B62" s="100"/>
      <c r="C62" s="65" t="s">
        <v>4099</v>
      </c>
      <c r="D62" s="70" t="s">
        <v>57</v>
      </c>
      <c r="E62" s="12">
        <v>44551</v>
      </c>
      <c r="F62" s="68" t="s">
        <v>59</v>
      </c>
      <c r="G62" s="12">
        <v>44558</v>
      </c>
      <c r="H62" s="69" t="s">
        <v>4156</v>
      </c>
      <c r="I62" s="15">
        <v>95</v>
      </c>
      <c r="J62" s="15">
        <v>57</v>
      </c>
      <c r="K62" s="15">
        <v>20</v>
      </c>
      <c r="L62" s="15">
        <v>9</v>
      </c>
      <c r="M62" s="73">
        <v>27.074999999999999</v>
      </c>
      <c r="N62" s="104">
        <v>27.074999999999999</v>
      </c>
      <c r="O62" s="57">
        <v>7000</v>
      </c>
      <c r="P62" s="58">
        <f t="shared" si="0"/>
        <v>189525</v>
      </c>
    </row>
    <row r="63" spans="1:16" ht="26.25" customHeight="1" x14ac:dyDescent="0.2">
      <c r="A63" s="100"/>
      <c r="B63" s="100"/>
      <c r="C63" s="65" t="s">
        <v>4100</v>
      </c>
      <c r="D63" s="70" t="s">
        <v>57</v>
      </c>
      <c r="E63" s="12">
        <v>44551</v>
      </c>
      <c r="F63" s="68" t="s">
        <v>59</v>
      </c>
      <c r="G63" s="12">
        <v>44558</v>
      </c>
      <c r="H63" s="69" t="s">
        <v>4156</v>
      </c>
      <c r="I63" s="15">
        <v>23</v>
      </c>
      <c r="J63" s="15">
        <v>23</v>
      </c>
      <c r="K63" s="15">
        <v>24</v>
      </c>
      <c r="L63" s="15">
        <v>1</v>
      </c>
      <c r="M63" s="73">
        <v>3.1739999999999999</v>
      </c>
      <c r="N63" s="104">
        <v>3.1739999999999999</v>
      </c>
      <c r="O63" s="57">
        <v>7000</v>
      </c>
      <c r="P63" s="58">
        <f t="shared" si="0"/>
        <v>22218</v>
      </c>
    </row>
    <row r="64" spans="1:16" ht="26.25" customHeight="1" x14ac:dyDescent="0.2">
      <c r="A64" s="100"/>
      <c r="B64" s="100"/>
      <c r="C64" s="65" t="s">
        <v>4101</v>
      </c>
      <c r="D64" s="70" t="s">
        <v>57</v>
      </c>
      <c r="E64" s="12">
        <v>44551</v>
      </c>
      <c r="F64" s="68" t="s">
        <v>59</v>
      </c>
      <c r="G64" s="12">
        <v>44558</v>
      </c>
      <c r="H64" s="69" t="s">
        <v>4156</v>
      </c>
      <c r="I64" s="15">
        <v>82</v>
      </c>
      <c r="J64" s="15">
        <v>62</v>
      </c>
      <c r="K64" s="15">
        <v>23</v>
      </c>
      <c r="L64" s="15">
        <v>10</v>
      </c>
      <c r="M64" s="73">
        <v>29.233000000000001</v>
      </c>
      <c r="N64" s="104">
        <v>29.233000000000001</v>
      </c>
      <c r="O64" s="57">
        <v>7000</v>
      </c>
      <c r="P64" s="58">
        <f t="shared" si="0"/>
        <v>204631</v>
      </c>
    </row>
    <row r="65" spans="1:16" ht="26.25" customHeight="1" x14ac:dyDescent="0.2">
      <c r="A65" s="100"/>
      <c r="B65" s="100"/>
      <c r="C65" s="65" t="s">
        <v>4102</v>
      </c>
      <c r="D65" s="70" t="s">
        <v>57</v>
      </c>
      <c r="E65" s="12">
        <v>44551</v>
      </c>
      <c r="F65" s="68" t="s">
        <v>59</v>
      </c>
      <c r="G65" s="12">
        <v>44558</v>
      </c>
      <c r="H65" s="69" t="s">
        <v>4156</v>
      </c>
      <c r="I65" s="15">
        <v>73</v>
      </c>
      <c r="J65" s="15">
        <v>61</v>
      </c>
      <c r="K65" s="15">
        <v>20</v>
      </c>
      <c r="L65" s="15">
        <v>14</v>
      </c>
      <c r="M65" s="73">
        <v>22.265000000000001</v>
      </c>
      <c r="N65" s="104">
        <v>22.265000000000001</v>
      </c>
      <c r="O65" s="57">
        <v>7000</v>
      </c>
      <c r="P65" s="58">
        <f t="shared" si="0"/>
        <v>155855</v>
      </c>
    </row>
    <row r="66" spans="1:16" ht="26.25" customHeight="1" x14ac:dyDescent="0.2">
      <c r="A66" s="100"/>
      <c r="B66" s="100"/>
      <c r="C66" s="65" t="s">
        <v>4103</v>
      </c>
      <c r="D66" s="70" t="s">
        <v>57</v>
      </c>
      <c r="E66" s="12">
        <v>44551</v>
      </c>
      <c r="F66" s="68" t="s">
        <v>59</v>
      </c>
      <c r="G66" s="12">
        <v>44558</v>
      </c>
      <c r="H66" s="69" t="s">
        <v>4156</v>
      </c>
      <c r="I66" s="15">
        <v>85</v>
      </c>
      <c r="J66" s="15">
        <v>61</v>
      </c>
      <c r="K66" s="15">
        <v>24</v>
      </c>
      <c r="L66" s="15">
        <v>13</v>
      </c>
      <c r="M66" s="73">
        <v>31.11</v>
      </c>
      <c r="N66" s="104">
        <v>31.11</v>
      </c>
      <c r="O66" s="57">
        <v>7000</v>
      </c>
      <c r="P66" s="58">
        <f t="shared" si="0"/>
        <v>217770</v>
      </c>
    </row>
    <row r="67" spans="1:16" ht="26.25" customHeight="1" x14ac:dyDescent="0.2">
      <c r="A67" s="100"/>
      <c r="B67" s="100"/>
      <c r="C67" s="65" t="s">
        <v>4104</v>
      </c>
      <c r="D67" s="70" t="s">
        <v>57</v>
      </c>
      <c r="E67" s="12">
        <v>44551</v>
      </c>
      <c r="F67" s="68" t="s">
        <v>59</v>
      </c>
      <c r="G67" s="12">
        <v>44558</v>
      </c>
      <c r="H67" s="69" t="s">
        <v>4156</v>
      </c>
      <c r="I67" s="15">
        <v>70</v>
      </c>
      <c r="J67" s="15">
        <v>60</v>
      </c>
      <c r="K67" s="15">
        <v>21</v>
      </c>
      <c r="L67" s="15">
        <v>14</v>
      </c>
      <c r="M67" s="73">
        <v>22.05</v>
      </c>
      <c r="N67" s="104">
        <v>22.05</v>
      </c>
      <c r="O67" s="57">
        <v>7000</v>
      </c>
      <c r="P67" s="58">
        <f t="shared" ref="P67:P118" si="1">N67*O67</f>
        <v>154350</v>
      </c>
    </row>
    <row r="68" spans="1:16" ht="26.25" customHeight="1" x14ac:dyDescent="0.2">
      <c r="A68" s="100"/>
      <c r="B68" s="100"/>
      <c r="C68" s="65" t="s">
        <v>4105</v>
      </c>
      <c r="D68" s="70" t="s">
        <v>57</v>
      </c>
      <c r="E68" s="12">
        <v>44551</v>
      </c>
      <c r="F68" s="68" t="s">
        <v>59</v>
      </c>
      <c r="G68" s="12">
        <v>44558</v>
      </c>
      <c r="H68" s="69" t="s">
        <v>4156</v>
      </c>
      <c r="I68" s="15">
        <v>43</v>
      </c>
      <c r="J68" s="15">
        <v>43</v>
      </c>
      <c r="K68" s="15">
        <v>33</v>
      </c>
      <c r="L68" s="15">
        <v>19</v>
      </c>
      <c r="M68" s="73">
        <v>15.254250000000001</v>
      </c>
      <c r="N68" s="104">
        <v>19</v>
      </c>
      <c r="O68" s="57">
        <v>7000</v>
      </c>
      <c r="P68" s="58">
        <f t="shared" si="1"/>
        <v>133000</v>
      </c>
    </row>
    <row r="69" spans="1:16" ht="26.25" customHeight="1" x14ac:dyDescent="0.2">
      <c r="A69" s="100"/>
      <c r="B69" s="100"/>
      <c r="C69" s="65" t="s">
        <v>4106</v>
      </c>
      <c r="D69" s="70" t="s">
        <v>57</v>
      </c>
      <c r="E69" s="12">
        <v>44551</v>
      </c>
      <c r="F69" s="68" t="s">
        <v>59</v>
      </c>
      <c r="G69" s="12">
        <v>44558</v>
      </c>
      <c r="H69" s="69" t="s">
        <v>4156</v>
      </c>
      <c r="I69" s="15">
        <v>32</v>
      </c>
      <c r="J69" s="15">
        <v>32</v>
      </c>
      <c r="K69" s="15">
        <v>27</v>
      </c>
      <c r="L69" s="15">
        <v>12</v>
      </c>
      <c r="M69" s="73">
        <v>6.9119999999999999</v>
      </c>
      <c r="N69" s="104">
        <v>12</v>
      </c>
      <c r="O69" s="57">
        <v>7000</v>
      </c>
      <c r="P69" s="58">
        <f t="shared" si="1"/>
        <v>84000</v>
      </c>
    </row>
    <row r="70" spans="1:16" ht="26.25" customHeight="1" x14ac:dyDescent="0.2">
      <c r="A70" s="100"/>
      <c r="B70" s="100"/>
      <c r="C70" s="65" t="s">
        <v>4107</v>
      </c>
      <c r="D70" s="70" t="s">
        <v>57</v>
      </c>
      <c r="E70" s="12">
        <v>44551</v>
      </c>
      <c r="F70" s="68" t="s">
        <v>59</v>
      </c>
      <c r="G70" s="12">
        <v>44558</v>
      </c>
      <c r="H70" s="69" t="s">
        <v>4156</v>
      </c>
      <c r="I70" s="15">
        <v>60</v>
      </c>
      <c r="J70" s="15">
        <v>40</v>
      </c>
      <c r="K70" s="15">
        <v>20</v>
      </c>
      <c r="L70" s="15">
        <v>7</v>
      </c>
      <c r="M70" s="73">
        <v>12</v>
      </c>
      <c r="N70" s="104">
        <v>12</v>
      </c>
      <c r="O70" s="57">
        <v>7000</v>
      </c>
      <c r="P70" s="58">
        <f t="shared" si="1"/>
        <v>84000</v>
      </c>
    </row>
    <row r="71" spans="1:16" ht="26.25" customHeight="1" x14ac:dyDescent="0.2">
      <c r="A71" s="100"/>
      <c r="B71" s="100"/>
      <c r="C71" s="65" t="s">
        <v>4108</v>
      </c>
      <c r="D71" s="70" t="s">
        <v>57</v>
      </c>
      <c r="E71" s="12">
        <v>44551</v>
      </c>
      <c r="F71" s="68" t="s">
        <v>59</v>
      </c>
      <c r="G71" s="12">
        <v>44558</v>
      </c>
      <c r="H71" s="69" t="s">
        <v>4156</v>
      </c>
      <c r="I71" s="15">
        <v>40</v>
      </c>
      <c r="J71" s="15">
        <v>31</v>
      </c>
      <c r="K71" s="15">
        <v>25</v>
      </c>
      <c r="L71" s="15">
        <v>1</v>
      </c>
      <c r="M71" s="73">
        <v>7.75</v>
      </c>
      <c r="N71" s="104">
        <v>7.75</v>
      </c>
      <c r="O71" s="57">
        <v>7000</v>
      </c>
      <c r="P71" s="58">
        <f t="shared" si="1"/>
        <v>54250</v>
      </c>
    </row>
    <row r="72" spans="1:16" ht="26.25" customHeight="1" x14ac:dyDescent="0.2">
      <c r="A72" s="100"/>
      <c r="B72" s="100"/>
      <c r="C72" s="65" t="s">
        <v>4109</v>
      </c>
      <c r="D72" s="70" t="s">
        <v>57</v>
      </c>
      <c r="E72" s="12">
        <v>44551</v>
      </c>
      <c r="F72" s="68" t="s">
        <v>59</v>
      </c>
      <c r="G72" s="12">
        <v>44558</v>
      </c>
      <c r="H72" s="69" t="s">
        <v>4156</v>
      </c>
      <c r="I72" s="15">
        <v>83</v>
      </c>
      <c r="J72" s="15">
        <v>62</v>
      </c>
      <c r="K72" s="15">
        <v>25</v>
      </c>
      <c r="L72" s="15">
        <v>13</v>
      </c>
      <c r="M72" s="73">
        <v>32.162500000000001</v>
      </c>
      <c r="N72" s="104">
        <v>32.162500000000001</v>
      </c>
      <c r="O72" s="57">
        <v>7000</v>
      </c>
      <c r="P72" s="58">
        <f t="shared" si="1"/>
        <v>225137.5</v>
      </c>
    </row>
    <row r="73" spans="1:16" ht="26.25" customHeight="1" x14ac:dyDescent="0.2">
      <c r="A73" s="100"/>
      <c r="B73" s="100"/>
      <c r="C73" s="65" t="s">
        <v>4110</v>
      </c>
      <c r="D73" s="70" t="s">
        <v>57</v>
      </c>
      <c r="E73" s="12">
        <v>44551</v>
      </c>
      <c r="F73" s="68" t="s">
        <v>59</v>
      </c>
      <c r="G73" s="12">
        <v>44558</v>
      </c>
      <c r="H73" s="69" t="s">
        <v>4156</v>
      </c>
      <c r="I73" s="15">
        <v>92</v>
      </c>
      <c r="J73" s="15">
        <v>54</v>
      </c>
      <c r="K73" s="15">
        <v>20</v>
      </c>
      <c r="L73" s="15">
        <v>5</v>
      </c>
      <c r="M73" s="73">
        <v>24.84</v>
      </c>
      <c r="N73" s="104">
        <v>24.84</v>
      </c>
      <c r="O73" s="57">
        <v>7000</v>
      </c>
      <c r="P73" s="58">
        <f t="shared" si="1"/>
        <v>173880</v>
      </c>
    </row>
    <row r="74" spans="1:16" ht="26.25" customHeight="1" x14ac:dyDescent="0.2">
      <c r="A74" s="100"/>
      <c r="B74" s="100"/>
      <c r="C74" s="65" t="s">
        <v>4111</v>
      </c>
      <c r="D74" s="70" t="s">
        <v>57</v>
      </c>
      <c r="E74" s="12">
        <v>44551</v>
      </c>
      <c r="F74" s="68" t="s">
        <v>59</v>
      </c>
      <c r="G74" s="12">
        <v>44558</v>
      </c>
      <c r="H74" s="69" t="s">
        <v>4156</v>
      </c>
      <c r="I74" s="15">
        <v>63</v>
      </c>
      <c r="J74" s="15">
        <v>42</v>
      </c>
      <c r="K74" s="15">
        <v>22</v>
      </c>
      <c r="L74" s="15">
        <v>5</v>
      </c>
      <c r="M74" s="73">
        <v>14.553000000000001</v>
      </c>
      <c r="N74" s="104">
        <v>14.553000000000001</v>
      </c>
      <c r="O74" s="57">
        <v>7000</v>
      </c>
      <c r="P74" s="58">
        <f t="shared" si="1"/>
        <v>101871</v>
      </c>
    </row>
    <row r="75" spans="1:16" ht="26.25" customHeight="1" x14ac:dyDescent="0.2">
      <c r="A75" s="100"/>
      <c r="B75" s="100"/>
      <c r="C75" s="65" t="s">
        <v>4112</v>
      </c>
      <c r="D75" s="70" t="s">
        <v>57</v>
      </c>
      <c r="E75" s="12">
        <v>44551</v>
      </c>
      <c r="F75" s="68" t="s">
        <v>59</v>
      </c>
      <c r="G75" s="12">
        <v>44558</v>
      </c>
      <c r="H75" s="69" t="s">
        <v>4156</v>
      </c>
      <c r="I75" s="15">
        <v>67</v>
      </c>
      <c r="J75" s="15">
        <v>52</v>
      </c>
      <c r="K75" s="15">
        <v>5</v>
      </c>
      <c r="L75" s="15">
        <v>5</v>
      </c>
      <c r="M75" s="73">
        <v>4.3550000000000004</v>
      </c>
      <c r="N75" s="104">
        <v>6</v>
      </c>
      <c r="O75" s="57">
        <v>7000</v>
      </c>
      <c r="P75" s="58">
        <f t="shared" si="1"/>
        <v>42000</v>
      </c>
    </row>
    <row r="76" spans="1:16" ht="26.25" customHeight="1" x14ac:dyDescent="0.2">
      <c r="A76" s="100"/>
      <c r="B76" s="100"/>
      <c r="C76" s="65" t="s">
        <v>4113</v>
      </c>
      <c r="D76" s="70" t="s">
        <v>57</v>
      </c>
      <c r="E76" s="12">
        <v>44551</v>
      </c>
      <c r="F76" s="68" t="s">
        <v>59</v>
      </c>
      <c r="G76" s="12">
        <v>44558</v>
      </c>
      <c r="H76" s="69" t="s">
        <v>4156</v>
      </c>
      <c r="I76" s="15">
        <v>73</v>
      </c>
      <c r="J76" s="15">
        <v>70</v>
      </c>
      <c r="K76" s="15">
        <v>23</v>
      </c>
      <c r="L76" s="15">
        <v>11</v>
      </c>
      <c r="M76" s="73">
        <v>29.3825</v>
      </c>
      <c r="N76" s="104">
        <v>30</v>
      </c>
      <c r="O76" s="57">
        <v>7000</v>
      </c>
      <c r="P76" s="58">
        <f t="shared" si="1"/>
        <v>210000</v>
      </c>
    </row>
    <row r="77" spans="1:16" ht="26.25" customHeight="1" x14ac:dyDescent="0.2">
      <c r="A77" s="100"/>
      <c r="B77" s="100"/>
      <c r="C77" s="65" t="s">
        <v>4114</v>
      </c>
      <c r="D77" s="70" t="s">
        <v>57</v>
      </c>
      <c r="E77" s="12">
        <v>44551</v>
      </c>
      <c r="F77" s="68" t="s">
        <v>59</v>
      </c>
      <c r="G77" s="12">
        <v>44558</v>
      </c>
      <c r="H77" s="69" t="s">
        <v>4156</v>
      </c>
      <c r="I77" s="15">
        <v>90</v>
      </c>
      <c r="J77" s="15">
        <v>52</v>
      </c>
      <c r="K77" s="15">
        <v>15</v>
      </c>
      <c r="L77" s="15">
        <v>8</v>
      </c>
      <c r="M77" s="73">
        <v>17.55</v>
      </c>
      <c r="N77" s="104">
        <v>17.55</v>
      </c>
      <c r="O77" s="57">
        <v>7000</v>
      </c>
      <c r="P77" s="58">
        <f t="shared" si="1"/>
        <v>122850</v>
      </c>
    </row>
    <row r="78" spans="1:16" ht="26.25" customHeight="1" x14ac:dyDescent="0.2">
      <c r="A78" s="100"/>
      <c r="B78" s="100"/>
      <c r="C78" s="65" t="s">
        <v>4115</v>
      </c>
      <c r="D78" s="70" t="s">
        <v>57</v>
      </c>
      <c r="E78" s="12">
        <v>44551</v>
      </c>
      <c r="F78" s="68" t="s">
        <v>59</v>
      </c>
      <c r="G78" s="12">
        <v>44558</v>
      </c>
      <c r="H78" s="69" t="s">
        <v>4156</v>
      </c>
      <c r="I78" s="15">
        <v>101</v>
      </c>
      <c r="J78" s="15">
        <v>70</v>
      </c>
      <c r="K78" s="15">
        <v>21</v>
      </c>
      <c r="L78" s="15">
        <v>10</v>
      </c>
      <c r="M78" s="73">
        <v>37.1175</v>
      </c>
      <c r="N78" s="104">
        <v>37.1175</v>
      </c>
      <c r="O78" s="57">
        <v>7000</v>
      </c>
      <c r="P78" s="58">
        <f t="shared" si="1"/>
        <v>259822.5</v>
      </c>
    </row>
    <row r="79" spans="1:16" ht="26.25" customHeight="1" x14ac:dyDescent="0.2">
      <c r="A79" s="100"/>
      <c r="B79" s="100"/>
      <c r="C79" s="65" t="s">
        <v>4116</v>
      </c>
      <c r="D79" s="70" t="s">
        <v>57</v>
      </c>
      <c r="E79" s="12">
        <v>44551</v>
      </c>
      <c r="F79" s="68" t="s">
        <v>59</v>
      </c>
      <c r="G79" s="12">
        <v>44558</v>
      </c>
      <c r="H79" s="69" t="s">
        <v>4156</v>
      </c>
      <c r="I79" s="15">
        <v>55</v>
      </c>
      <c r="J79" s="15">
        <v>40</v>
      </c>
      <c r="K79" s="15">
        <v>21</v>
      </c>
      <c r="L79" s="15">
        <v>3</v>
      </c>
      <c r="M79" s="73">
        <v>11.55</v>
      </c>
      <c r="N79" s="104">
        <v>11.55</v>
      </c>
      <c r="O79" s="57">
        <v>7000</v>
      </c>
      <c r="P79" s="58">
        <f t="shared" si="1"/>
        <v>80850</v>
      </c>
    </row>
    <row r="80" spans="1:16" ht="26.25" customHeight="1" x14ac:dyDescent="0.2">
      <c r="A80" s="100"/>
      <c r="B80" s="100"/>
      <c r="C80" s="65" t="s">
        <v>4117</v>
      </c>
      <c r="D80" s="70" t="s">
        <v>57</v>
      </c>
      <c r="E80" s="12">
        <v>44551</v>
      </c>
      <c r="F80" s="68" t="s">
        <v>59</v>
      </c>
      <c r="G80" s="12">
        <v>44558</v>
      </c>
      <c r="H80" s="69" t="s">
        <v>4156</v>
      </c>
      <c r="I80" s="15">
        <v>62</v>
      </c>
      <c r="J80" s="15">
        <v>40</v>
      </c>
      <c r="K80" s="15">
        <v>15</v>
      </c>
      <c r="L80" s="15">
        <v>5</v>
      </c>
      <c r="M80" s="73">
        <v>9.3000000000000007</v>
      </c>
      <c r="N80" s="104">
        <v>10</v>
      </c>
      <c r="O80" s="57">
        <v>7000</v>
      </c>
      <c r="P80" s="58">
        <f t="shared" si="1"/>
        <v>70000</v>
      </c>
    </row>
    <row r="81" spans="1:16" ht="26.25" customHeight="1" x14ac:dyDescent="0.2">
      <c r="A81" s="100"/>
      <c r="B81" s="100"/>
      <c r="C81" s="65" t="s">
        <v>4118</v>
      </c>
      <c r="D81" s="70" t="s">
        <v>57</v>
      </c>
      <c r="E81" s="12">
        <v>44551</v>
      </c>
      <c r="F81" s="68" t="s">
        <v>59</v>
      </c>
      <c r="G81" s="12">
        <v>44558</v>
      </c>
      <c r="H81" s="69" t="s">
        <v>4156</v>
      </c>
      <c r="I81" s="15">
        <v>61</v>
      </c>
      <c r="J81" s="15">
        <v>52</v>
      </c>
      <c r="K81" s="15">
        <v>13</v>
      </c>
      <c r="L81" s="15">
        <v>8</v>
      </c>
      <c r="M81" s="73">
        <v>10.308999999999999</v>
      </c>
      <c r="N81" s="104">
        <v>11</v>
      </c>
      <c r="O81" s="57">
        <v>7000</v>
      </c>
      <c r="P81" s="58">
        <f t="shared" si="1"/>
        <v>77000</v>
      </c>
    </row>
    <row r="82" spans="1:16" ht="26.25" customHeight="1" x14ac:dyDescent="0.2">
      <c r="A82" s="100"/>
      <c r="B82" s="100"/>
      <c r="C82" s="65" t="s">
        <v>4119</v>
      </c>
      <c r="D82" s="70" t="s">
        <v>57</v>
      </c>
      <c r="E82" s="12">
        <v>44551</v>
      </c>
      <c r="F82" s="68" t="s">
        <v>59</v>
      </c>
      <c r="G82" s="12">
        <v>44558</v>
      </c>
      <c r="H82" s="69" t="s">
        <v>4156</v>
      </c>
      <c r="I82" s="15">
        <v>50</v>
      </c>
      <c r="J82" s="15">
        <v>40</v>
      </c>
      <c r="K82" s="15">
        <v>20</v>
      </c>
      <c r="L82" s="15">
        <v>5</v>
      </c>
      <c r="M82" s="73">
        <v>10</v>
      </c>
      <c r="N82" s="104">
        <v>10</v>
      </c>
      <c r="O82" s="57">
        <v>7000</v>
      </c>
      <c r="P82" s="58">
        <f t="shared" si="1"/>
        <v>70000</v>
      </c>
    </row>
    <row r="83" spans="1:16" ht="26.25" customHeight="1" x14ac:dyDescent="0.2">
      <c r="A83" s="100"/>
      <c r="B83" s="100"/>
      <c r="C83" s="65" t="s">
        <v>4120</v>
      </c>
      <c r="D83" s="70" t="s">
        <v>57</v>
      </c>
      <c r="E83" s="12">
        <v>44551</v>
      </c>
      <c r="F83" s="68" t="s">
        <v>59</v>
      </c>
      <c r="G83" s="12">
        <v>44558</v>
      </c>
      <c r="H83" s="69" t="s">
        <v>4156</v>
      </c>
      <c r="I83" s="15">
        <v>120</v>
      </c>
      <c r="J83" s="15">
        <v>12</v>
      </c>
      <c r="K83" s="15">
        <v>3</v>
      </c>
      <c r="L83" s="15">
        <v>2</v>
      </c>
      <c r="M83" s="73">
        <v>1.08</v>
      </c>
      <c r="N83" s="104">
        <v>2</v>
      </c>
      <c r="O83" s="57">
        <v>7000</v>
      </c>
      <c r="P83" s="58">
        <f t="shared" si="1"/>
        <v>14000</v>
      </c>
    </row>
    <row r="84" spans="1:16" ht="26.25" customHeight="1" x14ac:dyDescent="0.2">
      <c r="A84" s="100"/>
      <c r="B84" s="100"/>
      <c r="C84" s="65" t="s">
        <v>4121</v>
      </c>
      <c r="D84" s="70" t="s">
        <v>57</v>
      </c>
      <c r="E84" s="12">
        <v>44551</v>
      </c>
      <c r="F84" s="68" t="s">
        <v>59</v>
      </c>
      <c r="G84" s="12">
        <v>44558</v>
      </c>
      <c r="H84" s="69" t="s">
        <v>4156</v>
      </c>
      <c r="I84" s="15">
        <v>35</v>
      </c>
      <c r="J84" s="15">
        <v>32</v>
      </c>
      <c r="K84" s="15">
        <v>21</v>
      </c>
      <c r="L84" s="15">
        <v>9</v>
      </c>
      <c r="M84" s="73">
        <v>5.88</v>
      </c>
      <c r="N84" s="104">
        <v>9</v>
      </c>
      <c r="O84" s="57">
        <v>7000</v>
      </c>
      <c r="P84" s="58">
        <f t="shared" si="1"/>
        <v>63000</v>
      </c>
    </row>
    <row r="85" spans="1:16" ht="26.25" customHeight="1" x14ac:dyDescent="0.2">
      <c r="A85" s="100"/>
      <c r="B85" s="100"/>
      <c r="C85" s="65" t="s">
        <v>4122</v>
      </c>
      <c r="D85" s="70" t="s">
        <v>57</v>
      </c>
      <c r="E85" s="12">
        <v>44551</v>
      </c>
      <c r="F85" s="68" t="s">
        <v>59</v>
      </c>
      <c r="G85" s="12">
        <v>44558</v>
      </c>
      <c r="H85" s="69" t="s">
        <v>4156</v>
      </c>
      <c r="I85" s="15">
        <v>95</v>
      </c>
      <c r="J85" s="15">
        <v>53</v>
      </c>
      <c r="K85" s="15">
        <v>25</v>
      </c>
      <c r="L85" s="15">
        <v>20</v>
      </c>
      <c r="M85" s="73">
        <v>31.46875</v>
      </c>
      <c r="N85" s="104">
        <v>32</v>
      </c>
      <c r="O85" s="57">
        <v>7000</v>
      </c>
      <c r="P85" s="58">
        <f t="shared" si="1"/>
        <v>224000</v>
      </c>
    </row>
    <row r="86" spans="1:16" ht="26.25" customHeight="1" x14ac:dyDescent="0.2">
      <c r="A86" s="100"/>
      <c r="B86" s="100"/>
      <c r="C86" s="65" t="s">
        <v>4123</v>
      </c>
      <c r="D86" s="70" t="s">
        <v>57</v>
      </c>
      <c r="E86" s="12">
        <v>44551</v>
      </c>
      <c r="F86" s="68" t="s">
        <v>59</v>
      </c>
      <c r="G86" s="12">
        <v>44558</v>
      </c>
      <c r="H86" s="69" t="s">
        <v>4156</v>
      </c>
      <c r="I86" s="15">
        <v>63</v>
      </c>
      <c r="J86" s="15">
        <v>60</v>
      </c>
      <c r="K86" s="15">
        <v>30</v>
      </c>
      <c r="L86" s="15">
        <v>12</v>
      </c>
      <c r="M86" s="73">
        <v>28.35</v>
      </c>
      <c r="N86" s="104">
        <v>29</v>
      </c>
      <c r="O86" s="57">
        <v>7000</v>
      </c>
      <c r="P86" s="58">
        <f t="shared" si="1"/>
        <v>203000</v>
      </c>
    </row>
    <row r="87" spans="1:16" ht="26.25" customHeight="1" x14ac:dyDescent="0.2">
      <c r="A87" s="100"/>
      <c r="B87" s="100"/>
      <c r="C87" s="65" t="s">
        <v>4124</v>
      </c>
      <c r="D87" s="70" t="s">
        <v>57</v>
      </c>
      <c r="E87" s="12">
        <v>44551</v>
      </c>
      <c r="F87" s="68" t="s">
        <v>59</v>
      </c>
      <c r="G87" s="12">
        <v>44558</v>
      </c>
      <c r="H87" s="69" t="s">
        <v>4156</v>
      </c>
      <c r="I87" s="15">
        <v>102</v>
      </c>
      <c r="J87" s="15">
        <v>60</v>
      </c>
      <c r="K87" s="15">
        <v>30</v>
      </c>
      <c r="L87" s="15">
        <v>19</v>
      </c>
      <c r="M87" s="73">
        <v>45.9</v>
      </c>
      <c r="N87" s="104">
        <v>45.9</v>
      </c>
      <c r="O87" s="57">
        <v>7000</v>
      </c>
      <c r="P87" s="58">
        <f t="shared" si="1"/>
        <v>321300</v>
      </c>
    </row>
    <row r="88" spans="1:16" ht="26.25" customHeight="1" x14ac:dyDescent="0.2">
      <c r="A88" s="100"/>
      <c r="B88" s="100"/>
      <c r="C88" s="65" t="s">
        <v>4125</v>
      </c>
      <c r="D88" s="70" t="s">
        <v>57</v>
      </c>
      <c r="E88" s="12">
        <v>44551</v>
      </c>
      <c r="F88" s="68" t="s">
        <v>59</v>
      </c>
      <c r="G88" s="12">
        <v>44558</v>
      </c>
      <c r="H88" s="69" t="s">
        <v>4156</v>
      </c>
      <c r="I88" s="15">
        <v>82</v>
      </c>
      <c r="J88" s="15">
        <v>61</v>
      </c>
      <c r="K88" s="15">
        <v>20</v>
      </c>
      <c r="L88" s="15">
        <v>11</v>
      </c>
      <c r="M88" s="73">
        <v>25.01</v>
      </c>
      <c r="N88" s="104">
        <v>25.01</v>
      </c>
      <c r="O88" s="57">
        <v>7000</v>
      </c>
      <c r="P88" s="58">
        <f t="shared" si="1"/>
        <v>175070</v>
      </c>
    </row>
    <row r="89" spans="1:16" ht="26.25" customHeight="1" x14ac:dyDescent="0.2">
      <c r="A89" s="100"/>
      <c r="B89" s="100"/>
      <c r="C89" s="65" t="s">
        <v>4126</v>
      </c>
      <c r="D89" s="70" t="s">
        <v>57</v>
      </c>
      <c r="E89" s="12">
        <v>44551</v>
      </c>
      <c r="F89" s="68" t="s">
        <v>59</v>
      </c>
      <c r="G89" s="12">
        <v>44558</v>
      </c>
      <c r="H89" s="69" t="s">
        <v>4156</v>
      </c>
      <c r="I89" s="15">
        <v>77</v>
      </c>
      <c r="J89" s="15">
        <v>60</v>
      </c>
      <c r="K89" s="15">
        <v>20</v>
      </c>
      <c r="L89" s="15">
        <v>24</v>
      </c>
      <c r="M89" s="73">
        <v>23.1</v>
      </c>
      <c r="N89" s="104">
        <v>24</v>
      </c>
      <c r="O89" s="57">
        <v>7000</v>
      </c>
      <c r="P89" s="58">
        <f t="shared" si="1"/>
        <v>168000</v>
      </c>
    </row>
    <row r="90" spans="1:16" ht="26.25" customHeight="1" x14ac:dyDescent="0.2">
      <c r="A90" s="100"/>
      <c r="B90" s="100"/>
      <c r="C90" s="65" t="s">
        <v>4127</v>
      </c>
      <c r="D90" s="70" t="s">
        <v>57</v>
      </c>
      <c r="E90" s="12">
        <v>44551</v>
      </c>
      <c r="F90" s="68" t="s">
        <v>59</v>
      </c>
      <c r="G90" s="12">
        <v>44558</v>
      </c>
      <c r="H90" s="69" t="s">
        <v>4156</v>
      </c>
      <c r="I90" s="15">
        <v>100</v>
      </c>
      <c r="J90" s="15">
        <v>54</v>
      </c>
      <c r="K90" s="15">
        <v>43</v>
      </c>
      <c r="L90" s="15">
        <v>14</v>
      </c>
      <c r="M90" s="73">
        <v>58.05</v>
      </c>
      <c r="N90" s="104">
        <v>58.05</v>
      </c>
      <c r="O90" s="57">
        <v>7000</v>
      </c>
      <c r="P90" s="58">
        <f t="shared" si="1"/>
        <v>406350</v>
      </c>
    </row>
    <row r="91" spans="1:16" ht="26.25" customHeight="1" x14ac:dyDescent="0.2">
      <c r="A91" s="100"/>
      <c r="B91" s="100"/>
      <c r="C91" s="65" t="s">
        <v>4128</v>
      </c>
      <c r="D91" s="70" t="s">
        <v>57</v>
      </c>
      <c r="E91" s="12">
        <v>44551</v>
      </c>
      <c r="F91" s="68" t="s">
        <v>59</v>
      </c>
      <c r="G91" s="12">
        <v>44558</v>
      </c>
      <c r="H91" s="69" t="s">
        <v>4156</v>
      </c>
      <c r="I91" s="15">
        <v>70</v>
      </c>
      <c r="J91" s="15">
        <v>60</v>
      </c>
      <c r="K91" s="15">
        <v>15</v>
      </c>
      <c r="L91" s="15">
        <v>6</v>
      </c>
      <c r="M91" s="73">
        <v>15.75</v>
      </c>
      <c r="N91" s="104">
        <v>15.75</v>
      </c>
      <c r="O91" s="57">
        <v>7000</v>
      </c>
      <c r="P91" s="58">
        <f t="shared" si="1"/>
        <v>110250</v>
      </c>
    </row>
    <row r="92" spans="1:16" ht="26.25" customHeight="1" x14ac:dyDescent="0.2">
      <c r="A92" s="100"/>
      <c r="B92" s="100"/>
      <c r="C92" s="65" t="s">
        <v>4129</v>
      </c>
      <c r="D92" s="70" t="s">
        <v>57</v>
      </c>
      <c r="E92" s="12">
        <v>44551</v>
      </c>
      <c r="F92" s="68" t="s">
        <v>59</v>
      </c>
      <c r="G92" s="12">
        <v>44558</v>
      </c>
      <c r="H92" s="69" t="s">
        <v>4156</v>
      </c>
      <c r="I92" s="15">
        <v>80</v>
      </c>
      <c r="J92" s="15">
        <v>62</v>
      </c>
      <c r="K92" s="15">
        <v>13</v>
      </c>
      <c r="L92" s="15">
        <v>13</v>
      </c>
      <c r="M92" s="73">
        <v>16.12</v>
      </c>
      <c r="N92" s="104">
        <v>16.12</v>
      </c>
      <c r="O92" s="57">
        <v>7000</v>
      </c>
      <c r="P92" s="58">
        <f t="shared" si="1"/>
        <v>112840</v>
      </c>
    </row>
    <row r="93" spans="1:16" ht="26.25" customHeight="1" x14ac:dyDescent="0.2">
      <c r="A93" s="100"/>
      <c r="B93" s="100"/>
      <c r="C93" s="65" t="s">
        <v>4130</v>
      </c>
      <c r="D93" s="70" t="s">
        <v>57</v>
      </c>
      <c r="E93" s="12">
        <v>44551</v>
      </c>
      <c r="F93" s="68" t="s">
        <v>59</v>
      </c>
      <c r="G93" s="12">
        <v>44558</v>
      </c>
      <c r="H93" s="69" t="s">
        <v>4156</v>
      </c>
      <c r="I93" s="15">
        <v>72</v>
      </c>
      <c r="J93" s="15">
        <v>60</v>
      </c>
      <c r="K93" s="15">
        <v>15</v>
      </c>
      <c r="L93" s="15">
        <v>14</v>
      </c>
      <c r="M93" s="73">
        <v>16.2</v>
      </c>
      <c r="N93" s="104">
        <v>16.2</v>
      </c>
      <c r="O93" s="57">
        <v>7000</v>
      </c>
      <c r="P93" s="58">
        <f t="shared" si="1"/>
        <v>113400</v>
      </c>
    </row>
    <row r="94" spans="1:16" ht="26.25" customHeight="1" x14ac:dyDescent="0.2">
      <c r="A94" s="100"/>
      <c r="B94" s="100"/>
      <c r="C94" s="65" t="s">
        <v>4131</v>
      </c>
      <c r="D94" s="70" t="s">
        <v>57</v>
      </c>
      <c r="E94" s="12">
        <v>44551</v>
      </c>
      <c r="F94" s="68" t="s">
        <v>59</v>
      </c>
      <c r="G94" s="12">
        <v>44558</v>
      </c>
      <c r="H94" s="69" t="s">
        <v>4156</v>
      </c>
      <c r="I94" s="15">
        <v>74</v>
      </c>
      <c r="J94" s="15">
        <v>60</v>
      </c>
      <c r="K94" s="15">
        <v>21</v>
      </c>
      <c r="L94" s="15">
        <v>9</v>
      </c>
      <c r="M94" s="73">
        <v>23.31</v>
      </c>
      <c r="N94" s="104">
        <v>24</v>
      </c>
      <c r="O94" s="57">
        <v>7000</v>
      </c>
      <c r="P94" s="58">
        <f t="shared" si="1"/>
        <v>168000</v>
      </c>
    </row>
    <row r="95" spans="1:16" ht="26.25" customHeight="1" x14ac:dyDescent="0.2">
      <c r="A95" s="100"/>
      <c r="B95" s="100"/>
      <c r="C95" s="65" t="s">
        <v>4132</v>
      </c>
      <c r="D95" s="70" t="s">
        <v>57</v>
      </c>
      <c r="E95" s="12">
        <v>44551</v>
      </c>
      <c r="F95" s="68" t="s">
        <v>59</v>
      </c>
      <c r="G95" s="12">
        <v>44558</v>
      </c>
      <c r="H95" s="69" t="s">
        <v>4156</v>
      </c>
      <c r="I95" s="15">
        <v>95</v>
      </c>
      <c r="J95" s="15">
        <v>62</v>
      </c>
      <c r="K95" s="15">
        <v>23</v>
      </c>
      <c r="L95" s="15">
        <v>12</v>
      </c>
      <c r="M95" s="73">
        <v>33.8675</v>
      </c>
      <c r="N95" s="104">
        <v>33.8675</v>
      </c>
      <c r="O95" s="57">
        <v>7000</v>
      </c>
      <c r="P95" s="58">
        <f t="shared" si="1"/>
        <v>237072.5</v>
      </c>
    </row>
    <row r="96" spans="1:16" ht="26.25" customHeight="1" x14ac:dyDescent="0.2">
      <c r="A96" s="100"/>
      <c r="B96" s="100"/>
      <c r="C96" s="65" t="s">
        <v>4133</v>
      </c>
      <c r="D96" s="70" t="s">
        <v>57</v>
      </c>
      <c r="E96" s="12">
        <v>44551</v>
      </c>
      <c r="F96" s="68" t="s">
        <v>59</v>
      </c>
      <c r="G96" s="12">
        <v>44558</v>
      </c>
      <c r="H96" s="69" t="s">
        <v>4156</v>
      </c>
      <c r="I96" s="15">
        <v>45</v>
      </c>
      <c r="J96" s="15">
        <v>33</v>
      </c>
      <c r="K96" s="15">
        <v>35</v>
      </c>
      <c r="L96" s="15">
        <v>8</v>
      </c>
      <c r="M96" s="73">
        <v>12.99375</v>
      </c>
      <c r="N96" s="104">
        <v>12.99375</v>
      </c>
      <c r="O96" s="57">
        <v>7000</v>
      </c>
      <c r="P96" s="58">
        <f t="shared" si="1"/>
        <v>90956.25</v>
      </c>
    </row>
    <row r="97" spans="1:16" ht="26.25" customHeight="1" x14ac:dyDescent="0.2">
      <c r="A97" s="100"/>
      <c r="B97" s="100"/>
      <c r="C97" s="65" t="s">
        <v>4134</v>
      </c>
      <c r="D97" s="70" t="s">
        <v>57</v>
      </c>
      <c r="E97" s="12">
        <v>44551</v>
      </c>
      <c r="F97" s="68" t="s">
        <v>59</v>
      </c>
      <c r="G97" s="12">
        <v>44558</v>
      </c>
      <c r="H97" s="69" t="s">
        <v>4156</v>
      </c>
      <c r="I97" s="15">
        <v>37</v>
      </c>
      <c r="J97" s="15">
        <v>34</v>
      </c>
      <c r="K97" s="15">
        <v>35</v>
      </c>
      <c r="L97" s="15">
        <v>5</v>
      </c>
      <c r="M97" s="73">
        <v>11.0075</v>
      </c>
      <c r="N97" s="104">
        <v>11.0075</v>
      </c>
      <c r="O97" s="57">
        <v>7000</v>
      </c>
      <c r="P97" s="58">
        <f t="shared" si="1"/>
        <v>77052.5</v>
      </c>
    </row>
    <row r="98" spans="1:16" ht="26.25" customHeight="1" x14ac:dyDescent="0.2">
      <c r="A98" s="100"/>
      <c r="B98" s="100"/>
      <c r="C98" s="65" t="s">
        <v>4135</v>
      </c>
      <c r="D98" s="70" t="s">
        <v>57</v>
      </c>
      <c r="E98" s="12">
        <v>44551</v>
      </c>
      <c r="F98" s="68" t="s">
        <v>59</v>
      </c>
      <c r="G98" s="12">
        <v>44558</v>
      </c>
      <c r="H98" s="69" t="s">
        <v>4156</v>
      </c>
      <c r="I98" s="15">
        <v>45</v>
      </c>
      <c r="J98" s="15">
        <v>31</v>
      </c>
      <c r="K98" s="15">
        <v>30</v>
      </c>
      <c r="L98" s="15">
        <v>10</v>
      </c>
      <c r="M98" s="73">
        <v>10.4625</v>
      </c>
      <c r="N98" s="104">
        <v>11</v>
      </c>
      <c r="O98" s="57">
        <v>7000</v>
      </c>
      <c r="P98" s="58">
        <f t="shared" si="1"/>
        <v>77000</v>
      </c>
    </row>
    <row r="99" spans="1:16" ht="26.25" customHeight="1" x14ac:dyDescent="0.2">
      <c r="A99" s="100"/>
      <c r="B99" s="100"/>
      <c r="C99" s="65" t="s">
        <v>4136</v>
      </c>
      <c r="D99" s="70" t="s">
        <v>57</v>
      </c>
      <c r="E99" s="12">
        <v>44551</v>
      </c>
      <c r="F99" s="68" t="s">
        <v>59</v>
      </c>
      <c r="G99" s="12">
        <v>44558</v>
      </c>
      <c r="H99" s="69" t="s">
        <v>4156</v>
      </c>
      <c r="I99" s="15">
        <v>100</v>
      </c>
      <c r="J99" s="15">
        <v>57</v>
      </c>
      <c r="K99" s="15">
        <v>33</v>
      </c>
      <c r="L99" s="15">
        <v>18</v>
      </c>
      <c r="M99" s="73">
        <v>47.024999999999999</v>
      </c>
      <c r="N99" s="104">
        <v>47.024999999999999</v>
      </c>
      <c r="O99" s="57">
        <v>7000</v>
      </c>
      <c r="P99" s="58">
        <f t="shared" si="1"/>
        <v>329175</v>
      </c>
    </row>
    <row r="100" spans="1:16" ht="26.25" customHeight="1" x14ac:dyDescent="0.2">
      <c r="A100" s="100"/>
      <c r="B100" s="100"/>
      <c r="C100" s="65" t="s">
        <v>4137</v>
      </c>
      <c r="D100" s="70" t="s">
        <v>57</v>
      </c>
      <c r="E100" s="12">
        <v>44551</v>
      </c>
      <c r="F100" s="68" t="s">
        <v>59</v>
      </c>
      <c r="G100" s="12">
        <v>44558</v>
      </c>
      <c r="H100" s="69" t="s">
        <v>4156</v>
      </c>
      <c r="I100" s="15">
        <v>65</v>
      </c>
      <c r="J100" s="15">
        <v>45</v>
      </c>
      <c r="K100" s="15">
        <v>30</v>
      </c>
      <c r="L100" s="15">
        <v>11</v>
      </c>
      <c r="M100" s="73">
        <v>21.9375</v>
      </c>
      <c r="N100" s="104">
        <v>21.9375</v>
      </c>
      <c r="O100" s="57">
        <v>7000</v>
      </c>
      <c r="P100" s="58">
        <f t="shared" si="1"/>
        <v>153562.5</v>
      </c>
    </row>
    <row r="101" spans="1:16" ht="26.25" customHeight="1" x14ac:dyDescent="0.2">
      <c r="A101" s="100"/>
      <c r="B101" s="100"/>
      <c r="C101" s="65" t="s">
        <v>4138</v>
      </c>
      <c r="D101" s="70" t="s">
        <v>57</v>
      </c>
      <c r="E101" s="12">
        <v>44551</v>
      </c>
      <c r="F101" s="68" t="s">
        <v>59</v>
      </c>
      <c r="G101" s="12">
        <v>44558</v>
      </c>
      <c r="H101" s="69" t="s">
        <v>4156</v>
      </c>
      <c r="I101" s="15">
        <v>58</v>
      </c>
      <c r="J101" s="15">
        <v>42</v>
      </c>
      <c r="K101" s="15">
        <v>31</v>
      </c>
      <c r="L101" s="15">
        <v>15</v>
      </c>
      <c r="M101" s="73">
        <v>18.879000000000001</v>
      </c>
      <c r="N101" s="104">
        <v>18.879000000000001</v>
      </c>
      <c r="O101" s="57">
        <v>7000</v>
      </c>
      <c r="P101" s="58">
        <f t="shared" si="1"/>
        <v>132153</v>
      </c>
    </row>
    <row r="102" spans="1:16" ht="26.25" customHeight="1" x14ac:dyDescent="0.2">
      <c r="A102" s="100"/>
      <c r="B102" s="100"/>
      <c r="C102" s="65" t="s">
        <v>4139</v>
      </c>
      <c r="D102" s="70" t="s">
        <v>57</v>
      </c>
      <c r="E102" s="12">
        <v>44551</v>
      </c>
      <c r="F102" s="68" t="s">
        <v>59</v>
      </c>
      <c r="G102" s="12">
        <v>44558</v>
      </c>
      <c r="H102" s="69" t="s">
        <v>4156</v>
      </c>
      <c r="I102" s="15">
        <v>50</v>
      </c>
      <c r="J102" s="15">
        <v>40</v>
      </c>
      <c r="K102" s="15">
        <v>22</v>
      </c>
      <c r="L102" s="15">
        <v>2</v>
      </c>
      <c r="M102" s="73">
        <v>11</v>
      </c>
      <c r="N102" s="104">
        <v>11</v>
      </c>
      <c r="O102" s="57">
        <v>7000</v>
      </c>
      <c r="P102" s="58">
        <f t="shared" si="1"/>
        <v>77000</v>
      </c>
    </row>
    <row r="103" spans="1:16" ht="26.25" customHeight="1" x14ac:dyDescent="0.2">
      <c r="A103" s="100"/>
      <c r="B103" s="100"/>
      <c r="C103" s="65" t="s">
        <v>4140</v>
      </c>
      <c r="D103" s="70" t="s">
        <v>57</v>
      </c>
      <c r="E103" s="12">
        <v>44551</v>
      </c>
      <c r="F103" s="68" t="s">
        <v>59</v>
      </c>
      <c r="G103" s="12">
        <v>44558</v>
      </c>
      <c r="H103" s="69" t="s">
        <v>4156</v>
      </c>
      <c r="I103" s="15">
        <v>40</v>
      </c>
      <c r="J103" s="15">
        <v>30</v>
      </c>
      <c r="K103" s="15">
        <v>26</v>
      </c>
      <c r="L103" s="15">
        <v>6</v>
      </c>
      <c r="M103" s="73">
        <v>7.8</v>
      </c>
      <c r="N103" s="104">
        <v>7.8</v>
      </c>
      <c r="O103" s="57">
        <v>7000</v>
      </c>
      <c r="P103" s="58">
        <f t="shared" si="1"/>
        <v>54600</v>
      </c>
    </row>
    <row r="104" spans="1:16" ht="26.25" customHeight="1" x14ac:dyDescent="0.2">
      <c r="A104" s="100"/>
      <c r="B104" s="100"/>
      <c r="C104" s="65" t="s">
        <v>4141</v>
      </c>
      <c r="D104" s="70" t="s">
        <v>57</v>
      </c>
      <c r="E104" s="12">
        <v>44551</v>
      </c>
      <c r="F104" s="68" t="s">
        <v>59</v>
      </c>
      <c r="G104" s="12">
        <v>44558</v>
      </c>
      <c r="H104" s="69" t="s">
        <v>4156</v>
      </c>
      <c r="I104" s="15">
        <v>50</v>
      </c>
      <c r="J104" s="15">
        <v>40</v>
      </c>
      <c r="K104" s="15">
        <v>21</v>
      </c>
      <c r="L104" s="15">
        <v>4</v>
      </c>
      <c r="M104" s="73">
        <v>10.5</v>
      </c>
      <c r="N104" s="104">
        <v>10.5</v>
      </c>
      <c r="O104" s="57">
        <v>7000</v>
      </c>
      <c r="P104" s="58">
        <f t="shared" si="1"/>
        <v>73500</v>
      </c>
    </row>
    <row r="105" spans="1:16" ht="26.25" customHeight="1" x14ac:dyDescent="0.2">
      <c r="A105" s="100"/>
      <c r="B105" s="100"/>
      <c r="C105" s="65" t="s">
        <v>4142</v>
      </c>
      <c r="D105" s="70" t="s">
        <v>57</v>
      </c>
      <c r="E105" s="12">
        <v>44551</v>
      </c>
      <c r="F105" s="68" t="s">
        <v>59</v>
      </c>
      <c r="G105" s="12">
        <v>44558</v>
      </c>
      <c r="H105" s="69" t="s">
        <v>4156</v>
      </c>
      <c r="I105" s="15">
        <v>51</v>
      </c>
      <c r="J105" s="15">
        <v>35</v>
      </c>
      <c r="K105" s="15">
        <v>22</v>
      </c>
      <c r="L105" s="15">
        <v>4</v>
      </c>
      <c r="M105" s="73">
        <v>9.8175000000000008</v>
      </c>
      <c r="N105" s="104">
        <v>9.8175000000000008</v>
      </c>
      <c r="O105" s="57">
        <v>7000</v>
      </c>
      <c r="P105" s="58">
        <f t="shared" si="1"/>
        <v>68722.5</v>
      </c>
    </row>
    <row r="106" spans="1:16" ht="26.25" customHeight="1" x14ac:dyDescent="0.2">
      <c r="A106" s="100"/>
      <c r="B106" s="100"/>
      <c r="C106" s="65" t="s">
        <v>4143</v>
      </c>
      <c r="D106" s="70" t="s">
        <v>57</v>
      </c>
      <c r="E106" s="12">
        <v>44551</v>
      </c>
      <c r="F106" s="68" t="s">
        <v>59</v>
      </c>
      <c r="G106" s="12">
        <v>44558</v>
      </c>
      <c r="H106" s="69" t="s">
        <v>4156</v>
      </c>
      <c r="I106" s="15">
        <v>35</v>
      </c>
      <c r="J106" s="15">
        <v>52</v>
      </c>
      <c r="K106" s="15">
        <v>32</v>
      </c>
      <c r="L106" s="15">
        <v>13</v>
      </c>
      <c r="M106" s="73">
        <v>14.56</v>
      </c>
      <c r="N106" s="104">
        <v>14.56</v>
      </c>
      <c r="O106" s="57">
        <v>7000</v>
      </c>
      <c r="P106" s="58">
        <f t="shared" si="1"/>
        <v>101920</v>
      </c>
    </row>
    <row r="107" spans="1:16" ht="26.25" customHeight="1" x14ac:dyDescent="0.2">
      <c r="A107" s="100"/>
      <c r="B107" s="100"/>
      <c r="C107" s="65" t="s">
        <v>4144</v>
      </c>
      <c r="D107" s="70" t="s">
        <v>57</v>
      </c>
      <c r="E107" s="12">
        <v>44551</v>
      </c>
      <c r="F107" s="68" t="s">
        <v>59</v>
      </c>
      <c r="G107" s="12">
        <v>44558</v>
      </c>
      <c r="H107" s="69" t="s">
        <v>4156</v>
      </c>
      <c r="I107" s="15">
        <v>64</v>
      </c>
      <c r="J107" s="15">
        <v>56</v>
      </c>
      <c r="K107" s="15">
        <v>20</v>
      </c>
      <c r="L107" s="15">
        <v>8</v>
      </c>
      <c r="M107" s="73">
        <v>17.920000000000002</v>
      </c>
      <c r="N107" s="104">
        <v>17.920000000000002</v>
      </c>
      <c r="O107" s="57">
        <v>7000</v>
      </c>
      <c r="P107" s="58">
        <f t="shared" si="1"/>
        <v>125440.00000000001</v>
      </c>
    </row>
    <row r="108" spans="1:16" ht="26.25" customHeight="1" x14ac:dyDescent="0.2">
      <c r="A108" s="100"/>
      <c r="B108" s="100"/>
      <c r="C108" s="65" t="s">
        <v>4145</v>
      </c>
      <c r="D108" s="70" t="s">
        <v>57</v>
      </c>
      <c r="E108" s="12">
        <v>44551</v>
      </c>
      <c r="F108" s="68" t="s">
        <v>59</v>
      </c>
      <c r="G108" s="12">
        <v>44558</v>
      </c>
      <c r="H108" s="69" t="s">
        <v>4156</v>
      </c>
      <c r="I108" s="15">
        <v>54</v>
      </c>
      <c r="J108" s="15">
        <v>30</v>
      </c>
      <c r="K108" s="15">
        <v>30</v>
      </c>
      <c r="L108" s="15">
        <v>12</v>
      </c>
      <c r="M108" s="73">
        <v>12.15</v>
      </c>
      <c r="N108" s="104">
        <v>12.15</v>
      </c>
      <c r="O108" s="57">
        <v>7000</v>
      </c>
      <c r="P108" s="58">
        <f t="shared" si="1"/>
        <v>85050</v>
      </c>
    </row>
    <row r="109" spans="1:16" ht="26.25" customHeight="1" x14ac:dyDescent="0.2">
      <c r="A109" s="100"/>
      <c r="B109" s="100"/>
      <c r="C109" s="65" t="s">
        <v>4146</v>
      </c>
      <c r="D109" s="70" t="s">
        <v>57</v>
      </c>
      <c r="E109" s="12">
        <v>44551</v>
      </c>
      <c r="F109" s="68" t="s">
        <v>59</v>
      </c>
      <c r="G109" s="12">
        <v>44558</v>
      </c>
      <c r="H109" s="69" t="s">
        <v>4156</v>
      </c>
      <c r="I109" s="15">
        <v>160</v>
      </c>
      <c r="J109" s="15">
        <v>27</v>
      </c>
      <c r="K109" s="15">
        <v>27</v>
      </c>
      <c r="L109" s="15">
        <v>20</v>
      </c>
      <c r="M109" s="73">
        <v>29.16</v>
      </c>
      <c r="N109" s="104">
        <v>29.16</v>
      </c>
      <c r="O109" s="57">
        <v>7000</v>
      </c>
      <c r="P109" s="58">
        <f t="shared" si="1"/>
        <v>204120</v>
      </c>
    </row>
    <row r="110" spans="1:16" ht="26.25" customHeight="1" x14ac:dyDescent="0.2">
      <c r="A110" s="100"/>
      <c r="B110" s="100"/>
      <c r="C110" s="65" t="s">
        <v>4147</v>
      </c>
      <c r="D110" s="70" t="s">
        <v>57</v>
      </c>
      <c r="E110" s="12">
        <v>44551</v>
      </c>
      <c r="F110" s="68" t="s">
        <v>59</v>
      </c>
      <c r="G110" s="12">
        <v>44558</v>
      </c>
      <c r="H110" s="69" t="s">
        <v>4156</v>
      </c>
      <c r="I110" s="15">
        <v>94</v>
      </c>
      <c r="J110" s="15">
        <v>60</v>
      </c>
      <c r="K110" s="15">
        <v>32</v>
      </c>
      <c r="L110" s="15">
        <v>25</v>
      </c>
      <c r="M110" s="73">
        <v>45.12</v>
      </c>
      <c r="N110" s="104">
        <v>45.12</v>
      </c>
      <c r="O110" s="57">
        <v>7000</v>
      </c>
      <c r="P110" s="58">
        <f t="shared" si="1"/>
        <v>315840</v>
      </c>
    </row>
    <row r="111" spans="1:16" ht="26.25" customHeight="1" x14ac:dyDescent="0.2">
      <c r="A111" s="100"/>
      <c r="B111" s="100"/>
      <c r="C111" s="65" t="s">
        <v>4148</v>
      </c>
      <c r="D111" s="70" t="s">
        <v>57</v>
      </c>
      <c r="E111" s="12">
        <v>44551</v>
      </c>
      <c r="F111" s="68" t="s">
        <v>59</v>
      </c>
      <c r="G111" s="12">
        <v>44558</v>
      </c>
      <c r="H111" s="69" t="s">
        <v>4156</v>
      </c>
      <c r="I111" s="15">
        <v>81</v>
      </c>
      <c r="J111" s="15">
        <v>16</v>
      </c>
      <c r="K111" s="15">
        <v>10</v>
      </c>
      <c r="L111" s="15">
        <v>1</v>
      </c>
      <c r="M111" s="73">
        <v>3.24</v>
      </c>
      <c r="N111" s="104">
        <v>3.24</v>
      </c>
      <c r="O111" s="57">
        <v>7000</v>
      </c>
      <c r="P111" s="58">
        <f t="shared" si="1"/>
        <v>22680</v>
      </c>
    </row>
    <row r="112" spans="1:16" ht="26.25" customHeight="1" x14ac:dyDescent="0.2">
      <c r="A112" s="100"/>
      <c r="B112" s="100"/>
      <c r="C112" s="65" t="s">
        <v>4149</v>
      </c>
      <c r="D112" s="70" t="s">
        <v>57</v>
      </c>
      <c r="E112" s="12">
        <v>44551</v>
      </c>
      <c r="F112" s="68" t="s">
        <v>59</v>
      </c>
      <c r="G112" s="12">
        <v>44558</v>
      </c>
      <c r="H112" s="69" t="s">
        <v>4156</v>
      </c>
      <c r="I112" s="15">
        <v>50</v>
      </c>
      <c r="J112" s="15">
        <v>50</v>
      </c>
      <c r="K112" s="15">
        <v>37</v>
      </c>
      <c r="L112" s="15">
        <v>19</v>
      </c>
      <c r="M112" s="73">
        <v>23.125</v>
      </c>
      <c r="N112" s="104">
        <v>23.125</v>
      </c>
      <c r="O112" s="57">
        <v>7000</v>
      </c>
      <c r="P112" s="58">
        <f t="shared" si="1"/>
        <v>161875</v>
      </c>
    </row>
    <row r="113" spans="1:16" ht="26.25" customHeight="1" x14ac:dyDescent="0.2">
      <c r="A113" s="100"/>
      <c r="B113" s="100"/>
      <c r="C113" s="65" t="s">
        <v>4150</v>
      </c>
      <c r="D113" s="70" t="s">
        <v>57</v>
      </c>
      <c r="E113" s="12">
        <v>44551</v>
      </c>
      <c r="F113" s="68" t="s">
        <v>59</v>
      </c>
      <c r="G113" s="12">
        <v>44558</v>
      </c>
      <c r="H113" s="69" t="s">
        <v>4156</v>
      </c>
      <c r="I113" s="15">
        <v>90</v>
      </c>
      <c r="J113" s="15">
        <v>60</v>
      </c>
      <c r="K113" s="15">
        <v>20</v>
      </c>
      <c r="L113" s="15">
        <v>10</v>
      </c>
      <c r="M113" s="73">
        <v>27</v>
      </c>
      <c r="N113" s="104">
        <v>27</v>
      </c>
      <c r="O113" s="57">
        <v>7000</v>
      </c>
      <c r="P113" s="58">
        <f t="shared" si="1"/>
        <v>189000</v>
      </c>
    </row>
    <row r="114" spans="1:16" ht="26.25" customHeight="1" x14ac:dyDescent="0.2">
      <c r="A114" s="100"/>
      <c r="B114" s="100"/>
      <c r="C114" s="65" t="s">
        <v>4151</v>
      </c>
      <c r="D114" s="70" t="s">
        <v>57</v>
      </c>
      <c r="E114" s="12">
        <v>44551</v>
      </c>
      <c r="F114" s="68" t="s">
        <v>59</v>
      </c>
      <c r="G114" s="12">
        <v>44558</v>
      </c>
      <c r="H114" s="69" t="s">
        <v>4156</v>
      </c>
      <c r="I114" s="15">
        <v>72</v>
      </c>
      <c r="J114" s="15">
        <v>63</v>
      </c>
      <c r="K114" s="15">
        <v>20</v>
      </c>
      <c r="L114" s="15">
        <v>9</v>
      </c>
      <c r="M114" s="73">
        <v>22.68</v>
      </c>
      <c r="N114" s="104">
        <v>22.68</v>
      </c>
      <c r="O114" s="57">
        <v>7000</v>
      </c>
      <c r="P114" s="58">
        <f t="shared" si="1"/>
        <v>158760</v>
      </c>
    </row>
    <row r="115" spans="1:16" ht="26.25" customHeight="1" x14ac:dyDescent="0.2">
      <c r="A115" s="100"/>
      <c r="B115" s="100"/>
      <c r="C115" s="65" t="s">
        <v>4152</v>
      </c>
      <c r="D115" s="70" t="s">
        <v>57</v>
      </c>
      <c r="E115" s="12">
        <v>44551</v>
      </c>
      <c r="F115" s="68" t="s">
        <v>59</v>
      </c>
      <c r="G115" s="12">
        <v>44558</v>
      </c>
      <c r="H115" s="69" t="s">
        <v>4156</v>
      </c>
      <c r="I115" s="15">
        <v>105</v>
      </c>
      <c r="J115" s="15">
        <v>61</v>
      </c>
      <c r="K115" s="15">
        <v>28</v>
      </c>
      <c r="L115" s="15">
        <v>29</v>
      </c>
      <c r="M115" s="73">
        <v>44.835000000000001</v>
      </c>
      <c r="N115" s="104">
        <v>44.835000000000001</v>
      </c>
      <c r="O115" s="57">
        <v>7000</v>
      </c>
      <c r="P115" s="58">
        <f t="shared" si="1"/>
        <v>313845</v>
      </c>
    </row>
    <row r="116" spans="1:16" ht="26.25" customHeight="1" x14ac:dyDescent="0.2">
      <c r="A116" s="100"/>
      <c r="B116" s="100"/>
      <c r="C116" s="65" t="s">
        <v>4153</v>
      </c>
      <c r="D116" s="70" t="s">
        <v>57</v>
      </c>
      <c r="E116" s="12">
        <v>44551</v>
      </c>
      <c r="F116" s="68" t="s">
        <v>59</v>
      </c>
      <c r="G116" s="12">
        <v>44558</v>
      </c>
      <c r="H116" s="69" t="s">
        <v>4156</v>
      </c>
      <c r="I116" s="15">
        <v>75</v>
      </c>
      <c r="J116" s="15">
        <v>61</v>
      </c>
      <c r="K116" s="15">
        <v>30</v>
      </c>
      <c r="L116" s="15">
        <v>9</v>
      </c>
      <c r="M116" s="73">
        <v>34.3125</v>
      </c>
      <c r="N116" s="104">
        <v>35</v>
      </c>
      <c r="O116" s="57">
        <v>7000</v>
      </c>
      <c r="P116" s="58">
        <f t="shared" si="1"/>
        <v>245000</v>
      </c>
    </row>
    <row r="117" spans="1:16" ht="26.25" customHeight="1" x14ac:dyDescent="0.2">
      <c r="A117" s="100"/>
      <c r="B117" s="100"/>
      <c r="C117" s="65" t="s">
        <v>4154</v>
      </c>
      <c r="D117" s="70" t="s">
        <v>57</v>
      </c>
      <c r="E117" s="12">
        <v>44551</v>
      </c>
      <c r="F117" s="68" t="s">
        <v>59</v>
      </c>
      <c r="G117" s="12">
        <v>44558</v>
      </c>
      <c r="H117" s="69" t="s">
        <v>4156</v>
      </c>
      <c r="I117" s="15">
        <v>35</v>
      </c>
      <c r="J117" s="15">
        <v>33</v>
      </c>
      <c r="K117" s="15">
        <v>15</v>
      </c>
      <c r="L117" s="15">
        <v>3</v>
      </c>
      <c r="M117" s="73">
        <v>4.3312499999999998</v>
      </c>
      <c r="N117" s="104">
        <v>5</v>
      </c>
      <c r="O117" s="57">
        <v>7000</v>
      </c>
      <c r="P117" s="58">
        <f t="shared" si="1"/>
        <v>35000</v>
      </c>
    </row>
    <row r="118" spans="1:16" ht="26.25" customHeight="1" x14ac:dyDescent="0.2">
      <c r="A118" s="100"/>
      <c r="B118" s="100"/>
      <c r="C118" s="65" t="s">
        <v>4155</v>
      </c>
      <c r="D118" s="70" t="s">
        <v>57</v>
      </c>
      <c r="E118" s="12">
        <v>44551</v>
      </c>
      <c r="F118" s="68" t="s">
        <v>59</v>
      </c>
      <c r="G118" s="12">
        <v>44558</v>
      </c>
      <c r="H118" s="69" t="s">
        <v>4156</v>
      </c>
      <c r="I118" s="15">
        <v>54</v>
      </c>
      <c r="J118" s="15">
        <v>42</v>
      </c>
      <c r="K118" s="15">
        <v>22</v>
      </c>
      <c r="L118" s="15">
        <v>15</v>
      </c>
      <c r="M118" s="73">
        <v>12.474</v>
      </c>
      <c r="N118" s="104">
        <v>16</v>
      </c>
      <c r="O118" s="57">
        <v>7000</v>
      </c>
      <c r="P118" s="58">
        <f t="shared" si="1"/>
        <v>112000</v>
      </c>
    </row>
    <row r="119" spans="1:16" ht="22.5" customHeight="1" x14ac:dyDescent="0.2">
      <c r="A119" s="159" t="s">
        <v>30</v>
      </c>
      <c r="B119" s="160"/>
      <c r="C119" s="160"/>
      <c r="D119" s="160"/>
      <c r="E119" s="160"/>
      <c r="F119" s="160"/>
      <c r="G119" s="160"/>
      <c r="H119" s="160"/>
      <c r="I119" s="160"/>
      <c r="J119" s="160"/>
      <c r="K119" s="160"/>
      <c r="L119" s="161"/>
      <c r="M119" s="71">
        <f>SUBTOTAL(109,Table224578910112345678910111213141516171819202122232425262728293031323334353738394041424344454647484950515253545556575859606162636465666768[KG VOLUME])</f>
        <v>2510.8452499999999</v>
      </c>
      <c r="N119" s="61">
        <f>SUM(N3:N118)</f>
        <v>2564.0974999999994</v>
      </c>
      <c r="O119" s="162">
        <f>SUM(P3:P118)</f>
        <v>17948682.5</v>
      </c>
      <c r="P119" s="163"/>
    </row>
    <row r="120" spans="1:16" ht="18" customHeight="1" x14ac:dyDescent="0.2">
      <c r="A120" s="78"/>
      <c r="B120" s="49" t="s">
        <v>42</v>
      </c>
      <c r="C120" s="48"/>
      <c r="D120" s="50" t="s">
        <v>43</v>
      </c>
      <c r="E120" s="78"/>
      <c r="F120" s="78"/>
      <c r="G120" s="78"/>
      <c r="H120" s="78"/>
      <c r="I120" s="78"/>
      <c r="J120" s="78"/>
      <c r="K120" s="78"/>
      <c r="L120" s="78"/>
      <c r="M120" s="79"/>
      <c r="N120" s="80" t="s">
        <v>52</v>
      </c>
      <c r="O120" s="81"/>
      <c r="P120" s="81">
        <v>0</v>
      </c>
    </row>
    <row r="121" spans="1:16" ht="18" customHeight="1" thickBot="1" x14ac:dyDescent="0.25">
      <c r="A121" s="78"/>
      <c r="B121" s="49"/>
      <c r="C121" s="48"/>
      <c r="D121" s="50"/>
      <c r="E121" s="78"/>
      <c r="F121" s="78"/>
      <c r="G121" s="78"/>
      <c r="H121" s="78"/>
      <c r="I121" s="78"/>
      <c r="J121" s="78"/>
      <c r="K121" s="78"/>
      <c r="L121" s="78"/>
      <c r="M121" s="79"/>
      <c r="N121" s="82" t="s">
        <v>53</v>
      </c>
      <c r="O121" s="83"/>
      <c r="P121" s="83">
        <f>O119-P120</f>
        <v>17948682.5</v>
      </c>
    </row>
    <row r="122" spans="1:16" ht="18" customHeight="1" x14ac:dyDescent="0.2">
      <c r="A122" s="10"/>
      <c r="H122" s="56"/>
      <c r="N122" s="55" t="s">
        <v>31</v>
      </c>
      <c r="P122" s="62">
        <f>P121*1%</f>
        <v>179486.82500000001</v>
      </c>
    </row>
    <row r="123" spans="1:16" ht="18" customHeight="1" thickBot="1" x14ac:dyDescent="0.25">
      <c r="A123" s="10"/>
      <c r="H123" s="56"/>
      <c r="N123" s="55" t="s">
        <v>54</v>
      </c>
      <c r="P123" s="64">
        <f>P121*2%</f>
        <v>358973.65</v>
      </c>
    </row>
    <row r="124" spans="1:16" ht="18" customHeight="1" x14ac:dyDescent="0.2">
      <c r="A124" s="10"/>
      <c r="H124" s="56"/>
      <c r="N124" s="59" t="s">
        <v>32</v>
      </c>
      <c r="O124" s="60"/>
      <c r="P124" s="63">
        <f>P121+P122-P123</f>
        <v>17769195.675000001</v>
      </c>
    </row>
    <row r="126" spans="1:16" x14ac:dyDescent="0.2">
      <c r="A126" s="10"/>
      <c r="H126" s="56"/>
      <c r="P126" s="64"/>
    </row>
    <row r="127" spans="1:16" x14ac:dyDescent="0.2">
      <c r="A127" s="10"/>
      <c r="H127" s="56"/>
      <c r="O127" s="51"/>
      <c r="P127" s="64"/>
    </row>
    <row r="128" spans="1:16" s="3" customFormat="1" x14ac:dyDescent="0.25">
      <c r="A128" s="10"/>
      <c r="B128" s="2"/>
      <c r="C128" s="2"/>
      <c r="E128" s="11"/>
      <c r="H128" s="56"/>
      <c r="N128" s="14"/>
      <c r="O128" s="14"/>
      <c r="P128" s="14"/>
    </row>
    <row r="129" spans="1:16" s="3" customFormat="1" x14ac:dyDescent="0.25">
      <c r="A129" s="10"/>
      <c r="B129" s="2"/>
      <c r="C129" s="2"/>
      <c r="E129" s="11"/>
      <c r="H129" s="56"/>
      <c r="N129" s="14"/>
      <c r="O129" s="14"/>
      <c r="P129" s="14"/>
    </row>
    <row r="130" spans="1:16" s="3" customFormat="1" x14ac:dyDescent="0.25">
      <c r="A130" s="10"/>
      <c r="B130" s="2"/>
      <c r="C130" s="2"/>
      <c r="E130" s="11"/>
      <c r="H130" s="56"/>
      <c r="N130" s="14"/>
      <c r="O130" s="14"/>
      <c r="P130" s="14"/>
    </row>
    <row r="131" spans="1:16" s="3" customFormat="1" x14ac:dyDescent="0.25">
      <c r="A131" s="10"/>
      <c r="B131" s="2"/>
      <c r="C131" s="2"/>
      <c r="E131" s="11"/>
      <c r="H131" s="56"/>
      <c r="N131" s="14"/>
      <c r="O131" s="14"/>
      <c r="P131" s="14"/>
    </row>
    <row r="132" spans="1:16" s="3" customFormat="1" x14ac:dyDescent="0.25">
      <c r="A132" s="10"/>
      <c r="B132" s="2"/>
      <c r="C132" s="2"/>
      <c r="E132" s="11"/>
      <c r="H132" s="56"/>
      <c r="N132" s="14"/>
      <c r="O132" s="14"/>
      <c r="P132" s="14"/>
    </row>
    <row r="133" spans="1:16" s="3" customFormat="1" x14ac:dyDescent="0.25">
      <c r="A133" s="10"/>
      <c r="B133" s="2"/>
      <c r="C133" s="2"/>
      <c r="E133" s="11"/>
      <c r="H133" s="56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6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6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6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6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6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6"/>
      <c r="N139" s="14"/>
      <c r="O139" s="14"/>
      <c r="P139" s="14"/>
    </row>
  </sheetData>
  <mergeCells count="2">
    <mergeCell ref="A119:L119"/>
    <mergeCell ref="O119:P119"/>
  </mergeCells>
  <conditionalFormatting sqref="C3:C118">
    <cfRule type="duplicateValues" dxfId="527" priority="9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workbookViewId="0">
      <selection activeCell="N38" sqref="N3:N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403924</v>
      </c>
      <c r="B3" s="99" t="s">
        <v>4157</v>
      </c>
      <c r="C3" s="90" t="s">
        <v>4158</v>
      </c>
      <c r="D3" s="102" t="s">
        <v>57</v>
      </c>
      <c r="E3" s="91">
        <v>44552</v>
      </c>
      <c r="F3" s="102" t="s">
        <v>59</v>
      </c>
      <c r="G3" s="91">
        <v>44558</v>
      </c>
      <c r="H3" s="90" t="s">
        <v>4156</v>
      </c>
      <c r="I3" s="90">
        <v>140</v>
      </c>
      <c r="J3" s="90">
        <v>35</v>
      </c>
      <c r="K3" s="90">
        <v>20</v>
      </c>
      <c r="L3" s="90">
        <v>4</v>
      </c>
      <c r="M3" s="90">
        <v>24.5</v>
      </c>
      <c r="N3" s="104">
        <v>26</v>
      </c>
      <c r="O3" s="57">
        <v>7000</v>
      </c>
      <c r="P3" s="58">
        <f t="shared" ref="P3:P38" si="0">N3*O3</f>
        <v>182000</v>
      </c>
    </row>
    <row r="4" spans="1:16" ht="26.25" customHeight="1" x14ac:dyDescent="0.2">
      <c r="A4" s="100"/>
      <c r="B4" s="100"/>
      <c r="C4" s="90" t="s">
        <v>4159</v>
      </c>
      <c r="D4" s="102" t="s">
        <v>57</v>
      </c>
      <c r="E4" s="91">
        <v>44552</v>
      </c>
      <c r="F4" s="102" t="s">
        <v>59</v>
      </c>
      <c r="G4" s="91">
        <v>44558</v>
      </c>
      <c r="H4" s="90" t="s">
        <v>4156</v>
      </c>
      <c r="I4" s="90">
        <v>35</v>
      </c>
      <c r="J4" s="90">
        <v>35</v>
      </c>
      <c r="K4" s="90">
        <v>33</v>
      </c>
      <c r="L4" s="90">
        <v>4</v>
      </c>
      <c r="M4" s="90">
        <v>10.106249999999999</v>
      </c>
      <c r="N4" s="104">
        <v>10.106249999999999</v>
      </c>
      <c r="O4" s="57">
        <v>7000</v>
      </c>
      <c r="P4" s="58">
        <f t="shared" si="0"/>
        <v>70743.75</v>
      </c>
    </row>
    <row r="5" spans="1:16" ht="26.25" customHeight="1" x14ac:dyDescent="0.2">
      <c r="A5" s="100"/>
      <c r="B5" s="100"/>
      <c r="C5" s="65" t="s">
        <v>4160</v>
      </c>
      <c r="D5" s="70" t="s">
        <v>57</v>
      </c>
      <c r="E5" s="12">
        <v>44552</v>
      </c>
      <c r="F5" s="68" t="s">
        <v>59</v>
      </c>
      <c r="G5" s="12">
        <v>44558</v>
      </c>
      <c r="H5" s="69" t="s">
        <v>4156</v>
      </c>
      <c r="I5" s="15">
        <v>60</v>
      </c>
      <c r="J5" s="15">
        <v>40</v>
      </c>
      <c r="K5" s="15">
        <v>18</v>
      </c>
      <c r="L5" s="15">
        <v>5</v>
      </c>
      <c r="M5" s="73">
        <v>10.8</v>
      </c>
      <c r="N5" s="104">
        <v>10.8</v>
      </c>
      <c r="O5" s="57">
        <v>7000</v>
      </c>
      <c r="P5" s="58">
        <f t="shared" si="0"/>
        <v>75600</v>
      </c>
    </row>
    <row r="6" spans="1:16" ht="26.25" customHeight="1" x14ac:dyDescent="0.2">
      <c r="A6" s="100"/>
      <c r="B6" s="100"/>
      <c r="C6" s="65" t="s">
        <v>4161</v>
      </c>
      <c r="D6" s="70" t="s">
        <v>57</v>
      </c>
      <c r="E6" s="12">
        <v>44552</v>
      </c>
      <c r="F6" s="68" t="s">
        <v>59</v>
      </c>
      <c r="G6" s="12">
        <v>44558</v>
      </c>
      <c r="H6" s="69" t="s">
        <v>4156</v>
      </c>
      <c r="I6" s="15">
        <v>89</v>
      </c>
      <c r="J6" s="15">
        <v>53</v>
      </c>
      <c r="K6" s="15">
        <v>31</v>
      </c>
      <c r="L6" s="15">
        <v>8</v>
      </c>
      <c r="M6" s="73">
        <v>36.556750000000001</v>
      </c>
      <c r="N6" s="104">
        <v>36.556750000000001</v>
      </c>
      <c r="O6" s="57">
        <v>7000</v>
      </c>
      <c r="P6" s="58">
        <f t="shared" si="0"/>
        <v>255897.25</v>
      </c>
    </row>
    <row r="7" spans="1:16" ht="26.25" customHeight="1" x14ac:dyDescent="0.2">
      <c r="A7" s="100"/>
      <c r="B7" s="100"/>
      <c r="C7" s="65" t="s">
        <v>4162</v>
      </c>
      <c r="D7" s="70" t="s">
        <v>57</v>
      </c>
      <c r="E7" s="12">
        <v>44552</v>
      </c>
      <c r="F7" s="68" t="s">
        <v>59</v>
      </c>
      <c r="G7" s="12">
        <v>44558</v>
      </c>
      <c r="H7" s="69" t="s">
        <v>4156</v>
      </c>
      <c r="I7" s="15">
        <v>98</v>
      </c>
      <c r="J7" s="15">
        <v>54</v>
      </c>
      <c r="K7" s="15">
        <v>32</v>
      </c>
      <c r="L7" s="15">
        <v>15</v>
      </c>
      <c r="M7" s="73">
        <v>42.335999999999999</v>
      </c>
      <c r="N7" s="104">
        <v>43</v>
      </c>
      <c r="O7" s="57">
        <v>7000</v>
      </c>
      <c r="P7" s="58">
        <f t="shared" si="0"/>
        <v>301000</v>
      </c>
    </row>
    <row r="8" spans="1:16" ht="26.25" customHeight="1" x14ac:dyDescent="0.2">
      <c r="A8" s="100"/>
      <c r="B8" s="100"/>
      <c r="C8" s="65" t="s">
        <v>4163</v>
      </c>
      <c r="D8" s="70" t="s">
        <v>57</v>
      </c>
      <c r="E8" s="12">
        <v>44552</v>
      </c>
      <c r="F8" s="68" t="s">
        <v>59</v>
      </c>
      <c r="G8" s="12">
        <v>44558</v>
      </c>
      <c r="H8" s="69" t="s">
        <v>4156</v>
      </c>
      <c r="I8" s="15">
        <v>90</v>
      </c>
      <c r="J8" s="15">
        <v>54</v>
      </c>
      <c r="K8" s="15">
        <v>32</v>
      </c>
      <c r="L8" s="15">
        <v>18</v>
      </c>
      <c r="M8" s="73">
        <v>38.880000000000003</v>
      </c>
      <c r="N8" s="104">
        <v>38.880000000000003</v>
      </c>
      <c r="O8" s="57">
        <v>7000</v>
      </c>
      <c r="P8" s="58">
        <f t="shared" si="0"/>
        <v>272160</v>
      </c>
    </row>
    <row r="9" spans="1:16" ht="26.25" customHeight="1" x14ac:dyDescent="0.2">
      <c r="A9" s="100"/>
      <c r="B9" s="100"/>
      <c r="C9" s="65" t="s">
        <v>4164</v>
      </c>
      <c r="D9" s="70" t="s">
        <v>57</v>
      </c>
      <c r="E9" s="12">
        <v>44552</v>
      </c>
      <c r="F9" s="68" t="s">
        <v>59</v>
      </c>
      <c r="G9" s="12">
        <v>44558</v>
      </c>
      <c r="H9" s="69" t="s">
        <v>4156</v>
      </c>
      <c r="I9" s="15">
        <v>35</v>
      </c>
      <c r="J9" s="15">
        <v>20</v>
      </c>
      <c r="K9" s="15">
        <v>11</v>
      </c>
      <c r="L9" s="15">
        <v>1</v>
      </c>
      <c r="M9" s="73">
        <v>1.925</v>
      </c>
      <c r="N9" s="104">
        <v>1.925</v>
      </c>
      <c r="O9" s="57">
        <v>7000</v>
      </c>
      <c r="P9" s="58">
        <f t="shared" si="0"/>
        <v>13475</v>
      </c>
    </row>
    <row r="10" spans="1:16" ht="26.25" customHeight="1" x14ac:dyDescent="0.2">
      <c r="A10" s="100"/>
      <c r="B10" s="100"/>
      <c r="C10" s="65" t="s">
        <v>4165</v>
      </c>
      <c r="D10" s="70" t="s">
        <v>57</v>
      </c>
      <c r="E10" s="12">
        <v>44552</v>
      </c>
      <c r="F10" s="68" t="s">
        <v>59</v>
      </c>
      <c r="G10" s="12">
        <v>44558</v>
      </c>
      <c r="H10" s="69" t="s">
        <v>4156</v>
      </c>
      <c r="I10" s="15">
        <v>82</v>
      </c>
      <c r="J10" s="15">
        <v>44</v>
      </c>
      <c r="K10" s="15">
        <v>28</v>
      </c>
      <c r="L10" s="15">
        <v>1</v>
      </c>
      <c r="M10" s="73">
        <v>25.256</v>
      </c>
      <c r="N10" s="104">
        <v>25.256</v>
      </c>
      <c r="O10" s="57">
        <v>7000</v>
      </c>
      <c r="P10" s="58">
        <f t="shared" si="0"/>
        <v>176792</v>
      </c>
    </row>
    <row r="11" spans="1:16" ht="26.25" customHeight="1" x14ac:dyDescent="0.2">
      <c r="A11" s="100"/>
      <c r="B11" s="100"/>
      <c r="C11" s="65" t="s">
        <v>4166</v>
      </c>
      <c r="D11" s="70" t="s">
        <v>57</v>
      </c>
      <c r="E11" s="12">
        <v>44552</v>
      </c>
      <c r="F11" s="68" t="s">
        <v>59</v>
      </c>
      <c r="G11" s="12">
        <v>44558</v>
      </c>
      <c r="H11" s="69" t="s">
        <v>4156</v>
      </c>
      <c r="I11" s="15">
        <v>50</v>
      </c>
      <c r="J11" s="15">
        <v>38</v>
      </c>
      <c r="K11" s="15">
        <v>18</v>
      </c>
      <c r="L11" s="15">
        <v>16</v>
      </c>
      <c r="M11" s="73">
        <v>8.5500000000000007</v>
      </c>
      <c r="N11" s="104">
        <v>16</v>
      </c>
      <c r="O11" s="57">
        <v>7000</v>
      </c>
      <c r="P11" s="58">
        <f t="shared" si="0"/>
        <v>112000</v>
      </c>
    </row>
    <row r="12" spans="1:16" ht="26.25" customHeight="1" x14ac:dyDescent="0.2">
      <c r="A12" s="100"/>
      <c r="B12" s="100"/>
      <c r="C12" s="65" t="s">
        <v>4167</v>
      </c>
      <c r="D12" s="70" t="s">
        <v>57</v>
      </c>
      <c r="E12" s="12">
        <v>44552</v>
      </c>
      <c r="F12" s="68" t="s">
        <v>59</v>
      </c>
      <c r="G12" s="12">
        <v>44558</v>
      </c>
      <c r="H12" s="69" t="s">
        <v>4156</v>
      </c>
      <c r="I12" s="15">
        <v>103</v>
      </c>
      <c r="J12" s="15">
        <v>58</v>
      </c>
      <c r="K12" s="15">
        <v>25</v>
      </c>
      <c r="L12" s="15">
        <v>8</v>
      </c>
      <c r="M12" s="73">
        <v>37.337499999999999</v>
      </c>
      <c r="N12" s="104">
        <v>38</v>
      </c>
      <c r="O12" s="57">
        <v>7000</v>
      </c>
      <c r="P12" s="58">
        <f t="shared" si="0"/>
        <v>266000</v>
      </c>
    </row>
    <row r="13" spans="1:16" ht="26.25" customHeight="1" x14ac:dyDescent="0.2">
      <c r="A13" s="100"/>
      <c r="B13" s="100"/>
      <c r="C13" s="65" t="s">
        <v>4168</v>
      </c>
      <c r="D13" s="70" t="s">
        <v>57</v>
      </c>
      <c r="E13" s="12">
        <v>44552</v>
      </c>
      <c r="F13" s="68" t="s">
        <v>59</v>
      </c>
      <c r="G13" s="12">
        <v>44558</v>
      </c>
      <c r="H13" s="69" t="s">
        <v>4156</v>
      </c>
      <c r="I13" s="15">
        <v>40</v>
      </c>
      <c r="J13" s="15">
        <v>35</v>
      </c>
      <c r="K13" s="15">
        <v>16</v>
      </c>
      <c r="L13" s="15">
        <v>4</v>
      </c>
      <c r="M13" s="73">
        <v>5.6</v>
      </c>
      <c r="N13" s="104">
        <v>5.6</v>
      </c>
      <c r="O13" s="57">
        <v>7000</v>
      </c>
      <c r="P13" s="58">
        <f t="shared" si="0"/>
        <v>39200</v>
      </c>
    </row>
    <row r="14" spans="1:16" ht="26.25" customHeight="1" x14ac:dyDescent="0.2">
      <c r="A14" s="100"/>
      <c r="B14" s="100"/>
      <c r="C14" s="65" t="s">
        <v>4169</v>
      </c>
      <c r="D14" s="70" t="s">
        <v>57</v>
      </c>
      <c r="E14" s="12">
        <v>44552</v>
      </c>
      <c r="F14" s="68" t="s">
        <v>59</v>
      </c>
      <c r="G14" s="12">
        <v>44558</v>
      </c>
      <c r="H14" s="69" t="s">
        <v>4156</v>
      </c>
      <c r="I14" s="15">
        <v>82</v>
      </c>
      <c r="J14" s="15">
        <v>60</v>
      </c>
      <c r="K14" s="15">
        <v>19</v>
      </c>
      <c r="L14" s="15">
        <v>4</v>
      </c>
      <c r="M14" s="73">
        <v>23.37</v>
      </c>
      <c r="N14" s="104">
        <v>24</v>
      </c>
      <c r="O14" s="57">
        <v>7000</v>
      </c>
      <c r="P14" s="58">
        <f t="shared" si="0"/>
        <v>168000</v>
      </c>
    </row>
    <row r="15" spans="1:16" ht="26.25" customHeight="1" x14ac:dyDescent="0.2">
      <c r="A15" s="100"/>
      <c r="B15" s="100"/>
      <c r="C15" s="65" t="s">
        <v>4170</v>
      </c>
      <c r="D15" s="70" t="s">
        <v>57</v>
      </c>
      <c r="E15" s="12">
        <v>44552</v>
      </c>
      <c r="F15" s="68" t="s">
        <v>59</v>
      </c>
      <c r="G15" s="12">
        <v>44558</v>
      </c>
      <c r="H15" s="69" t="s">
        <v>4156</v>
      </c>
      <c r="I15" s="15">
        <v>33</v>
      </c>
      <c r="J15" s="15">
        <v>33</v>
      </c>
      <c r="K15" s="15">
        <v>21</v>
      </c>
      <c r="L15" s="15">
        <v>1</v>
      </c>
      <c r="M15" s="73">
        <v>5.7172499999999999</v>
      </c>
      <c r="N15" s="104">
        <v>5.7172499999999999</v>
      </c>
      <c r="O15" s="57">
        <v>7000</v>
      </c>
      <c r="P15" s="58">
        <f t="shared" si="0"/>
        <v>40020.75</v>
      </c>
    </row>
    <row r="16" spans="1:16" ht="26.25" customHeight="1" x14ac:dyDescent="0.2">
      <c r="A16" s="100"/>
      <c r="B16" s="100"/>
      <c r="C16" s="65" t="s">
        <v>4171</v>
      </c>
      <c r="D16" s="70" t="s">
        <v>57</v>
      </c>
      <c r="E16" s="12">
        <v>44552</v>
      </c>
      <c r="F16" s="68" t="s">
        <v>59</v>
      </c>
      <c r="G16" s="12">
        <v>44558</v>
      </c>
      <c r="H16" s="69" t="s">
        <v>4156</v>
      </c>
      <c r="I16" s="15">
        <v>85</v>
      </c>
      <c r="J16" s="15">
        <v>17</v>
      </c>
      <c r="K16" s="15">
        <v>18</v>
      </c>
      <c r="L16" s="15">
        <v>2</v>
      </c>
      <c r="M16" s="73">
        <v>6.5025000000000004</v>
      </c>
      <c r="N16" s="104">
        <v>8</v>
      </c>
      <c r="O16" s="57">
        <v>7000</v>
      </c>
      <c r="P16" s="58">
        <f t="shared" si="0"/>
        <v>56000</v>
      </c>
    </row>
    <row r="17" spans="1:16" ht="26.25" customHeight="1" x14ac:dyDescent="0.2">
      <c r="A17" s="100"/>
      <c r="B17" s="100"/>
      <c r="C17" s="65" t="s">
        <v>4172</v>
      </c>
      <c r="D17" s="70" t="s">
        <v>57</v>
      </c>
      <c r="E17" s="12">
        <v>44552</v>
      </c>
      <c r="F17" s="68" t="s">
        <v>59</v>
      </c>
      <c r="G17" s="12">
        <v>44558</v>
      </c>
      <c r="H17" s="69" t="s">
        <v>4156</v>
      </c>
      <c r="I17" s="15">
        <v>67</v>
      </c>
      <c r="J17" s="15">
        <v>52</v>
      </c>
      <c r="K17" s="15">
        <v>21</v>
      </c>
      <c r="L17" s="15">
        <v>11</v>
      </c>
      <c r="M17" s="73">
        <v>18.291</v>
      </c>
      <c r="N17" s="104">
        <v>18.291</v>
      </c>
      <c r="O17" s="57">
        <v>7000</v>
      </c>
      <c r="P17" s="58">
        <f t="shared" si="0"/>
        <v>128037</v>
      </c>
    </row>
    <row r="18" spans="1:16" ht="26.25" customHeight="1" x14ac:dyDescent="0.2">
      <c r="A18" s="100"/>
      <c r="B18" s="100"/>
      <c r="C18" s="65" t="s">
        <v>4173</v>
      </c>
      <c r="D18" s="70" t="s">
        <v>57</v>
      </c>
      <c r="E18" s="12">
        <v>44552</v>
      </c>
      <c r="F18" s="68" t="s">
        <v>59</v>
      </c>
      <c r="G18" s="12">
        <v>44558</v>
      </c>
      <c r="H18" s="69" t="s">
        <v>4156</v>
      </c>
      <c r="I18" s="15">
        <v>52</v>
      </c>
      <c r="J18" s="15">
        <v>38</v>
      </c>
      <c r="K18" s="15">
        <v>17</v>
      </c>
      <c r="L18" s="15">
        <v>8</v>
      </c>
      <c r="M18" s="73">
        <v>8.3979999999999997</v>
      </c>
      <c r="N18" s="104">
        <v>9</v>
      </c>
      <c r="O18" s="57">
        <v>7000</v>
      </c>
      <c r="P18" s="58">
        <f t="shared" si="0"/>
        <v>63000</v>
      </c>
    </row>
    <row r="19" spans="1:16" ht="26.25" customHeight="1" x14ac:dyDescent="0.2">
      <c r="A19" s="100"/>
      <c r="B19" s="100"/>
      <c r="C19" s="65" t="s">
        <v>4174</v>
      </c>
      <c r="D19" s="70" t="s">
        <v>57</v>
      </c>
      <c r="E19" s="12">
        <v>44552</v>
      </c>
      <c r="F19" s="68" t="s">
        <v>59</v>
      </c>
      <c r="G19" s="12">
        <v>44558</v>
      </c>
      <c r="H19" s="69" t="s">
        <v>4156</v>
      </c>
      <c r="I19" s="15">
        <v>50</v>
      </c>
      <c r="J19" s="15">
        <v>41</v>
      </c>
      <c r="K19" s="15">
        <v>22</v>
      </c>
      <c r="L19" s="15">
        <v>4</v>
      </c>
      <c r="M19" s="73">
        <v>11.275</v>
      </c>
      <c r="N19" s="104">
        <v>11.275</v>
      </c>
      <c r="O19" s="57">
        <v>7000</v>
      </c>
      <c r="P19" s="58">
        <f t="shared" si="0"/>
        <v>78925</v>
      </c>
    </row>
    <row r="20" spans="1:16" ht="26.25" customHeight="1" x14ac:dyDescent="0.2">
      <c r="A20" s="100"/>
      <c r="B20" s="100"/>
      <c r="C20" s="65" t="s">
        <v>4175</v>
      </c>
      <c r="D20" s="70" t="s">
        <v>57</v>
      </c>
      <c r="E20" s="12">
        <v>44552</v>
      </c>
      <c r="F20" s="68" t="s">
        <v>59</v>
      </c>
      <c r="G20" s="12">
        <v>44558</v>
      </c>
      <c r="H20" s="69" t="s">
        <v>4156</v>
      </c>
      <c r="I20" s="15">
        <v>50</v>
      </c>
      <c r="J20" s="15">
        <v>38</v>
      </c>
      <c r="K20" s="15">
        <v>19</v>
      </c>
      <c r="L20" s="15">
        <v>5</v>
      </c>
      <c r="M20" s="73">
        <v>9.0250000000000004</v>
      </c>
      <c r="N20" s="104">
        <v>9.0250000000000004</v>
      </c>
      <c r="O20" s="57">
        <v>7000</v>
      </c>
      <c r="P20" s="58">
        <f t="shared" si="0"/>
        <v>63175</v>
      </c>
    </row>
    <row r="21" spans="1:16" ht="26.25" customHeight="1" x14ac:dyDescent="0.2">
      <c r="A21" s="100"/>
      <c r="B21" s="100"/>
      <c r="C21" s="65" t="s">
        <v>4176</v>
      </c>
      <c r="D21" s="70" t="s">
        <v>57</v>
      </c>
      <c r="E21" s="12">
        <v>44552</v>
      </c>
      <c r="F21" s="68" t="s">
        <v>59</v>
      </c>
      <c r="G21" s="12">
        <v>44558</v>
      </c>
      <c r="H21" s="69" t="s">
        <v>4156</v>
      </c>
      <c r="I21" s="15">
        <v>40</v>
      </c>
      <c r="J21" s="15">
        <v>32</v>
      </c>
      <c r="K21" s="15">
        <v>22</v>
      </c>
      <c r="L21" s="15">
        <v>23</v>
      </c>
      <c r="M21" s="73">
        <v>7.04</v>
      </c>
      <c r="N21" s="104">
        <v>23</v>
      </c>
      <c r="O21" s="57">
        <v>7000</v>
      </c>
      <c r="P21" s="58">
        <f t="shared" si="0"/>
        <v>161000</v>
      </c>
    </row>
    <row r="22" spans="1:16" ht="26.25" customHeight="1" x14ac:dyDescent="0.2">
      <c r="A22" s="100"/>
      <c r="B22" s="100"/>
      <c r="C22" s="65" t="s">
        <v>4177</v>
      </c>
      <c r="D22" s="70" t="s">
        <v>57</v>
      </c>
      <c r="E22" s="12">
        <v>44552</v>
      </c>
      <c r="F22" s="68" t="s">
        <v>59</v>
      </c>
      <c r="G22" s="12">
        <v>44558</v>
      </c>
      <c r="H22" s="69" t="s">
        <v>4156</v>
      </c>
      <c r="I22" s="15">
        <v>47</v>
      </c>
      <c r="J22" s="15">
        <v>34</v>
      </c>
      <c r="K22" s="15">
        <v>24</v>
      </c>
      <c r="L22" s="15">
        <v>5</v>
      </c>
      <c r="M22" s="73">
        <v>9.5879999999999992</v>
      </c>
      <c r="N22" s="104">
        <v>9.5879999999999992</v>
      </c>
      <c r="O22" s="57">
        <v>7000</v>
      </c>
      <c r="P22" s="58">
        <f t="shared" si="0"/>
        <v>67116</v>
      </c>
    </row>
    <row r="23" spans="1:16" ht="26.25" customHeight="1" x14ac:dyDescent="0.2">
      <c r="A23" s="100"/>
      <c r="B23" s="100"/>
      <c r="C23" s="65" t="s">
        <v>4178</v>
      </c>
      <c r="D23" s="70" t="s">
        <v>57</v>
      </c>
      <c r="E23" s="12">
        <v>44552</v>
      </c>
      <c r="F23" s="68" t="s">
        <v>59</v>
      </c>
      <c r="G23" s="12">
        <v>44558</v>
      </c>
      <c r="H23" s="69" t="s">
        <v>4156</v>
      </c>
      <c r="I23" s="15">
        <v>84</v>
      </c>
      <c r="J23" s="15">
        <v>51</v>
      </c>
      <c r="K23" s="15">
        <v>24</v>
      </c>
      <c r="L23" s="15">
        <v>18</v>
      </c>
      <c r="M23" s="73">
        <v>25.704000000000001</v>
      </c>
      <c r="N23" s="104">
        <v>25.704000000000001</v>
      </c>
      <c r="O23" s="57">
        <v>7000</v>
      </c>
      <c r="P23" s="58">
        <f t="shared" si="0"/>
        <v>179928</v>
      </c>
    </row>
    <row r="24" spans="1:16" ht="26.25" customHeight="1" x14ac:dyDescent="0.2">
      <c r="A24" s="100"/>
      <c r="B24" s="100"/>
      <c r="C24" s="65" t="s">
        <v>4179</v>
      </c>
      <c r="D24" s="70" t="s">
        <v>57</v>
      </c>
      <c r="E24" s="12">
        <v>44552</v>
      </c>
      <c r="F24" s="68" t="s">
        <v>59</v>
      </c>
      <c r="G24" s="12">
        <v>44558</v>
      </c>
      <c r="H24" s="69" t="s">
        <v>4156</v>
      </c>
      <c r="I24" s="15">
        <v>87</v>
      </c>
      <c r="J24" s="15">
        <v>45</v>
      </c>
      <c r="K24" s="15">
        <v>15</v>
      </c>
      <c r="L24" s="15">
        <v>5</v>
      </c>
      <c r="M24" s="73">
        <v>14.68125</v>
      </c>
      <c r="N24" s="104">
        <v>14.68125</v>
      </c>
      <c r="O24" s="57">
        <v>7000</v>
      </c>
      <c r="P24" s="58">
        <f t="shared" si="0"/>
        <v>102768.75</v>
      </c>
    </row>
    <row r="25" spans="1:16" ht="26.25" customHeight="1" x14ac:dyDescent="0.2">
      <c r="A25" s="100"/>
      <c r="B25" s="100"/>
      <c r="C25" s="65" t="s">
        <v>4180</v>
      </c>
      <c r="D25" s="70" t="s">
        <v>57</v>
      </c>
      <c r="E25" s="12">
        <v>44552</v>
      </c>
      <c r="F25" s="68" t="s">
        <v>59</v>
      </c>
      <c r="G25" s="12">
        <v>44558</v>
      </c>
      <c r="H25" s="69" t="s">
        <v>4156</v>
      </c>
      <c r="I25" s="15">
        <v>57</v>
      </c>
      <c r="J25" s="15">
        <v>40</v>
      </c>
      <c r="K25" s="15">
        <v>18</v>
      </c>
      <c r="L25" s="15">
        <v>4</v>
      </c>
      <c r="M25" s="73">
        <v>10.26</v>
      </c>
      <c r="N25" s="104">
        <v>10.26</v>
      </c>
      <c r="O25" s="57">
        <v>7000</v>
      </c>
      <c r="P25" s="58">
        <f t="shared" si="0"/>
        <v>71820</v>
      </c>
    </row>
    <row r="26" spans="1:16" ht="26.25" customHeight="1" x14ac:dyDescent="0.2">
      <c r="A26" s="100"/>
      <c r="B26" s="100"/>
      <c r="C26" s="65" t="s">
        <v>4181</v>
      </c>
      <c r="D26" s="70" t="s">
        <v>57</v>
      </c>
      <c r="E26" s="12">
        <v>44552</v>
      </c>
      <c r="F26" s="68" t="s">
        <v>59</v>
      </c>
      <c r="G26" s="12">
        <v>44558</v>
      </c>
      <c r="H26" s="69" t="s">
        <v>4156</v>
      </c>
      <c r="I26" s="15">
        <v>92</v>
      </c>
      <c r="J26" s="15">
        <v>52</v>
      </c>
      <c r="K26" s="15">
        <v>26</v>
      </c>
      <c r="L26" s="15">
        <v>17</v>
      </c>
      <c r="M26" s="73">
        <v>31.096</v>
      </c>
      <c r="N26" s="104">
        <v>31.096</v>
      </c>
      <c r="O26" s="57">
        <v>7000</v>
      </c>
      <c r="P26" s="58">
        <f t="shared" si="0"/>
        <v>217672</v>
      </c>
    </row>
    <row r="27" spans="1:16" ht="26.25" customHeight="1" x14ac:dyDescent="0.2">
      <c r="A27" s="100"/>
      <c r="B27" s="100"/>
      <c r="C27" s="65" t="s">
        <v>4182</v>
      </c>
      <c r="D27" s="70" t="s">
        <v>57</v>
      </c>
      <c r="E27" s="12">
        <v>44552</v>
      </c>
      <c r="F27" s="68" t="s">
        <v>59</v>
      </c>
      <c r="G27" s="12">
        <v>44558</v>
      </c>
      <c r="H27" s="69" t="s">
        <v>4156</v>
      </c>
      <c r="I27" s="15">
        <v>92</v>
      </c>
      <c r="J27" s="15">
        <v>55</v>
      </c>
      <c r="K27" s="15">
        <v>21</v>
      </c>
      <c r="L27" s="15">
        <v>7</v>
      </c>
      <c r="M27" s="73">
        <v>26.565000000000001</v>
      </c>
      <c r="N27" s="104">
        <v>26.565000000000001</v>
      </c>
      <c r="O27" s="57">
        <v>7000</v>
      </c>
      <c r="P27" s="58">
        <f t="shared" si="0"/>
        <v>185955</v>
      </c>
    </row>
    <row r="28" spans="1:16" ht="26.25" customHeight="1" x14ac:dyDescent="0.2">
      <c r="A28" s="100"/>
      <c r="B28" s="100"/>
      <c r="C28" s="65" t="s">
        <v>4183</v>
      </c>
      <c r="D28" s="70" t="s">
        <v>57</v>
      </c>
      <c r="E28" s="12">
        <v>44552</v>
      </c>
      <c r="F28" s="68" t="s">
        <v>59</v>
      </c>
      <c r="G28" s="12">
        <v>44558</v>
      </c>
      <c r="H28" s="69" t="s">
        <v>4156</v>
      </c>
      <c r="I28" s="15">
        <v>47</v>
      </c>
      <c r="J28" s="15">
        <v>42</v>
      </c>
      <c r="K28" s="15">
        <v>12</v>
      </c>
      <c r="L28" s="15">
        <v>2</v>
      </c>
      <c r="M28" s="73">
        <v>5.9219999999999997</v>
      </c>
      <c r="N28" s="104">
        <v>5.9219999999999997</v>
      </c>
      <c r="O28" s="57">
        <v>7000</v>
      </c>
      <c r="P28" s="58">
        <f t="shared" si="0"/>
        <v>41454</v>
      </c>
    </row>
    <row r="29" spans="1:16" ht="26.25" customHeight="1" x14ac:dyDescent="0.2">
      <c r="A29" s="100"/>
      <c r="B29" s="100"/>
      <c r="C29" s="65" t="s">
        <v>4184</v>
      </c>
      <c r="D29" s="70" t="s">
        <v>57</v>
      </c>
      <c r="E29" s="12">
        <v>44552</v>
      </c>
      <c r="F29" s="68" t="s">
        <v>59</v>
      </c>
      <c r="G29" s="12">
        <v>44558</v>
      </c>
      <c r="H29" s="69" t="s">
        <v>4156</v>
      </c>
      <c r="I29" s="15">
        <v>60</v>
      </c>
      <c r="J29" s="15">
        <v>42</v>
      </c>
      <c r="K29" s="15">
        <v>21</v>
      </c>
      <c r="L29" s="15">
        <v>7</v>
      </c>
      <c r="M29" s="73">
        <v>13.23</v>
      </c>
      <c r="N29" s="104">
        <v>13.23</v>
      </c>
      <c r="O29" s="57">
        <v>7000</v>
      </c>
      <c r="P29" s="58">
        <f t="shared" si="0"/>
        <v>92610</v>
      </c>
    </row>
    <row r="30" spans="1:16" ht="26.25" customHeight="1" x14ac:dyDescent="0.2">
      <c r="A30" s="100"/>
      <c r="B30" s="100"/>
      <c r="C30" s="65" t="s">
        <v>4185</v>
      </c>
      <c r="D30" s="70" t="s">
        <v>57</v>
      </c>
      <c r="E30" s="12">
        <v>44552</v>
      </c>
      <c r="F30" s="68" t="s">
        <v>59</v>
      </c>
      <c r="G30" s="12">
        <v>44558</v>
      </c>
      <c r="H30" s="69" t="s">
        <v>4156</v>
      </c>
      <c r="I30" s="15">
        <v>72</v>
      </c>
      <c r="J30" s="15">
        <v>40</v>
      </c>
      <c r="K30" s="15">
        <v>8</v>
      </c>
      <c r="L30" s="15">
        <v>3</v>
      </c>
      <c r="M30" s="73">
        <v>5.76</v>
      </c>
      <c r="N30" s="104">
        <v>5.76</v>
      </c>
      <c r="O30" s="57">
        <v>7000</v>
      </c>
      <c r="P30" s="58">
        <f t="shared" si="0"/>
        <v>40320</v>
      </c>
    </row>
    <row r="31" spans="1:16" ht="26.25" customHeight="1" x14ac:dyDescent="0.2">
      <c r="A31" s="100"/>
      <c r="B31" s="100"/>
      <c r="C31" s="65" t="s">
        <v>4186</v>
      </c>
      <c r="D31" s="70" t="s">
        <v>57</v>
      </c>
      <c r="E31" s="12">
        <v>44552</v>
      </c>
      <c r="F31" s="68" t="s">
        <v>59</v>
      </c>
      <c r="G31" s="12">
        <v>44558</v>
      </c>
      <c r="H31" s="69" t="s">
        <v>4156</v>
      </c>
      <c r="I31" s="15">
        <v>75</v>
      </c>
      <c r="J31" s="15">
        <v>53</v>
      </c>
      <c r="K31" s="15">
        <v>24</v>
      </c>
      <c r="L31" s="15">
        <v>7</v>
      </c>
      <c r="M31" s="73">
        <v>23.85</v>
      </c>
      <c r="N31" s="104">
        <v>23.85</v>
      </c>
      <c r="O31" s="57">
        <v>7000</v>
      </c>
      <c r="P31" s="58">
        <f t="shared" si="0"/>
        <v>166950</v>
      </c>
    </row>
    <row r="32" spans="1:16" ht="26.25" customHeight="1" x14ac:dyDescent="0.2">
      <c r="A32" s="100"/>
      <c r="B32" s="100"/>
      <c r="C32" s="65" t="s">
        <v>4187</v>
      </c>
      <c r="D32" s="70" t="s">
        <v>57</v>
      </c>
      <c r="E32" s="12">
        <v>44552</v>
      </c>
      <c r="F32" s="68" t="s">
        <v>59</v>
      </c>
      <c r="G32" s="12">
        <v>44558</v>
      </c>
      <c r="H32" s="69" t="s">
        <v>4156</v>
      </c>
      <c r="I32" s="15">
        <v>45</v>
      </c>
      <c r="J32" s="15">
        <v>34</v>
      </c>
      <c r="K32" s="15">
        <v>22</v>
      </c>
      <c r="L32" s="15">
        <v>2</v>
      </c>
      <c r="M32" s="73">
        <v>8.4149999999999991</v>
      </c>
      <c r="N32" s="104">
        <v>9</v>
      </c>
      <c r="O32" s="57">
        <v>7000</v>
      </c>
      <c r="P32" s="58">
        <f t="shared" si="0"/>
        <v>63000</v>
      </c>
    </row>
    <row r="33" spans="1:16" ht="26.25" customHeight="1" x14ac:dyDescent="0.2">
      <c r="A33" s="100"/>
      <c r="B33" s="100"/>
      <c r="C33" s="65" t="s">
        <v>4188</v>
      </c>
      <c r="D33" s="70" t="s">
        <v>57</v>
      </c>
      <c r="E33" s="12">
        <v>44552</v>
      </c>
      <c r="F33" s="68" t="s">
        <v>59</v>
      </c>
      <c r="G33" s="12">
        <v>44558</v>
      </c>
      <c r="H33" s="69" t="s">
        <v>4156</v>
      </c>
      <c r="I33" s="15">
        <v>82</v>
      </c>
      <c r="J33" s="15">
        <v>52</v>
      </c>
      <c r="K33" s="15">
        <v>12</v>
      </c>
      <c r="L33" s="15">
        <v>9</v>
      </c>
      <c r="M33" s="73">
        <v>12.792</v>
      </c>
      <c r="N33" s="104">
        <v>12.792</v>
      </c>
      <c r="O33" s="57">
        <v>7000</v>
      </c>
      <c r="P33" s="58">
        <f t="shared" si="0"/>
        <v>89544</v>
      </c>
    </row>
    <row r="34" spans="1:16" ht="26.25" customHeight="1" x14ac:dyDescent="0.2">
      <c r="A34" s="100"/>
      <c r="B34" s="100"/>
      <c r="C34" s="65" t="s">
        <v>4189</v>
      </c>
      <c r="D34" s="70" t="s">
        <v>57</v>
      </c>
      <c r="E34" s="12">
        <v>44552</v>
      </c>
      <c r="F34" s="68" t="s">
        <v>59</v>
      </c>
      <c r="G34" s="12">
        <v>44558</v>
      </c>
      <c r="H34" s="69" t="s">
        <v>4156</v>
      </c>
      <c r="I34" s="15">
        <v>50</v>
      </c>
      <c r="J34" s="15">
        <v>33</v>
      </c>
      <c r="K34" s="15">
        <v>16</v>
      </c>
      <c r="L34" s="15">
        <v>25</v>
      </c>
      <c r="M34" s="73">
        <v>6.6</v>
      </c>
      <c r="N34" s="104">
        <v>25</v>
      </c>
      <c r="O34" s="57">
        <v>7000</v>
      </c>
      <c r="P34" s="58">
        <f t="shared" si="0"/>
        <v>175000</v>
      </c>
    </row>
    <row r="35" spans="1:16" ht="26.25" customHeight="1" x14ac:dyDescent="0.2">
      <c r="A35" s="100"/>
      <c r="B35" s="100"/>
      <c r="C35" s="65" t="s">
        <v>4190</v>
      </c>
      <c r="D35" s="70" t="s">
        <v>57</v>
      </c>
      <c r="E35" s="12">
        <v>44552</v>
      </c>
      <c r="F35" s="68" t="s">
        <v>59</v>
      </c>
      <c r="G35" s="12">
        <v>44558</v>
      </c>
      <c r="H35" s="69" t="s">
        <v>4156</v>
      </c>
      <c r="I35" s="15">
        <v>65</v>
      </c>
      <c r="J35" s="15">
        <v>60</v>
      </c>
      <c r="K35" s="15">
        <v>18</v>
      </c>
      <c r="L35" s="15">
        <v>8</v>
      </c>
      <c r="M35" s="73">
        <v>17.55</v>
      </c>
      <c r="N35" s="104">
        <v>17.55</v>
      </c>
      <c r="O35" s="57">
        <v>7000</v>
      </c>
      <c r="P35" s="58">
        <f t="shared" si="0"/>
        <v>122850</v>
      </c>
    </row>
    <row r="36" spans="1:16" ht="26.25" customHeight="1" x14ac:dyDescent="0.2">
      <c r="A36" s="100"/>
      <c r="B36" s="100"/>
      <c r="C36" s="65" t="s">
        <v>4191</v>
      </c>
      <c r="D36" s="70" t="s">
        <v>57</v>
      </c>
      <c r="E36" s="12">
        <v>44552</v>
      </c>
      <c r="F36" s="68" t="s">
        <v>59</v>
      </c>
      <c r="G36" s="12">
        <v>44558</v>
      </c>
      <c r="H36" s="69" t="s">
        <v>4156</v>
      </c>
      <c r="I36" s="15">
        <v>70</v>
      </c>
      <c r="J36" s="15">
        <v>52</v>
      </c>
      <c r="K36" s="15">
        <v>22</v>
      </c>
      <c r="L36" s="15">
        <v>9</v>
      </c>
      <c r="M36" s="73">
        <v>20.02</v>
      </c>
      <c r="N36" s="104">
        <v>20.02</v>
      </c>
      <c r="O36" s="57">
        <v>7000</v>
      </c>
      <c r="P36" s="58">
        <f t="shared" si="0"/>
        <v>140140</v>
      </c>
    </row>
    <row r="37" spans="1:16" ht="26.25" customHeight="1" x14ac:dyDescent="0.2">
      <c r="A37" s="100"/>
      <c r="B37" s="101"/>
      <c r="C37" s="65" t="s">
        <v>4192</v>
      </c>
      <c r="D37" s="70" t="s">
        <v>57</v>
      </c>
      <c r="E37" s="12">
        <v>44552</v>
      </c>
      <c r="F37" s="68" t="s">
        <v>59</v>
      </c>
      <c r="G37" s="12">
        <v>44558</v>
      </c>
      <c r="H37" s="69" t="s">
        <v>4156</v>
      </c>
      <c r="I37" s="15">
        <v>36</v>
      </c>
      <c r="J37" s="15">
        <v>33</v>
      </c>
      <c r="K37" s="15">
        <v>33</v>
      </c>
      <c r="L37" s="15">
        <v>5</v>
      </c>
      <c r="M37" s="73">
        <v>9.8010000000000002</v>
      </c>
      <c r="N37" s="104">
        <v>9.8010000000000002</v>
      </c>
      <c r="O37" s="57">
        <v>7000</v>
      </c>
      <c r="P37" s="58">
        <f t="shared" si="0"/>
        <v>68607</v>
      </c>
    </row>
    <row r="38" spans="1:16" ht="26.25" customHeight="1" x14ac:dyDescent="0.2">
      <c r="A38" s="100"/>
      <c r="B38" s="100" t="s">
        <v>4193</v>
      </c>
      <c r="C38" s="90" t="s">
        <v>4194</v>
      </c>
      <c r="D38" s="102" t="s">
        <v>57</v>
      </c>
      <c r="E38" s="91">
        <v>44552</v>
      </c>
      <c r="F38" s="102" t="s">
        <v>59</v>
      </c>
      <c r="G38" s="91">
        <v>44558</v>
      </c>
      <c r="H38" s="90" t="s">
        <v>4156</v>
      </c>
      <c r="I38" s="90">
        <v>55</v>
      </c>
      <c r="J38" s="90">
        <v>50</v>
      </c>
      <c r="K38" s="90">
        <v>85</v>
      </c>
      <c r="L38" s="90">
        <v>21</v>
      </c>
      <c r="M38" s="90">
        <v>58.4375</v>
      </c>
      <c r="N38" s="104">
        <v>59</v>
      </c>
      <c r="O38" s="57">
        <v>7000</v>
      </c>
      <c r="P38" s="58">
        <f t="shared" si="0"/>
        <v>413000</v>
      </c>
    </row>
    <row r="39" spans="1:16" ht="22.5" customHeight="1" x14ac:dyDescent="0.2">
      <c r="A39" s="159" t="s">
        <v>30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1"/>
      <c r="M39" s="71">
        <f>SUBTOTAL(109,Table22457891011234567891011121314151617181920212223242526272829303132333435373839404142434445464748495051525354555657585960616263646566676869[KG VOLUME])</f>
        <v>631.73800000000006</v>
      </c>
      <c r="N39" s="61">
        <f>SUM(N3:N38)</f>
        <v>680.25149999999996</v>
      </c>
      <c r="O39" s="162">
        <f>SUM(P3:P38)</f>
        <v>4761760.5</v>
      </c>
      <c r="P39" s="163"/>
    </row>
    <row r="40" spans="1:16" ht="18" customHeight="1" x14ac:dyDescent="0.2">
      <c r="A40" s="78"/>
      <c r="B40" s="49" t="s">
        <v>42</v>
      </c>
      <c r="C40" s="48"/>
      <c r="D40" s="50" t="s">
        <v>43</v>
      </c>
      <c r="E40" s="78"/>
      <c r="F40" s="78"/>
      <c r="G40" s="78"/>
      <c r="H40" s="78"/>
      <c r="I40" s="78"/>
      <c r="J40" s="78"/>
      <c r="K40" s="78"/>
      <c r="L40" s="78"/>
      <c r="M40" s="79"/>
      <c r="N40" s="80" t="s">
        <v>52</v>
      </c>
      <c r="O40" s="81"/>
      <c r="P40" s="81">
        <v>0</v>
      </c>
    </row>
    <row r="41" spans="1:16" ht="18" customHeight="1" thickBot="1" x14ac:dyDescent="0.25">
      <c r="A41" s="78"/>
      <c r="B41" s="49"/>
      <c r="C41" s="48"/>
      <c r="D41" s="50"/>
      <c r="E41" s="78"/>
      <c r="F41" s="78"/>
      <c r="G41" s="78"/>
      <c r="H41" s="78"/>
      <c r="I41" s="78"/>
      <c r="J41" s="78"/>
      <c r="K41" s="78"/>
      <c r="L41" s="78"/>
      <c r="M41" s="79"/>
      <c r="N41" s="82" t="s">
        <v>53</v>
      </c>
      <c r="O41" s="83"/>
      <c r="P41" s="83">
        <f>O39-P40</f>
        <v>4761760.5</v>
      </c>
    </row>
    <row r="42" spans="1:16" ht="18" customHeight="1" x14ac:dyDescent="0.2">
      <c r="A42" s="10"/>
      <c r="H42" s="56"/>
      <c r="N42" s="55" t="s">
        <v>31</v>
      </c>
      <c r="P42" s="62">
        <f>P41*1%</f>
        <v>47617.605000000003</v>
      </c>
    </row>
    <row r="43" spans="1:16" ht="18" customHeight="1" thickBot="1" x14ac:dyDescent="0.25">
      <c r="A43" s="10"/>
      <c r="H43" s="56"/>
      <c r="N43" s="55" t="s">
        <v>54</v>
      </c>
      <c r="P43" s="64">
        <f>P41*2%</f>
        <v>95235.21</v>
      </c>
    </row>
    <row r="44" spans="1:16" ht="18" customHeight="1" x14ac:dyDescent="0.2">
      <c r="A44" s="10"/>
      <c r="H44" s="56"/>
      <c r="N44" s="59" t="s">
        <v>32</v>
      </c>
      <c r="O44" s="60"/>
      <c r="P44" s="63">
        <f>P41+P42-P43</f>
        <v>4714142.8950000005</v>
      </c>
    </row>
    <row r="46" spans="1:16" x14ac:dyDescent="0.2">
      <c r="A46" s="10"/>
      <c r="H46" s="56"/>
      <c r="P46" s="64"/>
    </row>
    <row r="47" spans="1:16" x14ac:dyDescent="0.2">
      <c r="A47" s="10"/>
      <c r="H47" s="56"/>
      <c r="O47" s="51"/>
      <c r="P47" s="6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</sheetData>
  <mergeCells count="2">
    <mergeCell ref="A39:L39"/>
    <mergeCell ref="O39:P39"/>
  </mergeCells>
  <conditionalFormatting sqref="C3:C38">
    <cfRule type="duplicateValues" dxfId="511" priority="9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15" activePane="bottomRight" state="frozen"/>
      <selection activeCell="H12" sqref="H12"/>
      <selection pane="topRight" activeCell="H12" sqref="H12"/>
      <selection pane="bottomLeft" activeCell="H12" sqref="H12"/>
      <selection pane="bottomRight" activeCell="H23" sqref="H23"/>
    </sheetView>
  </sheetViews>
  <sheetFormatPr defaultRowHeight="15" x14ac:dyDescent="0.2"/>
  <cols>
    <col min="1" max="1" width="8" style="4" customWidth="1"/>
    <col min="2" max="2" width="20.710937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108">
        <v>404357</v>
      </c>
      <c r="B3" s="66" t="s">
        <v>279</v>
      </c>
      <c r="C3" s="8" t="s">
        <v>280</v>
      </c>
      <c r="D3" s="68" t="s">
        <v>57</v>
      </c>
      <c r="E3" s="12">
        <v>44533</v>
      </c>
      <c r="F3" s="68" t="s">
        <v>71</v>
      </c>
      <c r="G3" s="12">
        <v>44538</v>
      </c>
      <c r="H3" s="9" t="s">
        <v>299</v>
      </c>
      <c r="I3" s="1">
        <v>50</v>
      </c>
      <c r="J3" s="1">
        <v>26</v>
      </c>
      <c r="K3" s="1">
        <v>26</v>
      </c>
      <c r="L3" s="1">
        <v>6</v>
      </c>
      <c r="M3" s="72">
        <v>8.4499999999999993</v>
      </c>
      <c r="N3" s="88">
        <v>9</v>
      </c>
      <c r="O3" s="57">
        <v>7000</v>
      </c>
      <c r="P3" s="58">
        <f t="shared" ref="P3:P20" si="0">N3*O3</f>
        <v>63000</v>
      </c>
    </row>
    <row r="4" spans="1:16" ht="26.25" customHeight="1" x14ac:dyDescent="0.2">
      <c r="A4" s="13"/>
      <c r="B4" s="67"/>
      <c r="C4" s="8" t="s">
        <v>281</v>
      </c>
      <c r="D4" s="68" t="s">
        <v>57</v>
      </c>
      <c r="E4" s="12">
        <v>44533</v>
      </c>
      <c r="F4" s="68" t="s">
        <v>71</v>
      </c>
      <c r="G4" s="12">
        <v>44538</v>
      </c>
      <c r="H4" s="9" t="s">
        <v>299</v>
      </c>
      <c r="I4" s="1">
        <v>100</v>
      </c>
      <c r="J4" s="1">
        <v>65</v>
      </c>
      <c r="K4" s="1">
        <v>33</v>
      </c>
      <c r="L4" s="1">
        <v>26</v>
      </c>
      <c r="M4" s="72">
        <v>53.625</v>
      </c>
      <c r="N4" s="88">
        <v>53.625</v>
      </c>
      <c r="O4" s="57">
        <v>7000</v>
      </c>
      <c r="P4" s="58">
        <f t="shared" si="0"/>
        <v>375375</v>
      </c>
    </row>
    <row r="5" spans="1:16" ht="26.25" customHeight="1" x14ac:dyDescent="0.2">
      <c r="A5" s="13"/>
      <c r="B5" s="13"/>
      <c r="C5" s="8" t="s">
        <v>282</v>
      </c>
      <c r="D5" s="68" t="s">
        <v>57</v>
      </c>
      <c r="E5" s="12">
        <v>44533</v>
      </c>
      <c r="F5" s="68" t="s">
        <v>71</v>
      </c>
      <c r="G5" s="12">
        <v>44538</v>
      </c>
      <c r="H5" s="9" t="s">
        <v>299</v>
      </c>
      <c r="I5" s="1">
        <v>28</v>
      </c>
      <c r="J5" s="1">
        <v>28</v>
      </c>
      <c r="K5" s="1">
        <v>24</v>
      </c>
      <c r="L5" s="1">
        <v>4</v>
      </c>
      <c r="M5" s="72">
        <v>4.7039999999999997</v>
      </c>
      <c r="N5" s="88">
        <v>4.7039999999999997</v>
      </c>
      <c r="O5" s="57">
        <v>7000</v>
      </c>
      <c r="P5" s="58">
        <f t="shared" si="0"/>
        <v>32928</v>
      </c>
    </row>
    <row r="6" spans="1:16" ht="26.25" customHeight="1" x14ac:dyDescent="0.2">
      <c r="A6" s="13"/>
      <c r="B6" s="13"/>
      <c r="C6" s="65" t="s">
        <v>283</v>
      </c>
      <c r="D6" s="70" t="s">
        <v>57</v>
      </c>
      <c r="E6" s="12">
        <v>44533</v>
      </c>
      <c r="F6" s="68" t="s">
        <v>71</v>
      </c>
      <c r="G6" s="12">
        <v>44538</v>
      </c>
      <c r="H6" s="69" t="s">
        <v>299</v>
      </c>
      <c r="I6" s="15">
        <v>28</v>
      </c>
      <c r="J6" s="15">
        <v>13</v>
      </c>
      <c r="K6" s="15">
        <v>14</v>
      </c>
      <c r="L6" s="15">
        <v>1</v>
      </c>
      <c r="M6" s="73">
        <v>1.274</v>
      </c>
      <c r="N6" s="88">
        <v>1.274</v>
      </c>
      <c r="O6" s="57">
        <v>7000</v>
      </c>
      <c r="P6" s="58">
        <f t="shared" si="0"/>
        <v>8918</v>
      </c>
    </row>
    <row r="7" spans="1:16" ht="26.25" customHeight="1" x14ac:dyDescent="0.2">
      <c r="A7" s="13"/>
      <c r="B7" s="13"/>
      <c r="C7" s="65" t="s">
        <v>284</v>
      </c>
      <c r="D7" s="70" t="s">
        <v>57</v>
      </c>
      <c r="E7" s="12">
        <v>44533</v>
      </c>
      <c r="F7" s="68" t="s">
        <v>71</v>
      </c>
      <c r="G7" s="12">
        <v>44538</v>
      </c>
      <c r="H7" s="69" t="s">
        <v>299</v>
      </c>
      <c r="I7" s="15">
        <v>104</v>
      </c>
      <c r="J7" s="15">
        <v>68</v>
      </c>
      <c r="K7" s="15">
        <v>30</v>
      </c>
      <c r="L7" s="15">
        <v>15</v>
      </c>
      <c r="M7" s="73">
        <v>53.04</v>
      </c>
      <c r="N7" s="88">
        <v>53.04</v>
      </c>
      <c r="O7" s="57">
        <v>7000</v>
      </c>
      <c r="P7" s="58">
        <f t="shared" si="0"/>
        <v>371280</v>
      </c>
    </row>
    <row r="8" spans="1:16" ht="26.25" customHeight="1" x14ac:dyDescent="0.2">
      <c r="A8" s="13"/>
      <c r="B8" s="13"/>
      <c r="C8" s="65" t="s">
        <v>285</v>
      </c>
      <c r="D8" s="70" t="s">
        <v>57</v>
      </c>
      <c r="E8" s="12">
        <v>44533</v>
      </c>
      <c r="F8" s="68" t="s">
        <v>71</v>
      </c>
      <c r="G8" s="12">
        <v>44538</v>
      </c>
      <c r="H8" s="69" t="s">
        <v>299</v>
      </c>
      <c r="I8" s="15">
        <v>96</v>
      </c>
      <c r="J8" s="15">
        <v>60</v>
      </c>
      <c r="K8" s="15">
        <v>28</v>
      </c>
      <c r="L8" s="15">
        <v>11</v>
      </c>
      <c r="M8" s="73">
        <v>40.32</v>
      </c>
      <c r="N8" s="88">
        <v>41</v>
      </c>
      <c r="O8" s="57">
        <v>7000</v>
      </c>
      <c r="P8" s="58">
        <f t="shared" si="0"/>
        <v>287000</v>
      </c>
    </row>
    <row r="9" spans="1:16" ht="26.25" customHeight="1" x14ac:dyDescent="0.2">
      <c r="A9" s="13"/>
      <c r="B9" s="13"/>
      <c r="C9" s="65" t="s">
        <v>286</v>
      </c>
      <c r="D9" s="70" t="s">
        <v>57</v>
      </c>
      <c r="E9" s="12">
        <v>44533</v>
      </c>
      <c r="F9" s="68" t="s">
        <v>71</v>
      </c>
      <c r="G9" s="12">
        <v>44538</v>
      </c>
      <c r="H9" s="69" t="s">
        <v>299</v>
      </c>
      <c r="I9" s="15">
        <v>50</v>
      </c>
      <c r="J9" s="15">
        <v>36</v>
      </c>
      <c r="K9" s="15">
        <v>22</v>
      </c>
      <c r="L9" s="15">
        <v>3</v>
      </c>
      <c r="M9" s="73">
        <v>9.9</v>
      </c>
      <c r="N9" s="88">
        <v>9.9</v>
      </c>
      <c r="O9" s="57">
        <v>7000</v>
      </c>
      <c r="P9" s="58">
        <f t="shared" si="0"/>
        <v>69300</v>
      </c>
    </row>
    <row r="10" spans="1:16" ht="26.25" customHeight="1" x14ac:dyDescent="0.2">
      <c r="A10" s="13"/>
      <c r="B10" s="13"/>
      <c r="C10" s="65" t="s">
        <v>287</v>
      </c>
      <c r="D10" s="70" t="s">
        <v>57</v>
      </c>
      <c r="E10" s="12">
        <v>44533</v>
      </c>
      <c r="F10" s="68" t="s">
        <v>71</v>
      </c>
      <c r="G10" s="12">
        <v>44538</v>
      </c>
      <c r="H10" s="69" t="s">
        <v>299</v>
      </c>
      <c r="I10" s="15">
        <v>95</v>
      </c>
      <c r="J10" s="15">
        <v>63</v>
      </c>
      <c r="K10" s="15">
        <v>32</v>
      </c>
      <c r="L10" s="15">
        <v>24</v>
      </c>
      <c r="M10" s="73">
        <v>47.88</v>
      </c>
      <c r="N10" s="88">
        <v>47.88</v>
      </c>
      <c r="O10" s="57">
        <v>7000</v>
      </c>
      <c r="P10" s="58">
        <f t="shared" si="0"/>
        <v>335160</v>
      </c>
    </row>
    <row r="11" spans="1:16" ht="26.25" customHeight="1" x14ac:dyDescent="0.2">
      <c r="A11" s="13"/>
      <c r="B11" s="13"/>
      <c r="C11" s="65" t="s">
        <v>288</v>
      </c>
      <c r="D11" s="70" t="s">
        <v>57</v>
      </c>
      <c r="E11" s="12">
        <v>44533</v>
      </c>
      <c r="F11" s="68" t="s">
        <v>71</v>
      </c>
      <c r="G11" s="12">
        <v>44538</v>
      </c>
      <c r="H11" s="69" t="s">
        <v>299</v>
      </c>
      <c r="I11" s="15">
        <v>56</v>
      </c>
      <c r="J11" s="15">
        <v>24</v>
      </c>
      <c r="K11" s="15">
        <v>20</v>
      </c>
      <c r="L11" s="15">
        <v>3</v>
      </c>
      <c r="M11" s="73">
        <v>6.72</v>
      </c>
      <c r="N11" s="88">
        <v>6.72</v>
      </c>
      <c r="O11" s="57">
        <v>7000</v>
      </c>
      <c r="P11" s="58">
        <f t="shared" si="0"/>
        <v>47040</v>
      </c>
    </row>
    <row r="12" spans="1:16" ht="26.25" customHeight="1" x14ac:dyDescent="0.2">
      <c r="A12" s="13"/>
      <c r="B12" s="13"/>
      <c r="C12" s="65" t="s">
        <v>289</v>
      </c>
      <c r="D12" s="70" t="s">
        <v>57</v>
      </c>
      <c r="E12" s="12">
        <v>44533</v>
      </c>
      <c r="F12" s="68" t="s">
        <v>71</v>
      </c>
      <c r="G12" s="12">
        <v>44538</v>
      </c>
      <c r="H12" s="69" t="s">
        <v>299</v>
      </c>
      <c r="I12" s="15">
        <v>50</v>
      </c>
      <c r="J12" s="15">
        <v>33</v>
      </c>
      <c r="K12" s="15">
        <v>15</v>
      </c>
      <c r="L12" s="15">
        <v>1</v>
      </c>
      <c r="M12" s="73">
        <v>6.1875</v>
      </c>
      <c r="N12" s="88">
        <v>6.1875</v>
      </c>
      <c r="O12" s="57">
        <v>7000</v>
      </c>
      <c r="P12" s="58">
        <f t="shared" si="0"/>
        <v>43312.5</v>
      </c>
    </row>
    <row r="13" spans="1:16" ht="26.25" customHeight="1" x14ac:dyDescent="0.2">
      <c r="A13" s="13"/>
      <c r="B13" s="13"/>
      <c r="C13" s="65" t="s">
        <v>290</v>
      </c>
      <c r="D13" s="70" t="s">
        <v>57</v>
      </c>
      <c r="E13" s="12">
        <v>44533</v>
      </c>
      <c r="F13" s="68" t="s">
        <v>71</v>
      </c>
      <c r="G13" s="12">
        <v>44538</v>
      </c>
      <c r="H13" s="69" t="s">
        <v>299</v>
      </c>
      <c r="I13" s="15">
        <v>60</v>
      </c>
      <c r="J13" s="15">
        <v>38</v>
      </c>
      <c r="K13" s="15">
        <v>13</v>
      </c>
      <c r="L13" s="15">
        <v>2</v>
      </c>
      <c r="M13" s="73">
        <v>7.41</v>
      </c>
      <c r="N13" s="88">
        <v>8</v>
      </c>
      <c r="O13" s="57">
        <v>7000</v>
      </c>
      <c r="P13" s="58">
        <f t="shared" si="0"/>
        <v>56000</v>
      </c>
    </row>
    <row r="14" spans="1:16" ht="26.25" customHeight="1" x14ac:dyDescent="0.2">
      <c r="A14" s="13"/>
      <c r="B14" s="13"/>
      <c r="C14" s="65" t="s">
        <v>291</v>
      </c>
      <c r="D14" s="70" t="s">
        <v>57</v>
      </c>
      <c r="E14" s="12">
        <v>44533</v>
      </c>
      <c r="F14" s="68" t="s">
        <v>71</v>
      </c>
      <c r="G14" s="12">
        <v>44538</v>
      </c>
      <c r="H14" s="69" t="s">
        <v>299</v>
      </c>
      <c r="I14" s="15">
        <v>100</v>
      </c>
      <c r="J14" s="15">
        <v>56</v>
      </c>
      <c r="K14" s="15">
        <v>47</v>
      </c>
      <c r="L14" s="15">
        <v>10</v>
      </c>
      <c r="M14" s="73">
        <v>65.8</v>
      </c>
      <c r="N14" s="88">
        <v>65.8</v>
      </c>
      <c r="O14" s="57">
        <v>7000</v>
      </c>
      <c r="P14" s="58">
        <f t="shared" si="0"/>
        <v>460600</v>
      </c>
    </row>
    <row r="15" spans="1:16" ht="26.25" customHeight="1" x14ac:dyDescent="0.2">
      <c r="A15" s="13"/>
      <c r="B15" s="13"/>
      <c r="C15" s="65" t="s">
        <v>292</v>
      </c>
      <c r="D15" s="70" t="s">
        <v>57</v>
      </c>
      <c r="E15" s="12">
        <v>44533</v>
      </c>
      <c r="F15" s="68" t="s">
        <v>71</v>
      </c>
      <c r="G15" s="12">
        <v>44538</v>
      </c>
      <c r="H15" s="69" t="s">
        <v>299</v>
      </c>
      <c r="I15" s="15">
        <v>90</v>
      </c>
      <c r="J15" s="15">
        <v>42</v>
      </c>
      <c r="K15" s="15">
        <v>10</v>
      </c>
      <c r="L15" s="15">
        <v>1</v>
      </c>
      <c r="M15" s="73">
        <v>9.4499999999999993</v>
      </c>
      <c r="N15" s="88">
        <v>10</v>
      </c>
      <c r="O15" s="57">
        <v>7000</v>
      </c>
      <c r="P15" s="58">
        <f t="shared" si="0"/>
        <v>70000</v>
      </c>
    </row>
    <row r="16" spans="1:16" ht="26.25" customHeight="1" x14ac:dyDescent="0.2">
      <c r="A16" s="13"/>
      <c r="B16" s="13"/>
      <c r="C16" s="65" t="s">
        <v>293</v>
      </c>
      <c r="D16" s="70" t="s">
        <v>57</v>
      </c>
      <c r="E16" s="12">
        <v>44533</v>
      </c>
      <c r="F16" s="68" t="s">
        <v>71</v>
      </c>
      <c r="G16" s="12">
        <v>44538</v>
      </c>
      <c r="H16" s="69" t="s">
        <v>299</v>
      </c>
      <c r="I16" s="15">
        <v>45</v>
      </c>
      <c r="J16" s="15">
        <v>32</v>
      </c>
      <c r="K16" s="15">
        <v>27</v>
      </c>
      <c r="L16" s="15">
        <v>6</v>
      </c>
      <c r="M16" s="73">
        <v>9.7200000000000006</v>
      </c>
      <c r="N16" s="88">
        <v>9.7200000000000006</v>
      </c>
      <c r="O16" s="57">
        <v>7000</v>
      </c>
      <c r="P16" s="58">
        <f t="shared" si="0"/>
        <v>68040</v>
      </c>
    </row>
    <row r="17" spans="1:16" ht="26.25" customHeight="1" x14ac:dyDescent="0.2">
      <c r="A17" s="13"/>
      <c r="B17" s="13"/>
      <c r="C17" s="65" t="s">
        <v>294</v>
      </c>
      <c r="D17" s="70" t="s">
        <v>57</v>
      </c>
      <c r="E17" s="12">
        <v>44533</v>
      </c>
      <c r="F17" s="68" t="s">
        <v>71</v>
      </c>
      <c r="G17" s="12">
        <v>44538</v>
      </c>
      <c r="H17" s="69" t="s">
        <v>299</v>
      </c>
      <c r="I17" s="15">
        <v>58</v>
      </c>
      <c r="J17" s="15">
        <v>36</v>
      </c>
      <c r="K17" s="15">
        <v>10</v>
      </c>
      <c r="L17" s="15">
        <v>4</v>
      </c>
      <c r="M17" s="73">
        <v>5.22</v>
      </c>
      <c r="N17" s="88">
        <v>5.22</v>
      </c>
      <c r="O17" s="57">
        <v>7000</v>
      </c>
      <c r="P17" s="58">
        <f t="shared" si="0"/>
        <v>36540</v>
      </c>
    </row>
    <row r="18" spans="1:16" ht="26.25" customHeight="1" x14ac:dyDescent="0.2">
      <c r="A18" s="13"/>
      <c r="B18" s="13"/>
      <c r="C18" s="65" t="s">
        <v>295</v>
      </c>
      <c r="D18" s="70" t="s">
        <v>57</v>
      </c>
      <c r="E18" s="12">
        <v>44533</v>
      </c>
      <c r="F18" s="68" t="s">
        <v>71</v>
      </c>
      <c r="G18" s="12">
        <v>44538</v>
      </c>
      <c r="H18" s="69" t="s">
        <v>299</v>
      </c>
      <c r="I18" s="15">
        <v>92</v>
      </c>
      <c r="J18" s="15">
        <v>54</v>
      </c>
      <c r="K18" s="15">
        <v>35</v>
      </c>
      <c r="L18" s="15">
        <v>9</v>
      </c>
      <c r="M18" s="73">
        <v>43.47</v>
      </c>
      <c r="N18" s="88">
        <v>44</v>
      </c>
      <c r="O18" s="57">
        <v>7000</v>
      </c>
      <c r="P18" s="58">
        <f t="shared" si="0"/>
        <v>308000</v>
      </c>
    </row>
    <row r="19" spans="1:16" ht="26.25" customHeight="1" x14ac:dyDescent="0.2">
      <c r="A19" s="13"/>
      <c r="B19" s="103"/>
      <c r="C19" s="65" t="s">
        <v>296</v>
      </c>
      <c r="D19" s="70" t="s">
        <v>57</v>
      </c>
      <c r="E19" s="12">
        <v>44533</v>
      </c>
      <c r="F19" s="68" t="s">
        <v>71</v>
      </c>
      <c r="G19" s="12">
        <v>44538</v>
      </c>
      <c r="H19" s="69" t="s">
        <v>299</v>
      </c>
      <c r="I19" s="15">
        <v>54</v>
      </c>
      <c r="J19" s="15">
        <v>38</v>
      </c>
      <c r="K19" s="15">
        <v>10</v>
      </c>
      <c r="L19" s="15">
        <v>1</v>
      </c>
      <c r="M19" s="73">
        <v>5.13</v>
      </c>
      <c r="N19" s="88">
        <v>5.13</v>
      </c>
      <c r="O19" s="57">
        <v>7000</v>
      </c>
      <c r="P19" s="58">
        <f t="shared" si="0"/>
        <v>35910</v>
      </c>
    </row>
    <row r="20" spans="1:16" ht="26.25" customHeight="1" x14ac:dyDescent="0.2">
      <c r="A20" s="13"/>
      <c r="B20" s="13" t="s">
        <v>297</v>
      </c>
      <c r="C20" s="65" t="s">
        <v>298</v>
      </c>
      <c r="D20" s="70" t="s">
        <v>57</v>
      </c>
      <c r="E20" s="12">
        <v>44533</v>
      </c>
      <c r="F20" s="68" t="s">
        <v>71</v>
      </c>
      <c r="G20" s="12">
        <v>44538</v>
      </c>
      <c r="H20" s="69" t="s">
        <v>299</v>
      </c>
      <c r="I20" s="15">
        <v>44</v>
      </c>
      <c r="J20" s="15">
        <v>38</v>
      </c>
      <c r="K20" s="15">
        <v>18</v>
      </c>
      <c r="L20" s="15">
        <v>7</v>
      </c>
      <c r="M20" s="73">
        <v>7.524</v>
      </c>
      <c r="N20" s="88">
        <v>7.524</v>
      </c>
      <c r="O20" s="57">
        <v>7000</v>
      </c>
      <c r="P20" s="58">
        <f t="shared" si="0"/>
        <v>52668</v>
      </c>
    </row>
    <row r="21" spans="1:16" ht="22.5" customHeight="1" x14ac:dyDescent="0.2">
      <c r="A21" s="159" t="s">
        <v>30</v>
      </c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1"/>
      <c r="M21" s="71">
        <f>SUBTOTAL(109,Table22457891011234567[KG VOLUME])</f>
        <v>385.82450000000006</v>
      </c>
      <c r="N21" s="61">
        <f>SUM(N3:N20)</f>
        <v>388.72450000000003</v>
      </c>
      <c r="O21" s="162">
        <f>SUM(P3:P20)</f>
        <v>2721071.5</v>
      </c>
      <c r="P21" s="163"/>
    </row>
    <row r="22" spans="1:16" ht="18" customHeight="1" x14ac:dyDescent="0.2">
      <c r="A22" s="78"/>
      <c r="B22" s="49" t="s">
        <v>42</v>
      </c>
      <c r="C22" s="48"/>
      <c r="D22" s="50" t="s">
        <v>43</v>
      </c>
      <c r="E22" s="78"/>
      <c r="F22" s="78"/>
      <c r="G22" s="78"/>
      <c r="H22" s="78"/>
      <c r="I22" s="78"/>
      <c r="J22" s="78"/>
      <c r="K22" s="78"/>
      <c r="L22" s="78"/>
      <c r="M22" s="79"/>
      <c r="N22" s="80" t="s">
        <v>52</v>
      </c>
      <c r="O22" s="81"/>
      <c r="P22" s="81">
        <v>0</v>
      </c>
    </row>
    <row r="23" spans="1:16" ht="18" customHeight="1" thickBot="1" x14ac:dyDescent="0.25">
      <c r="A23" s="78"/>
      <c r="B23" s="49"/>
      <c r="C23" s="48"/>
      <c r="D23" s="50"/>
      <c r="E23" s="78"/>
      <c r="F23" s="78"/>
      <c r="G23" s="78"/>
      <c r="H23" s="78"/>
      <c r="I23" s="78"/>
      <c r="J23" s="78"/>
      <c r="K23" s="78"/>
      <c r="L23" s="78"/>
      <c r="M23" s="79"/>
      <c r="N23" s="82" t="s">
        <v>53</v>
      </c>
      <c r="O23" s="83"/>
      <c r="P23" s="83">
        <f>O21-P22</f>
        <v>2721071.5</v>
      </c>
    </row>
    <row r="24" spans="1:16" ht="18" customHeight="1" x14ac:dyDescent="0.2">
      <c r="A24" s="10"/>
      <c r="H24" s="56"/>
      <c r="N24" s="55" t="s">
        <v>31</v>
      </c>
      <c r="P24" s="62">
        <f>P23*1%</f>
        <v>27210.715</v>
      </c>
    </row>
    <row r="25" spans="1:16" ht="18" customHeight="1" thickBot="1" x14ac:dyDescent="0.25">
      <c r="A25" s="10"/>
      <c r="H25" s="56"/>
      <c r="N25" s="55" t="s">
        <v>54</v>
      </c>
      <c r="P25" s="64">
        <f>P23*2%</f>
        <v>54421.43</v>
      </c>
    </row>
    <row r="26" spans="1:16" ht="18" customHeight="1" x14ac:dyDescent="0.2">
      <c r="A26" s="10"/>
      <c r="H26" s="56"/>
      <c r="N26" s="59" t="s">
        <v>32</v>
      </c>
      <c r="O26" s="60"/>
      <c r="P26" s="63">
        <f>P23+P24-P25</f>
        <v>2693860.7849999997</v>
      </c>
    </row>
    <row r="28" spans="1:16" x14ac:dyDescent="0.2">
      <c r="A28" s="10"/>
      <c r="H28" s="56"/>
      <c r="P28" s="64"/>
    </row>
    <row r="29" spans="1:16" x14ac:dyDescent="0.2">
      <c r="A29" s="10"/>
      <c r="H29" s="56"/>
      <c r="O29" s="51"/>
      <c r="P29" s="6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</sheetData>
  <mergeCells count="2">
    <mergeCell ref="A21:L21"/>
    <mergeCell ref="O21:P21"/>
  </mergeCells>
  <conditionalFormatting sqref="B3">
    <cfRule type="duplicateValues" dxfId="1514" priority="2"/>
  </conditionalFormatting>
  <conditionalFormatting sqref="B4">
    <cfRule type="duplicateValues" dxfId="1513" priority="1"/>
  </conditionalFormatting>
  <conditionalFormatting sqref="B5:B20">
    <cfRule type="duplicateValues" dxfId="1512" priority="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"/>
  <sheetViews>
    <sheetView workbookViewId="0">
      <selection activeCell="L9" sqref="L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403983</v>
      </c>
      <c r="B3" s="99" t="s">
        <v>4195</v>
      </c>
      <c r="C3" s="90" t="s">
        <v>4196</v>
      </c>
      <c r="D3" s="102" t="s">
        <v>57</v>
      </c>
      <c r="E3" s="91">
        <v>44552</v>
      </c>
      <c r="F3" s="102" t="s">
        <v>59</v>
      </c>
      <c r="G3" s="91">
        <v>44558</v>
      </c>
      <c r="H3" s="90" t="s">
        <v>4156</v>
      </c>
      <c r="I3" s="90">
        <v>95</v>
      </c>
      <c r="J3" s="90">
        <v>61</v>
      </c>
      <c r="K3" s="90">
        <v>17</v>
      </c>
      <c r="L3" s="90">
        <v>8</v>
      </c>
      <c r="M3" s="92">
        <v>24.62875</v>
      </c>
      <c r="N3" s="104">
        <v>24.62875</v>
      </c>
      <c r="O3" s="57">
        <v>7000</v>
      </c>
      <c r="P3" s="58">
        <f t="shared" ref="P3:P42" si="0">N3*O3</f>
        <v>172401.25</v>
      </c>
    </row>
    <row r="4" spans="1:16" ht="26.25" customHeight="1" x14ac:dyDescent="0.2">
      <c r="A4" s="100"/>
      <c r="B4" s="100"/>
      <c r="C4" s="90" t="s">
        <v>4197</v>
      </c>
      <c r="D4" s="102" t="s">
        <v>57</v>
      </c>
      <c r="E4" s="91">
        <v>44552</v>
      </c>
      <c r="F4" s="102" t="s">
        <v>59</v>
      </c>
      <c r="G4" s="91">
        <v>44558</v>
      </c>
      <c r="H4" s="90" t="s">
        <v>4156</v>
      </c>
      <c r="I4" s="90">
        <v>63</v>
      </c>
      <c r="J4" s="90">
        <v>45</v>
      </c>
      <c r="K4" s="90">
        <v>24</v>
      </c>
      <c r="L4" s="90">
        <v>7</v>
      </c>
      <c r="M4" s="90">
        <v>17.010000000000002</v>
      </c>
      <c r="N4" s="104">
        <v>17.010000000000002</v>
      </c>
      <c r="O4" s="57">
        <v>7000</v>
      </c>
      <c r="P4" s="58">
        <f t="shared" si="0"/>
        <v>119070.00000000001</v>
      </c>
    </row>
    <row r="5" spans="1:16" ht="26.25" customHeight="1" x14ac:dyDescent="0.2">
      <c r="A5" s="100"/>
      <c r="B5" s="100"/>
      <c r="C5" s="65" t="s">
        <v>4198</v>
      </c>
      <c r="D5" s="70" t="s">
        <v>57</v>
      </c>
      <c r="E5" s="12">
        <v>44552</v>
      </c>
      <c r="F5" s="68" t="s">
        <v>59</v>
      </c>
      <c r="G5" s="12">
        <v>44558</v>
      </c>
      <c r="H5" s="69" t="s">
        <v>4156</v>
      </c>
      <c r="I5" s="15">
        <v>98</v>
      </c>
      <c r="J5" s="15">
        <v>62</v>
      </c>
      <c r="K5" s="15">
        <v>31</v>
      </c>
      <c r="L5" s="15">
        <v>12</v>
      </c>
      <c r="M5" s="73">
        <v>47.088999999999999</v>
      </c>
      <c r="N5" s="104">
        <v>47.088999999999999</v>
      </c>
      <c r="O5" s="57">
        <v>7000</v>
      </c>
      <c r="P5" s="58">
        <f t="shared" si="0"/>
        <v>329623</v>
      </c>
    </row>
    <row r="6" spans="1:16" ht="26.25" customHeight="1" x14ac:dyDescent="0.2">
      <c r="A6" s="100"/>
      <c r="B6" s="100"/>
      <c r="C6" s="65" t="s">
        <v>4199</v>
      </c>
      <c r="D6" s="70" t="s">
        <v>57</v>
      </c>
      <c r="E6" s="12">
        <v>44552</v>
      </c>
      <c r="F6" s="68" t="s">
        <v>59</v>
      </c>
      <c r="G6" s="12">
        <v>44558</v>
      </c>
      <c r="H6" s="69" t="s">
        <v>4156</v>
      </c>
      <c r="I6" s="15">
        <v>32</v>
      </c>
      <c r="J6" s="15">
        <v>32</v>
      </c>
      <c r="K6" s="15">
        <v>14</v>
      </c>
      <c r="L6" s="15">
        <v>1</v>
      </c>
      <c r="M6" s="73">
        <v>3.5840000000000001</v>
      </c>
      <c r="N6" s="104">
        <v>3.5840000000000001</v>
      </c>
      <c r="O6" s="57">
        <v>7000</v>
      </c>
      <c r="P6" s="58">
        <f t="shared" si="0"/>
        <v>25088</v>
      </c>
    </row>
    <row r="7" spans="1:16" ht="26.25" customHeight="1" x14ac:dyDescent="0.2">
      <c r="A7" s="100"/>
      <c r="B7" s="100"/>
      <c r="C7" s="65" t="s">
        <v>4200</v>
      </c>
      <c r="D7" s="70" t="s">
        <v>57</v>
      </c>
      <c r="E7" s="12">
        <v>44552</v>
      </c>
      <c r="F7" s="68" t="s">
        <v>59</v>
      </c>
      <c r="G7" s="12">
        <v>44558</v>
      </c>
      <c r="H7" s="69" t="s">
        <v>4156</v>
      </c>
      <c r="I7" s="15">
        <v>69</v>
      </c>
      <c r="J7" s="15">
        <v>36</v>
      </c>
      <c r="K7" s="15">
        <v>13</v>
      </c>
      <c r="L7" s="15">
        <v>5</v>
      </c>
      <c r="M7" s="73">
        <v>8.0730000000000004</v>
      </c>
      <c r="N7" s="104">
        <v>8.0730000000000004</v>
      </c>
      <c r="O7" s="57">
        <v>7000</v>
      </c>
      <c r="P7" s="58">
        <f t="shared" si="0"/>
        <v>56511</v>
      </c>
    </row>
    <row r="8" spans="1:16" ht="26.25" customHeight="1" x14ac:dyDescent="0.2">
      <c r="A8" s="100"/>
      <c r="B8" s="100"/>
      <c r="C8" s="65" t="s">
        <v>4201</v>
      </c>
      <c r="D8" s="70" t="s">
        <v>57</v>
      </c>
      <c r="E8" s="12">
        <v>44552</v>
      </c>
      <c r="F8" s="68" t="s">
        <v>59</v>
      </c>
      <c r="G8" s="12">
        <v>44558</v>
      </c>
      <c r="H8" s="69" t="s">
        <v>4156</v>
      </c>
      <c r="I8" s="15">
        <v>25</v>
      </c>
      <c r="J8" s="15">
        <v>25</v>
      </c>
      <c r="K8" s="15">
        <v>10</v>
      </c>
      <c r="L8" s="15">
        <v>1</v>
      </c>
      <c r="M8" s="73">
        <v>1.5625</v>
      </c>
      <c r="N8" s="104">
        <v>1.5625</v>
      </c>
      <c r="O8" s="57">
        <v>7000</v>
      </c>
      <c r="P8" s="58">
        <f t="shared" si="0"/>
        <v>10937.5</v>
      </c>
    </row>
    <row r="9" spans="1:16" ht="26.25" customHeight="1" x14ac:dyDescent="0.2">
      <c r="A9" s="100"/>
      <c r="B9" s="100"/>
      <c r="C9" s="65" t="s">
        <v>4202</v>
      </c>
      <c r="D9" s="70" t="s">
        <v>57</v>
      </c>
      <c r="E9" s="12">
        <v>44552</v>
      </c>
      <c r="F9" s="68" t="s">
        <v>59</v>
      </c>
      <c r="G9" s="12">
        <v>44558</v>
      </c>
      <c r="H9" s="69" t="s">
        <v>4156</v>
      </c>
      <c r="I9" s="15">
        <v>55</v>
      </c>
      <c r="J9" s="15">
        <v>35</v>
      </c>
      <c r="K9" s="15">
        <v>14</v>
      </c>
      <c r="L9" s="15">
        <v>1</v>
      </c>
      <c r="M9" s="73">
        <v>6.7374999999999998</v>
      </c>
      <c r="N9" s="104">
        <v>6.7374999999999998</v>
      </c>
      <c r="O9" s="57">
        <v>7000</v>
      </c>
      <c r="P9" s="58">
        <f t="shared" si="0"/>
        <v>47162.5</v>
      </c>
    </row>
    <row r="10" spans="1:16" ht="26.25" customHeight="1" x14ac:dyDescent="0.2">
      <c r="A10" s="100"/>
      <c r="B10" s="100"/>
      <c r="C10" s="65" t="s">
        <v>4203</v>
      </c>
      <c r="D10" s="70" t="s">
        <v>57</v>
      </c>
      <c r="E10" s="12">
        <v>44552</v>
      </c>
      <c r="F10" s="68" t="s">
        <v>59</v>
      </c>
      <c r="G10" s="12">
        <v>44558</v>
      </c>
      <c r="H10" s="69" t="s">
        <v>4156</v>
      </c>
      <c r="I10" s="15">
        <v>45</v>
      </c>
      <c r="J10" s="15">
        <v>34</v>
      </c>
      <c r="K10" s="15">
        <v>16</v>
      </c>
      <c r="L10" s="15">
        <v>2</v>
      </c>
      <c r="M10" s="73">
        <v>6.12</v>
      </c>
      <c r="N10" s="104">
        <v>6.12</v>
      </c>
      <c r="O10" s="57">
        <v>7000</v>
      </c>
      <c r="P10" s="58">
        <f t="shared" si="0"/>
        <v>42840</v>
      </c>
    </row>
    <row r="11" spans="1:16" ht="26.25" customHeight="1" x14ac:dyDescent="0.2">
      <c r="A11" s="100"/>
      <c r="B11" s="100"/>
      <c r="C11" s="65" t="s">
        <v>4204</v>
      </c>
      <c r="D11" s="70" t="s">
        <v>57</v>
      </c>
      <c r="E11" s="12">
        <v>44552</v>
      </c>
      <c r="F11" s="68" t="s">
        <v>59</v>
      </c>
      <c r="G11" s="12">
        <v>44558</v>
      </c>
      <c r="H11" s="69" t="s">
        <v>4156</v>
      </c>
      <c r="I11" s="15">
        <v>45</v>
      </c>
      <c r="J11" s="15">
        <v>45</v>
      </c>
      <c r="K11" s="15">
        <v>10</v>
      </c>
      <c r="L11" s="15">
        <v>3</v>
      </c>
      <c r="M11" s="73">
        <v>5.0625</v>
      </c>
      <c r="N11" s="104">
        <v>5.0625</v>
      </c>
      <c r="O11" s="57">
        <v>7000</v>
      </c>
      <c r="P11" s="58">
        <f t="shared" si="0"/>
        <v>35437.5</v>
      </c>
    </row>
    <row r="12" spans="1:16" ht="26.25" customHeight="1" x14ac:dyDescent="0.2">
      <c r="A12" s="100"/>
      <c r="B12" s="100"/>
      <c r="C12" s="65" t="s">
        <v>4205</v>
      </c>
      <c r="D12" s="70" t="s">
        <v>57</v>
      </c>
      <c r="E12" s="12">
        <v>44552</v>
      </c>
      <c r="F12" s="68" t="s">
        <v>59</v>
      </c>
      <c r="G12" s="12">
        <v>44558</v>
      </c>
      <c r="H12" s="69" t="s">
        <v>4156</v>
      </c>
      <c r="I12" s="15">
        <v>51</v>
      </c>
      <c r="J12" s="15">
        <v>45</v>
      </c>
      <c r="K12" s="15">
        <v>16</v>
      </c>
      <c r="L12" s="15">
        <v>5</v>
      </c>
      <c r="M12" s="73">
        <v>9.18</v>
      </c>
      <c r="N12" s="104">
        <v>9.18</v>
      </c>
      <c r="O12" s="57">
        <v>7000</v>
      </c>
      <c r="P12" s="58">
        <f t="shared" si="0"/>
        <v>64260</v>
      </c>
    </row>
    <row r="13" spans="1:16" ht="26.25" customHeight="1" x14ac:dyDescent="0.2">
      <c r="A13" s="100"/>
      <c r="B13" s="100"/>
      <c r="C13" s="65" t="s">
        <v>4206</v>
      </c>
      <c r="D13" s="70" t="s">
        <v>57</v>
      </c>
      <c r="E13" s="12">
        <v>44552</v>
      </c>
      <c r="F13" s="68" t="s">
        <v>59</v>
      </c>
      <c r="G13" s="12">
        <v>44558</v>
      </c>
      <c r="H13" s="69" t="s">
        <v>4156</v>
      </c>
      <c r="I13" s="15">
        <v>52</v>
      </c>
      <c r="J13" s="15">
        <v>40</v>
      </c>
      <c r="K13" s="15">
        <v>31</v>
      </c>
      <c r="L13" s="15">
        <v>16</v>
      </c>
      <c r="M13" s="73">
        <v>16.12</v>
      </c>
      <c r="N13" s="104">
        <v>16.12</v>
      </c>
      <c r="O13" s="57">
        <v>7000</v>
      </c>
      <c r="P13" s="58">
        <f t="shared" si="0"/>
        <v>112840</v>
      </c>
    </row>
    <row r="14" spans="1:16" ht="26.25" customHeight="1" x14ac:dyDescent="0.2">
      <c r="A14" s="100"/>
      <c r="B14" s="100"/>
      <c r="C14" s="65" t="s">
        <v>4207</v>
      </c>
      <c r="D14" s="70" t="s">
        <v>57</v>
      </c>
      <c r="E14" s="12">
        <v>44552</v>
      </c>
      <c r="F14" s="68" t="s">
        <v>59</v>
      </c>
      <c r="G14" s="12">
        <v>44558</v>
      </c>
      <c r="H14" s="69" t="s">
        <v>4156</v>
      </c>
      <c r="I14" s="15">
        <v>102</v>
      </c>
      <c r="J14" s="15">
        <v>60</v>
      </c>
      <c r="K14" s="15">
        <v>17</v>
      </c>
      <c r="L14" s="15">
        <v>19</v>
      </c>
      <c r="M14" s="73">
        <v>26.01</v>
      </c>
      <c r="N14" s="104">
        <v>26.01</v>
      </c>
      <c r="O14" s="57">
        <v>7000</v>
      </c>
      <c r="P14" s="58">
        <f t="shared" si="0"/>
        <v>182070</v>
      </c>
    </row>
    <row r="15" spans="1:16" ht="26.25" customHeight="1" x14ac:dyDescent="0.2">
      <c r="A15" s="100"/>
      <c r="B15" s="100"/>
      <c r="C15" s="65" t="s">
        <v>4208</v>
      </c>
      <c r="D15" s="70" t="s">
        <v>57</v>
      </c>
      <c r="E15" s="12">
        <v>44552</v>
      </c>
      <c r="F15" s="68" t="s">
        <v>59</v>
      </c>
      <c r="G15" s="12">
        <v>44558</v>
      </c>
      <c r="H15" s="69" t="s">
        <v>4156</v>
      </c>
      <c r="I15" s="15">
        <v>100</v>
      </c>
      <c r="J15" s="15">
        <v>54</v>
      </c>
      <c r="K15" s="15">
        <v>23</v>
      </c>
      <c r="L15" s="15">
        <v>8</v>
      </c>
      <c r="M15" s="73">
        <v>31.05</v>
      </c>
      <c r="N15" s="104">
        <v>31.05</v>
      </c>
      <c r="O15" s="57">
        <v>7000</v>
      </c>
      <c r="P15" s="58">
        <f t="shared" si="0"/>
        <v>217350</v>
      </c>
    </row>
    <row r="16" spans="1:16" ht="26.25" customHeight="1" x14ac:dyDescent="0.2">
      <c r="A16" s="100"/>
      <c r="B16" s="100"/>
      <c r="C16" s="65" t="s">
        <v>4209</v>
      </c>
      <c r="D16" s="70" t="s">
        <v>57</v>
      </c>
      <c r="E16" s="12">
        <v>44552</v>
      </c>
      <c r="F16" s="68" t="s">
        <v>59</v>
      </c>
      <c r="G16" s="12">
        <v>44558</v>
      </c>
      <c r="H16" s="69" t="s">
        <v>4156</v>
      </c>
      <c r="I16" s="15">
        <v>64</v>
      </c>
      <c r="J16" s="15">
        <v>34</v>
      </c>
      <c r="K16" s="15">
        <v>30</v>
      </c>
      <c r="L16" s="15">
        <v>5</v>
      </c>
      <c r="M16" s="73">
        <v>16.32</v>
      </c>
      <c r="N16" s="104">
        <v>17</v>
      </c>
      <c r="O16" s="57">
        <v>7000</v>
      </c>
      <c r="P16" s="58">
        <f t="shared" si="0"/>
        <v>119000</v>
      </c>
    </row>
    <row r="17" spans="1:16" ht="26.25" customHeight="1" x14ac:dyDescent="0.2">
      <c r="A17" s="100"/>
      <c r="B17" s="100"/>
      <c r="C17" s="65" t="s">
        <v>4210</v>
      </c>
      <c r="D17" s="70" t="s">
        <v>57</v>
      </c>
      <c r="E17" s="12">
        <v>44552</v>
      </c>
      <c r="F17" s="68" t="s">
        <v>59</v>
      </c>
      <c r="G17" s="12">
        <v>44558</v>
      </c>
      <c r="H17" s="69" t="s">
        <v>4156</v>
      </c>
      <c r="I17" s="15">
        <v>75</v>
      </c>
      <c r="J17" s="15">
        <v>40</v>
      </c>
      <c r="K17" s="15">
        <v>26</v>
      </c>
      <c r="L17" s="15">
        <v>4</v>
      </c>
      <c r="M17" s="73">
        <v>19.5</v>
      </c>
      <c r="N17" s="104">
        <v>21</v>
      </c>
      <c r="O17" s="57">
        <v>7000</v>
      </c>
      <c r="P17" s="58">
        <f t="shared" si="0"/>
        <v>147000</v>
      </c>
    </row>
    <row r="18" spans="1:16" ht="26.25" customHeight="1" x14ac:dyDescent="0.2">
      <c r="A18" s="100"/>
      <c r="B18" s="100"/>
      <c r="C18" s="65" t="s">
        <v>4211</v>
      </c>
      <c r="D18" s="70" t="s">
        <v>57</v>
      </c>
      <c r="E18" s="12">
        <v>44552</v>
      </c>
      <c r="F18" s="68" t="s">
        <v>59</v>
      </c>
      <c r="G18" s="12">
        <v>44558</v>
      </c>
      <c r="H18" s="69" t="s">
        <v>4156</v>
      </c>
      <c r="I18" s="15">
        <v>92</v>
      </c>
      <c r="J18" s="15">
        <v>59</v>
      </c>
      <c r="K18" s="15">
        <v>3</v>
      </c>
      <c r="L18" s="15">
        <v>4</v>
      </c>
      <c r="M18" s="73">
        <v>4.0709999999999997</v>
      </c>
      <c r="N18" s="104">
        <v>4.0709999999999997</v>
      </c>
      <c r="O18" s="57">
        <v>7000</v>
      </c>
      <c r="P18" s="58">
        <f t="shared" si="0"/>
        <v>28496.999999999996</v>
      </c>
    </row>
    <row r="19" spans="1:16" ht="26.25" customHeight="1" x14ac:dyDescent="0.2">
      <c r="A19" s="100"/>
      <c r="B19" s="100"/>
      <c r="C19" s="65" t="s">
        <v>4212</v>
      </c>
      <c r="D19" s="70" t="s">
        <v>57</v>
      </c>
      <c r="E19" s="12">
        <v>44552</v>
      </c>
      <c r="F19" s="68" t="s">
        <v>59</v>
      </c>
      <c r="G19" s="12">
        <v>44558</v>
      </c>
      <c r="H19" s="69" t="s">
        <v>4156</v>
      </c>
      <c r="I19" s="15">
        <v>95</v>
      </c>
      <c r="J19" s="15">
        <v>53</v>
      </c>
      <c r="K19" s="15">
        <v>26</v>
      </c>
      <c r="L19" s="15">
        <v>18</v>
      </c>
      <c r="M19" s="73">
        <v>32.727499999999999</v>
      </c>
      <c r="N19" s="104">
        <v>32.727499999999999</v>
      </c>
      <c r="O19" s="57">
        <v>7000</v>
      </c>
      <c r="P19" s="58">
        <f t="shared" si="0"/>
        <v>229092.5</v>
      </c>
    </row>
    <row r="20" spans="1:16" ht="26.25" customHeight="1" x14ac:dyDescent="0.2">
      <c r="A20" s="100"/>
      <c r="B20" s="100"/>
      <c r="C20" s="65" t="s">
        <v>4213</v>
      </c>
      <c r="D20" s="70" t="s">
        <v>57</v>
      </c>
      <c r="E20" s="12">
        <v>44552</v>
      </c>
      <c r="F20" s="68" t="s">
        <v>59</v>
      </c>
      <c r="G20" s="12">
        <v>44558</v>
      </c>
      <c r="H20" s="69" t="s">
        <v>4156</v>
      </c>
      <c r="I20" s="15">
        <v>85</v>
      </c>
      <c r="J20" s="15">
        <v>53</v>
      </c>
      <c r="K20" s="15">
        <v>23</v>
      </c>
      <c r="L20" s="15">
        <v>10</v>
      </c>
      <c r="M20" s="73">
        <v>25.903749999999999</v>
      </c>
      <c r="N20" s="104">
        <v>25.903749999999999</v>
      </c>
      <c r="O20" s="57">
        <v>7000</v>
      </c>
      <c r="P20" s="58">
        <f t="shared" si="0"/>
        <v>181326.25</v>
      </c>
    </row>
    <row r="21" spans="1:16" ht="26.25" customHeight="1" x14ac:dyDescent="0.2">
      <c r="A21" s="100"/>
      <c r="B21" s="100"/>
      <c r="C21" s="65" t="s">
        <v>4214</v>
      </c>
      <c r="D21" s="70" t="s">
        <v>57</v>
      </c>
      <c r="E21" s="12">
        <v>44552</v>
      </c>
      <c r="F21" s="68" t="s">
        <v>59</v>
      </c>
      <c r="G21" s="12">
        <v>44558</v>
      </c>
      <c r="H21" s="69" t="s">
        <v>4156</v>
      </c>
      <c r="I21" s="15">
        <v>50</v>
      </c>
      <c r="J21" s="15">
        <v>40</v>
      </c>
      <c r="K21" s="15">
        <v>10</v>
      </c>
      <c r="L21" s="15">
        <v>1</v>
      </c>
      <c r="M21" s="73">
        <v>5</v>
      </c>
      <c r="N21" s="104">
        <v>5</v>
      </c>
      <c r="O21" s="57">
        <v>7000</v>
      </c>
      <c r="P21" s="58">
        <f t="shared" si="0"/>
        <v>35000</v>
      </c>
    </row>
    <row r="22" spans="1:16" ht="26.25" customHeight="1" x14ac:dyDescent="0.2">
      <c r="A22" s="100"/>
      <c r="B22" s="100"/>
      <c r="C22" s="65" t="s">
        <v>4215</v>
      </c>
      <c r="D22" s="70" t="s">
        <v>57</v>
      </c>
      <c r="E22" s="12">
        <v>44552</v>
      </c>
      <c r="F22" s="68" t="s">
        <v>59</v>
      </c>
      <c r="G22" s="12">
        <v>44558</v>
      </c>
      <c r="H22" s="69" t="s">
        <v>4156</v>
      </c>
      <c r="I22" s="15">
        <v>85</v>
      </c>
      <c r="J22" s="15">
        <v>50</v>
      </c>
      <c r="K22" s="15">
        <v>24</v>
      </c>
      <c r="L22" s="15">
        <v>8</v>
      </c>
      <c r="M22" s="73">
        <v>25.5</v>
      </c>
      <c r="N22" s="104">
        <v>27</v>
      </c>
      <c r="O22" s="57">
        <v>7000</v>
      </c>
      <c r="P22" s="58">
        <f t="shared" si="0"/>
        <v>189000</v>
      </c>
    </row>
    <row r="23" spans="1:16" ht="26.25" customHeight="1" x14ac:dyDescent="0.2">
      <c r="A23" s="100"/>
      <c r="B23" s="100"/>
      <c r="C23" s="65" t="s">
        <v>4216</v>
      </c>
      <c r="D23" s="70" t="s">
        <v>57</v>
      </c>
      <c r="E23" s="12">
        <v>44552</v>
      </c>
      <c r="F23" s="68" t="s">
        <v>59</v>
      </c>
      <c r="G23" s="12">
        <v>44558</v>
      </c>
      <c r="H23" s="69" t="s">
        <v>4156</v>
      </c>
      <c r="I23" s="15">
        <v>65</v>
      </c>
      <c r="J23" s="15">
        <v>52</v>
      </c>
      <c r="K23" s="15">
        <v>20</v>
      </c>
      <c r="L23" s="15">
        <v>13</v>
      </c>
      <c r="M23" s="73">
        <v>16.899999999999999</v>
      </c>
      <c r="N23" s="104">
        <v>16.899999999999999</v>
      </c>
      <c r="O23" s="57">
        <v>7000</v>
      </c>
      <c r="P23" s="58">
        <f t="shared" si="0"/>
        <v>118299.99999999999</v>
      </c>
    </row>
    <row r="24" spans="1:16" ht="26.25" customHeight="1" x14ac:dyDescent="0.2">
      <c r="A24" s="100"/>
      <c r="B24" s="100"/>
      <c r="C24" s="65" t="s">
        <v>4217</v>
      </c>
      <c r="D24" s="70" t="s">
        <v>57</v>
      </c>
      <c r="E24" s="12">
        <v>44552</v>
      </c>
      <c r="F24" s="68" t="s">
        <v>59</v>
      </c>
      <c r="G24" s="12">
        <v>44558</v>
      </c>
      <c r="H24" s="69" t="s">
        <v>4156</v>
      </c>
      <c r="I24" s="15">
        <v>93</v>
      </c>
      <c r="J24" s="15">
        <v>54</v>
      </c>
      <c r="K24" s="15">
        <v>24</v>
      </c>
      <c r="L24" s="15">
        <v>21</v>
      </c>
      <c r="M24" s="73">
        <v>30.132000000000001</v>
      </c>
      <c r="N24" s="104">
        <v>30.132000000000001</v>
      </c>
      <c r="O24" s="57">
        <v>7000</v>
      </c>
      <c r="P24" s="58">
        <f t="shared" si="0"/>
        <v>210924</v>
      </c>
    </row>
    <row r="25" spans="1:16" ht="26.25" customHeight="1" x14ac:dyDescent="0.2">
      <c r="A25" s="100"/>
      <c r="B25" s="100"/>
      <c r="C25" s="65" t="s">
        <v>4218</v>
      </c>
      <c r="D25" s="70" t="s">
        <v>57</v>
      </c>
      <c r="E25" s="12">
        <v>44552</v>
      </c>
      <c r="F25" s="68" t="s">
        <v>59</v>
      </c>
      <c r="G25" s="12">
        <v>44558</v>
      </c>
      <c r="H25" s="69" t="s">
        <v>4156</v>
      </c>
      <c r="I25" s="15">
        <v>40</v>
      </c>
      <c r="J25" s="15">
        <v>40</v>
      </c>
      <c r="K25" s="15">
        <v>14</v>
      </c>
      <c r="L25" s="15">
        <v>5</v>
      </c>
      <c r="M25" s="73">
        <v>5.6</v>
      </c>
      <c r="N25" s="104">
        <v>5.6</v>
      </c>
      <c r="O25" s="57">
        <v>7000</v>
      </c>
      <c r="P25" s="58">
        <f t="shared" si="0"/>
        <v>39200</v>
      </c>
    </row>
    <row r="26" spans="1:16" ht="26.25" customHeight="1" x14ac:dyDescent="0.2">
      <c r="A26" s="100"/>
      <c r="B26" s="100"/>
      <c r="C26" s="65" t="s">
        <v>4219</v>
      </c>
      <c r="D26" s="70" t="s">
        <v>57</v>
      </c>
      <c r="E26" s="12">
        <v>44552</v>
      </c>
      <c r="F26" s="68" t="s">
        <v>59</v>
      </c>
      <c r="G26" s="12">
        <v>44558</v>
      </c>
      <c r="H26" s="69" t="s">
        <v>4156</v>
      </c>
      <c r="I26" s="15">
        <v>67</v>
      </c>
      <c r="J26" s="15">
        <v>67</v>
      </c>
      <c r="K26" s="15">
        <v>20</v>
      </c>
      <c r="L26" s="15">
        <v>12</v>
      </c>
      <c r="M26" s="73">
        <v>22.445</v>
      </c>
      <c r="N26" s="104">
        <v>23</v>
      </c>
      <c r="O26" s="57">
        <v>7000</v>
      </c>
      <c r="P26" s="58">
        <f t="shared" si="0"/>
        <v>161000</v>
      </c>
    </row>
    <row r="27" spans="1:16" ht="26.25" customHeight="1" x14ac:dyDescent="0.2">
      <c r="A27" s="100"/>
      <c r="B27" s="100"/>
      <c r="C27" s="65" t="s">
        <v>4220</v>
      </c>
      <c r="D27" s="70" t="s">
        <v>57</v>
      </c>
      <c r="E27" s="12">
        <v>44552</v>
      </c>
      <c r="F27" s="68" t="s">
        <v>59</v>
      </c>
      <c r="G27" s="12">
        <v>44558</v>
      </c>
      <c r="H27" s="69" t="s">
        <v>4156</v>
      </c>
      <c r="I27" s="15">
        <v>54</v>
      </c>
      <c r="J27" s="15">
        <v>55</v>
      </c>
      <c r="K27" s="15">
        <v>16</v>
      </c>
      <c r="L27" s="15">
        <v>5</v>
      </c>
      <c r="M27" s="73">
        <v>11.88</v>
      </c>
      <c r="N27" s="104">
        <v>11.88</v>
      </c>
      <c r="O27" s="57">
        <v>7000</v>
      </c>
      <c r="P27" s="58">
        <f t="shared" si="0"/>
        <v>83160</v>
      </c>
    </row>
    <row r="28" spans="1:16" ht="26.25" customHeight="1" x14ac:dyDescent="0.2">
      <c r="A28" s="100"/>
      <c r="B28" s="100"/>
      <c r="C28" s="65" t="s">
        <v>4221</v>
      </c>
      <c r="D28" s="70" t="s">
        <v>57</v>
      </c>
      <c r="E28" s="12">
        <v>44552</v>
      </c>
      <c r="F28" s="68" t="s">
        <v>59</v>
      </c>
      <c r="G28" s="12">
        <v>44558</v>
      </c>
      <c r="H28" s="69" t="s">
        <v>4156</v>
      </c>
      <c r="I28" s="15">
        <v>46</v>
      </c>
      <c r="J28" s="15">
        <v>31</v>
      </c>
      <c r="K28" s="15">
        <v>30</v>
      </c>
      <c r="L28" s="15">
        <v>2</v>
      </c>
      <c r="M28" s="73">
        <v>10.695</v>
      </c>
      <c r="N28" s="104">
        <v>10.695</v>
      </c>
      <c r="O28" s="57">
        <v>7000</v>
      </c>
      <c r="P28" s="58">
        <f t="shared" si="0"/>
        <v>74865</v>
      </c>
    </row>
    <row r="29" spans="1:16" ht="26.25" customHeight="1" x14ac:dyDescent="0.2">
      <c r="A29" s="100"/>
      <c r="B29" s="100"/>
      <c r="C29" s="65" t="s">
        <v>4222</v>
      </c>
      <c r="D29" s="70" t="s">
        <v>57</v>
      </c>
      <c r="E29" s="12">
        <v>44552</v>
      </c>
      <c r="F29" s="68" t="s">
        <v>59</v>
      </c>
      <c r="G29" s="12">
        <v>44558</v>
      </c>
      <c r="H29" s="69" t="s">
        <v>4156</v>
      </c>
      <c r="I29" s="15">
        <v>39</v>
      </c>
      <c r="J29" s="15">
        <v>29</v>
      </c>
      <c r="K29" s="15">
        <v>30</v>
      </c>
      <c r="L29" s="15">
        <v>2</v>
      </c>
      <c r="M29" s="73">
        <v>8.4824999999999999</v>
      </c>
      <c r="N29" s="104">
        <v>9</v>
      </c>
      <c r="O29" s="57">
        <v>7000</v>
      </c>
      <c r="P29" s="58">
        <f t="shared" si="0"/>
        <v>63000</v>
      </c>
    </row>
    <row r="30" spans="1:16" ht="26.25" customHeight="1" x14ac:dyDescent="0.2">
      <c r="A30" s="100"/>
      <c r="B30" s="100"/>
      <c r="C30" s="65" t="s">
        <v>4223</v>
      </c>
      <c r="D30" s="70" t="s">
        <v>57</v>
      </c>
      <c r="E30" s="12">
        <v>44552</v>
      </c>
      <c r="F30" s="68" t="s">
        <v>59</v>
      </c>
      <c r="G30" s="12">
        <v>44558</v>
      </c>
      <c r="H30" s="69" t="s">
        <v>4156</v>
      </c>
      <c r="I30" s="15">
        <v>83</v>
      </c>
      <c r="J30" s="15">
        <v>50</v>
      </c>
      <c r="K30" s="15">
        <v>21</v>
      </c>
      <c r="L30" s="15">
        <v>17</v>
      </c>
      <c r="M30" s="73">
        <v>21.787500000000001</v>
      </c>
      <c r="N30" s="104">
        <v>21.787500000000001</v>
      </c>
      <c r="O30" s="57">
        <v>7000</v>
      </c>
      <c r="P30" s="58">
        <f t="shared" si="0"/>
        <v>152512.5</v>
      </c>
    </row>
    <row r="31" spans="1:16" ht="26.25" customHeight="1" x14ac:dyDescent="0.2">
      <c r="A31" s="100"/>
      <c r="B31" s="100"/>
      <c r="C31" s="65" t="s">
        <v>4224</v>
      </c>
      <c r="D31" s="70" t="s">
        <v>57</v>
      </c>
      <c r="E31" s="12">
        <v>44552</v>
      </c>
      <c r="F31" s="68" t="s">
        <v>59</v>
      </c>
      <c r="G31" s="12">
        <v>44558</v>
      </c>
      <c r="H31" s="69" t="s">
        <v>4156</v>
      </c>
      <c r="I31" s="15">
        <v>90</v>
      </c>
      <c r="J31" s="15">
        <v>49</v>
      </c>
      <c r="K31" s="15">
        <v>18</v>
      </c>
      <c r="L31" s="15">
        <v>13</v>
      </c>
      <c r="M31" s="73">
        <v>19.844999999999999</v>
      </c>
      <c r="N31" s="104">
        <v>19.844999999999999</v>
      </c>
      <c r="O31" s="57">
        <v>7000</v>
      </c>
      <c r="P31" s="58">
        <f t="shared" si="0"/>
        <v>138915</v>
      </c>
    </row>
    <row r="32" spans="1:16" ht="26.25" customHeight="1" x14ac:dyDescent="0.2">
      <c r="A32" s="100"/>
      <c r="B32" s="100"/>
      <c r="C32" s="65" t="s">
        <v>4225</v>
      </c>
      <c r="D32" s="70" t="s">
        <v>57</v>
      </c>
      <c r="E32" s="12">
        <v>44552</v>
      </c>
      <c r="F32" s="68" t="s">
        <v>59</v>
      </c>
      <c r="G32" s="12">
        <v>44558</v>
      </c>
      <c r="H32" s="69" t="s">
        <v>4156</v>
      </c>
      <c r="I32" s="15">
        <v>89</v>
      </c>
      <c r="J32" s="15">
        <v>50</v>
      </c>
      <c r="K32" s="15">
        <v>24</v>
      </c>
      <c r="L32" s="15">
        <v>22</v>
      </c>
      <c r="M32" s="73">
        <v>26.7</v>
      </c>
      <c r="N32" s="104">
        <v>26.7</v>
      </c>
      <c r="O32" s="57">
        <v>7000</v>
      </c>
      <c r="P32" s="58">
        <f t="shared" si="0"/>
        <v>186900</v>
      </c>
    </row>
    <row r="33" spans="1:16" ht="26.25" customHeight="1" x14ac:dyDescent="0.2">
      <c r="A33" s="100"/>
      <c r="B33" s="100"/>
      <c r="C33" s="65" t="s">
        <v>4226</v>
      </c>
      <c r="D33" s="70" t="s">
        <v>57</v>
      </c>
      <c r="E33" s="12">
        <v>44552</v>
      </c>
      <c r="F33" s="68" t="s">
        <v>59</v>
      </c>
      <c r="G33" s="12">
        <v>44558</v>
      </c>
      <c r="H33" s="69" t="s">
        <v>4156</v>
      </c>
      <c r="I33" s="15">
        <v>54</v>
      </c>
      <c r="J33" s="15">
        <v>40</v>
      </c>
      <c r="K33" s="15">
        <v>22</v>
      </c>
      <c r="L33" s="15">
        <v>6</v>
      </c>
      <c r="M33" s="73">
        <v>11.88</v>
      </c>
      <c r="N33" s="104">
        <v>11.88</v>
      </c>
      <c r="O33" s="57">
        <v>7000</v>
      </c>
      <c r="P33" s="58">
        <f t="shared" si="0"/>
        <v>83160</v>
      </c>
    </row>
    <row r="34" spans="1:16" ht="26.25" customHeight="1" x14ac:dyDescent="0.2">
      <c r="A34" s="100"/>
      <c r="B34" s="100"/>
      <c r="C34" s="65" t="s">
        <v>4227</v>
      </c>
      <c r="D34" s="70" t="s">
        <v>57</v>
      </c>
      <c r="E34" s="12">
        <v>44552</v>
      </c>
      <c r="F34" s="68" t="s">
        <v>59</v>
      </c>
      <c r="G34" s="12">
        <v>44558</v>
      </c>
      <c r="H34" s="69" t="s">
        <v>4156</v>
      </c>
      <c r="I34" s="15">
        <v>46</v>
      </c>
      <c r="J34" s="15">
        <v>31</v>
      </c>
      <c r="K34" s="15">
        <v>30</v>
      </c>
      <c r="L34" s="15">
        <v>2</v>
      </c>
      <c r="M34" s="73">
        <v>10.695</v>
      </c>
      <c r="N34" s="104">
        <v>10.695</v>
      </c>
      <c r="O34" s="57">
        <v>7000</v>
      </c>
      <c r="P34" s="58">
        <f t="shared" si="0"/>
        <v>74865</v>
      </c>
    </row>
    <row r="35" spans="1:16" ht="26.25" customHeight="1" x14ac:dyDescent="0.2">
      <c r="A35" s="100"/>
      <c r="B35" s="100"/>
      <c r="C35" s="65" t="s">
        <v>4228</v>
      </c>
      <c r="D35" s="70" t="s">
        <v>57</v>
      </c>
      <c r="E35" s="12">
        <v>44552</v>
      </c>
      <c r="F35" s="68" t="s">
        <v>59</v>
      </c>
      <c r="G35" s="12">
        <v>44558</v>
      </c>
      <c r="H35" s="69" t="s">
        <v>4156</v>
      </c>
      <c r="I35" s="15">
        <v>90</v>
      </c>
      <c r="J35" s="15">
        <v>59</v>
      </c>
      <c r="K35" s="15">
        <v>27</v>
      </c>
      <c r="L35" s="15">
        <v>8</v>
      </c>
      <c r="M35" s="73">
        <v>35.842500000000001</v>
      </c>
      <c r="N35" s="104">
        <v>35.842500000000001</v>
      </c>
      <c r="O35" s="57">
        <v>7000</v>
      </c>
      <c r="P35" s="58">
        <f t="shared" si="0"/>
        <v>250897.5</v>
      </c>
    </row>
    <row r="36" spans="1:16" ht="26.25" customHeight="1" x14ac:dyDescent="0.2">
      <c r="A36" s="100"/>
      <c r="B36" s="100"/>
      <c r="C36" s="65" t="s">
        <v>4229</v>
      </c>
      <c r="D36" s="70" t="s">
        <v>57</v>
      </c>
      <c r="E36" s="12">
        <v>44552</v>
      </c>
      <c r="F36" s="68" t="s">
        <v>59</v>
      </c>
      <c r="G36" s="12">
        <v>44558</v>
      </c>
      <c r="H36" s="69" t="s">
        <v>4156</v>
      </c>
      <c r="I36" s="15">
        <v>69</v>
      </c>
      <c r="J36" s="15">
        <v>50</v>
      </c>
      <c r="K36" s="15">
        <v>50</v>
      </c>
      <c r="L36" s="15">
        <v>5</v>
      </c>
      <c r="M36" s="73">
        <v>43.125</v>
      </c>
      <c r="N36" s="104">
        <v>43.125</v>
      </c>
      <c r="O36" s="57">
        <v>7000</v>
      </c>
      <c r="P36" s="58">
        <f t="shared" si="0"/>
        <v>301875</v>
      </c>
    </row>
    <row r="37" spans="1:16" ht="26.25" customHeight="1" x14ac:dyDescent="0.2">
      <c r="A37" s="100"/>
      <c r="B37" s="100"/>
      <c r="C37" s="65" t="s">
        <v>4230</v>
      </c>
      <c r="D37" s="70" t="s">
        <v>57</v>
      </c>
      <c r="E37" s="12">
        <v>44552</v>
      </c>
      <c r="F37" s="68" t="s">
        <v>59</v>
      </c>
      <c r="G37" s="12">
        <v>44558</v>
      </c>
      <c r="H37" s="69" t="s">
        <v>4156</v>
      </c>
      <c r="I37" s="15">
        <v>80</v>
      </c>
      <c r="J37" s="15">
        <v>40</v>
      </c>
      <c r="K37" s="15">
        <v>21</v>
      </c>
      <c r="L37" s="15">
        <v>13</v>
      </c>
      <c r="M37" s="73">
        <v>16.8</v>
      </c>
      <c r="N37" s="104">
        <v>16.8</v>
      </c>
      <c r="O37" s="57">
        <v>7000</v>
      </c>
      <c r="P37" s="58">
        <f t="shared" si="0"/>
        <v>117600</v>
      </c>
    </row>
    <row r="38" spans="1:16" ht="26.25" customHeight="1" x14ac:dyDescent="0.2">
      <c r="A38" s="100"/>
      <c r="B38" s="100"/>
      <c r="C38" s="65" t="s">
        <v>4231</v>
      </c>
      <c r="D38" s="70" t="s">
        <v>57</v>
      </c>
      <c r="E38" s="12">
        <v>44552</v>
      </c>
      <c r="F38" s="68" t="s">
        <v>59</v>
      </c>
      <c r="G38" s="12">
        <v>44558</v>
      </c>
      <c r="H38" s="69" t="s">
        <v>4156</v>
      </c>
      <c r="I38" s="15">
        <v>87</v>
      </c>
      <c r="J38" s="15">
        <v>52</v>
      </c>
      <c r="K38" s="15">
        <v>17</v>
      </c>
      <c r="L38" s="15">
        <v>18</v>
      </c>
      <c r="M38" s="73">
        <v>19.227</v>
      </c>
      <c r="N38" s="104">
        <v>19.227</v>
      </c>
      <c r="O38" s="57">
        <v>7000</v>
      </c>
      <c r="P38" s="58">
        <f t="shared" si="0"/>
        <v>134589</v>
      </c>
    </row>
    <row r="39" spans="1:16" ht="26.25" customHeight="1" x14ac:dyDescent="0.2">
      <c r="A39" s="100"/>
      <c r="B39" s="101"/>
      <c r="C39" s="65" t="s">
        <v>4232</v>
      </c>
      <c r="D39" s="70" t="s">
        <v>57</v>
      </c>
      <c r="E39" s="12">
        <v>44552</v>
      </c>
      <c r="F39" s="68" t="s">
        <v>59</v>
      </c>
      <c r="G39" s="12">
        <v>44558</v>
      </c>
      <c r="H39" s="69" t="s">
        <v>4156</v>
      </c>
      <c r="I39" s="15">
        <v>61</v>
      </c>
      <c r="J39" s="15">
        <v>48</v>
      </c>
      <c r="K39" s="15">
        <v>28</v>
      </c>
      <c r="L39" s="15">
        <v>11</v>
      </c>
      <c r="M39" s="73">
        <v>20.495999999999999</v>
      </c>
      <c r="N39" s="104">
        <v>21</v>
      </c>
      <c r="O39" s="57">
        <v>7000</v>
      </c>
      <c r="P39" s="58">
        <f t="shared" si="0"/>
        <v>147000</v>
      </c>
    </row>
    <row r="40" spans="1:16" ht="26.25" customHeight="1" x14ac:dyDescent="0.2">
      <c r="A40" s="100"/>
      <c r="B40" s="100" t="s">
        <v>4233</v>
      </c>
      <c r="C40" s="65" t="s">
        <v>4234</v>
      </c>
      <c r="D40" s="70" t="s">
        <v>57</v>
      </c>
      <c r="E40" s="12">
        <v>44552</v>
      </c>
      <c r="F40" s="68" t="s">
        <v>59</v>
      </c>
      <c r="G40" s="12">
        <v>44558</v>
      </c>
      <c r="H40" s="69" t="s">
        <v>4156</v>
      </c>
      <c r="I40" s="15">
        <v>45</v>
      </c>
      <c r="J40" s="15">
        <v>50</v>
      </c>
      <c r="K40" s="15">
        <v>20</v>
      </c>
      <c r="L40" s="15">
        <v>10</v>
      </c>
      <c r="M40" s="73">
        <v>11.25</v>
      </c>
      <c r="N40" s="104">
        <v>11.25</v>
      </c>
      <c r="O40" s="57">
        <v>7000</v>
      </c>
      <c r="P40" s="58">
        <f t="shared" si="0"/>
        <v>78750</v>
      </c>
    </row>
    <row r="41" spans="1:16" ht="26.25" customHeight="1" x14ac:dyDescent="0.2">
      <c r="A41" s="100"/>
      <c r="B41" s="100"/>
      <c r="C41" s="65" t="s">
        <v>4235</v>
      </c>
      <c r="D41" s="70" t="s">
        <v>57</v>
      </c>
      <c r="E41" s="12">
        <v>44552</v>
      </c>
      <c r="F41" s="68" t="s">
        <v>59</v>
      </c>
      <c r="G41" s="12">
        <v>44558</v>
      </c>
      <c r="H41" s="69" t="s">
        <v>4156</v>
      </c>
      <c r="I41" s="15">
        <v>25</v>
      </c>
      <c r="J41" s="15">
        <v>20</v>
      </c>
      <c r="K41" s="15">
        <v>17</v>
      </c>
      <c r="L41" s="15">
        <v>2</v>
      </c>
      <c r="M41" s="73">
        <v>2.125</v>
      </c>
      <c r="N41" s="104">
        <v>2.125</v>
      </c>
      <c r="O41" s="57">
        <v>7000</v>
      </c>
      <c r="P41" s="58">
        <f t="shared" si="0"/>
        <v>14875</v>
      </c>
    </row>
    <row r="42" spans="1:16" ht="26.25" customHeight="1" x14ac:dyDescent="0.2">
      <c r="A42" s="100"/>
      <c r="B42" s="100"/>
      <c r="C42" s="65" t="s">
        <v>4236</v>
      </c>
      <c r="D42" s="70" t="s">
        <v>57</v>
      </c>
      <c r="E42" s="12">
        <v>44552</v>
      </c>
      <c r="F42" s="68" t="s">
        <v>59</v>
      </c>
      <c r="G42" s="12">
        <v>44558</v>
      </c>
      <c r="H42" s="69" t="s">
        <v>4156</v>
      </c>
      <c r="I42" s="15">
        <v>79</v>
      </c>
      <c r="J42" s="15">
        <v>52</v>
      </c>
      <c r="K42" s="15">
        <v>19</v>
      </c>
      <c r="L42" s="15">
        <v>20</v>
      </c>
      <c r="M42" s="73">
        <v>19.513000000000002</v>
      </c>
      <c r="N42" s="104">
        <v>20</v>
      </c>
      <c r="O42" s="57">
        <v>7000</v>
      </c>
      <c r="P42" s="58">
        <f t="shared" si="0"/>
        <v>140000</v>
      </c>
    </row>
    <row r="43" spans="1:16" ht="22.5" customHeight="1" x14ac:dyDescent="0.2">
      <c r="A43" s="159" t="s">
        <v>30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1"/>
      <c r="M43" s="71">
        <f>SUBTOTAL(109,Table2245789101123456789101112131415161718192021222324252627282930313233343537383940414243444546474849505152535455565758596061626364656667686970[KG VOLUME])</f>
        <v>696.67000000000007</v>
      </c>
      <c r="N43" s="61">
        <f>SUM(N3:N42)</f>
        <v>702.4135</v>
      </c>
      <c r="O43" s="162">
        <f>SUM(P3:P42)</f>
        <v>4916894.5</v>
      </c>
      <c r="P43" s="163"/>
    </row>
    <row r="44" spans="1:16" ht="18" customHeight="1" x14ac:dyDescent="0.2">
      <c r="A44" s="78"/>
      <c r="B44" s="49" t="s">
        <v>42</v>
      </c>
      <c r="C44" s="48"/>
      <c r="D44" s="50" t="s">
        <v>43</v>
      </c>
      <c r="E44" s="78"/>
      <c r="F44" s="78"/>
      <c r="G44" s="78"/>
      <c r="H44" s="78"/>
      <c r="I44" s="78"/>
      <c r="J44" s="78"/>
      <c r="K44" s="78"/>
      <c r="L44" s="78"/>
      <c r="M44" s="79"/>
      <c r="N44" s="80" t="s">
        <v>52</v>
      </c>
      <c r="O44" s="81"/>
      <c r="P44" s="81">
        <v>0</v>
      </c>
    </row>
    <row r="45" spans="1:16" ht="18" customHeight="1" thickBot="1" x14ac:dyDescent="0.25">
      <c r="A45" s="78"/>
      <c r="B45" s="49"/>
      <c r="C45" s="48"/>
      <c r="D45" s="50"/>
      <c r="E45" s="78"/>
      <c r="F45" s="78"/>
      <c r="G45" s="78"/>
      <c r="H45" s="78"/>
      <c r="I45" s="78"/>
      <c r="J45" s="78"/>
      <c r="K45" s="78"/>
      <c r="L45" s="78"/>
      <c r="M45" s="79"/>
      <c r="N45" s="82" t="s">
        <v>53</v>
      </c>
      <c r="O45" s="83"/>
      <c r="P45" s="83">
        <f>O43-P44</f>
        <v>4916894.5</v>
      </c>
    </row>
    <row r="46" spans="1:16" ht="18" customHeight="1" x14ac:dyDescent="0.2">
      <c r="A46" s="10"/>
      <c r="H46" s="56"/>
      <c r="N46" s="55" t="s">
        <v>31</v>
      </c>
      <c r="P46" s="62">
        <f>P45*1%</f>
        <v>49168.945</v>
      </c>
    </row>
    <row r="47" spans="1:16" ht="18" customHeight="1" thickBot="1" x14ac:dyDescent="0.25">
      <c r="A47" s="10"/>
      <c r="H47" s="56"/>
      <c r="N47" s="55" t="s">
        <v>54</v>
      </c>
      <c r="P47" s="64">
        <f>P45*2%</f>
        <v>98337.89</v>
      </c>
    </row>
    <row r="48" spans="1:16" ht="18" customHeight="1" x14ac:dyDescent="0.2">
      <c r="A48" s="10"/>
      <c r="H48" s="56"/>
      <c r="N48" s="59" t="s">
        <v>32</v>
      </c>
      <c r="O48" s="60"/>
      <c r="P48" s="63">
        <f>P45+P46-P47</f>
        <v>4867725.5550000006</v>
      </c>
    </row>
    <row r="50" spans="1:16" x14ac:dyDescent="0.2">
      <c r="A50" s="10"/>
      <c r="H50" s="56"/>
      <c r="P50" s="64"/>
    </row>
    <row r="51" spans="1:16" x14ac:dyDescent="0.2">
      <c r="A51" s="10"/>
      <c r="H51" s="56"/>
      <c r="O51" s="51"/>
      <c r="P51" s="6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6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6"/>
      <c r="N63" s="14"/>
      <c r="O63" s="14"/>
      <c r="P63" s="14"/>
    </row>
  </sheetData>
  <mergeCells count="2">
    <mergeCell ref="A43:L43"/>
    <mergeCell ref="O43:P43"/>
  </mergeCells>
  <conditionalFormatting sqref="C3:C42">
    <cfRule type="duplicateValues" dxfId="495" priority="9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7"/>
  <sheetViews>
    <sheetView workbookViewId="0">
      <selection activeCell="N196" sqref="N3:N19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402713</v>
      </c>
      <c r="B3" s="99" t="s">
        <v>4237</v>
      </c>
      <c r="C3" s="90" t="s">
        <v>4238</v>
      </c>
      <c r="D3" s="102" t="s">
        <v>57</v>
      </c>
      <c r="E3" s="91">
        <v>44552</v>
      </c>
      <c r="F3" s="102" t="s">
        <v>59</v>
      </c>
      <c r="G3" s="91">
        <v>44558</v>
      </c>
      <c r="H3" s="90" t="s">
        <v>4156</v>
      </c>
      <c r="I3" s="90">
        <v>72</v>
      </c>
      <c r="J3" s="90">
        <v>62</v>
      </c>
      <c r="K3" s="90">
        <v>19</v>
      </c>
      <c r="L3" s="90">
        <v>6</v>
      </c>
      <c r="M3" s="90">
        <v>21.204000000000001</v>
      </c>
      <c r="N3" s="104">
        <v>21.204000000000001</v>
      </c>
      <c r="O3" s="57">
        <v>7000</v>
      </c>
      <c r="P3" s="58">
        <f t="shared" ref="P3:P66" si="0">N3*O3</f>
        <v>148428</v>
      </c>
    </row>
    <row r="4" spans="1:16" ht="26.25" customHeight="1" x14ac:dyDescent="0.2">
      <c r="A4" s="100"/>
      <c r="B4" s="100"/>
      <c r="C4" s="90" t="s">
        <v>4239</v>
      </c>
      <c r="D4" s="102" t="s">
        <v>57</v>
      </c>
      <c r="E4" s="91">
        <v>44552</v>
      </c>
      <c r="F4" s="102" t="s">
        <v>59</v>
      </c>
      <c r="G4" s="91">
        <v>44558</v>
      </c>
      <c r="H4" s="90" t="s">
        <v>4156</v>
      </c>
      <c r="I4" s="90">
        <v>66</v>
      </c>
      <c r="J4" s="90">
        <v>58</v>
      </c>
      <c r="K4" s="90">
        <v>19</v>
      </c>
      <c r="L4" s="90">
        <v>6</v>
      </c>
      <c r="M4" s="90">
        <v>18.183</v>
      </c>
      <c r="N4" s="104">
        <v>18.183</v>
      </c>
      <c r="O4" s="57">
        <v>7000</v>
      </c>
      <c r="P4" s="58">
        <f t="shared" si="0"/>
        <v>127281</v>
      </c>
    </row>
    <row r="5" spans="1:16" ht="26.25" customHeight="1" x14ac:dyDescent="0.2">
      <c r="A5" s="100"/>
      <c r="B5" s="100"/>
      <c r="C5" s="65" t="s">
        <v>4240</v>
      </c>
      <c r="D5" s="70" t="s">
        <v>57</v>
      </c>
      <c r="E5" s="12">
        <v>44552</v>
      </c>
      <c r="F5" s="68" t="s">
        <v>59</v>
      </c>
      <c r="G5" s="12">
        <v>44558</v>
      </c>
      <c r="H5" s="69" t="s">
        <v>4156</v>
      </c>
      <c r="I5" s="15">
        <v>84</v>
      </c>
      <c r="J5" s="15">
        <v>57</v>
      </c>
      <c r="K5" s="15">
        <v>16</v>
      </c>
      <c r="L5" s="15">
        <v>13</v>
      </c>
      <c r="M5" s="73">
        <v>19.152000000000001</v>
      </c>
      <c r="N5" s="104">
        <v>19.152000000000001</v>
      </c>
      <c r="O5" s="57">
        <v>7000</v>
      </c>
      <c r="P5" s="58">
        <f t="shared" si="0"/>
        <v>134064</v>
      </c>
    </row>
    <row r="6" spans="1:16" ht="26.25" customHeight="1" x14ac:dyDescent="0.2">
      <c r="A6" s="100"/>
      <c r="B6" s="100"/>
      <c r="C6" s="65" t="s">
        <v>4241</v>
      </c>
      <c r="D6" s="70" t="s">
        <v>57</v>
      </c>
      <c r="E6" s="12">
        <v>44552</v>
      </c>
      <c r="F6" s="68" t="s">
        <v>59</v>
      </c>
      <c r="G6" s="12">
        <v>44558</v>
      </c>
      <c r="H6" s="69" t="s">
        <v>4156</v>
      </c>
      <c r="I6" s="15">
        <v>87</v>
      </c>
      <c r="J6" s="15">
        <v>65</v>
      </c>
      <c r="K6" s="15">
        <v>15</v>
      </c>
      <c r="L6" s="15">
        <v>10</v>
      </c>
      <c r="M6" s="73">
        <v>21.206250000000001</v>
      </c>
      <c r="N6" s="104">
        <v>21.206250000000001</v>
      </c>
      <c r="O6" s="57">
        <v>7000</v>
      </c>
      <c r="P6" s="58">
        <f t="shared" si="0"/>
        <v>148443.75</v>
      </c>
    </row>
    <row r="7" spans="1:16" ht="26.25" customHeight="1" x14ac:dyDescent="0.2">
      <c r="A7" s="100"/>
      <c r="B7" s="100"/>
      <c r="C7" s="65" t="s">
        <v>4242</v>
      </c>
      <c r="D7" s="70" t="s">
        <v>57</v>
      </c>
      <c r="E7" s="12">
        <v>44552</v>
      </c>
      <c r="F7" s="68" t="s">
        <v>59</v>
      </c>
      <c r="G7" s="12">
        <v>44558</v>
      </c>
      <c r="H7" s="69" t="s">
        <v>4156</v>
      </c>
      <c r="I7" s="15">
        <v>90</v>
      </c>
      <c r="J7" s="15">
        <v>63</v>
      </c>
      <c r="K7" s="15">
        <v>24</v>
      </c>
      <c r="L7" s="15">
        <v>20</v>
      </c>
      <c r="M7" s="73">
        <v>34.020000000000003</v>
      </c>
      <c r="N7" s="104">
        <v>34.020000000000003</v>
      </c>
      <c r="O7" s="57">
        <v>7000</v>
      </c>
      <c r="P7" s="58">
        <f t="shared" si="0"/>
        <v>238140.00000000003</v>
      </c>
    </row>
    <row r="8" spans="1:16" ht="26.25" customHeight="1" x14ac:dyDescent="0.2">
      <c r="A8" s="100"/>
      <c r="B8" s="100"/>
      <c r="C8" s="65" t="s">
        <v>4243</v>
      </c>
      <c r="D8" s="70" t="s">
        <v>57</v>
      </c>
      <c r="E8" s="12">
        <v>44552</v>
      </c>
      <c r="F8" s="68" t="s">
        <v>59</v>
      </c>
      <c r="G8" s="12">
        <v>44558</v>
      </c>
      <c r="H8" s="69" t="s">
        <v>4156</v>
      </c>
      <c r="I8" s="15">
        <v>81</v>
      </c>
      <c r="J8" s="15">
        <v>59</v>
      </c>
      <c r="K8" s="15">
        <v>23</v>
      </c>
      <c r="L8" s="15">
        <v>15</v>
      </c>
      <c r="M8" s="73">
        <v>27.47925</v>
      </c>
      <c r="N8" s="104">
        <v>28</v>
      </c>
      <c r="O8" s="57">
        <v>7000</v>
      </c>
      <c r="P8" s="58">
        <f t="shared" si="0"/>
        <v>196000</v>
      </c>
    </row>
    <row r="9" spans="1:16" ht="26.25" customHeight="1" x14ac:dyDescent="0.2">
      <c r="A9" s="100"/>
      <c r="B9" s="100"/>
      <c r="C9" s="65" t="s">
        <v>4244</v>
      </c>
      <c r="D9" s="70" t="s">
        <v>57</v>
      </c>
      <c r="E9" s="12">
        <v>44552</v>
      </c>
      <c r="F9" s="68" t="s">
        <v>59</v>
      </c>
      <c r="G9" s="12">
        <v>44558</v>
      </c>
      <c r="H9" s="69" t="s">
        <v>4156</v>
      </c>
      <c r="I9" s="15">
        <v>71</v>
      </c>
      <c r="J9" s="15">
        <v>60</v>
      </c>
      <c r="K9" s="15">
        <v>18</v>
      </c>
      <c r="L9" s="15">
        <v>10</v>
      </c>
      <c r="M9" s="73">
        <v>19.170000000000002</v>
      </c>
      <c r="N9" s="104">
        <v>19.170000000000002</v>
      </c>
      <c r="O9" s="57">
        <v>7000</v>
      </c>
      <c r="P9" s="58">
        <f t="shared" si="0"/>
        <v>134190</v>
      </c>
    </row>
    <row r="10" spans="1:16" ht="26.25" customHeight="1" x14ac:dyDescent="0.2">
      <c r="A10" s="100"/>
      <c r="B10" s="100"/>
      <c r="C10" s="65" t="s">
        <v>4245</v>
      </c>
      <c r="D10" s="70" t="s">
        <v>57</v>
      </c>
      <c r="E10" s="12">
        <v>44552</v>
      </c>
      <c r="F10" s="68" t="s">
        <v>59</v>
      </c>
      <c r="G10" s="12">
        <v>44558</v>
      </c>
      <c r="H10" s="69" t="s">
        <v>4156</v>
      </c>
      <c r="I10" s="15">
        <v>101</v>
      </c>
      <c r="J10" s="15">
        <v>56</v>
      </c>
      <c r="K10" s="15">
        <v>31</v>
      </c>
      <c r="L10" s="15">
        <v>23</v>
      </c>
      <c r="M10" s="73">
        <v>43.834000000000003</v>
      </c>
      <c r="N10" s="104">
        <v>43.834000000000003</v>
      </c>
      <c r="O10" s="57">
        <v>7000</v>
      </c>
      <c r="P10" s="58">
        <f t="shared" si="0"/>
        <v>306838</v>
      </c>
    </row>
    <row r="11" spans="1:16" ht="26.25" customHeight="1" x14ac:dyDescent="0.2">
      <c r="A11" s="100"/>
      <c r="B11" s="100"/>
      <c r="C11" s="65" t="s">
        <v>4246</v>
      </c>
      <c r="D11" s="70" t="s">
        <v>57</v>
      </c>
      <c r="E11" s="12">
        <v>44552</v>
      </c>
      <c r="F11" s="68" t="s">
        <v>59</v>
      </c>
      <c r="G11" s="12">
        <v>44558</v>
      </c>
      <c r="H11" s="69" t="s">
        <v>4156</v>
      </c>
      <c r="I11" s="15">
        <v>102</v>
      </c>
      <c r="J11" s="15">
        <v>61</v>
      </c>
      <c r="K11" s="15">
        <v>28</v>
      </c>
      <c r="L11" s="15">
        <v>22</v>
      </c>
      <c r="M11" s="73">
        <v>43.554000000000002</v>
      </c>
      <c r="N11" s="104">
        <v>43.554000000000002</v>
      </c>
      <c r="O11" s="57">
        <v>7000</v>
      </c>
      <c r="P11" s="58">
        <f t="shared" si="0"/>
        <v>304878</v>
      </c>
    </row>
    <row r="12" spans="1:16" ht="26.25" customHeight="1" x14ac:dyDescent="0.2">
      <c r="A12" s="100"/>
      <c r="B12" s="100"/>
      <c r="C12" s="65" t="s">
        <v>4247</v>
      </c>
      <c r="D12" s="70" t="s">
        <v>57</v>
      </c>
      <c r="E12" s="12">
        <v>44552</v>
      </c>
      <c r="F12" s="68" t="s">
        <v>59</v>
      </c>
      <c r="G12" s="12">
        <v>44558</v>
      </c>
      <c r="H12" s="69" t="s">
        <v>4156</v>
      </c>
      <c r="I12" s="15">
        <v>93</v>
      </c>
      <c r="J12" s="15">
        <v>58</v>
      </c>
      <c r="K12" s="15">
        <v>27</v>
      </c>
      <c r="L12" s="15">
        <v>22</v>
      </c>
      <c r="M12" s="73">
        <v>36.409500000000001</v>
      </c>
      <c r="N12" s="104">
        <v>37</v>
      </c>
      <c r="O12" s="57">
        <v>7000</v>
      </c>
      <c r="P12" s="58">
        <f t="shared" si="0"/>
        <v>259000</v>
      </c>
    </row>
    <row r="13" spans="1:16" ht="26.25" customHeight="1" x14ac:dyDescent="0.2">
      <c r="A13" s="100"/>
      <c r="B13" s="100"/>
      <c r="C13" s="65" t="s">
        <v>4248</v>
      </c>
      <c r="D13" s="70" t="s">
        <v>57</v>
      </c>
      <c r="E13" s="12">
        <v>44552</v>
      </c>
      <c r="F13" s="68" t="s">
        <v>59</v>
      </c>
      <c r="G13" s="12">
        <v>44558</v>
      </c>
      <c r="H13" s="69" t="s">
        <v>4156</v>
      </c>
      <c r="I13" s="15">
        <v>82</v>
      </c>
      <c r="J13" s="15">
        <v>62</v>
      </c>
      <c r="K13" s="15">
        <v>22</v>
      </c>
      <c r="L13" s="15">
        <v>21</v>
      </c>
      <c r="M13" s="73">
        <v>27.962</v>
      </c>
      <c r="N13" s="104">
        <v>27.962</v>
      </c>
      <c r="O13" s="57">
        <v>7000</v>
      </c>
      <c r="P13" s="58">
        <f t="shared" si="0"/>
        <v>195734</v>
      </c>
    </row>
    <row r="14" spans="1:16" ht="26.25" customHeight="1" x14ac:dyDescent="0.2">
      <c r="A14" s="100"/>
      <c r="B14" s="100"/>
      <c r="C14" s="65" t="s">
        <v>4249</v>
      </c>
      <c r="D14" s="70" t="s">
        <v>57</v>
      </c>
      <c r="E14" s="12">
        <v>44552</v>
      </c>
      <c r="F14" s="68" t="s">
        <v>59</v>
      </c>
      <c r="G14" s="12">
        <v>44558</v>
      </c>
      <c r="H14" s="69" t="s">
        <v>4156</v>
      </c>
      <c r="I14" s="15">
        <v>99</v>
      </c>
      <c r="J14" s="15">
        <v>62</v>
      </c>
      <c r="K14" s="15">
        <v>28</v>
      </c>
      <c r="L14" s="15">
        <v>30</v>
      </c>
      <c r="M14" s="73">
        <v>42.966000000000001</v>
      </c>
      <c r="N14" s="104">
        <v>42.966000000000001</v>
      </c>
      <c r="O14" s="57">
        <v>7000</v>
      </c>
      <c r="P14" s="58">
        <f t="shared" si="0"/>
        <v>300762</v>
      </c>
    </row>
    <row r="15" spans="1:16" ht="26.25" customHeight="1" x14ac:dyDescent="0.2">
      <c r="A15" s="100"/>
      <c r="B15" s="100"/>
      <c r="C15" s="65" t="s">
        <v>4250</v>
      </c>
      <c r="D15" s="70" t="s">
        <v>57</v>
      </c>
      <c r="E15" s="12">
        <v>44552</v>
      </c>
      <c r="F15" s="68" t="s">
        <v>59</v>
      </c>
      <c r="G15" s="12">
        <v>44558</v>
      </c>
      <c r="H15" s="69" t="s">
        <v>4156</v>
      </c>
      <c r="I15" s="15">
        <v>88</v>
      </c>
      <c r="J15" s="15">
        <v>53</v>
      </c>
      <c r="K15" s="15">
        <v>24</v>
      </c>
      <c r="L15" s="15">
        <v>14</v>
      </c>
      <c r="M15" s="73">
        <v>27.984000000000002</v>
      </c>
      <c r="N15" s="104">
        <v>27.984000000000002</v>
      </c>
      <c r="O15" s="57">
        <v>7000</v>
      </c>
      <c r="P15" s="58">
        <f t="shared" si="0"/>
        <v>195888</v>
      </c>
    </row>
    <row r="16" spans="1:16" ht="26.25" customHeight="1" x14ac:dyDescent="0.2">
      <c r="A16" s="100"/>
      <c r="B16" s="100"/>
      <c r="C16" s="65" t="s">
        <v>4251</v>
      </c>
      <c r="D16" s="70" t="s">
        <v>57</v>
      </c>
      <c r="E16" s="12">
        <v>44552</v>
      </c>
      <c r="F16" s="68" t="s">
        <v>59</v>
      </c>
      <c r="G16" s="12">
        <v>44558</v>
      </c>
      <c r="H16" s="69" t="s">
        <v>4156</v>
      </c>
      <c r="I16" s="15">
        <v>79</v>
      </c>
      <c r="J16" s="15">
        <v>56</v>
      </c>
      <c r="K16" s="15">
        <v>18</v>
      </c>
      <c r="L16" s="15">
        <v>18</v>
      </c>
      <c r="M16" s="73">
        <v>19.908000000000001</v>
      </c>
      <c r="N16" s="104">
        <v>19.908000000000001</v>
      </c>
      <c r="O16" s="57">
        <v>7000</v>
      </c>
      <c r="P16" s="58">
        <f t="shared" si="0"/>
        <v>139356</v>
      </c>
    </row>
    <row r="17" spans="1:16" ht="26.25" customHeight="1" x14ac:dyDescent="0.2">
      <c r="A17" s="100"/>
      <c r="B17" s="100"/>
      <c r="C17" s="65" t="s">
        <v>4252</v>
      </c>
      <c r="D17" s="70" t="s">
        <v>57</v>
      </c>
      <c r="E17" s="12">
        <v>44552</v>
      </c>
      <c r="F17" s="68" t="s">
        <v>59</v>
      </c>
      <c r="G17" s="12">
        <v>44558</v>
      </c>
      <c r="H17" s="69" t="s">
        <v>4156</v>
      </c>
      <c r="I17" s="15">
        <v>74</v>
      </c>
      <c r="J17" s="15">
        <v>64</v>
      </c>
      <c r="K17" s="15">
        <v>16</v>
      </c>
      <c r="L17" s="15">
        <v>12</v>
      </c>
      <c r="M17" s="73">
        <v>18.943999999999999</v>
      </c>
      <c r="N17" s="104">
        <v>18.943999999999999</v>
      </c>
      <c r="O17" s="57">
        <v>7000</v>
      </c>
      <c r="P17" s="58">
        <f t="shared" si="0"/>
        <v>132608</v>
      </c>
    </row>
    <row r="18" spans="1:16" ht="26.25" customHeight="1" x14ac:dyDescent="0.2">
      <c r="A18" s="100"/>
      <c r="B18" s="100"/>
      <c r="C18" s="65" t="s">
        <v>4253</v>
      </c>
      <c r="D18" s="70" t="s">
        <v>57</v>
      </c>
      <c r="E18" s="12">
        <v>44552</v>
      </c>
      <c r="F18" s="68" t="s">
        <v>59</v>
      </c>
      <c r="G18" s="12">
        <v>44558</v>
      </c>
      <c r="H18" s="69" t="s">
        <v>4156</v>
      </c>
      <c r="I18" s="15">
        <v>80</v>
      </c>
      <c r="J18" s="15">
        <v>64</v>
      </c>
      <c r="K18" s="15">
        <v>31</v>
      </c>
      <c r="L18" s="15">
        <v>17</v>
      </c>
      <c r="M18" s="73">
        <v>39.68</v>
      </c>
      <c r="N18" s="104">
        <v>39.68</v>
      </c>
      <c r="O18" s="57">
        <v>7000</v>
      </c>
      <c r="P18" s="58">
        <f t="shared" si="0"/>
        <v>277760</v>
      </c>
    </row>
    <row r="19" spans="1:16" ht="26.25" customHeight="1" x14ac:dyDescent="0.2">
      <c r="A19" s="100"/>
      <c r="B19" s="100"/>
      <c r="C19" s="65" t="s">
        <v>4254</v>
      </c>
      <c r="D19" s="70" t="s">
        <v>57</v>
      </c>
      <c r="E19" s="12">
        <v>44552</v>
      </c>
      <c r="F19" s="68" t="s">
        <v>59</v>
      </c>
      <c r="G19" s="12">
        <v>44558</v>
      </c>
      <c r="H19" s="69" t="s">
        <v>4156</v>
      </c>
      <c r="I19" s="15">
        <v>81</v>
      </c>
      <c r="J19" s="15">
        <v>62</v>
      </c>
      <c r="K19" s="15">
        <v>16</v>
      </c>
      <c r="L19" s="15">
        <v>14</v>
      </c>
      <c r="M19" s="73">
        <v>20.088000000000001</v>
      </c>
      <c r="N19" s="104">
        <v>20.088000000000001</v>
      </c>
      <c r="O19" s="57">
        <v>7000</v>
      </c>
      <c r="P19" s="58">
        <f t="shared" si="0"/>
        <v>140616</v>
      </c>
    </row>
    <row r="20" spans="1:16" ht="26.25" customHeight="1" x14ac:dyDescent="0.2">
      <c r="A20" s="100"/>
      <c r="B20" s="100"/>
      <c r="C20" s="65" t="s">
        <v>4255</v>
      </c>
      <c r="D20" s="70" t="s">
        <v>57</v>
      </c>
      <c r="E20" s="12">
        <v>44552</v>
      </c>
      <c r="F20" s="68" t="s">
        <v>59</v>
      </c>
      <c r="G20" s="12">
        <v>44558</v>
      </c>
      <c r="H20" s="69" t="s">
        <v>4156</v>
      </c>
      <c r="I20" s="15">
        <v>71</v>
      </c>
      <c r="J20" s="15">
        <v>58</v>
      </c>
      <c r="K20" s="15">
        <v>22</v>
      </c>
      <c r="L20" s="15">
        <v>13</v>
      </c>
      <c r="M20" s="73">
        <v>22.649000000000001</v>
      </c>
      <c r="N20" s="104">
        <v>22.649000000000001</v>
      </c>
      <c r="O20" s="57">
        <v>7000</v>
      </c>
      <c r="P20" s="58">
        <f t="shared" si="0"/>
        <v>158543</v>
      </c>
    </row>
    <row r="21" spans="1:16" ht="26.25" customHeight="1" x14ac:dyDescent="0.2">
      <c r="A21" s="100"/>
      <c r="B21" s="100"/>
      <c r="C21" s="65" t="s">
        <v>4256</v>
      </c>
      <c r="D21" s="70" t="s">
        <v>57</v>
      </c>
      <c r="E21" s="12">
        <v>44552</v>
      </c>
      <c r="F21" s="68" t="s">
        <v>59</v>
      </c>
      <c r="G21" s="12">
        <v>44558</v>
      </c>
      <c r="H21" s="69" t="s">
        <v>4156</v>
      </c>
      <c r="I21" s="15">
        <v>60</v>
      </c>
      <c r="J21" s="15">
        <v>52</v>
      </c>
      <c r="K21" s="15">
        <v>32</v>
      </c>
      <c r="L21" s="15">
        <v>7</v>
      </c>
      <c r="M21" s="73">
        <v>24.96</v>
      </c>
      <c r="N21" s="104">
        <v>24.96</v>
      </c>
      <c r="O21" s="57">
        <v>7000</v>
      </c>
      <c r="P21" s="58">
        <f t="shared" si="0"/>
        <v>174720</v>
      </c>
    </row>
    <row r="22" spans="1:16" ht="26.25" customHeight="1" x14ac:dyDescent="0.2">
      <c r="A22" s="100"/>
      <c r="B22" s="100"/>
      <c r="C22" s="65" t="s">
        <v>4257</v>
      </c>
      <c r="D22" s="70" t="s">
        <v>57</v>
      </c>
      <c r="E22" s="12">
        <v>44552</v>
      </c>
      <c r="F22" s="68" t="s">
        <v>59</v>
      </c>
      <c r="G22" s="12">
        <v>44558</v>
      </c>
      <c r="H22" s="69" t="s">
        <v>4156</v>
      </c>
      <c r="I22" s="15">
        <v>95</v>
      </c>
      <c r="J22" s="15">
        <v>58</v>
      </c>
      <c r="K22" s="15">
        <v>27</v>
      </c>
      <c r="L22" s="15">
        <v>20</v>
      </c>
      <c r="M22" s="73">
        <v>37.192500000000003</v>
      </c>
      <c r="N22" s="104">
        <v>37.192500000000003</v>
      </c>
      <c r="O22" s="57">
        <v>7000</v>
      </c>
      <c r="P22" s="58">
        <f t="shared" si="0"/>
        <v>260347.50000000003</v>
      </c>
    </row>
    <row r="23" spans="1:16" ht="26.25" customHeight="1" x14ac:dyDescent="0.2">
      <c r="A23" s="100"/>
      <c r="B23" s="100"/>
      <c r="C23" s="65" t="s">
        <v>4258</v>
      </c>
      <c r="D23" s="70" t="s">
        <v>57</v>
      </c>
      <c r="E23" s="12">
        <v>44552</v>
      </c>
      <c r="F23" s="68" t="s">
        <v>59</v>
      </c>
      <c r="G23" s="12">
        <v>44558</v>
      </c>
      <c r="H23" s="69" t="s">
        <v>4156</v>
      </c>
      <c r="I23" s="15">
        <v>46</v>
      </c>
      <c r="J23" s="15">
        <v>49</v>
      </c>
      <c r="K23" s="15">
        <v>22</v>
      </c>
      <c r="L23" s="15">
        <v>5</v>
      </c>
      <c r="M23" s="73">
        <v>12.397</v>
      </c>
      <c r="N23" s="104">
        <v>13</v>
      </c>
      <c r="O23" s="57">
        <v>7000</v>
      </c>
      <c r="P23" s="58">
        <f t="shared" si="0"/>
        <v>91000</v>
      </c>
    </row>
    <row r="24" spans="1:16" ht="26.25" customHeight="1" x14ac:dyDescent="0.2">
      <c r="A24" s="100"/>
      <c r="B24" s="100"/>
      <c r="C24" s="65" t="s">
        <v>4259</v>
      </c>
      <c r="D24" s="70" t="s">
        <v>57</v>
      </c>
      <c r="E24" s="12">
        <v>44552</v>
      </c>
      <c r="F24" s="68" t="s">
        <v>59</v>
      </c>
      <c r="G24" s="12">
        <v>44558</v>
      </c>
      <c r="H24" s="69" t="s">
        <v>4156</v>
      </c>
      <c r="I24" s="15">
        <v>95</v>
      </c>
      <c r="J24" s="15">
        <v>61</v>
      </c>
      <c r="K24" s="15">
        <v>22</v>
      </c>
      <c r="L24" s="15">
        <v>25</v>
      </c>
      <c r="M24" s="73">
        <v>31.872499999999999</v>
      </c>
      <c r="N24" s="104">
        <v>31.872499999999999</v>
      </c>
      <c r="O24" s="57">
        <v>7000</v>
      </c>
      <c r="P24" s="58">
        <f t="shared" si="0"/>
        <v>223107.5</v>
      </c>
    </row>
    <row r="25" spans="1:16" ht="26.25" customHeight="1" x14ac:dyDescent="0.2">
      <c r="A25" s="100"/>
      <c r="B25" s="100"/>
      <c r="C25" s="65" t="s">
        <v>4260</v>
      </c>
      <c r="D25" s="70" t="s">
        <v>57</v>
      </c>
      <c r="E25" s="12">
        <v>44552</v>
      </c>
      <c r="F25" s="68" t="s">
        <v>59</v>
      </c>
      <c r="G25" s="12">
        <v>44558</v>
      </c>
      <c r="H25" s="69" t="s">
        <v>4156</v>
      </c>
      <c r="I25" s="15">
        <v>67</v>
      </c>
      <c r="J25" s="15">
        <v>58</v>
      </c>
      <c r="K25" s="15">
        <v>22</v>
      </c>
      <c r="L25" s="15">
        <v>8</v>
      </c>
      <c r="M25" s="73">
        <v>21.373000000000001</v>
      </c>
      <c r="N25" s="104">
        <v>22</v>
      </c>
      <c r="O25" s="57">
        <v>7000</v>
      </c>
      <c r="P25" s="58">
        <f t="shared" si="0"/>
        <v>154000</v>
      </c>
    </row>
    <row r="26" spans="1:16" ht="26.25" customHeight="1" x14ac:dyDescent="0.2">
      <c r="A26" s="100"/>
      <c r="B26" s="100"/>
      <c r="C26" s="65" t="s">
        <v>4261</v>
      </c>
      <c r="D26" s="70" t="s">
        <v>57</v>
      </c>
      <c r="E26" s="12">
        <v>44552</v>
      </c>
      <c r="F26" s="68" t="s">
        <v>59</v>
      </c>
      <c r="G26" s="12">
        <v>44558</v>
      </c>
      <c r="H26" s="69" t="s">
        <v>4156</v>
      </c>
      <c r="I26" s="15">
        <v>66</v>
      </c>
      <c r="J26" s="15">
        <v>36</v>
      </c>
      <c r="K26" s="15">
        <v>35</v>
      </c>
      <c r="L26" s="15">
        <v>4</v>
      </c>
      <c r="M26" s="73">
        <v>20.79</v>
      </c>
      <c r="N26" s="104">
        <v>20.79</v>
      </c>
      <c r="O26" s="57">
        <v>7000</v>
      </c>
      <c r="P26" s="58">
        <f t="shared" si="0"/>
        <v>145530</v>
      </c>
    </row>
    <row r="27" spans="1:16" ht="26.25" customHeight="1" x14ac:dyDescent="0.2">
      <c r="A27" s="100"/>
      <c r="B27" s="100"/>
      <c r="C27" s="65" t="s">
        <v>4262</v>
      </c>
      <c r="D27" s="70" t="s">
        <v>57</v>
      </c>
      <c r="E27" s="12">
        <v>44552</v>
      </c>
      <c r="F27" s="68" t="s">
        <v>59</v>
      </c>
      <c r="G27" s="12">
        <v>44558</v>
      </c>
      <c r="H27" s="69" t="s">
        <v>4156</v>
      </c>
      <c r="I27" s="15">
        <v>91</v>
      </c>
      <c r="J27" s="15">
        <v>43</v>
      </c>
      <c r="K27" s="15">
        <v>11</v>
      </c>
      <c r="L27" s="15">
        <v>2</v>
      </c>
      <c r="M27" s="73">
        <v>10.76075</v>
      </c>
      <c r="N27" s="104">
        <v>10.76075</v>
      </c>
      <c r="O27" s="57">
        <v>7000</v>
      </c>
      <c r="P27" s="58">
        <f t="shared" si="0"/>
        <v>75325.25</v>
      </c>
    </row>
    <row r="28" spans="1:16" ht="26.25" customHeight="1" x14ac:dyDescent="0.2">
      <c r="A28" s="100"/>
      <c r="B28" s="100"/>
      <c r="C28" s="65" t="s">
        <v>4263</v>
      </c>
      <c r="D28" s="70" t="s">
        <v>57</v>
      </c>
      <c r="E28" s="12">
        <v>44552</v>
      </c>
      <c r="F28" s="68" t="s">
        <v>59</v>
      </c>
      <c r="G28" s="12">
        <v>44558</v>
      </c>
      <c r="H28" s="69" t="s">
        <v>4156</v>
      </c>
      <c r="I28" s="15">
        <v>60</v>
      </c>
      <c r="J28" s="15">
        <v>41</v>
      </c>
      <c r="K28" s="15">
        <v>8</v>
      </c>
      <c r="L28" s="15">
        <v>5</v>
      </c>
      <c r="M28" s="73">
        <v>4.92</v>
      </c>
      <c r="N28" s="104">
        <v>5</v>
      </c>
      <c r="O28" s="57">
        <v>7000</v>
      </c>
      <c r="P28" s="58">
        <f t="shared" si="0"/>
        <v>35000</v>
      </c>
    </row>
    <row r="29" spans="1:16" ht="26.25" customHeight="1" x14ac:dyDescent="0.2">
      <c r="A29" s="100"/>
      <c r="B29" s="100"/>
      <c r="C29" s="65" t="s">
        <v>4264</v>
      </c>
      <c r="D29" s="70" t="s">
        <v>57</v>
      </c>
      <c r="E29" s="12">
        <v>44552</v>
      </c>
      <c r="F29" s="68" t="s">
        <v>59</v>
      </c>
      <c r="G29" s="12">
        <v>44558</v>
      </c>
      <c r="H29" s="69" t="s">
        <v>4156</v>
      </c>
      <c r="I29" s="15">
        <v>52</v>
      </c>
      <c r="J29" s="15">
        <v>48</v>
      </c>
      <c r="K29" s="15">
        <v>22</v>
      </c>
      <c r="L29" s="15">
        <v>9</v>
      </c>
      <c r="M29" s="73">
        <v>13.728</v>
      </c>
      <c r="N29" s="104">
        <v>13.728</v>
      </c>
      <c r="O29" s="57">
        <v>7000</v>
      </c>
      <c r="P29" s="58">
        <f t="shared" si="0"/>
        <v>96096</v>
      </c>
    </row>
    <row r="30" spans="1:16" ht="26.25" customHeight="1" x14ac:dyDescent="0.2">
      <c r="A30" s="100"/>
      <c r="B30" s="100"/>
      <c r="C30" s="65" t="s">
        <v>4265</v>
      </c>
      <c r="D30" s="70" t="s">
        <v>57</v>
      </c>
      <c r="E30" s="12">
        <v>44552</v>
      </c>
      <c r="F30" s="68" t="s">
        <v>59</v>
      </c>
      <c r="G30" s="12">
        <v>44558</v>
      </c>
      <c r="H30" s="69" t="s">
        <v>4156</v>
      </c>
      <c r="I30" s="15">
        <v>81</v>
      </c>
      <c r="J30" s="15">
        <v>59</v>
      </c>
      <c r="K30" s="15">
        <v>25</v>
      </c>
      <c r="L30" s="15">
        <v>12</v>
      </c>
      <c r="M30" s="73">
        <v>29.868749999999999</v>
      </c>
      <c r="N30" s="104">
        <v>29.868749999999999</v>
      </c>
      <c r="O30" s="57">
        <v>7000</v>
      </c>
      <c r="P30" s="58">
        <f t="shared" si="0"/>
        <v>209081.25</v>
      </c>
    </row>
    <row r="31" spans="1:16" ht="26.25" customHeight="1" x14ac:dyDescent="0.2">
      <c r="A31" s="100"/>
      <c r="B31" s="100"/>
      <c r="C31" s="65" t="s">
        <v>4266</v>
      </c>
      <c r="D31" s="70" t="s">
        <v>57</v>
      </c>
      <c r="E31" s="12">
        <v>44552</v>
      </c>
      <c r="F31" s="68" t="s">
        <v>59</v>
      </c>
      <c r="G31" s="12">
        <v>44558</v>
      </c>
      <c r="H31" s="69" t="s">
        <v>4156</v>
      </c>
      <c r="I31" s="15">
        <v>61</v>
      </c>
      <c r="J31" s="15">
        <v>50</v>
      </c>
      <c r="K31" s="15">
        <v>28</v>
      </c>
      <c r="L31" s="15">
        <v>4</v>
      </c>
      <c r="M31" s="73">
        <v>21.35</v>
      </c>
      <c r="N31" s="104">
        <v>22</v>
      </c>
      <c r="O31" s="57">
        <v>7000</v>
      </c>
      <c r="P31" s="58">
        <f t="shared" si="0"/>
        <v>154000</v>
      </c>
    </row>
    <row r="32" spans="1:16" ht="26.25" customHeight="1" x14ac:dyDescent="0.2">
      <c r="A32" s="100"/>
      <c r="B32" s="100"/>
      <c r="C32" s="65" t="s">
        <v>4267</v>
      </c>
      <c r="D32" s="70" t="s">
        <v>57</v>
      </c>
      <c r="E32" s="12">
        <v>44552</v>
      </c>
      <c r="F32" s="68" t="s">
        <v>59</v>
      </c>
      <c r="G32" s="12">
        <v>44558</v>
      </c>
      <c r="H32" s="69" t="s">
        <v>4156</v>
      </c>
      <c r="I32" s="15">
        <v>43</v>
      </c>
      <c r="J32" s="15">
        <v>25</v>
      </c>
      <c r="K32" s="15">
        <v>23</v>
      </c>
      <c r="L32" s="15">
        <v>2</v>
      </c>
      <c r="M32" s="73">
        <v>6.1812500000000004</v>
      </c>
      <c r="N32" s="104">
        <v>6.1812500000000004</v>
      </c>
      <c r="O32" s="57">
        <v>7000</v>
      </c>
      <c r="P32" s="58">
        <f t="shared" si="0"/>
        <v>43268.75</v>
      </c>
    </row>
    <row r="33" spans="1:16" ht="26.25" customHeight="1" x14ac:dyDescent="0.2">
      <c r="A33" s="100"/>
      <c r="B33" s="100"/>
      <c r="C33" s="65" t="s">
        <v>4268</v>
      </c>
      <c r="D33" s="70" t="s">
        <v>57</v>
      </c>
      <c r="E33" s="12">
        <v>44552</v>
      </c>
      <c r="F33" s="68" t="s">
        <v>59</v>
      </c>
      <c r="G33" s="12">
        <v>44558</v>
      </c>
      <c r="H33" s="69" t="s">
        <v>4156</v>
      </c>
      <c r="I33" s="15">
        <v>77</v>
      </c>
      <c r="J33" s="15">
        <v>54</v>
      </c>
      <c r="K33" s="15">
        <v>22</v>
      </c>
      <c r="L33" s="15">
        <v>10</v>
      </c>
      <c r="M33" s="73">
        <v>22.869</v>
      </c>
      <c r="N33" s="104">
        <v>22.869</v>
      </c>
      <c r="O33" s="57">
        <v>7000</v>
      </c>
      <c r="P33" s="58">
        <f t="shared" si="0"/>
        <v>160083</v>
      </c>
    </row>
    <row r="34" spans="1:16" ht="26.25" customHeight="1" x14ac:dyDescent="0.2">
      <c r="A34" s="100"/>
      <c r="B34" s="100"/>
      <c r="C34" s="65" t="s">
        <v>4269</v>
      </c>
      <c r="D34" s="70" t="s">
        <v>57</v>
      </c>
      <c r="E34" s="12">
        <v>44552</v>
      </c>
      <c r="F34" s="68" t="s">
        <v>59</v>
      </c>
      <c r="G34" s="12">
        <v>44558</v>
      </c>
      <c r="H34" s="69" t="s">
        <v>4156</v>
      </c>
      <c r="I34" s="15">
        <v>58</v>
      </c>
      <c r="J34" s="15">
        <v>41</v>
      </c>
      <c r="K34" s="15">
        <v>17</v>
      </c>
      <c r="L34" s="15">
        <v>4</v>
      </c>
      <c r="M34" s="73">
        <v>10.1065</v>
      </c>
      <c r="N34" s="104">
        <v>10.1065</v>
      </c>
      <c r="O34" s="57">
        <v>7000</v>
      </c>
      <c r="P34" s="58">
        <f t="shared" si="0"/>
        <v>70745.5</v>
      </c>
    </row>
    <row r="35" spans="1:16" ht="26.25" customHeight="1" x14ac:dyDescent="0.2">
      <c r="A35" s="100"/>
      <c r="B35" s="100"/>
      <c r="C35" s="65" t="s">
        <v>4270</v>
      </c>
      <c r="D35" s="70" t="s">
        <v>57</v>
      </c>
      <c r="E35" s="12">
        <v>44552</v>
      </c>
      <c r="F35" s="68" t="s">
        <v>59</v>
      </c>
      <c r="G35" s="12">
        <v>44558</v>
      </c>
      <c r="H35" s="69" t="s">
        <v>4156</v>
      </c>
      <c r="I35" s="15">
        <v>103</v>
      </c>
      <c r="J35" s="15">
        <v>22</v>
      </c>
      <c r="K35" s="15">
        <v>14</v>
      </c>
      <c r="L35" s="15">
        <v>15</v>
      </c>
      <c r="M35" s="73">
        <v>7.931</v>
      </c>
      <c r="N35" s="104">
        <v>15</v>
      </c>
      <c r="O35" s="57">
        <v>7000</v>
      </c>
      <c r="P35" s="58">
        <f t="shared" si="0"/>
        <v>105000</v>
      </c>
    </row>
    <row r="36" spans="1:16" ht="26.25" customHeight="1" x14ac:dyDescent="0.2">
      <c r="A36" s="100"/>
      <c r="B36" s="100"/>
      <c r="C36" s="65" t="s">
        <v>4271</v>
      </c>
      <c r="D36" s="70" t="s">
        <v>57</v>
      </c>
      <c r="E36" s="12">
        <v>44552</v>
      </c>
      <c r="F36" s="68" t="s">
        <v>59</v>
      </c>
      <c r="G36" s="12">
        <v>44558</v>
      </c>
      <c r="H36" s="69" t="s">
        <v>4156</v>
      </c>
      <c r="I36" s="15">
        <v>89</v>
      </c>
      <c r="J36" s="15">
        <v>42</v>
      </c>
      <c r="K36" s="15">
        <v>12</v>
      </c>
      <c r="L36" s="15">
        <v>2</v>
      </c>
      <c r="M36" s="73">
        <v>11.214</v>
      </c>
      <c r="N36" s="104">
        <v>11.214</v>
      </c>
      <c r="O36" s="57">
        <v>7000</v>
      </c>
      <c r="P36" s="58">
        <f t="shared" si="0"/>
        <v>78498</v>
      </c>
    </row>
    <row r="37" spans="1:16" ht="26.25" customHeight="1" x14ac:dyDescent="0.2">
      <c r="A37" s="100"/>
      <c r="B37" s="100"/>
      <c r="C37" s="65" t="s">
        <v>4272</v>
      </c>
      <c r="D37" s="70" t="s">
        <v>57</v>
      </c>
      <c r="E37" s="12">
        <v>44552</v>
      </c>
      <c r="F37" s="68" t="s">
        <v>59</v>
      </c>
      <c r="G37" s="12">
        <v>44558</v>
      </c>
      <c r="H37" s="69" t="s">
        <v>4156</v>
      </c>
      <c r="I37" s="15">
        <v>61</v>
      </c>
      <c r="J37" s="15">
        <v>31</v>
      </c>
      <c r="K37" s="15">
        <v>12</v>
      </c>
      <c r="L37" s="15">
        <v>2</v>
      </c>
      <c r="M37" s="73">
        <v>5.673</v>
      </c>
      <c r="N37" s="104">
        <v>5.673</v>
      </c>
      <c r="O37" s="57">
        <v>7000</v>
      </c>
      <c r="P37" s="58">
        <f t="shared" si="0"/>
        <v>39711</v>
      </c>
    </row>
    <row r="38" spans="1:16" ht="26.25" customHeight="1" x14ac:dyDescent="0.2">
      <c r="A38" s="100"/>
      <c r="B38" s="100"/>
      <c r="C38" s="65" t="s">
        <v>4273</v>
      </c>
      <c r="D38" s="70" t="s">
        <v>57</v>
      </c>
      <c r="E38" s="12">
        <v>44552</v>
      </c>
      <c r="F38" s="68" t="s">
        <v>59</v>
      </c>
      <c r="G38" s="12">
        <v>44558</v>
      </c>
      <c r="H38" s="69" t="s">
        <v>4156</v>
      </c>
      <c r="I38" s="15">
        <v>38</v>
      </c>
      <c r="J38" s="15">
        <v>34</v>
      </c>
      <c r="K38" s="15">
        <v>14</v>
      </c>
      <c r="L38" s="15">
        <v>4</v>
      </c>
      <c r="M38" s="73">
        <v>4.5220000000000002</v>
      </c>
      <c r="N38" s="104">
        <v>4.5220000000000002</v>
      </c>
      <c r="O38" s="57">
        <v>7000</v>
      </c>
      <c r="P38" s="58">
        <f t="shared" si="0"/>
        <v>31654</v>
      </c>
    </row>
    <row r="39" spans="1:16" ht="26.25" customHeight="1" x14ac:dyDescent="0.2">
      <c r="A39" s="100"/>
      <c r="B39" s="100"/>
      <c r="C39" s="65" t="s">
        <v>4274</v>
      </c>
      <c r="D39" s="70" t="s">
        <v>57</v>
      </c>
      <c r="E39" s="12">
        <v>44552</v>
      </c>
      <c r="F39" s="68" t="s">
        <v>59</v>
      </c>
      <c r="G39" s="12">
        <v>44558</v>
      </c>
      <c r="H39" s="69" t="s">
        <v>4156</v>
      </c>
      <c r="I39" s="15">
        <v>74</v>
      </c>
      <c r="J39" s="15">
        <v>32</v>
      </c>
      <c r="K39" s="15">
        <v>17</v>
      </c>
      <c r="L39" s="15">
        <v>6</v>
      </c>
      <c r="M39" s="73">
        <v>10.064</v>
      </c>
      <c r="N39" s="104">
        <v>10.064</v>
      </c>
      <c r="O39" s="57">
        <v>7000</v>
      </c>
      <c r="P39" s="58">
        <f t="shared" si="0"/>
        <v>70448</v>
      </c>
    </row>
    <row r="40" spans="1:16" ht="26.25" customHeight="1" x14ac:dyDescent="0.2">
      <c r="A40" s="100"/>
      <c r="B40" s="100"/>
      <c r="C40" s="65" t="s">
        <v>4275</v>
      </c>
      <c r="D40" s="70" t="s">
        <v>57</v>
      </c>
      <c r="E40" s="12">
        <v>44552</v>
      </c>
      <c r="F40" s="68" t="s">
        <v>59</v>
      </c>
      <c r="G40" s="12">
        <v>44558</v>
      </c>
      <c r="H40" s="69" t="s">
        <v>4156</v>
      </c>
      <c r="I40" s="15">
        <v>51</v>
      </c>
      <c r="J40" s="15">
        <v>48</v>
      </c>
      <c r="K40" s="15">
        <v>26</v>
      </c>
      <c r="L40" s="15">
        <v>6</v>
      </c>
      <c r="M40" s="73">
        <v>15.912000000000001</v>
      </c>
      <c r="N40" s="104">
        <v>15.912000000000001</v>
      </c>
      <c r="O40" s="57">
        <v>7000</v>
      </c>
      <c r="P40" s="58">
        <f t="shared" si="0"/>
        <v>111384</v>
      </c>
    </row>
    <row r="41" spans="1:16" ht="26.25" customHeight="1" x14ac:dyDescent="0.2">
      <c r="A41" s="100"/>
      <c r="B41" s="100"/>
      <c r="C41" s="65" t="s">
        <v>4276</v>
      </c>
      <c r="D41" s="70" t="s">
        <v>57</v>
      </c>
      <c r="E41" s="12">
        <v>44552</v>
      </c>
      <c r="F41" s="68" t="s">
        <v>59</v>
      </c>
      <c r="G41" s="12">
        <v>44558</v>
      </c>
      <c r="H41" s="69" t="s">
        <v>4156</v>
      </c>
      <c r="I41" s="15">
        <v>93</v>
      </c>
      <c r="J41" s="15">
        <v>62</v>
      </c>
      <c r="K41" s="15">
        <v>24</v>
      </c>
      <c r="L41" s="15">
        <v>18</v>
      </c>
      <c r="M41" s="73">
        <v>34.595999999999997</v>
      </c>
      <c r="N41" s="104">
        <v>34.595999999999997</v>
      </c>
      <c r="O41" s="57">
        <v>7000</v>
      </c>
      <c r="P41" s="58">
        <f t="shared" si="0"/>
        <v>242171.99999999997</v>
      </c>
    </row>
    <row r="42" spans="1:16" ht="26.25" customHeight="1" x14ac:dyDescent="0.2">
      <c r="A42" s="100"/>
      <c r="B42" s="100"/>
      <c r="C42" s="65" t="s">
        <v>4277</v>
      </c>
      <c r="D42" s="70" t="s">
        <v>57</v>
      </c>
      <c r="E42" s="12">
        <v>44552</v>
      </c>
      <c r="F42" s="68" t="s">
        <v>59</v>
      </c>
      <c r="G42" s="12">
        <v>44558</v>
      </c>
      <c r="H42" s="69" t="s">
        <v>4156</v>
      </c>
      <c r="I42" s="15">
        <v>135</v>
      </c>
      <c r="J42" s="15">
        <v>18</v>
      </c>
      <c r="K42" s="15">
        <v>3</v>
      </c>
      <c r="L42" s="15">
        <v>1</v>
      </c>
      <c r="M42" s="73">
        <v>1.8225</v>
      </c>
      <c r="N42" s="104">
        <v>1.8225</v>
      </c>
      <c r="O42" s="57">
        <v>7000</v>
      </c>
      <c r="P42" s="58">
        <f t="shared" si="0"/>
        <v>12757.5</v>
      </c>
    </row>
    <row r="43" spans="1:16" ht="26.25" customHeight="1" x14ac:dyDescent="0.2">
      <c r="A43" s="100"/>
      <c r="B43" s="100"/>
      <c r="C43" s="65" t="s">
        <v>4278</v>
      </c>
      <c r="D43" s="70" t="s">
        <v>57</v>
      </c>
      <c r="E43" s="12">
        <v>44552</v>
      </c>
      <c r="F43" s="68" t="s">
        <v>59</v>
      </c>
      <c r="G43" s="12">
        <v>44558</v>
      </c>
      <c r="H43" s="69" t="s">
        <v>4156</v>
      </c>
      <c r="I43" s="15">
        <v>76</v>
      </c>
      <c r="J43" s="15">
        <v>65</v>
      </c>
      <c r="K43" s="15">
        <v>19</v>
      </c>
      <c r="L43" s="15">
        <v>10</v>
      </c>
      <c r="M43" s="73">
        <v>23.465</v>
      </c>
      <c r="N43" s="104">
        <v>24</v>
      </c>
      <c r="O43" s="57">
        <v>7000</v>
      </c>
      <c r="P43" s="58">
        <f t="shared" si="0"/>
        <v>168000</v>
      </c>
    </row>
    <row r="44" spans="1:16" ht="26.25" customHeight="1" x14ac:dyDescent="0.2">
      <c r="A44" s="100"/>
      <c r="B44" s="100"/>
      <c r="C44" s="65" t="s">
        <v>4279</v>
      </c>
      <c r="D44" s="70" t="s">
        <v>57</v>
      </c>
      <c r="E44" s="12">
        <v>44552</v>
      </c>
      <c r="F44" s="68" t="s">
        <v>59</v>
      </c>
      <c r="G44" s="12">
        <v>44558</v>
      </c>
      <c r="H44" s="69" t="s">
        <v>4156</v>
      </c>
      <c r="I44" s="15">
        <v>94</v>
      </c>
      <c r="J44" s="15">
        <v>58</v>
      </c>
      <c r="K44" s="15">
        <v>38</v>
      </c>
      <c r="L44" s="15">
        <v>19</v>
      </c>
      <c r="M44" s="73">
        <v>51.793999999999997</v>
      </c>
      <c r="N44" s="104">
        <v>51.793999999999997</v>
      </c>
      <c r="O44" s="57">
        <v>7000</v>
      </c>
      <c r="P44" s="58">
        <f t="shared" si="0"/>
        <v>362558</v>
      </c>
    </row>
    <row r="45" spans="1:16" ht="26.25" customHeight="1" x14ac:dyDescent="0.2">
      <c r="A45" s="100"/>
      <c r="B45" s="100"/>
      <c r="C45" s="65" t="s">
        <v>4280</v>
      </c>
      <c r="D45" s="70" t="s">
        <v>57</v>
      </c>
      <c r="E45" s="12">
        <v>44552</v>
      </c>
      <c r="F45" s="68" t="s">
        <v>59</v>
      </c>
      <c r="G45" s="12">
        <v>44558</v>
      </c>
      <c r="H45" s="69" t="s">
        <v>4156</v>
      </c>
      <c r="I45" s="15">
        <v>103</v>
      </c>
      <c r="J45" s="15">
        <v>54</v>
      </c>
      <c r="K45" s="15">
        <v>35</v>
      </c>
      <c r="L45" s="15">
        <v>13</v>
      </c>
      <c r="M45" s="73">
        <v>48.667499999999997</v>
      </c>
      <c r="N45" s="104">
        <v>48.667499999999997</v>
      </c>
      <c r="O45" s="57">
        <v>7000</v>
      </c>
      <c r="P45" s="58">
        <f t="shared" si="0"/>
        <v>340672.5</v>
      </c>
    </row>
    <row r="46" spans="1:16" ht="26.25" customHeight="1" x14ac:dyDescent="0.2">
      <c r="A46" s="100"/>
      <c r="B46" s="100"/>
      <c r="C46" s="65" t="s">
        <v>4281</v>
      </c>
      <c r="D46" s="70" t="s">
        <v>57</v>
      </c>
      <c r="E46" s="12">
        <v>44552</v>
      </c>
      <c r="F46" s="68" t="s">
        <v>59</v>
      </c>
      <c r="G46" s="12">
        <v>44558</v>
      </c>
      <c r="H46" s="69" t="s">
        <v>4156</v>
      </c>
      <c r="I46" s="15">
        <v>60</v>
      </c>
      <c r="J46" s="15">
        <v>32</v>
      </c>
      <c r="K46" s="15">
        <v>24</v>
      </c>
      <c r="L46" s="15">
        <v>9</v>
      </c>
      <c r="M46" s="73">
        <v>11.52</v>
      </c>
      <c r="N46" s="104">
        <v>11.52</v>
      </c>
      <c r="O46" s="57">
        <v>7000</v>
      </c>
      <c r="P46" s="58">
        <f t="shared" si="0"/>
        <v>80640</v>
      </c>
    </row>
    <row r="47" spans="1:16" ht="26.25" customHeight="1" x14ac:dyDescent="0.2">
      <c r="A47" s="100"/>
      <c r="B47" s="100"/>
      <c r="C47" s="65" t="s">
        <v>4282</v>
      </c>
      <c r="D47" s="70" t="s">
        <v>57</v>
      </c>
      <c r="E47" s="12">
        <v>44552</v>
      </c>
      <c r="F47" s="68" t="s">
        <v>59</v>
      </c>
      <c r="G47" s="12">
        <v>44558</v>
      </c>
      <c r="H47" s="69" t="s">
        <v>4156</v>
      </c>
      <c r="I47" s="15">
        <v>66</v>
      </c>
      <c r="J47" s="15">
        <v>51</v>
      </c>
      <c r="K47" s="15">
        <v>20</v>
      </c>
      <c r="L47" s="15">
        <v>10</v>
      </c>
      <c r="M47" s="73">
        <v>16.829999999999998</v>
      </c>
      <c r="N47" s="104">
        <v>16.829999999999998</v>
      </c>
      <c r="O47" s="57">
        <v>7000</v>
      </c>
      <c r="P47" s="58">
        <f t="shared" si="0"/>
        <v>117809.99999999999</v>
      </c>
    </row>
    <row r="48" spans="1:16" ht="26.25" customHeight="1" x14ac:dyDescent="0.2">
      <c r="A48" s="100"/>
      <c r="B48" s="100"/>
      <c r="C48" s="65" t="s">
        <v>4283</v>
      </c>
      <c r="D48" s="70" t="s">
        <v>57</v>
      </c>
      <c r="E48" s="12">
        <v>44552</v>
      </c>
      <c r="F48" s="68" t="s">
        <v>59</v>
      </c>
      <c r="G48" s="12">
        <v>44558</v>
      </c>
      <c r="H48" s="69" t="s">
        <v>4156</v>
      </c>
      <c r="I48" s="15">
        <v>64</v>
      </c>
      <c r="J48" s="15">
        <v>64</v>
      </c>
      <c r="K48" s="15">
        <v>22</v>
      </c>
      <c r="L48" s="15">
        <v>9</v>
      </c>
      <c r="M48" s="73">
        <v>22.527999999999999</v>
      </c>
      <c r="N48" s="104">
        <v>22.527999999999999</v>
      </c>
      <c r="O48" s="57">
        <v>7000</v>
      </c>
      <c r="P48" s="58">
        <f t="shared" si="0"/>
        <v>157696</v>
      </c>
    </row>
    <row r="49" spans="1:16" ht="26.25" customHeight="1" x14ac:dyDescent="0.2">
      <c r="A49" s="100"/>
      <c r="B49" s="100"/>
      <c r="C49" s="65" t="s">
        <v>4284</v>
      </c>
      <c r="D49" s="70" t="s">
        <v>57</v>
      </c>
      <c r="E49" s="12">
        <v>44552</v>
      </c>
      <c r="F49" s="68" t="s">
        <v>59</v>
      </c>
      <c r="G49" s="12">
        <v>44558</v>
      </c>
      <c r="H49" s="69" t="s">
        <v>4156</v>
      </c>
      <c r="I49" s="15">
        <v>54</v>
      </c>
      <c r="J49" s="15">
        <v>31</v>
      </c>
      <c r="K49" s="15">
        <v>26</v>
      </c>
      <c r="L49" s="15">
        <v>3</v>
      </c>
      <c r="M49" s="73">
        <v>10.881</v>
      </c>
      <c r="N49" s="104">
        <v>10.881</v>
      </c>
      <c r="O49" s="57">
        <v>7000</v>
      </c>
      <c r="P49" s="58">
        <f t="shared" si="0"/>
        <v>76167</v>
      </c>
    </row>
    <row r="50" spans="1:16" ht="26.25" customHeight="1" x14ac:dyDescent="0.2">
      <c r="A50" s="100"/>
      <c r="B50" s="100"/>
      <c r="C50" s="65" t="s">
        <v>4285</v>
      </c>
      <c r="D50" s="70" t="s">
        <v>57</v>
      </c>
      <c r="E50" s="12">
        <v>44552</v>
      </c>
      <c r="F50" s="68" t="s">
        <v>59</v>
      </c>
      <c r="G50" s="12">
        <v>44558</v>
      </c>
      <c r="H50" s="69" t="s">
        <v>4156</v>
      </c>
      <c r="I50" s="15">
        <v>65</v>
      </c>
      <c r="J50" s="15">
        <v>60</v>
      </c>
      <c r="K50" s="15">
        <v>13</v>
      </c>
      <c r="L50" s="15">
        <v>11</v>
      </c>
      <c r="M50" s="73">
        <v>12.675000000000001</v>
      </c>
      <c r="N50" s="104">
        <v>12.675000000000001</v>
      </c>
      <c r="O50" s="57">
        <v>7000</v>
      </c>
      <c r="P50" s="58">
        <f t="shared" si="0"/>
        <v>88725</v>
      </c>
    </row>
    <row r="51" spans="1:16" ht="26.25" customHeight="1" x14ac:dyDescent="0.2">
      <c r="A51" s="100"/>
      <c r="B51" s="100"/>
      <c r="C51" s="65" t="s">
        <v>4286</v>
      </c>
      <c r="D51" s="70" t="s">
        <v>57</v>
      </c>
      <c r="E51" s="12">
        <v>44552</v>
      </c>
      <c r="F51" s="68" t="s">
        <v>59</v>
      </c>
      <c r="G51" s="12">
        <v>44558</v>
      </c>
      <c r="H51" s="69" t="s">
        <v>4156</v>
      </c>
      <c r="I51" s="15">
        <v>60</v>
      </c>
      <c r="J51" s="15">
        <v>40</v>
      </c>
      <c r="K51" s="15">
        <v>11</v>
      </c>
      <c r="L51" s="15">
        <v>4</v>
      </c>
      <c r="M51" s="73">
        <v>6.6</v>
      </c>
      <c r="N51" s="104">
        <v>6.6</v>
      </c>
      <c r="O51" s="57">
        <v>7000</v>
      </c>
      <c r="P51" s="58">
        <f t="shared" si="0"/>
        <v>46200</v>
      </c>
    </row>
    <row r="52" spans="1:16" ht="26.25" customHeight="1" x14ac:dyDescent="0.2">
      <c r="A52" s="100"/>
      <c r="B52" s="100"/>
      <c r="C52" s="65" t="s">
        <v>4287</v>
      </c>
      <c r="D52" s="70" t="s">
        <v>57</v>
      </c>
      <c r="E52" s="12">
        <v>44552</v>
      </c>
      <c r="F52" s="68" t="s">
        <v>59</v>
      </c>
      <c r="G52" s="12">
        <v>44558</v>
      </c>
      <c r="H52" s="69" t="s">
        <v>4156</v>
      </c>
      <c r="I52" s="15">
        <v>61</v>
      </c>
      <c r="J52" s="15">
        <v>58</v>
      </c>
      <c r="K52" s="15">
        <v>11</v>
      </c>
      <c r="L52" s="15">
        <v>8</v>
      </c>
      <c r="M52" s="73">
        <v>9.7294999999999998</v>
      </c>
      <c r="N52" s="104">
        <v>9.7294999999999998</v>
      </c>
      <c r="O52" s="57">
        <v>7000</v>
      </c>
      <c r="P52" s="58">
        <f t="shared" si="0"/>
        <v>68106.5</v>
      </c>
    </row>
    <row r="53" spans="1:16" ht="26.25" customHeight="1" x14ac:dyDescent="0.2">
      <c r="A53" s="100"/>
      <c r="B53" s="100"/>
      <c r="C53" s="65" t="s">
        <v>4288</v>
      </c>
      <c r="D53" s="70" t="s">
        <v>57</v>
      </c>
      <c r="E53" s="12">
        <v>44552</v>
      </c>
      <c r="F53" s="68" t="s">
        <v>59</v>
      </c>
      <c r="G53" s="12">
        <v>44558</v>
      </c>
      <c r="H53" s="69" t="s">
        <v>4156</v>
      </c>
      <c r="I53" s="15">
        <v>55</v>
      </c>
      <c r="J53" s="15">
        <v>61</v>
      </c>
      <c r="K53" s="15">
        <v>13</v>
      </c>
      <c r="L53" s="15">
        <v>3</v>
      </c>
      <c r="M53" s="73">
        <v>10.90375</v>
      </c>
      <c r="N53" s="104">
        <v>10.90375</v>
      </c>
      <c r="O53" s="57">
        <v>7000</v>
      </c>
      <c r="P53" s="58">
        <f t="shared" si="0"/>
        <v>76326.25</v>
      </c>
    </row>
    <row r="54" spans="1:16" ht="26.25" customHeight="1" x14ac:dyDescent="0.2">
      <c r="A54" s="100"/>
      <c r="B54" s="100"/>
      <c r="C54" s="65" t="s">
        <v>4289</v>
      </c>
      <c r="D54" s="70" t="s">
        <v>57</v>
      </c>
      <c r="E54" s="12">
        <v>44552</v>
      </c>
      <c r="F54" s="68" t="s">
        <v>59</v>
      </c>
      <c r="G54" s="12">
        <v>44558</v>
      </c>
      <c r="H54" s="69" t="s">
        <v>4156</v>
      </c>
      <c r="I54" s="15">
        <v>72</v>
      </c>
      <c r="J54" s="15">
        <v>61</v>
      </c>
      <c r="K54" s="15">
        <v>17</v>
      </c>
      <c r="L54" s="15">
        <v>9</v>
      </c>
      <c r="M54" s="73">
        <v>18.666</v>
      </c>
      <c r="N54" s="104">
        <v>18.666</v>
      </c>
      <c r="O54" s="57">
        <v>7000</v>
      </c>
      <c r="P54" s="58">
        <f t="shared" si="0"/>
        <v>130662</v>
      </c>
    </row>
    <row r="55" spans="1:16" ht="26.25" customHeight="1" x14ac:dyDescent="0.2">
      <c r="A55" s="100"/>
      <c r="B55" s="100"/>
      <c r="C55" s="65" t="s">
        <v>4290</v>
      </c>
      <c r="D55" s="70" t="s">
        <v>57</v>
      </c>
      <c r="E55" s="12">
        <v>44552</v>
      </c>
      <c r="F55" s="68" t="s">
        <v>59</v>
      </c>
      <c r="G55" s="12">
        <v>44558</v>
      </c>
      <c r="H55" s="69" t="s">
        <v>4156</v>
      </c>
      <c r="I55" s="15">
        <v>41</v>
      </c>
      <c r="J55" s="15">
        <v>38</v>
      </c>
      <c r="K55" s="15">
        <v>11</v>
      </c>
      <c r="L55" s="15">
        <v>2</v>
      </c>
      <c r="M55" s="73">
        <v>4.2845000000000004</v>
      </c>
      <c r="N55" s="104">
        <v>4.2845000000000004</v>
      </c>
      <c r="O55" s="57">
        <v>7000</v>
      </c>
      <c r="P55" s="58">
        <f t="shared" si="0"/>
        <v>29991.500000000004</v>
      </c>
    </row>
    <row r="56" spans="1:16" ht="26.25" customHeight="1" x14ac:dyDescent="0.2">
      <c r="A56" s="100"/>
      <c r="B56" s="100"/>
      <c r="C56" s="65" t="s">
        <v>4291</v>
      </c>
      <c r="D56" s="70" t="s">
        <v>57</v>
      </c>
      <c r="E56" s="12">
        <v>44552</v>
      </c>
      <c r="F56" s="68" t="s">
        <v>59</v>
      </c>
      <c r="G56" s="12">
        <v>44558</v>
      </c>
      <c r="H56" s="69" t="s">
        <v>4156</v>
      </c>
      <c r="I56" s="15">
        <v>58</v>
      </c>
      <c r="J56" s="15">
        <v>47</v>
      </c>
      <c r="K56" s="15">
        <v>31</v>
      </c>
      <c r="L56" s="15">
        <v>7</v>
      </c>
      <c r="M56" s="73">
        <v>21.1265</v>
      </c>
      <c r="N56" s="104">
        <v>21.1265</v>
      </c>
      <c r="O56" s="57">
        <v>7000</v>
      </c>
      <c r="P56" s="58">
        <f t="shared" si="0"/>
        <v>147885.5</v>
      </c>
    </row>
    <row r="57" spans="1:16" ht="26.25" customHeight="1" x14ac:dyDescent="0.2">
      <c r="A57" s="100"/>
      <c r="B57" s="100"/>
      <c r="C57" s="65" t="s">
        <v>4292</v>
      </c>
      <c r="D57" s="70" t="s">
        <v>57</v>
      </c>
      <c r="E57" s="12">
        <v>44552</v>
      </c>
      <c r="F57" s="68" t="s">
        <v>59</v>
      </c>
      <c r="G57" s="12">
        <v>44558</v>
      </c>
      <c r="H57" s="69" t="s">
        <v>4156</v>
      </c>
      <c r="I57" s="15">
        <v>94</v>
      </c>
      <c r="J57" s="15">
        <v>58</v>
      </c>
      <c r="K57" s="15">
        <v>27</v>
      </c>
      <c r="L57" s="15">
        <v>16</v>
      </c>
      <c r="M57" s="73">
        <v>36.801000000000002</v>
      </c>
      <c r="N57" s="104">
        <v>36.801000000000002</v>
      </c>
      <c r="O57" s="57">
        <v>7000</v>
      </c>
      <c r="P57" s="58">
        <f t="shared" si="0"/>
        <v>257607</v>
      </c>
    </row>
    <row r="58" spans="1:16" ht="26.25" customHeight="1" x14ac:dyDescent="0.2">
      <c r="A58" s="100"/>
      <c r="B58" s="100"/>
      <c r="C58" s="65" t="s">
        <v>4293</v>
      </c>
      <c r="D58" s="70" t="s">
        <v>57</v>
      </c>
      <c r="E58" s="12">
        <v>44552</v>
      </c>
      <c r="F58" s="68" t="s">
        <v>59</v>
      </c>
      <c r="G58" s="12">
        <v>44558</v>
      </c>
      <c r="H58" s="69" t="s">
        <v>4156</v>
      </c>
      <c r="I58" s="15">
        <v>72</v>
      </c>
      <c r="J58" s="15">
        <v>50</v>
      </c>
      <c r="K58" s="15">
        <v>36</v>
      </c>
      <c r="L58" s="15">
        <v>23</v>
      </c>
      <c r="M58" s="73">
        <v>32.4</v>
      </c>
      <c r="N58" s="104">
        <v>33</v>
      </c>
      <c r="O58" s="57">
        <v>7000</v>
      </c>
      <c r="P58" s="58">
        <f t="shared" si="0"/>
        <v>231000</v>
      </c>
    </row>
    <row r="59" spans="1:16" ht="26.25" customHeight="1" x14ac:dyDescent="0.2">
      <c r="A59" s="100"/>
      <c r="B59" s="100"/>
      <c r="C59" s="65" t="s">
        <v>4294</v>
      </c>
      <c r="D59" s="70" t="s">
        <v>57</v>
      </c>
      <c r="E59" s="12">
        <v>44552</v>
      </c>
      <c r="F59" s="68" t="s">
        <v>59</v>
      </c>
      <c r="G59" s="12">
        <v>44558</v>
      </c>
      <c r="H59" s="69" t="s">
        <v>4156</v>
      </c>
      <c r="I59" s="15">
        <v>14</v>
      </c>
      <c r="J59" s="15">
        <v>10</v>
      </c>
      <c r="K59" s="15">
        <v>4</v>
      </c>
      <c r="L59" s="15">
        <v>1</v>
      </c>
      <c r="M59" s="73">
        <v>0.14000000000000001</v>
      </c>
      <c r="N59" s="104">
        <v>1</v>
      </c>
      <c r="O59" s="57">
        <v>7000</v>
      </c>
      <c r="P59" s="58">
        <f t="shared" si="0"/>
        <v>7000</v>
      </c>
    </row>
    <row r="60" spans="1:16" ht="26.25" customHeight="1" x14ac:dyDescent="0.2">
      <c r="A60" s="100"/>
      <c r="B60" s="100"/>
      <c r="C60" s="65" t="s">
        <v>4295</v>
      </c>
      <c r="D60" s="70" t="s">
        <v>57</v>
      </c>
      <c r="E60" s="12">
        <v>44552</v>
      </c>
      <c r="F60" s="68" t="s">
        <v>59</v>
      </c>
      <c r="G60" s="12">
        <v>44558</v>
      </c>
      <c r="H60" s="69" t="s">
        <v>4156</v>
      </c>
      <c r="I60" s="15">
        <v>48</v>
      </c>
      <c r="J60" s="15">
        <v>44</v>
      </c>
      <c r="K60" s="15">
        <v>15</v>
      </c>
      <c r="L60" s="15">
        <v>5</v>
      </c>
      <c r="M60" s="73">
        <v>7.92</v>
      </c>
      <c r="N60" s="104">
        <v>7.92</v>
      </c>
      <c r="O60" s="57">
        <v>7000</v>
      </c>
      <c r="P60" s="58">
        <f t="shared" si="0"/>
        <v>55440</v>
      </c>
    </row>
    <row r="61" spans="1:16" ht="26.25" customHeight="1" x14ac:dyDescent="0.2">
      <c r="A61" s="100"/>
      <c r="B61" s="100"/>
      <c r="C61" s="65" t="s">
        <v>4296</v>
      </c>
      <c r="D61" s="70" t="s">
        <v>57</v>
      </c>
      <c r="E61" s="12">
        <v>44552</v>
      </c>
      <c r="F61" s="68" t="s">
        <v>59</v>
      </c>
      <c r="G61" s="12">
        <v>44558</v>
      </c>
      <c r="H61" s="69" t="s">
        <v>4156</v>
      </c>
      <c r="I61" s="15">
        <v>57</v>
      </c>
      <c r="J61" s="15">
        <v>42</v>
      </c>
      <c r="K61" s="15">
        <v>24</v>
      </c>
      <c r="L61" s="15">
        <v>1</v>
      </c>
      <c r="M61" s="73">
        <v>14.364000000000001</v>
      </c>
      <c r="N61" s="104">
        <v>15</v>
      </c>
      <c r="O61" s="57">
        <v>7000</v>
      </c>
      <c r="P61" s="58">
        <f t="shared" si="0"/>
        <v>105000</v>
      </c>
    </row>
    <row r="62" spans="1:16" ht="26.25" customHeight="1" x14ac:dyDescent="0.2">
      <c r="A62" s="100"/>
      <c r="B62" s="100"/>
      <c r="C62" s="65" t="s">
        <v>4297</v>
      </c>
      <c r="D62" s="70" t="s">
        <v>57</v>
      </c>
      <c r="E62" s="12">
        <v>44552</v>
      </c>
      <c r="F62" s="68" t="s">
        <v>59</v>
      </c>
      <c r="G62" s="12">
        <v>44558</v>
      </c>
      <c r="H62" s="69" t="s">
        <v>4156</v>
      </c>
      <c r="I62" s="15">
        <v>95</v>
      </c>
      <c r="J62" s="15">
        <v>58</v>
      </c>
      <c r="K62" s="15">
        <v>31</v>
      </c>
      <c r="L62" s="15">
        <v>16</v>
      </c>
      <c r="M62" s="73">
        <v>42.702500000000001</v>
      </c>
      <c r="N62" s="104">
        <v>42.702500000000001</v>
      </c>
      <c r="O62" s="57">
        <v>7000</v>
      </c>
      <c r="P62" s="58">
        <f t="shared" si="0"/>
        <v>298917.5</v>
      </c>
    </row>
    <row r="63" spans="1:16" ht="26.25" customHeight="1" x14ac:dyDescent="0.2">
      <c r="A63" s="100"/>
      <c r="B63" s="100"/>
      <c r="C63" s="65" t="s">
        <v>4298</v>
      </c>
      <c r="D63" s="70" t="s">
        <v>57</v>
      </c>
      <c r="E63" s="12">
        <v>44552</v>
      </c>
      <c r="F63" s="68" t="s">
        <v>59</v>
      </c>
      <c r="G63" s="12">
        <v>44558</v>
      </c>
      <c r="H63" s="69" t="s">
        <v>4156</v>
      </c>
      <c r="I63" s="15">
        <v>38</v>
      </c>
      <c r="J63" s="15">
        <v>32</v>
      </c>
      <c r="K63" s="15">
        <v>30</v>
      </c>
      <c r="L63" s="15">
        <v>7</v>
      </c>
      <c r="M63" s="73">
        <v>9.1199999999999992</v>
      </c>
      <c r="N63" s="104">
        <v>9.1199999999999992</v>
      </c>
      <c r="O63" s="57">
        <v>7000</v>
      </c>
      <c r="P63" s="58">
        <f t="shared" si="0"/>
        <v>63839.999999999993</v>
      </c>
    </row>
    <row r="64" spans="1:16" ht="26.25" customHeight="1" x14ac:dyDescent="0.2">
      <c r="A64" s="100"/>
      <c r="B64" s="100"/>
      <c r="C64" s="65" t="s">
        <v>4299</v>
      </c>
      <c r="D64" s="70" t="s">
        <v>57</v>
      </c>
      <c r="E64" s="12">
        <v>44552</v>
      </c>
      <c r="F64" s="68" t="s">
        <v>59</v>
      </c>
      <c r="G64" s="12">
        <v>44558</v>
      </c>
      <c r="H64" s="69" t="s">
        <v>4156</v>
      </c>
      <c r="I64" s="15">
        <v>44</v>
      </c>
      <c r="J64" s="15">
        <v>31</v>
      </c>
      <c r="K64" s="15">
        <v>13</v>
      </c>
      <c r="L64" s="15">
        <v>1</v>
      </c>
      <c r="M64" s="73">
        <v>4.4329999999999998</v>
      </c>
      <c r="N64" s="104">
        <v>5</v>
      </c>
      <c r="O64" s="57">
        <v>7000</v>
      </c>
      <c r="P64" s="58">
        <f t="shared" si="0"/>
        <v>35000</v>
      </c>
    </row>
    <row r="65" spans="1:16" ht="26.25" customHeight="1" x14ac:dyDescent="0.2">
      <c r="A65" s="100"/>
      <c r="B65" s="100"/>
      <c r="C65" s="65" t="s">
        <v>4300</v>
      </c>
      <c r="D65" s="70" t="s">
        <v>57</v>
      </c>
      <c r="E65" s="12">
        <v>44552</v>
      </c>
      <c r="F65" s="68" t="s">
        <v>59</v>
      </c>
      <c r="G65" s="12">
        <v>44558</v>
      </c>
      <c r="H65" s="69" t="s">
        <v>4156</v>
      </c>
      <c r="I65" s="15">
        <v>45</v>
      </c>
      <c r="J65" s="15">
        <v>26</v>
      </c>
      <c r="K65" s="15">
        <v>28</v>
      </c>
      <c r="L65" s="15">
        <v>3</v>
      </c>
      <c r="M65" s="73">
        <v>8.19</v>
      </c>
      <c r="N65" s="104">
        <v>8.19</v>
      </c>
      <c r="O65" s="57">
        <v>7000</v>
      </c>
      <c r="P65" s="58">
        <f t="shared" si="0"/>
        <v>57330</v>
      </c>
    </row>
    <row r="66" spans="1:16" ht="26.25" customHeight="1" x14ac:dyDescent="0.2">
      <c r="A66" s="100"/>
      <c r="B66" s="100"/>
      <c r="C66" s="65" t="s">
        <v>4301</v>
      </c>
      <c r="D66" s="70" t="s">
        <v>57</v>
      </c>
      <c r="E66" s="12">
        <v>44552</v>
      </c>
      <c r="F66" s="68" t="s">
        <v>59</v>
      </c>
      <c r="G66" s="12">
        <v>44558</v>
      </c>
      <c r="H66" s="69" t="s">
        <v>4156</v>
      </c>
      <c r="I66" s="15">
        <v>70</v>
      </c>
      <c r="J66" s="15">
        <v>62</v>
      </c>
      <c r="K66" s="15">
        <v>22</v>
      </c>
      <c r="L66" s="15">
        <v>10</v>
      </c>
      <c r="M66" s="73">
        <v>23.87</v>
      </c>
      <c r="N66" s="104">
        <v>23.87</v>
      </c>
      <c r="O66" s="57">
        <v>7000</v>
      </c>
      <c r="P66" s="58">
        <f t="shared" si="0"/>
        <v>167090</v>
      </c>
    </row>
    <row r="67" spans="1:16" ht="26.25" customHeight="1" x14ac:dyDescent="0.2">
      <c r="A67" s="100"/>
      <c r="B67" s="100"/>
      <c r="C67" s="65" t="s">
        <v>4302</v>
      </c>
      <c r="D67" s="70" t="s">
        <v>57</v>
      </c>
      <c r="E67" s="12">
        <v>44552</v>
      </c>
      <c r="F67" s="68" t="s">
        <v>59</v>
      </c>
      <c r="G67" s="12">
        <v>44558</v>
      </c>
      <c r="H67" s="69" t="s">
        <v>4156</v>
      </c>
      <c r="I67" s="15">
        <v>61</v>
      </c>
      <c r="J67" s="15">
        <v>58</v>
      </c>
      <c r="K67" s="15">
        <v>30</v>
      </c>
      <c r="L67" s="15">
        <v>10</v>
      </c>
      <c r="M67" s="73">
        <v>26.535</v>
      </c>
      <c r="N67" s="104">
        <v>26.535</v>
      </c>
      <c r="O67" s="57">
        <v>7000</v>
      </c>
      <c r="P67" s="58">
        <f t="shared" ref="P67:P130" si="1">N67*O67</f>
        <v>185745</v>
      </c>
    </row>
    <row r="68" spans="1:16" ht="26.25" customHeight="1" x14ac:dyDescent="0.2">
      <c r="A68" s="100"/>
      <c r="B68" s="100"/>
      <c r="C68" s="65" t="s">
        <v>4303</v>
      </c>
      <c r="D68" s="70" t="s">
        <v>57</v>
      </c>
      <c r="E68" s="12">
        <v>44552</v>
      </c>
      <c r="F68" s="68" t="s">
        <v>59</v>
      </c>
      <c r="G68" s="12">
        <v>44558</v>
      </c>
      <c r="H68" s="69" t="s">
        <v>4156</v>
      </c>
      <c r="I68" s="15">
        <v>61</v>
      </c>
      <c r="J68" s="15">
        <v>47</v>
      </c>
      <c r="K68" s="15">
        <v>16</v>
      </c>
      <c r="L68" s="15">
        <v>4</v>
      </c>
      <c r="M68" s="73">
        <v>11.468</v>
      </c>
      <c r="N68" s="104">
        <v>12</v>
      </c>
      <c r="O68" s="57">
        <v>7000</v>
      </c>
      <c r="P68" s="58">
        <f t="shared" si="1"/>
        <v>84000</v>
      </c>
    </row>
    <row r="69" spans="1:16" ht="26.25" customHeight="1" x14ac:dyDescent="0.2">
      <c r="A69" s="100"/>
      <c r="B69" s="100"/>
      <c r="C69" s="65" t="s">
        <v>4304</v>
      </c>
      <c r="D69" s="70" t="s">
        <v>57</v>
      </c>
      <c r="E69" s="12">
        <v>44552</v>
      </c>
      <c r="F69" s="68" t="s">
        <v>59</v>
      </c>
      <c r="G69" s="12">
        <v>44558</v>
      </c>
      <c r="H69" s="69" t="s">
        <v>4156</v>
      </c>
      <c r="I69" s="15">
        <v>44</v>
      </c>
      <c r="J69" s="15">
        <v>33</v>
      </c>
      <c r="K69" s="15">
        <v>36</v>
      </c>
      <c r="L69" s="15">
        <v>12</v>
      </c>
      <c r="M69" s="73">
        <v>13.068</v>
      </c>
      <c r="N69" s="104">
        <v>13.068</v>
      </c>
      <c r="O69" s="57">
        <v>7000</v>
      </c>
      <c r="P69" s="58">
        <f t="shared" si="1"/>
        <v>91476</v>
      </c>
    </row>
    <row r="70" spans="1:16" ht="26.25" customHeight="1" x14ac:dyDescent="0.2">
      <c r="A70" s="100"/>
      <c r="B70" s="100"/>
      <c r="C70" s="65" t="s">
        <v>4305</v>
      </c>
      <c r="D70" s="70" t="s">
        <v>57</v>
      </c>
      <c r="E70" s="12">
        <v>44552</v>
      </c>
      <c r="F70" s="68" t="s">
        <v>59</v>
      </c>
      <c r="G70" s="12">
        <v>44558</v>
      </c>
      <c r="H70" s="69" t="s">
        <v>4156</v>
      </c>
      <c r="I70" s="15">
        <v>67</v>
      </c>
      <c r="J70" s="15">
        <v>58</v>
      </c>
      <c r="K70" s="15">
        <v>25</v>
      </c>
      <c r="L70" s="15">
        <v>7</v>
      </c>
      <c r="M70" s="73">
        <v>24.287500000000001</v>
      </c>
      <c r="N70" s="104">
        <v>24.287500000000001</v>
      </c>
      <c r="O70" s="57">
        <v>7000</v>
      </c>
      <c r="P70" s="58">
        <f t="shared" si="1"/>
        <v>170012.5</v>
      </c>
    </row>
    <row r="71" spans="1:16" ht="26.25" customHeight="1" x14ac:dyDescent="0.2">
      <c r="A71" s="100"/>
      <c r="B71" s="100"/>
      <c r="C71" s="65" t="s">
        <v>4306</v>
      </c>
      <c r="D71" s="70" t="s">
        <v>57</v>
      </c>
      <c r="E71" s="12">
        <v>44552</v>
      </c>
      <c r="F71" s="68" t="s">
        <v>59</v>
      </c>
      <c r="G71" s="12">
        <v>44558</v>
      </c>
      <c r="H71" s="69" t="s">
        <v>4156</v>
      </c>
      <c r="I71" s="15">
        <v>62</v>
      </c>
      <c r="J71" s="15">
        <v>41</v>
      </c>
      <c r="K71" s="15">
        <v>42</v>
      </c>
      <c r="L71" s="15">
        <v>7</v>
      </c>
      <c r="M71" s="73">
        <v>26.690999999999999</v>
      </c>
      <c r="N71" s="104">
        <v>26.690999999999999</v>
      </c>
      <c r="O71" s="57">
        <v>7000</v>
      </c>
      <c r="P71" s="58">
        <f t="shared" si="1"/>
        <v>186837</v>
      </c>
    </row>
    <row r="72" spans="1:16" ht="26.25" customHeight="1" x14ac:dyDescent="0.2">
      <c r="A72" s="100"/>
      <c r="B72" s="100"/>
      <c r="C72" s="65" t="s">
        <v>4307</v>
      </c>
      <c r="D72" s="70" t="s">
        <v>57</v>
      </c>
      <c r="E72" s="12">
        <v>44552</v>
      </c>
      <c r="F72" s="68" t="s">
        <v>59</v>
      </c>
      <c r="G72" s="12">
        <v>44558</v>
      </c>
      <c r="H72" s="69" t="s">
        <v>4156</v>
      </c>
      <c r="I72" s="15">
        <v>98</v>
      </c>
      <c r="J72" s="15">
        <v>61</v>
      </c>
      <c r="K72" s="15">
        <v>22</v>
      </c>
      <c r="L72" s="15">
        <v>15</v>
      </c>
      <c r="M72" s="73">
        <v>32.878999999999998</v>
      </c>
      <c r="N72" s="104">
        <v>32.878999999999998</v>
      </c>
      <c r="O72" s="57">
        <v>7000</v>
      </c>
      <c r="P72" s="58">
        <f t="shared" si="1"/>
        <v>230152.99999999997</v>
      </c>
    </row>
    <row r="73" spans="1:16" ht="26.25" customHeight="1" x14ac:dyDescent="0.2">
      <c r="A73" s="100"/>
      <c r="B73" s="100"/>
      <c r="C73" s="65" t="s">
        <v>4308</v>
      </c>
      <c r="D73" s="70" t="s">
        <v>57</v>
      </c>
      <c r="E73" s="12">
        <v>44552</v>
      </c>
      <c r="F73" s="68" t="s">
        <v>59</v>
      </c>
      <c r="G73" s="12">
        <v>44558</v>
      </c>
      <c r="H73" s="69" t="s">
        <v>4156</v>
      </c>
      <c r="I73" s="15">
        <v>98</v>
      </c>
      <c r="J73" s="15">
        <v>64</v>
      </c>
      <c r="K73" s="15">
        <v>29</v>
      </c>
      <c r="L73" s="15">
        <v>24</v>
      </c>
      <c r="M73" s="73">
        <v>45.472000000000001</v>
      </c>
      <c r="N73" s="104">
        <v>46</v>
      </c>
      <c r="O73" s="57">
        <v>7000</v>
      </c>
      <c r="P73" s="58">
        <f t="shared" si="1"/>
        <v>322000</v>
      </c>
    </row>
    <row r="74" spans="1:16" ht="26.25" customHeight="1" x14ac:dyDescent="0.2">
      <c r="A74" s="100"/>
      <c r="B74" s="100"/>
      <c r="C74" s="65" t="s">
        <v>4309</v>
      </c>
      <c r="D74" s="70" t="s">
        <v>57</v>
      </c>
      <c r="E74" s="12">
        <v>44552</v>
      </c>
      <c r="F74" s="68" t="s">
        <v>59</v>
      </c>
      <c r="G74" s="12">
        <v>44558</v>
      </c>
      <c r="H74" s="69" t="s">
        <v>4156</v>
      </c>
      <c r="I74" s="15">
        <v>86</v>
      </c>
      <c r="J74" s="15">
        <v>56</v>
      </c>
      <c r="K74" s="15">
        <v>27</v>
      </c>
      <c r="L74" s="15">
        <v>22</v>
      </c>
      <c r="M74" s="73">
        <v>32.508000000000003</v>
      </c>
      <c r="N74" s="104">
        <v>32.508000000000003</v>
      </c>
      <c r="O74" s="57">
        <v>7000</v>
      </c>
      <c r="P74" s="58">
        <f t="shared" si="1"/>
        <v>227556.00000000003</v>
      </c>
    </row>
    <row r="75" spans="1:16" ht="26.25" customHeight="1" x14ac:dyDescent="0.2">
      <c r="A75" s="100"/>
      <c r="B75" s="100"/>
      <c r="C75" s="65" t="s">
        <v>4310</v>
      </c>
      <c r="D75" s="70" t="s">
        <v>57</v>
      </c>
      <c r="E75" s="12">
        <v>44552</v>
      </c>
      <c r="F75" s="68" t="s">
        <v>59</v>
      </c>
      <c r="G75" s="12">
        <v>44558</v>
      </c>
      <c r="H75" s="69" t="s">
        <v>4156</v>
      </c>
      <c r="I75" s="15">
        <v>104</v>
      </c>
      <c r="J75" s="15">
        <v>59</v>
      </c>
      <c r="K75" s="15">
        <v>23</v>
      </c>
      <c r="L75" s="15">
        <v>24</v>
      </c>
      <c r="M75" s="73">
        <v>35.281999999999996</v>
      </c>
      <c r="N75" s="104">
        <v>35.281999999999996</v>
      </c>
      <c r="O75" s="57">
        <v>7000</v>
      </c>
      <c r="P75" s="58">
        <f t="shared" si="1"/>
        <v>246973.99999999997</v>
      </c>
    </row>
    <row r="76" spans="1:16" ht="26.25" customHeight="1" x14ac:dyDescent="0.2">
      <c r="A76" s="100"/>
      <c r="B76" s="100"/>
      <c r="C76" s="65" t="s">
        <v>4311</v>
      </c>
      <c r="D76" s="70" t="s">
        <v>57</v>
      </c>
      <c r="E76" s="12">
        <v>44552</v>
      </c>
      <c r="F76" s="68" t="s">
        <v>59</v>
      </c>
      <c r="G76" s="12">
        <v>44558</v>
      </c>
      <c r="H76" s="69" t="s">
        <v>4156</v>
      </c>
      <c r="I76" s="15">
        <v>105</v>
      </c>
      <c r="J76" s="15">
        <v>55</v>
      </c>
      <c r="K76" s="15">
        <v>26</v>
      </c>
      <c r="L76" s="15">
        <v>27</v>
      </c>
      <c r="M76" s="73">
        <v>37.537500000000001</v>
      </c>
      <c r="N76" s="104">
        <v>37.537500000000001</v>
      </c>
      <c r="O76" s="57">
        <v>7000</v>
      </c>
      <c r="P76" s="58">
        <f t="shared" si="1"/>
        <v>262762.5</v>
      </c>
    </row>
    <row r="77" spans="1:16" ht="26.25" customHeight="1" x14ac:dyDescent="0.2">
      <c r="A77" s="100"/>
      <c r="B77" s="100"/>
      <c r="C77" s="65" t="s">
        <v>4312</v>
      </c>
      <c r="D77" s="70" t="s">
        <v>57</v>
      </c>
      <c r="E77" s="12">
        <v>44552</v>
      </c>
      <c r="F77" s="68" t="s">
        <v>59</v>
      </c>
      <c r="G77" s="12">
        <v>44558</v>
      </c>
      <c r="H77" s="69" t="s">
        <v>4156</v>
      </c>
      <c r="I77" s="15">
        <v>46</v>
      </c>
      <c r="J77" s="15">
        <v>32</v>
      </c>
      <c r="K77" s="15">
        <v>38</v>
      </c>
      <c r="L77" s="15">
        <v>11</v>
      </c>
      <c r="M77" s="73">
        <v>13.984</v>
      </c>
      <c r="N77" s="104">
        <v>13.984</v>
      </c>
      <c r="O77" s="57">
        <v>7000</v>
      </c>
      <c r="P77" s="58">
        <f t="shared" si="1"/>
        <v>97888</v>
      </c>
    </row>
    <row r="78" spans="1:16" ht="26.25" customHeight="1" x14ac:dyDescent="0.2">
      <c r="A78" s="100"/>
      <c r="B78" s="100"/>
      <c r="C78" s="65" t="s">
        <v>4313</v>
      </c>
      <c r="D78" s="70" t="s">
        <v>57</v>
      </c>
      <c r="E78" s="12">
        <v>44552</v>
      </c>
      <c r="F78" s="68" t="s">
        <v>59</v>
      </c>
      <c r="G78" s="12">
        <v>44558</v>
      </c>
      <c r="H78" s="69" t="s">
        <v>4156</v>
      </c>
      <c r="I78" s="15">
        <v>118</v>
      </c>
      <c r="J78" s="15">
        <v>13</v>
      </c>
      <c r="K78" s="15">
        <v>8</v>
      </c>
      <c r="L78" s="15">
        <v>1</v>
      </c>
      <c r="M78" s="73">
        <v>3.0680000000000001</v>
      </c>
      <c r="N78" s="104">
        <v>3.0680000000000001</v>
      </c>
      <c r="O78" s="57">
        <v>7000</v>
      </c>
      <c r="P78" s="58">
        <f t="shared" si="1"/>
        <v>21476</v>
      </c>
    </row>
    <row r="79" spans="1:16" ht="26.25" customHeight="1" x14ac:dyDescent="0.2">
      <c r="A79" s="100"/>
      <c r="B79" s="100"/>
      <c r="C79" s="65" t="s">
        <v>4314</v>
      </c>
      <c r="D79" s="70" t="s">
        <v>57</v>
      </c>
      <c r="E79" s="12">
        <v>44552</v>
      </c>
      <c r="F79" s="68" t="s">
        <v>59</v>
      </c>
      <c r="G79" s="12">
        <v>44558</v>
      </c>
      <c r="H79" s="69" t="s">
        <v>4156</v>
      </c>
      <c r="I79" s="15">
        <v>71</v>
      </c>
      <c r="J79" s="15">
        <v>21</v>
      </c>
      <c r="K79" s="15">
        <v>6</v>
      </c>
      <c r="L79" s="15">
        <v>1</v>
      </c>
      <c r="M79" s="73">
        <v>2.2364999999999999</v>
      </c>
      <c r="N79" s="104">
        <v>2.2364999999999999</v>
      </c>
      <c r="O79" s="57">
        <v>7000</v>
      </c>
      <c r="P79" s="58">
        <f t="shared" si="1"/>
        <v>15655.5</v>
      </c>
    </row>
    <row r="80" spans="1:16" ht="26.25" customHeight="1" x14ac:dyDescent="0.2">
      <c r="A80" s="100"/>
      <c r="B80" s="100"/>
      <c r="C80" s="65" t="s">
        <v>4315</v>
      </c>
      <c r="D80" s="70" t="s">
        <v>57</v>
      </c>
      <c r="E80" s="12">
        <v>44552</v>
      </c>
      <c r="F80" s="68" t="s">
        <v>59</v>
      </c>
      <c r="G80" s="12">
        <v>44558</v>
      </c>
      <c r="H80" s="69" t="s">
        <v>4156</v>
      </c>
      <c r="I80" s="15">
        <v>75</v>
      </c>
      <c r="J80" s="15">
        <v>32</v>
      </c>
      <c r="K80" s="15">
        <v>4</v>
      </c>
      <c r="L80" s="15">
        <v>1</v>
      </c>
      <c r="M80" s="73">
        <v>2.4</v>
      </c>
      <c r="N80" s="104">
        <v>3</v>
      </c>
      <c r="O80" s="57">
        <v>7000</v>
      </c>
      <c r="P80" s="58">
        <f t="shared" si="1"/>
        <v>21000</v>
      </c>
    </row>
    <row r="81" spans="1:16" ht="26.25" customHeight="1" x14ac:dyDescent="0.2">
      <c r="A81" s="100"/>
      <c r="B81" s="100"/>
      <c r="C81" s="65" t="s">
        <v>4316</v>
      </c>
      <c r="D81" s="70" t="s">
        <v>57</v>
      </c>
      <c r="E81" s="12">
        <v>44552</v>
      </c>
      <c r="F81" s="68" t="s">
        <v>59</v>
      </c>
      <c r="G81" s="12">
        <v>44558</v>
      </c>
      <c r="H81" s="69" t="s">
        <v>4156</v>
      </c>
      <c r="I81" s="15">
        <v>78</v>
      </c>
      <c r="J81" s="15">
        <v>18</v>
      </c>
      <c r="K81" s="15">
        <v>6</v>
      </c>
      <c r="L81" s="15">
        <v>1</v>
      </c>
      <c r="M81" s="73">
        <v>2.1059999999999999</v>
      </c>
      <c r="N81" s="104">
        <v>2.1059999999999999</v>
      </c>
      <c r="O81" s="57">
        <v>7000</v>
      </c>
      <c r="P81" s="58">
        <f t="shared" si="1"/>
        <v>14742</v>
      </c>
    </row>
    <row r="82" spans="1:16" ht="26.25" customHeight="1" x14ac:dyDescent="0.2">
      <c r="A82" s="100"/>
      <c r="B82" s="100"/>
      <c r="C82" s="65" t="s">
        <v>4317</v>
      </c>
      <c r="D82" s="70" t="s">
        <v>57</v>
      </c>
      <c r="E82" s="12">
        <v>44552</v>
      </c>
      <c r="F82" s="68" t="s">
        <v>59</v>
      </c>
      <c r="G82" s="12">
        <v>44558</v>
      </c>
      <c r="H82" s="69" t="s">
        <v>4156</v>
      </c>
      <c r="I82" s="15">
        <v>75</v>
      </c>
      <c r="J82" s="15">
        <v>31</v>
      </c>
      <c r="K82" s="15">
        <v>10</v>
      </c>
      <c r="L82" s="15">
        <v>3</v>
      </c>
      <c r="M82" s="73">
        <v>5.8125</v>
      </c>
      <c r="N82" s="104">
        <v>5.8125</v>
      </c>
      <c r="O82" s="57">
        <v>7000</v>
      </c>
      <c r="P82" s="58">
        <f t="shared" si="1"/>
        <v>40687.5</v>
      </c>
    </row>
    <row r="83" spans="1:16" ht="26.25" customHeight="1" x14ac:dyDescent="0.2">
      <c r="A83" s="100"/>
      <c r="B83" s="100"/>
      <c r="C83" s="65" t="s">
        <v>4318</v>
      </c>
      <c r="D83" s="70" t="s">
        <v>57</v>
      </c>
      <c r="E83" s="12">
        <v>44552</v>
      </c>
      <c r="F83" s="68" t="s">
        <v>59</v>
      </c>
      <c r="G83" s="12">
        <v>44558</v>
      </c>
      <c r="H83" s="69" t="s">
        <v>4156</v>
      </c>
      <c r="I83" s="15">
        <v>40</v>
      </c>
      <c r="J83" s="15">
        <v>24</v>
      </c>
      <c r="K83" s="15">
        <v>28</v>
      </c>
      <c r="L83" s="15">
        <v>1</v>
      </c>
      <c r="M83" s="73">
        <v>6.72</v>
      </c>
      <c r="N83" s="104">
        <v>6.72</v>
      </c>
      <c r="O83" s="57">
        <v>7000</v>
      </c>
      <c r="P83" s="58">
        <f t="shared" si="1"/>
        <v>47040</v>
      </c>
    </row>
    <row r="84" spans="1:16" ht="26.25" customHeight="1" x14ac:dyDescent="0.2">
      <c r="A84" s="100"/>
      <c r="B84" s="100"/>
      <c r="C84" s="65" t="s">
        <v>4319</v>
      </c>
      <c r="D84" s="70" t="s">
        <v>57</v>
      </c>
      <c r="E84" s="12">
        <v>44552</v>
      </c>
      <c r="F84" s="68" t="s">
        <v>59</v>
      </c>
      <c r="G84" s="12">
        <v>44558</v>
      </c>
      <c r="H84" s="69" t="s">
        <v>4156</v>
      </c>
      <c r="I84" s="15">
        <v>61</v>
      </c>
      <c r="J84" s="15">
        <v>42</v>
      </c>
      <c r="K84" s="15">
        <v>40</v>
      </c>
      <c r="L84" s="15">
        <v>15</v>
      </c>
      <c r="M84" s="73">
        <v>25.62</v>
      </c>
      <c r="N84" s="104">
        <v>25.62</v>
      </c>
      <c r="O84" s="57">
        <v>7000</v>
      </c>
      <c r="P84" s="58">
        <f t="shared" si="1"/>
        <v>179340</v>
      </c>
    </row>
    <row r="85" spans="1:16" ht="26.25" customHeight="1" x14ac:dyDescent="0.2">
      <c r="A85" s="100"/>
      <c r="B85" s="100"/>
      <c r="C85" s="65" t="s">
        <v>4320</v>
      </c>
      <c r="D85" s="70" t="s">
        <v>57</v>
      </c>
      <c r="E85" s="12">
        <v>44552</v>
      </c>
      <c r="F85" s="68" t="s">
        <v>59</v>
      </c>
      <c r="G85" s="12">
        <v>44558</v>
      </c>
      <c r="H85" s="69" t="s">
        <v>4156</v>
      </c>
      <c r="I85" s="15">
        <v>93</v>
      </c>
      <c r="J85" s="15">
        <v>55</v>
      </c>
      <c r="K85" s="15">
        <v>31</v>
      </c>
      <c r="L85" s="15">
        <v>20</v>
      </c>
      <c r="M85" s="73">
        <v>39.641249999999999</v>
      </c>
      <c r="N85" s="104">
        <v>39.641249999999999</v>
      </c>
      <c r="O85" s="57">
        <v>7000</v>
      </c>
      <c r="P85" s="58">
        <f t="shared" si="1"/>
        <v>277488.75</v>
      </c>
    </row>
    <row r="86" spans="1:16" ht="26.25" customHeight="1" x14ac:dyDescent="0.2">
      <c r="A86" s="100"/>
      <c r="B86" s="100"/>
      <c r="C86" s="65" t="s">
        <v>4321</v>
      </c>
      <c r="D86" s="70" t="s">
        <v>57</v>
      </c>
      <c r="E86" s="12">
        <v>44552</v>
      </c>
      <c r="F86" s="68" t="s">
        <v>59</v>
      </c>
      <c r="G86" s="12">
        <v>44558</v>
      </c>
      <c r="H86" s="69" t="s">
        <v>4156</v>
      </c>
      <c r="I86" s="15">
        <v>53</v>
      </c>
      <c r="J86" s="15">
        <v>44</v>
      </c>
      <c r="K86" s="15">
        <v>21</v>
      </c>
      <c r="L86" s="15">
        <v>8</v>
      </c>
      <c r="M86" s="73">
        <v>12.243</v>
      </c>
      <c r="N86" s="104">
        <v>12.243</v>
      </c>
      <c r="O86" s="57">
        <v>7000</v>
      </c>
      <c r="P86" s="58">
        <f t="shared" si="1"/>
        <v>85701</v>
      </c>
    </row>
    <row r="87" spans="1:16" ht="26.25" customHeight="1" x14ac:dyDescent="0.2">
      <c r="A87" s="100"/>
      <c r="B87" s="100"/>
      <c r="C87" s="65" t="s">
        <v>4322</v>
      </c>
      <c r="D87" s="70" t="s">
        <v>57</v>
      </c>
      <c r="E87" s="12">
        <v>44552</v>
      </c>
      <c r="F87" s="68" t="s">
        <v>59</v>
      </c>
      <c r="G87" s="12">
        <v>44558</v>
      </c>
      <c r="H87" s="69" t="s">
        <v>4156</v>
      </c>
      <c r="I87" s="15">
        <v>64</v>
      </c>
      <c r="J87" s="15">
        <v>59</v>
      </c>
      <c r="K87" s="15">
        <v>23</v>
      </c>
      <c r="L87" s="15">
        <v>18</v>
      </c>
      <c r="M87" s="73">
        <v>21.712</v>
      </c>
      <c r="N87" s="104">
        <v>21.712</v>
      </c>
      <c r="O87" s="57">
        <v>7000</v>
      </c>
      <c r="P87" s="58">
        <f t="shared" si="1"/>
        <v>151984</v>
      </c>
    </row>
    <row r="88" spans="1:16" ht="26.25" customHeight="1" x14ac:dyDescent="0.2">
      <c r="A88" s="100"/>
      <c r="B88" s="100"/>
      <c r="C88" s="65" t="s">
        <v>4323</v>
      </c>
      <c r="D88" s="70" t="s">
        <v>57</v>
      </c>
      <c r="E88" s="12">
        <v>44552</v>
      </c>
      <c r="F88" s="68" t="s">
        <v>59</v>
      </c>
      <c r="G88" s="12">
        <v>44558</v>
      </c>
      <c r="H88" s="69" t="s">
        <v>4156</v>
      </c>
      <c r="I88" s="15">
        <v>59</v>
      </c>
      <c r="J88" s="15">
        <v>36</v>
      </c>
      <c r="K88" s="15">
        <v>11</v>
      </c>
      <c r="L88" s="15">
        <v>4</v>
      </c>
      <c r="M88" s="73">
        <v>5.8410000000000002</v>
      </c>
      <c r="N88" s="104">
        <v>5.8410000000000002</v>
      </c>
      <c r="O88" s="57">
        <v>7000</v>
      </c>
      <c r="P88" s="58">
        <f t="shared" si="1"/>
        <v>40887</v>
      </c>
    </row>
    <row r="89" spans="1:16" ht="26.25" customHeight="1" x14ac:dyDescent="0.2">
      <c r="A89" s="100"/>
      <c r="B89" s="100"/>
      <c r="C89" s="65" t="s">
        <v>4324</v>
      </c>
      <c r="D89" s="70" t="s">
        <v>57</v>
      </c>
      <c r="E89" s="12">
        <v>44552</v>
      </c>
      <c r="F89" s="68" t="s">
        <v>59</v>
      </c>
      <c r="G89" s="12">
        <v>44558</v>
      </c>
      <c r="H89" s="69" t="s">
        <v>4156</v>
      </c>
      <c r="I89" s="15">
        <v>50</v>
      </c>
      <c r="J89" s="15">
        <v>32</v>
      </c>
      <c r="K89" s="15">
        <v>24</v>
      </c>
      <c r="L89" s="15">
        <v>5</v>
      </c>
      <c r="M89" s="73">
        <v>9.6</v>
      </c>
      <c r="N89" s="104">
        <v>9.6</v>
      </c>
      <c r="O89" s="57">
        <v>7000</v>
      </c>
      <c r="P89" s="58">
        <f t="shared" si="1"/>
        <v>67200</v>
      </c>
    </row>
    <row r="90" spans="1:16" ht="26.25" customHeight="1" x14ac:dyDescent="0.2">
      <c r="A90" s="100"/>
      <c r="B90" s="100"/>
      <c r="C90" s="65" t="s">
        <v>4325</v>
      </c>
      <c r="D90" s="70" t="s">
        <v>57</v>
      </c>
      <c r="E90" s="12">
        <v>44552</v>
      </c>
      <c r="F90" s="68" t="s">
        <v>59</v>
      </c>
      <c r="G90" s="12">
        <v>44558</v>
      </c>
      <c r="H90" s="69" t="s">
        <v>4156</v>
      </c>
      <c r="I90" s="15">
        <v>111</v>
      </c>
      <c r="J90" s="15">
        <v>15</v>
      </c>
      <c r="K90" s="15">
        <v>15</v>
      </c>
      <c r="L90" s="15">
        <v>4</v>
      </c>
      <c r="M90" s="73">
        <v>6.2437500000000004</v>
      </c>
      <c r="N90" s="104">
        <v>6.2437500000000004</v>
      </c>
      <c r="O90" s="57">
        <v>7000</v>
      </c>
      <c r="P90" s="58">
        <f t="shared" si="1"/>
        <v>43706.25</v>
      </c>
    </row>
    <row r="91" spans="1:16" ht="26.25" customHeight="1" x14ac:dyDescent="0.2">
      <c r="A91" s="100"/>
      <c r="B91" s="100"/>
      <c r="C91" s="65" t="s">
        <v>4326</v>
      </c>
      <c r="D91" s="70" t="s">
        <v>57</v>
      </c>
      <c r="E91" s="12">
        <v>44552</v>
      </c>
      <c r="F91" s="68" t="s">
        <v>59</v>
      </c>
      <c r="G91" s="12">
        <v>44558</v>
      </c>
      <c r="H91" s="69" t="s">
        <v>4156</v>
      </c>
      <c r="I91" s="15">
        <v>50</v>
      </c>
      <c r="J91" s="15">
        <v>34</v>
      </c>
      <c r="K91" s="15">
        <v>12</v>
      </c>
      <c r="L91" s="15">
        <v>2</v>
      </c>
      <c r="M91" s="73">
        <v>5.0999999999999996</v>
      </c>
      <c r="N91" s="104">
        <v>5.0999999999999996</v>
      </c>
      <c r="O91" s="57">
        <v>7000</v>
      </c>
      <c r="P91" s="58">
        <f t="shared" si="1"/>
        <v>35700</v>
      </c>
    </row>
    <row r="92" spans="1:16" ht="26.25" customHeight="1" x14ac:dyDescent="0.2">
      <c r="A92" s="100"/>
      <c r="B92" s="100"/>
      <c r="C92" s="65" t="s">
        <v>4327</v>
      </c>
      <c r="D92" s="70" t="s">
        <v>57</v>
      </c>
      <c r="E92" s="12">
        <v>44552</v>
      </c>
      <c r="F92" s="68" t="s">
        <v>59</v>
      </c>
      <c r="G92" s="12">
        <v>44558</v>
      </c>
      <c r="H92" s="69" t="s">
        <v>4156</v>
      </c>
      <c r="I92" s="15">
        <v>20</v>
      </c>
      <c r="J92" s="15">
        <v>10</v>
      </c>
      <c r="K92" s="15">
        <v>5</v>
      </c>
      <c r="L92" s="15">
        <v>1</v>
      </c>
      <c r="M92" s="73">
        <v>0.25</v>
      </c>
      <c r="N92" s="104">
        <v>1</v>
      </c>
      <c r="O92" s="57">
        <v>7000</v>
      </c>
      <c r="P92" s="58">
        <f t="shared" si="1"/>
        <v>7000</v>
      </c>
    </row>
    <row r="93" spans="1:16" ht="26.25" customHeight="1" x14ac:dyDescent="0.2">
      <c r="A93" s="100"/>
      <c r="B93" s="100"/>
      <c r="C93" s="65" t="s">
        <v>4328</v>
      </c>
      <c r="D93" s="70" t="s">
        <v>57</v>
      </c>
      <c r="E93" s="12">
        <v>44552</v>
      </c>
      <c r="F93" s="68" t="s">
        <v>59</v>
      </c>
      <c r="G93" s="12">
        <v>44558</v>
      </c>
      <c r="H93" s="69" t="s">
        <v>4156</v>
      </c>
      <c r="I93" s="15">
        <v>42</v>
      </c>
      <c r="J93" s="15">
        <v>30</v>
      </c>
      <c r="K93" s="15">
        <v>26</v>
      </c>
      <c r="L93" s="15">
        <v>10</v>
      </c>
      <c r="M93" s="73">
        <v>8.19</v>
      </c>
      <c r="N93" s="104">
        <v>10</v>
      </c>
      <c r="O93" s="57">
        <v>7000</v>
      </c>
      <c r="P93" s="58">
        <f t="shared" si="1"/>
        <v>70000</v>
      </c>
    </row>
    <row r="94" spans="1:16" ht="26.25" customHeight="1" x14ac:dyDescent="0.2">
      <c r="A94" s="100"/>
      <c r="B94" s="100"/>
      <c r="C94" s="65" t="s">
        <v>4329</v>
      </c>
      <c r="D94" s="70" t="s">
        <v>57</v>
      </c>
      <c r="E94" s="12">
        <v>44552</v>
      </c>
      <c r="F94" s="68" t="s">
        <v>59</v>
      </c>
      <c r="G94" s="12">
        <v>44558</v>
      </c>
      <c r="H94" s="69" t="s">
        <v>4156</v>
      </c>
      <c r="I94" s="15">
        <v>61</v>
      </c>
      <c r="J94" s="15">
        <v>41</v>
      </c>
      <c r="K94" s="15">
        <v>25</v>
      </c>
      <c r="L94" s="15">
        <v>3</v>
      </c>
      <c r="M94" s="73">
        <v>15.63125</v>
      </c>
      <c r="N94" s="104">
        <v>15.63125</v>
      </c>
      <c r="O94" s="57">
        <v>7000</v>
      </c>
      <c r="P94" s="58">
        <f t="shared" si="1"/>
        <v>109418.75</v>
      </c>
    </row>
    <row r="95" spans="1:16" ht="26.25" customHeight="1" x14ac:dyDescent="0.2">
      <c r="A95" s="100"/>
      <c r="B95" s="100"/>
      <c r="C95" s="65" t="s">
        <v>4330</v>
      </c>
      <c r="D95" s="70" t="s">
        <v>57</v>
      </c>
      <c r="E95" s="12">
        <v>44552</v>
      </c>
      <c r="F95" s="68" t="s">
        <v>59</v>
      </c>
      <c r="G95" s="12">
        <v>44558</v>
      </c>
      <c r="H95" s="69" t="s">
        <v>4156</v>
      </c>
      <c r="I95" s="15">
        <v>122</v>
      </c>
      <c r="J95" s="15">
        <v>41</v>
      </c>
      <c r="K95" s="15">
        <v>22</v>
      </c>
      <c r="L95" s="15">
        <v>3</v>
      </c>
      <c r="M95" s="73">
        <v>27.510999999999999</v>
      </c>
      <c r="N95" s="104">
        <v>27.510999999999999</v>
      </c>
      <c r="O95" s="57">
        <v>7000</v>
      </c>
      <c r="P95" s="58">
        <f t="shared" si="1"/>
        <v>192577</v>
      </c>
    </row>
    <row r="96" spans="1:16" ht="26.25" customHeight="1" x14ac:dyDescent="0.2">
      <c r="A96" s="100"/>
      <c r="B96" s="100"/>
      <c r="C96" s="65" t="s">
        <v>4331</v>
      </c>
      <c r="D96" s="70" t="s">
        <v>57</v>
      </c>
      <c r="E96" s="12">
        <v>44552</v>
      </c>
      <c r="F96" s="68" t="s">
        <v>59</v>
      </c>
      <c r="G96" s="12">
        <v>44558</v>
      </c>
      <c r="H96" s="69" t="s">
        <v>4156</v>
      </c>
      <c r="I96" s="15">
        <v>41</v>
      </c>
      <c r="J96" s="15">
        <v>28</v>
      </c>
      <c r="K96" s="15">
        <v>14</v>
      </c>
      <c r="L96" s="15">
        <v>1</v>
      </c>
      <c r="M96" s="73">
        <v>4.0179999999999998</v>
      </c>
      <c r="N96" s="104">
        <v>4.0179999999999998</v>
      </c>
      <c r="O96" s="57">
        <v>7000</v>
      </c>
      <c r="P96" s="58">
        <f t="shared" si="1"/>
        <v>28126</v>
      </c>
    </row>
    <row r="97" spans="1:16" ht="26.25" customHeight="1" x14ac:dyDescent="0.2">
      <c r="A97" s="100"/>
      <c r="B97" s="100"/>
      <c r="C97" s="65" t="s">
        <v>4332</v>
      </c>
      <c r="D97" s="70" t="s">
        <v>57</v>
      </c>
      <c r="E97" s="12">
        <v>44552</v>
      </c>
      <c r="F97" s="68" t="s">
        <v>59</v>
      </c>
      <c r="G97" s="12">
        <v>44558</v>
      </c>
      <c r="H97" s="69" t="s">
        <v>4156</v>
      </c>
      <c r="I97" s="15">
        <v>52</v>
      </c>
      <c r="J97" s="15">
        <v>42</v>
      </c>
      <c r="K97" s="15">
        <v>46</v>
      </c>
      <c r="L97" s="15">
        <v>17</v>
      </c>
      <c r="M97" s="73">
        <v>25.116</v>
      </c>
      <c r="N97" s="104">
        <v>25.116</v>
      </c>
      <c r="O97" s="57">
        <v>7000</v>
      </c>
      <c r="P97" s="58">
        <f t="shared" si="1"/>
        <v>175812</v>
      </c>
    </row>
    <row r="98" spans="1:16" ht="26.25" customHeight="1" x14ac:dyDescent="0.2">
      <c r="A98" s="100"/>
      <c r="B98" s="100"/>
      <c r="C98" s="65" t="s">
        <v>4333</v>
      </c>
      <c r="D98" s="70" t="s">
        <v>57</v>
      </c>
      <c r="E98" s="12">
        <v>44552</v>
      </c>
      <c r="F98" s="68" t="s">
        <v>59</v>
      </c>
      <c r="G98" s="12">
        <v>44558</v>
      </c>
      <c r="H98" s="69" t="s">
        <v>4156</v>
      </c>
      <c r="I98" s="15">
        <v>110</v>
      </c>
      <c r="J98" s="15">
        <v>52</v>
      </c>
      <c r="K98" s="15">
        <v>10</v>
      </c>
      <c r="L98" s="15">
        <v>4</v>
      </c>
      <c r="M98" s="73">
        <v>14.3</v>
      </c>
      <c r="N98" s="104">
        <v>15</v>
      </c>
      <c r="O98" s="57">
        <v>7000</v>
      </c>
      <c r="P98" s="58">
        <f t="shared" si="1"/>
        <v>105000</v>
      </c>
    </row>
    <row r="99" spans="1:16" ht="26.25" customHeight="1" x14ac:dyDescent="0.2">
      <c r="A99" s="100"/>
      <c r="B99" s="100"/>
      <c r="C99" s="65" t="s">
        <v>4334</v>
      </c>
      <c r="D99" s="70" t="s">
        <v>57</v>
      </c>
      <c r="E99" s="12">
        <v>44552</v>
      </c>
      <c r="F99" s="68" t="s">
        <v>59</v>
      </c>
      <c r="G99" s="12">
        <v>44558</v>
      </c>
      <c r="H99" s="69" t="s">
        <v>4156</v>
      </c>
      <c r="I99" s="15">
        <v>107</v>
      </c>
      <c r="J99" s="15">
        <v>15</v>
      </c>
      <c r="K99" s="15">
        <v>6</v>
      </c>
      <c r="L99" s="15">
        <v>1</v>
      </c>
      <c r="M99" s="73">
        <v>2.4075000000000002</v>
      </c>
      <c r="N99" s="104">
        <v>3</v>
      </c>
      <c r="O99" s="57">
        <v>7000</v>
      </c>
      <c r="P99" s="58">
        <f t="shared" si="1"/>
        <v>21000</v>
      </c>
    </row>
    <row r="100" spans="1:16" ht="26.25" customHeight="1" x14ac:dyDescent="0.2">
      <c r="A100" s="100"/>
      <c r="B100" s="100"/>
      <c r="C100" s="65" t="s">
        <v>4335</v>
      </c>
      <c r="D100" s="70" t="s">
        <v>57</v>
      </c>
      <c r="E100" s="12">
        <v>44552</v>
      </c>
      <c r="F100" s="68" t="s">
        <v>59</v>
      </c>
      <c r="G100" s="12">
        <v>44558</v>
      </c>
      <c r="H100" s="69" t="s">
        <v>4156</v>
      </c>
      <c r="I100" s="15">
        <v>47</v>
      </c>
      <c r="J100" s="15">
        <v>31</v>
      </c>
      <c r="K100" s="15">
        <v>10</v>
      </c>
      <c r="L100" s="15">
        <v>1</v>
      </c>
      <c r="M100" s="73">
        <v>3.6425000000000001</v>
      </c>
      <c r="N100" s="104">
        <v>3.6425000000000001</v>
      </c>
      <c r="O100" s="57">
        <v>7000</v>
      </c>
      <c r="P100" s="58">
        <f t="shared" si="1"/>
        <v>25497.5</v>
      </c>
    </row>
    <row r="101" spans="1:16" ht="26.25" customHeight="1" x14ac:dyDescent="0.2">
      <c r="A101" s="100"/>
      <c r="B101" s="100"/>
      <c r="C101" s="65" t="s">
        <v>4336</v>
      </c>
      <c r="D101" s="70" t="s">
        <v>57</v>
      </c>
      <c r="E101" s="12">
        <v>44552</v>
      </c>
      <c r="F101" s="68" t="s">
        <v>59</v>
      </c>
      <c r="G101" s="12">
        <v>44558</v>
      </c>
      <c r="H101" s="69" t="s">
        <v>4156</v>
      </c>
      <c r="I101" s="15">
        <v>70</v>
      </c>
      <c r="J101" s="15">
        <v>51</v>
      </c>
      <c r="K101" s="15">
        <v>3</v>
      </c>
      <c r="L101" s="15">
        <v>3</v>
      </c>
      <c r="M101" s="73">
        <v>2.6775000000000002</v>
      </c>
      <c r="N101" s="104">
        <v>3</v>
      </c>
      <c r="O101" s="57">
        <v>7000</v>
      </c>
      <c r="P101" s="58">
        <f t="shared" si="1"/>
        <v>21000</v>
      </c>
    </row>
    <row r="102" spans="1:16" ht="26.25" customHeight="1" x14ac:dyDescent="0.2">
      <c r="A102" s="100"/>
      <c r="B102" s="100"/>
      <c r="C102" s="65" t="s">
        <v>4337</v>
      </c>
      <c r="D102" s="70" t="s">
        <v>57</v>
      </c>
      <c r="E102" s="12">
        <v>44552</v>
      </c>
      <c r="F102" s="68" t="s">
        <v>59</v>
      </c>
      <c r="G102" s="12">
        <v>44558</v>
      </c>
      <c r="H102" s="69" t="s">
        <v>4156</v>
      </c>
      <c r="I102" s="15">
        <v>38</v>
      </c>
      <c r="J102" s="15">
        <v>25</v>
      </c>
      <c r="K102" s="15">
        <v>21</v>
      </c>
      <c r="L102" s="15">
        <v>1</v>
      </c>
      <c r="M102" s="73">
        <v>4.9874999999999998</v>
      </c>
      <c r="N102" s="104">
        <v>4.9874999999999998</v>
      </c>
      <c r="O102" s="57">
        <v>7000</v>
      </c>
      <c r="P102" s="58">
        <f t="shared" si="1"/>
        <v>34912.5</v>
      </c>
    </row>
    <row r="103" spans="1:16" ht="26.25" customHeight="1" x14ac:dyDescent="0.2">
      <c r="A103" s="100"/>
      <c r="B103" s="100"/>
      <c r="C103" s="65" t="s">
        <v>4338</v>
      </c>
      <c r="D103" s="70" t="s">
        <v>57</v>
      </c>
      <c r="E103" s="12">
        <v>44552</v>
      </c>
      <c r="F103" s="68" t="s">
        <v>59</v>
      </c>
      <c r="G103" s="12">
        <v>44558</v>
      </c>
      <c r="H103" s="69" t="s">
        <v>4156</v>
      </c>
      <c r="I103" s="15">
        <v>36</v>
      </c>
      <c r="J103" s="15">
        <v>23</v>
      </c>
      <c r="K103" s="15">
        <v>12</v>
      </c>
      <c r="L103" s="15">
        <v>1</v>
      </c>
      <c r="M103" s="73">
        <v>2.484</v>
      </c>
      <c r="N103" s="104">
        <v>3</v>
      </c>
      <c r="O103" s="57">
        <v>7000</v>
      </c>
      <c r="P103" s="58">
        <f t="shared" si="1"/>
        <v>21000</v>
      </c>
    </row>
    <row r="104" spans="1:16" ht="26.25" customHeight="1" x14ac:dyDescent="0.2">
      <c r="A104" s="100"/>
      <c r="B104" s="100"/>
      <c r="C104" s="65" t="s">
        <v>4339</v>
      </c>
      <c r="D104" s="70" t="s">
        <v>57</v>
      </c>
      <c r="E104" s="12">
        <v>44552</v>
      </c>
      <c r="F104" s="68" t="s">
        <v>59</v>
      </c>
      <c r="G104" s="12">
        <v>44558</v>
      </c>
      <c r="H104" s="69" t="s">
        <v>4156</v>
      </c>
      <c r="I104" s="15">
        <v>76</v>
      </c>
      <c r="J104" s="15">
        <v>8</v>
      </c>
      <c r="K104" s="15">
        <v>8</v>
      </c>
      <c r="L104" s="15">
        <v>1</v>
      </c>
      <c r="M104" s="73">
        <v>1.216</v>
      </c>
      <c r="N104" s="104">
        <v>1.216</v>
      </c>
      <c r="O104" s="57">
        <v>7000</v>
      </c>
      <c r="P104" s="58">
        <f t="shared" si="1"/>
        <v>8512</v>
      </c>
    </row>
    <row r="105" spans="1:16" ht="26.25" customHeight="1" x14ac:dyDescent="0.2">
      <c r="A105" s="100"/>
      <c r="B105" s="100"/>
      <c r="C105" s="65" t="s">
        <v>4340</v>
      </c>
      <c r="D105" s="70" t="s">
        <v>57</v>
      </c>
      <c r="E105" s="12">
        <v>44552</v>
      </c>
      <c r="F105" s="68" t="s">
        <v>59</v>
      </c>
      <c r="G105" s="12">
        <v>44558</v>
      </c>
      <c r="H105" s="69" t="s">
        <v>4156</v>
      </c>
      <c r="I105" s="15">
        <v>56</v>
      </c>
      <c r="J105" s="15">
        <v>44</v>
      </c>
      <c r="K105" s="15">
        <v>14</v>
      </c>
      <c r="L105" s="15">
        <v>5</v>
      </c>
      <c r="M105" s="73">
        <v>8.6240000000000006</v>
      </c>
      <c r="N105" s="104">
        <v>8.6240000000000006</v>
      </c>
      <c r="O105" s="57">
        <v>7000</v>
      </c>
      <c r="P105" s="58">
        <f t="shared" si="1"/>
        <v>60368.000000000007</v>
      </c>
    </row>
    <row r="106" spans="1:16" ht="26.25" customHeight="1" x14ac:dyDescent="0.2">
      <c r="A106" s="100"/>
      <c r="B106" s="100"/>
      <c r="C106" s="65" t="s">
        <v>4341</v>
      </c>
      <c r="D106" s="70" t="s">
        <v>57</v>
      </c>
      <c r="E106" s="12">
        <v>44552</v>
      </c>
      <c r="F106" s="68" t="s">
        <v>59</v>
      </c>
      <c r="G106" s="12">
        <v>44558</v>
      </c>
      <c r="H106" s="69" t="s">
        <v>4156</v>
      </c>
      <c r="I106" s="15">
        <v>42</v>
      </c>
      <c r="J106" s="15">
        <v>31</v>
      </c>
      <c r="K106" s="15">
        <v>17</v>
      </c>
      <c r="L106" s="15">
        <v>5</v>
      </c>
      <c r="M106" s="73">
        <v>5.5335000000000001</v>
      </c>
      <c r="N106" s="104">
        <v>5.5335000000000001</v>
      </c>
      <c r="O106" s="57">
        <v>7000</v>
      </c>
      <c r="P106" s="58">
        <f t="shared" si="1"/>
        <v>38734.5</v>
      </c>
    </row>
    <row r="107" spans="1:16" ht="26.25" customHeight="1" x14ac:dyDescent="0.2">
      <c r="A107" s="100"/>
      <c r="B107" s="100"/>
      <c r="C107" s="65" t="s">
        <v>4342</v>
      </c>
      <c r="D107" s="70" t="s">
        <v>57</v>
      </c>
      <c r="E107" s="12">
        <v>44552</v>
      </c>
      <c r="F107" s="68" t="s">
        <v>59</v>
      </c>
      <c r="G107" s="12">
        <v>44558</v>
      </c>
      <c r="H107" s="69" t="s">
        <v>4156</v>
      </c>
      <c r="I107" s="15">
        <v>38</v>
      </c>
      <c r="J107" s="15">
        <v>30</v>
      </c>
      <c r="K107" s="15">
        <v>11</v>
      </c>
      <c r="L107" s="15">
        <v>2</v>
      </c>
      <c r="M107" s="73">
        <v>3.1349999999999998</v>
      </c>
      <c r="N107" s="104">
        <v>3.1349999999999998</v>
      </c>
      <c r="O107" s="57">
        <v>7000</v>
      </c>
      <c r="P107" s="58">
        <f t="shared" si="1"/>
        <v>21945</v>
      </c>
    </row>
    <row r="108" spans="1:16" ht="26.25" customHeight="1" x14ac:dyDescent="0.2">
      <c r="A108" s="100"/>
      <c r="B108" s="100"/>
      <c r="C108" s="65" t="s">
        <v>4343</v>
      </c>
      <c r="D108" s="70" t="s">
        <v>57</v>
      </c>
      <c r="E108" s="12">
        <v>44552</v>
      </c>
      <c r="F108" s="68" t="s">
        <v>59</v>
      </c>
      <c r="G108" s="12">
        <v>44558</v>
      </c>
      <c r="H108" s="69" t="s">
        <v>4156</v>
      </c>
      <c r="I108" s="15">
        <v>106</v>
      </c>
      <c r="J108" s="15">
        <v>51</v>
      </c>
      <c r="K108" s="15">
        <v>35</v>
      </c>
      <c r="L108" s="15">
        <v>21</v>
      </c>
      <c r="M108" s="73">
        <v>47.302500000000002</v>
      </c>
      <c r="N108" s="104">
        <v>48</v>
      </c>
      <c r="O108" s="57">
        <v>7000</v>
      </c>
      <c r="P108" s="58">
        <f t="shared" si="1"/>
        <v>336000</v>
      </c>
    </row>
    <row r="109" spans="1:16" ht="26.25" customHeight="1" x14ac:dyDescent="0.2">
      <c r="A109" s="100"/>
      <c r="B109" s="100"/>
      <c r="C109" s="65" t="s">
        <v>4344</v>
      </c>
      <c r="D109" s="70" t="s">
        <v>57</v>
      </c>
      <c r="E109" s="12">
        <v>44552</v>
      </c>
      <c r="F109" s="68" t="s">
        <v>59</v>
      </c>
      <c r="G109" s="12">
        <v>44558</v>
      </c>
      <c r="H109" s="69" t="s">
        <v>4156</v>
      </c>
      <c r="I109" s="15">
        <v>88</v>
      </c>
      <c r="J109" s="15">
        <v>62</v>
      </c>
      <c r="K109" s="15">
        <v>23</v>
      </c>
      <c r="L109" s="15">
        <v>9</v>
      </c>
      <c r="M109" s="73">
        <v>31.372</v>
      </c>
      <c r="N109" s="104">
        <v>32</v>
      </c>
      <c r="O109" s="57">
        <v>7000</v>
      </c>
      <c r="P109" s="58">
        <f t="shared" si="1"/>
        <v>224000</v>
      </c>
    </row>
    <row r="110" spans="1:16" ht="26.25" customHeight="1" x14ac:dyDescent="0.2">
      <c r="A110" s="100"/>
      <c r="B110" s="100"/>
      <c r="C110" s="65" t="s">
        <v>4345</v>
      </c>
      <c r="D110" s="70" t="s">
        <v>57</v>
      </c>
      <c r="E110" s="12">
        <v>44552</v>
      </c>
      <c r="F110" s="68" t="s">
        <v>59</v>
      </c>
      <c r="G110" s="12">
        <v>44558</v>
      </c>
      <c r="H110" s="69" t="s">
        <v>4156</v>
      </c>
      <c r="I110" s="15">
        <v>61</v>
      </c>
      <c r="J110" s="15">
        <v>52</v>
      </c>
      <c r="K110" s="15">
        <v>27</v>
      </c>
      <c r="L110" s="15">
        <v>7</v>
      </c>
      <c r="M110" s="73">
        <v>21.411000000000001</v>
      </c>
      <c r="N110" s="104">
        <v>22</v>
      </c>
      <c r="O110" s="57">
        <v>7000</v>
      </c>
      <c r="P110" s="58">
        <f t="shared" si="1"/>
        <v>154000</v>
      </c>
    </row>
    <row r="111" spans="1:16" ht="26.25" customHeight="1" x14ac:dyDescent="0.2">
      <c r="A111" s="100"/>
      <c r="B111" s="100"/>
      <c r="C111" s="65" t="s">
        <v>4346</v>
      </c>
      <c r="D111" s="70" t="s">
        <v>57</v>
      </c>
      <c r="E111" s="12">
        <v>44552</v>
      </c>
      <c r="F111" s="68" t="s">
        <v>59</v>
      </c>
      <c r="G111" s="12">
        <v>44558</v>
      </c>
      <c r="H111" s="69" t="s">
        <v>4156</v>
      </c>
      <c r="I111" s="15">
        <v>36</v>
      </c>
      <c r="J111" s="15">
        <v>24</v>
      </c>
      <c r="K111" s="15">
        <v>11</v>
      </c>
      <c r="L111" s="15">
        <v>2</v>
      </c>
      <c r="M111" s="73">
        <v>2.3759999999999999</v>
      </c>
      <c r="N111" s="104">
        <v>3</v>
      </c>
      <c r="O111" s="57">
        <v>7000</v>
      </c>
      <c r="P111" s="58">
        <f t="shared" si="1"/>
        <v>21000</v>
      </c>
    </row>
    <row r="112" spans="1:16" ht="26.25" customHeight="1" x14ac:dyDescent="0.2">
      <c r="A112" s="100"/>
      <c r="B112" s="100"/>
      <c r="C112" s="65" t="s">
        <v>4347</v>
      </c>
      <c r="D112" s="70" t="s">
        <v>57</v>
      </c>
      <c r="E112" s="12">
        <v>44552</v>
      </c>
      <c r="F112" s="68" t="s">
        <v>59</v>
      </c>
      <c r="G112" s="12">
        <v>44558</v>
      </c>
      <c r="H112" s="69" t="s">
        <v>4156</v>
      </c>
      <c r="I112" s="15">
        <v>101</v>
      </c>
      <c r="J112" s="15">
        <v>57</v>
      </c>
      <c r="K112" s="15">
        <v>27</v>
      </c>
      <c r="L112" s="15">
        <v>16</v>
      </c>
      <c r="M112" s="73">
        <v>38.859749999999998</v>
      </c>
      <c r="N112" s="104">
        <v>38.859749999999998</v>
      </c>
      <c r="O112" s="57">
        <v>7000</v>
      </c>
      <c r="P112" s="58">
        <f t="shared" si="1"/>
        <v>272018.25</v>
      </c>
    </row>
    <row r="113" spans="1:16" ht="26.25" customHeight="1" x14ac:dyDescent="0.2">
      <c r="A113" s="100"/>
      <c r="B113" s="100"/>
      <c r="C113" s="65" t="s">
        <v>4348</v>
      </c>
      <c r="D113" s="70" t="s">
        <v>57</v>
      </c>
      <c r="E113" s="12">
        <v>44552</v>
      </c>
      <c r="F113" s="68" t="s">
        <v>59</v>
      </c>
      <c r="G113" s="12">
        <v>44558</v>
      </c>
      <c r="H113" s="69" t="s">
        <v>4156</v>
      </c>
      <c r="I113" s="15">
        <v>101</v>
      </c>
      <c r="J113" s="15">
        <v>61</v>
      </c>
      <c r="K113" s="15">
        <v>27</v>
      </c>
      <c r="L113" s="15">
        <v>18</v>
      </c>
      <c r="M113" s="73">
        <v>41.586750000000002</v>
      </c>
      <c r="N113" s="104">
        <v>41.586750000000002</v>
      </c>
      <c r="O113" s="57">
        <v>7000</v>
      </c>
      <c r="P113" s="58">
        <f t="shared" si="1"/>
        <v>291107.25</v>
      </c>
    </row>
    <row r="114" spans="1:16" ht="26.25" customHeight="1" x14ac:dyDescent="0.2">
      <c r="A114" s="100"/>
      <c r="B114" s="100"/>
      <c r="C114" s="65" t="s">
        <v>4349</v>
      </c>
      <c r="D114" s="70" t="s">
        <v>57</v>
      </c>
      <c r="E114" s="12">
        <v>44552</v>
      </c>
      <c r="F114" s="68" t="s">
        <v>59</v>
      </c>
      <c r="G114" s="12">
        <v>44558</v>
      </c>
      <c r="H114" s="69" t="s">
        <v>4156</v>
      </c>
      <c r="I114" s="15">
        <v>107</v>
      </c>
      <c r="J114" s="15">
        <v>56</v>
      </c>
      <c r="K114" s="15">
        <v>31</v>
      </c>
      <c r="L114" s="15">
        <v>24</v>
      </c>
      <c r="M114" s="73">
        <v>46.438000000000002</v>
      </c>
      <c r="N114" s="104">
        <v>47</v>
      </c>
      <c r="O114" s="57">
        <v>7000</v>
      </c>
      <c r="P114" s="58">
        <f t="shared" si="1"/>
        <v>329000</v>
      </c>
    </row>
    <row r="115" spans="1:16" ht="26.25" customHeight="1" x14ac:dyDescent="0.2">
      <c r="A115" s="100"/>
      <c r="B115" s="100"/>
      <c r="C115" s="65" t="s">
        <v>4350</v>
      </c>
      <c r="D115" s="70" t="s">
        <v>57</v>
      </c>
      <c r="E115" s="12">
        <v>44552</v>
      </c>
      <c r="F115" s="68" t="s">
        <v>59</v>
      </c>
      <c r="G115" s="12">
        <v>44558</v>
      </c>
      <c r="H115" s="69" t="s">
        <v>4156</v>
      </c>
      <c r="I115" s="15">
        <v>71</v>
      </c>
      <c r="J115" s="15">
        <v>41</v>
      </c>
      <c r="K115" s="15">
        <v>32</v>
      </c>
      <c r="L115" s="15">
        <v>11</v>
      </c>
      <c r="M115" s="73">
        <v>23.288</v>
      </c>
      <c r="N115" s="104">
        <v>23.288</v>
      </c>
      <c r="O115" s="57">
        <v>7000</v>
      </c>
      <c r="P115" s="58">
        <f t="shared" si="1"/>
        <v>163016</v>
      </c>
    </row>
    <row r="116" spans="1:16" ht="26.25" customHeight="1" x14ac:dyDescent="0.2">
      <c r="A116" s="100"/>
      <c r="B116" s="100"/>
      <c r="C116" s="65" t="s">
        <v>4351</v>
      </c>
      <c r="D116" s="70" t="s">
        <v>57</v>
      </c>
      <c r="E116" s="12">
        <v>44552</v>
      </c>
      <c r="F116" s="68" t="s">
        <v>59</v>
      </c>
      <c r="G116" s="12">
        <v>44558</v>
      </c>
      <c r="H116" s="69" t="s">
        <v>4156</v>
      </c>
      <c r="I116" s="15">
        <v>68</v>
      </c>
      <c r="J116" s="15">
        <v>51</v>
      </c>
      <c r="K116" s="15">
        <v>18</v>
      </c>
      <c r="L116" s="15">
        <v>8</v>
      </c>
      <c r="M116" s="73">
        <v>15.606</v>
      </c>
      <c r="N116" s="104">
        <v>15.606</v>
      </c>
      <c r="O116" s="57">
        <v>7000</v>
      </c>
      <c r="P116" s="58">
        <f t="shared" si="1"/>
        <v>109242</v>
      </c>
    </row>
    <row r="117" spans="1:16" ht="26.25" customHeight="1" x14ac:dyDescent="0.2">
      <c r="A117" s="100"/>
      <c r="B117" s="100"/>
      <c r="C117" s="65" t="s">
        <v>4352</v>
      </c>
      <c r="D117" s="70" t="s">
        <v>57</v>
      </c>
      <c r="E117" s="12">
        <v>44552</v>
      </c>
      <c r="F117" s="68" t="s">
        <v>59</v>
      </c>
      <c r="G117" s="12">
        <v>44558</v>
      </c>
      <c r="H117" s="69" t="s">
        <v>4156</v>
      </c>
      <c r="I117" s="15">
        <v>82</v>
      </c>
      <c r="J117" s="15">
        <v>61</v>
      </c>
      <c r="K117" s="15">
        <v>31</v>
      </c>
      <c r="L117" s="15">
        <v>13</v>
      </c>
      <c r="M117" s="73">
        <v>38.765500000000003</v>
      </c>
      <c r="N117" s="104">
        <v>38.765500000000003</v>
      </c>
      <c r="O117" s="57">
        <v>7000</v>
      </c>
      <c r="P117" s="58">
        <f t="shared" si="1"/>
        <v>271358.5</v>
      </c>
    </row>
    <row r="118" spans="1:16" ht="26.25" customHeight="1" x14ac:dyDescent="0.2">
      <c r="A118" s="100"/>
      <c r="B118" s="100"/>
      <c r="C118" s="65" t="s">
        <v>4353</v>
      </c>
      <c r="D118" s="70" t="s">
        <v>57</v>
      </c>
      <c r="E118" s="12">
        <v>44552</v>
      </c>
      <c r="F118" s="68" t="s">
        <v>59</v>
      </c>
      <c r="G118" s="12">
        <v>44558</v>
      </c>
      <c r="H118" s="69" t="s">
        <v>4156</v>
      </c>
      <c r="I118" s="15">
        <v>71</v>
      </c>
      <c r="J118" s="15">
        <v>50</v>
      </c>
      <c r="K118" s="15">
        <v>26</v>
      </c>
      <c r="L118" s="15">
        <v>21</v>
      </c>
      <c r="M118" s="73">
        <v>23.074999999999999</v>
      </c>
      <c r="N118" s="104">
        <v>23.074999999999999</v>
      </c>
      <c r="O118" s="57">
        <v>7000</v>
      </c>
      <c r="P118" s="58">
        <f t="shared" si="1"/>
        <v>161525</v>
      </c>
    </row>
    <row r="119" spans="1:16" ht="26.25" customHeight="1" x14ac:dyDescent="0.2">
      <c r="A119" s="100"/>
      <c r="B119" s="100"/>
      <c r="C119" s="65" t="s">
        <v>4354</v>
      </c>
      <c r="D119" s="70" t="s">
        <v>57</v>
      </c>
      <c r="E119" s="12">
        <v>44552</v>
      </c>
      <c r="F119" s="68" t="s">
        <v>59</v>
      </c>
      <c r="G119" s="12">
        <v>44558</v>
      </c>
      <c r="H119" s="69" t="s">
        <v>4156</v>
      </c>
      <c r="I119" s="15">
        <v>102</v>
      </c>
      <c r="J119" s="15">
        <v>54</v>
      </c>
      <c r="K119" s="15">
        <v>27</v>
      </c>
      <c r="L119" s="15">
        <v>22</v>
      </c>
      <c r="M119" s="73">
        <v>37.179000000000002</v>
      </c>
      <c r="N119" s="104">
        <v>37.179000000000002</v>
      </c>
      <c r="O119" s="57">
        <v>7000</v>
      </c>
      <c r="P119" s="58">
        <f t="shared" si="1"/>
        <v>260253</v>
      </c>
    </row>
    <row r="120" spans="1:16" ht="26.25" customHeight="1" x14ac:dyDescent="0.2">
      <c r="A120" s="100"/>
      <c r="B120" s="100"/>
      <c r="C120" s="65" t="s">
        <v>4355</v>
      </c>
      <c r="D120" s="70" t="s">
        <v>57</v>
      </c>
      <c r="E120" s="12">
        <v>44552</v>
      </c>
      <c r="F120" s="68" t="s">
        <v>59</v>
      </c>
      <c r="G120" s="12">
        <v>44558</v>
      </c>
      <c r="H120" s="69" t="s">
        <v>4156</v>
      </c>
      <c r="I120" s="15">
        <v>51</v>
      </c>
      <c r="J120" s="15">
        <v>48</v>
      </c>
      <c r="K120" s="15">
        <v>11</v>
      </c>
      <c r="L120" s="15">
        <v>6</v>
      </c>
      <c r="M120" s="73">
        <v>6.7320000000000002</v>
      </c>
      <c r="N120" s="104">
        <v>6.7320000000000002</v>
      </c>
      <c r="O120" s="57">
        <v>7000</v>
      </c>
      <c r="P120" s="58">
        <f t="shared" si="1"/>
        <v>47124</v>
      </c>
    </row>
    <row r="121" spans="1:16" ht="26.25" customHeight="1" x14ac:dyDescent="0.2">
      <c r="A121" s="100"/>
      <c r="B121" s="100"/>
      <c r="C121" s="65" t="s">
        <v>4356</v>
      </c>
      <c r="D121" s="70" t="s">
        <v>57</v>
      </c>
      <c r="E121" s="12">
        <v>44552</v>
      </c>
      <c r="F121" s="68" t="s">
        <v>59</v>
      </c>
      <c r="G121" s="12">
        <v>44558</v>
      </c>
      <c r="H121" s="69" t="s">
        <v>4156</v>
      </c>
      <c r="I121" s="15">
        <v>71</v>
      </c>
      <c r="J121" s="15">
        <v>62</v>
      </c>
      <c r="K121" s="15">
        <v>24</v>
      </c>
      <c r="L121" s="15">
        <v>11</v>
      </c>
      <c r="M121" s="73">
        <v>26.411999999999999</v>
      </c>
      <c r="N121" s="104">
        <v>27</v>
      </c>
      <c r="O121" s="57">
        <v>7000</v>
      </c>
      <c r="P121" s="58">
        <f t="shared" si="1"/>
        <v>189000</v>
      </c>
    </row>
    <row r="122" spans="1:16" ht="26.25" customHeight="1" x14ac:dyDescent="0.2">
      <c r="A122" s="100"/>
      <c r="B122" s="100"/>
      <c r="C122" s="65" t="s">
        <v>4357</v>
      </c>
      <c r="D122" s="70" t="s">
        <v>57</v>
      </c>
      <c r="E122" s="12">
        <v>44552</v>
      </c>
      <c r="F122" s="68" t="s">
        <v>59</v>
      </c>
      <c r="G122" s="12">
        <v>44558</v>
      </c>
      <c r="H122" s="69" t="s">
        <v>4156</v>
      </c>
      <c r="I122" s="15">
        <v>73</v>
      </c>
      <c r="J122" s="15">
        <v>61</v>
      </c>
      <c r="K122" s="15">
        <v>25</v>
      </c>
      <c r="L122" s="15">
        <v>12</v>
      </c>
      <c r="M122" s="73">
        <v>27.831250000000001</v>
      </c>
      <c r="N122" s="104">
        <v>27.831250000000001</v>
      </c>
      <c r="O122" s="57">
        <v>7000</v>
      </c>
      <c r="P122" s="58">
        <f t="shared" si="1"/>
        <v>194818.75</v>
      </c>
    </row>
    <row r="123" spans="1:16" ht="26.25" customHeight="1" x14ac:dyDescent="0.2">
      <c r="A123" s="100"/>
      <c r="B123" s="100"/>
      <c r="C123" s="65" t="s">
        <v>4358</v>
      </c>
      <c r="D123" s="70" t="s">
        <v>57</v>
      </c>
      <c r="E123" s="12">
        <v>44552</v>
      </c>
      <c r="F123" s="68" t="s">
        <v>59</v>
      </c>
      <c r="G123" s="12">
        <v>44558</v>
      </c>
      <c r="H123" s="69" t="s">
        <v>4156</v>
      </c>
      <c r="I123" s="15">
        <v>112</v>
      </c>
      <c r="J123" s="15">
        <v>64</v>
      </c>
      <c r="K123" s="15">
        <v>31</v>
      </c>
      <c r="L123" s="15">
        <v>24</v>
      </c>
      <c r="M123" s="73">
        <v>55.552</v>
      </c>
      <c r="N123" s="104">
        <v>55.552</v>
      </c>
      <c r="O123" s="57">
        <v>7000</v>
      </c>
      <c r="P123" s="58">
        <f t="shared" si="1"/>
        <v>388864</v>
      </c>
    </row>
    <row r="124" spans="1:16" ht="26.25" customHeight="1" x14ac:dyDescent="0.2">
      <c r="A124" s="100"/>
      <c r="B124" s="100"/>
      <c r="C124" s="65" t="s">
        <v>4359</v>
      </c>
      <c r="D124" s="70" t="s">
        <v>57</v>
      </c>
      <c r="E124" s="12">
        <v>44552</v>
      </c>
      <c r="F124" s="68" t="s">
        <v>59</v>
      </c>
      <c r="G124" s="12">
        <v>44558</v>
      </c>
      <c r="H124" s="69" t="s">
        <v>4156</v>
      </c>
      <c r="I124" s="15">
        <v>75</v>
      </c>
      <c r="J124" s="15">
        <v>51</v>
      </c>
      <c r="K124" s="15">
        <v>34</v>
      </c>
      <c r="L124" s="15">
        <v>17</v>
      </c>
      <c r="M124" s="73">
        <v>32.512500000000003</v>
      </c>
      <c r="N124" s="104">
        <v>32.512500000000003</v>
      </c>
      <c r="O124" s="57">
        <v>7000</v>
      </c>
      <c r="P124" s="58">
        <f t="shared" si="1"/>
        <v>227587.50000000003</v>
      </c>
    </row>
    <row r="125" spans="1:16" ht="26.25" customHeight="1" x14ac:dyDescent="0.2">
      <c r="A125" s="100"/>
      <c r="B125" s="100"/>
      <c r="C125" s="65" t="s">
        <v>4360</v>
      </c>
      <c r="D125" s="70" t="s">
        <v>57</v>
      </c>
      <c r="E125" s="12">
        <v>44552</v>
      </c>
      <c r="F125" s="68" t="s">
        <v>59</v>
      </c>
      <c r="G125" s="12">
        <v>44558</v>
      </c>
      <c r="H125" s="69" t="s">
        <v>4156</v>
      </c>
      <c r="I125" s="15">
        <v>59</v>
      </c>
      <c r="J125" s="15">
        <v>28</v>
      </c>
      <c r="K125" s="15">
        <v>15</v>
      </c>
      <c r="L125" s="15">
        <v>4</v>
      </c>
      <c r="M125" s="73">
        <v>6.1950000000000003</v>
      </c>
      <c r="N125" s="104">
        <v>6.1950000000000003</v>
      </c>
      <c r="O125" s="57">
        <v>7000</v>
      </c>
      <c r="P125" s="58">
        <f t="shared" si="1"/>
        <v>43365</v>
      </c>
    </row>
    <row r="126" spans="1:16" ht="26.25" customHeight="1" x14ac:dyDescent="0.2">
      <c r="A126" s="100"/>
      <c r="B126" s="100"/>
      <c r="C126" s="65" t="s">
        <v>4361</v>
      </c>
      <c r="D126" s="70" t="s">
        <v>57</v>
      </c>
      <c r="E126" s="12">
        <v>44552</v>
      </c>
      <c r="F126" s="68" t="s">
        <v>59</v>
      </c>
      <c r="G126" s="12">
        <v>44558</v>
      </c>
      <c r="H126" s="69" t="s">
        <v>4156</v>
      </c>
      <c r="I126" s="15">
        <v>75</v>
      </c>
      <c r="J126" s="15">
        <v>55</v>
      </c>
      <c r="K126" s="15">
        <v>21</v>
      </c>
      <c r="L126" s="15">
        <v>7</v>
      </c>
      <c r="M126" s="73">
        <v>21.65625</v>
      </c>
      <c r="N126" s="104">
        <v>21.65625</v>
      </c>
      <c r="O126" s="57">
        <v>7000</v>
      </c>
      <c r="P126" s="58">
        <f t="shared" si="1"/>
        <v>151593.75</v>
      </c>
    </row>
    <row r="127" spans="1:16" ht="26.25" customHeight="1" x14ac:dyDescent="0.2">
      <c r="A127" s="100"/>
      <c r="B127" s="100"/>
      <c r="C127" s="65" t="s">
        <v>4362</v>
      </c>
      <c r="D127" s="70" t="s">
        <v>57</v>
      </c>
      <c r="E127" s="12">
        <v>44552</v>
      </c>
      <c r="F127" s="68" t="s">
        <v>59</v>
      </c>
      <c r="G127" s="12">
        <v>44558</v>
      </c>
      <c r="H127" s="69" t="s">
        <v>4156</v>
      </c>
      <c r="I127" s="15">
        <v>100</v>
      </c>
      <c r="J127" s="15">
        <v>57</v>
      </c>
      <c r="K127" s="15">
        <v>33</v>
      </c>
      <c r="L127" s="15">
        <v>23</v>
      </c>
      <c r="M127" s="73">
        <v>47.024999999999999</v>
      </c>
      <c r="N127" s="104">
        <v>47.024999999999999</v>
      </c>
      <c r="O127" s="57">
        <v>7000</v>
      </c>
      <c r="P127" s="58">
        <f t="shared" si="1"/>
        <v>329175</v>
      </c>
    </row>
    <row r="128" spans="1:16" ht="26.25" customHeight="1" x14ac:dyDescent="0.2">
      <c r="A128" s="100"/>
      <c r="B128" s="100"/>
      <c r="C128" s="65" t="s">
        <v>4363</v>
      </c>
      <c r="D128" s="70" t="s">
        <v>57</v>
      </c>
      <c r="E128" s="12">
        <v>44552</v>
      </c>
      <c r="F128" s="68" t="s">
        <v>59</v>
      </c>
      <c r="G128" s="12">
        <v>44558</v>
      </c>
      <c r="H128" s="69" t="s">
        <v>4156</v>
      </c>
      <c r="I128" s="15">
        <v>78</v>
      </c>
      <c r="J128" s="15">
        <v>54</v>
      </c>
      <c r="K128" s="15">
        <v>21</v>
      </c>
      <c r="L128" s="15">
        <v>6</v>
      </c>
      <c r="M128" s="73">
        <v>22.113</v>
      </c>
      <c r="N128" s="104">
        <v>22.113</v>
      </c>
      <c r="O128" s="57">
        <v>7000</v>
      </c>
      <c r="P128" s="58">
        <f t="shared" si="1"/>
        <v>154791</v>
      </c>
    </row>
    <row r="129" spans="1:16" ht="26.25" customHeight="1" x14ac:dyDescent="0.2">
      <c r="A129" s="100"/>
      <c r="B129" s="100"/>
      <c r="C129" s="65" t="s">
        <v>4364</v>
      </c>
      <c r="D129" s="70" t="s">
        <v>57</v>
      </c>
      <c r="E129" s="12">
        <v>44552</v>
      </c>
      <c r="F129" s="68" t="s">
        <v>59</v>
      </c>
      <c r="G129" s="12">
        <v>44558</v>
      </c>
      <c r="H129" s="69" t="s">
        <v>4156</v>
      </c>
      <c r="I129" s="15">
        <v>66</v>
      </c>
      <c r="J129" s="15">
        <v>55</v>
      </c>
      <c r="K129" s="15">
        <v>20</v>
      </c>
      <c r="L129" s="15">
        <v>11</v>
      </c>
      <c r="M129" s="73">
        <v>18.149999999999999</v>
      </c>
      <c r="N129" s="104">
        <v>18.149999999999999</v>
      </c>
      <c r="O129" s="57">
        <v>7000</v>
      </c>
      <c r="P129" s="58">
        <f t="shared" si="1"/>
        <v>127049.99999999999</v>
      </c>
    </row>
    <row r="130" spans="1:16" ht="26.25" customHeight="1" x14ac:dyDescent="0.2">
      <c r="A130" s="100"/>
      <c r="B130" s="100"/>
      <c r="C130" s="65" t="s">
        <v>4365</v>
      </c>
      <c r="D130" s="70" t="s">
        <v>57</v>
      </c>
      <c r="E130" s="12">
        <v>44552</v>
      </c>
      <c r="F130" s="68" t="s">
        <v>59</v>
      </c>
      <c r="G130" s="12">
        <v>44558</v>
      </c>
      <c r="H130" s="69" t="s">
        <v>4156</v>
      </c>
      <c r="I130" s="15">
        <v>64</v>
      </c>
      <c r="J130" s="15">
        <v>53</v>
      </c>
      <c r="K130" s="15">
        <v>21</v>
      </c>
      <c r="L130" s="15">
        <v>6</v>
      </c>
      <c r="M130" s="73">
        <v>17.808</v>
      </c>
      <c r="N130" s="104">
        <v>17.808</v>
      </c>
      <c r="O130" s="57">
        <v>7000</v>
      </c>
      <c r="P130" s="58">
        <f t="shared" si="1"/>
        <v>124656</v>
      </c>
    </row>
    <row r="131" spans="1:16" ht="26.25" customHeight="1" x14ac:dyDescent="0.2">
      <c r="A131" s="100"/>
      <c r="B131" s="100"/>
      <c r="C131" s="65" t="s">
        <v>4366</v>
      </c>
      <c r="D131" s="70" t="s">
        <v>57</v>
      </c>
      <c r="E131" s="12">
        <v>44552</v>
      </c>
      <c r="F131" s="68" t="s">
        <v>59</v>
      </c>
      <c r="G131" s="12">
        <v>44558</v>
      </c>
      <c r="H131" s="69" t="s">
        <v>4156</v>
      </c>
      <c r="I131" s="15">
        <v>87</v>
      </c>
      <c r="J131" s="15">
        <v>65</v>
      </c>
      <c r="K131" s="15">
        <v>28</v>
      </c>
      <c r="L131" s="15">
        <v>14</v>
      </c>
      <c r="M131" s="73">
        <v>39.585000000000001</v>
      </c>
      <c r="N131" s="104">
        <v>39.585000000000001</v>
      </c>
      <c r="O131" s="57">
        <v>7000</v>
      </c>
      <c r="P131" s="58">
        <f t="shared" ref="P131:P194" si="2">N131*O131</f>
        <v>277095</v>
      </c>
    </row>
    <row r="132" spans="1:16" ht="26.25" customHeight="1" x14ac:dyDescent="0.2">
      <c r="A132" s="100"/>
      <c r="B132" s="100"/>
      <c r="C132" s="65" t="s">
        <v>4367</v>
      </c>
      <c r="D132" s="70" t="s">
        <v>57</v>
      </c>
      <c r="E132" s="12">
        <v>44552</v>
      </c>
      <c r="F132" s="68" t="s">
        <v>59</v>
      </c>
      <c r="G132" s="12">
        <v>44558</v>
      </c>
      <c r="H132" s="69" t="s">
        <v>4156</v>
      </c>
      <c r="I132" s="15">
        <v>64</v>
      </c>
      <c r="J132" s="15">
        <v>53</v>
      </c>
      <c r="K132" s="15">
        <v>21</v>
      </c>
      <c r="L132" s="15">
        <v>9</v>
      </c>
      <c r="M132" s="73">
        <v>17.808</v>
      </c>
      <c r="N132" s="104">
        <v>17.808</v>
      </c>
      <c r="O132" s="57">
        <v>7000</v>
      </c>
      <c r="P132" s="58">
        <f t="shared" si="2"/>
        <v>124656</v>
      </c>
    </row>
    <row r="133" spans="1:16" ht="26.25" customHeight="1" x14ac:dyDescent="0.2">
      <c r="A133" s="100"/>
      <c r="B133" s="100"/>
      <c r="C133" s="65" t="s">
        <v>4368</v>
      </c>
      <c r="D133" s="70" t="s">
        <v>57</v>
      </c>
      <c r="E133" s="12">
        <v>44552</v>
      </c>
      <c r="F133" s="68" t="s">
        <v>59</v>
      </c>
      <c r="G133" s="12">
        <v>44558</v>
      </c>
      <c r="H133" s="69" t="s">
        <v>4156</v>
      </c>
      <c r="I133" s="15">
        <v>87</v>
      </c>
      <c r="J133" s="15">
        <v>61</v>
      </c>
      <c r="K133" s="15">
        <v>31</v>
      </c>
      <c r="L133" s="15">
        <v>23</v>
      </c>
      <c r="M133" s="73">
        <v>41.129249999999999</v>
      </c>
      <c r="N133" s="104">
        <v>41.129249999999999</v>
      </c>
      <c r="O133" s="57">
        <v>7000</v>
      </c>
      <c r="P133" s="58">
        <f t="shared" si="2"/>
        <v>287904.75</v>
      </c>
    </row>
    <row r="134" spans="1:16" ht="26.25" customHeight="1" x14ac:dyDescent="0.2">
      <c r="A134" s="100"/>
      <c r="B134" s="100"/>
      <c r="C134" s="65" t="s">
        <v>4369</v>
      </c>
      <c r="D134" s="70" t="s">
        <v>57</v>
      </c>
      <c r="E134" s="12">
        <v>44552</v>
      </c>
      <c r="F134" s="68" t="s">
        <v>59</v>
      </c>
      <c r="G134" s="12">
        <v>44558</v>
      </c>
      <c r="H134" s="69" t="s">
        <v>4156</v>
      </c>
      <c r="I134" s="15">
        <v>60</v>
      </c>
      <c r="J134" s="15">
        <v>59</v>
      </c>
      <c r="K134" s="15">
        <v>22</v>
      </c>
      <c r="L134" s="15">
        <v>4</v>
      </c>
      <c r="M134" s="73">
        <v>19.47</v>
      </c>
      <c r="N134" s="104">
        <v>20</v>
      </c>
      <c r="O134" s="57">
        <v>7000</v>
      </c>
      <c r="P134" s="58">
        <f t="shared" si="2"/>
        <v>140000</v>
      </c>
    </row>
    <row r="135" spans="1:16" ht="26.25" customHeight="1" x14ac:dyDescent="0.2">
      <c r="A135" s="100"/>
      <c r="B135" s="100"/>
      <c r="C135" s="65" t="s">
        <v>4370</v>
      </c>
      <c r="D135" s="70" t="s">
        <v>57</v>
      </c>
      <c r="E135" s="12">
        <v>44552</v>
      </c>
      <c r="F135" s="68" t="s">
        <v>59</v>
      </c>
      <c r="G135" s="12">
        <v>44558</v>
      </c>
      <c r="H135" s="69" t="s">
        <v>4156</v>
      </c>
      <c r="I135" s="15">
        <v>83</v>
      </c>
      <c r="J135" s="15">
        <v>59</v>
      </c>
      <c r="K135" s="15">
        <v>18</v>
      </c>
      <c r="L135" s="15">
        <v>13</v>
      </c>
      <c r="M135" s="73">
        <v>22.0365</v>
      </c>
      <c r="N135" s="104">
        <v>22.0365</v>
      </c>
      <c r="O135" s="57">
        <v>7000</v>
      </c>
      <c r="P135" s="58">
        <f t="shared" si="2"/>
        <v>154255.5</v>
      </c>
    </row>
    <row r="136" spans="1:16" ht="26.25" customHeight="1" x14ac:dyDescent="0.2">
      <c r="A136" s="100"/>
      <c r="B136" s="100"/>
      <c r="C136" s="65" t="s">
        <v>4371</v>
      </c>
      <c r="D136" s="70" t="s">
        <v>57</v>
      </c>
      <c r="E136" s="12">
        <v>44552</v>
      </c>
      <c r="F136" s="68" t="s">
        <v>59</v>
      </c>
      <c r="G136" s="12">
        <v>44558</v>
      </c>
      <c r="H136" s="69" t="s">
        <v>4156</v>
      </c>
      <c r="I136" s="15">
        <v>58</v>
      </c>
      <c r="J136" s="15">
        <v>61</v>
      </c>
      <c r="K136" s="15">
        <v>13</v>
      </c>
      <c r="L136" s="15">
        <v>6</v>
      </c>
      <c r="M136" s="73">
        <v>11.4985</v>
      </c>
      <c r="N136" s="104">
        <v>12</v>
      </c>
      <c r="O136" s="57">
        <v>7000</v>
      </c>
      <c r="P136" s="58">
        <f t="shared" si="2"/>
        <v>84000</v>
      </c>
    </row>
    <row r="137" spans="1:16" ht="26.25" customHeight="1" x14ac:dyDescent="0.2">
      <c r="A137" s="100"/>
      <c r="B137" s="100"/>
      <c r="C137" s="65" t="s">
        <v>4372</v>
      </c>
      <c r="D137" s="70" t="s">
        <v>57</v>
      </c>
      <c r="E137" s="12">
        <v>44552</v>
      </c>
      <c r="F137" s="68" t="s">
        <v>59</v>
      </c>
      <c r="G137" s="12">
        <v>44558</v>
      </c>
      <c r="H137" s="69" t="s">
        <v>4156</v>
      </c>
      <c r="I137" s="15">
        <v>105</v>
      </c>
      <c r="J137" s="15">
        <v>58</v>
      </c>
      <c r="K137" s="15">
        <v>32</v>
      </c>
      <c r="L137" s="15">
        <v>31</v>
      </c>
      <c r="M137" s="73">
        <v>48.72</v>
      </c>
      <c r="N137" s="104">
        <v>48.72</v>
      </c>
      <c r="O137" s="57">
        <v>7000</v>
      </c>
      <c r="P137" s="58">
        <f t="shared" si="2"/>
        <v>341040</v>
      </c>
    </row>
    <row r="138" spans="1:16" ht="26.25" customHeight="1" x14ac:dyDescent="0.2">
      <c r="A138" s="100"/>
      <c r="B138" s="100"/>
      <c r="C138" s="65" t="s">
        <v>4373</v>
      </c>
      <c r="D138" s="70" t="s">
        <v>57</v>
      </c>
      <c r="E138" s="12">
        <v>44552</v>
      </c>
      <c r="F138" s="68" t="s">
        <v>59</v>
      </c>
      <c r="G138" s="12">
        <v>44558</v>
      </c>
      <c r="H138" s="69" t="s">
        <v>4156</v>
      </c>
      <c r="I138" s="15">
        <v>75</v>
      </c>
      <c r="J138" s="15">
        <v>50</v>
      </c>
      <c r="K138" s="15">
        <v>19</v>
      </c>
      <c r="L138" s="15">
        <v>7</v>
      </c>
      <c r="M138" s="73">
        <v>17.8125</v>
      </c>
      <c r="N138" s="104">
        <v>17.8125</v>
      </c>
      <c r="O138" s="57">
        <v>7000</v>
      </c>
      <c r="P138" s="58">
        <f t="shared" si="2"/>
        <v>124687.5</v>
      </c>
    </row>
    <row r="139" spans="1:16" ht="26.25" customHeight="1" x14ac:dyDescent="0.2">
      <c r="A139" s="100"/>
      <c r="B139" s="100"/>
      <c r="C139" s="65" t="s">
        <v>4374</v>
      </c>
      <c r="D139" s="70" t="s">
        <v>57</v>
      </c>
      <c r="E139" s="12">
        <v>44552</v>
      </c>
      <c r="F139" s="68" t="s">
        <v>59</v>
      </c>
      <c r="G139" s="12">
        <v>44558</v>
      </c>
      <c r="H139" s="69" t="s">
        <v>4156</v>
      </c>
      <c r="I139" s="15">
        <v>61</v>
      </c>
      <c r="J139" s="15">
        <v>55</v>
      </c>
      <c r="K139" s="15">
        <v>23</v>
      </c>
      <c r="L139" s="15">
        <v>12</v>
      </c>
      <c r="M139" s="73">
        <v>19.291250000000002</v>
      </c>
      <c r="N139" s="104">
        <v>19.291250000000002</v>
      </c>
      <c r="O139" s="57">
        <v>7000</v>
      </c>
      <c r="P139" s="58">
        <f t="shared" si="2"/>
        <v>135038.75</v>
      </c>
    </row>
    <row r="140" spans="1:16" ht="26.25" customHeight="1" x14ac:dyDescent="0.2">
      <c r="A140" s="100"/>
      <c r="B140" s="100"/>
      <c r="C140" s="65" t="s">
        <v>4375</v>
      </c>
      <c r="D140" s="70" t="s">
        <v>57</v>
      </c>
      <c r="E140" s="12">
        <v>44552</v>
      </c>
      <c r="F140" s="68" t="s">
        <v>59</v>
      </c>
      <c r="G140" s="12">
        <v>44558</v>
      </c>
      <c r="H140" s="69" t="s">
        <v>4156</v>
      </c>
      <c r="I140" s="15">
        <v>91</v>
      </c>
      <c r="J140" s="15">
        <v>65</v>
      </c>
      <c r="K140" s="15">
        <v>38</v>
      </c>
      <c r="L140" s="15">
        <v>26</v>
      </c>
      <c r="M140" s="73">
        <v>56.192500000000003</v>
      </c>
      <c r="N140" s="104">
        <v>56.192500000000003</v>
      </c>
      <c r="O140" s="57">
        <v>7000</v>
      </c>
      <c r="P140" s="58">
        <f t="shared" si="2"/>
        <v>393347.5</v>
      </c>
    </row>
    <row r="141" spans="1:16" ht="26.25" customHeight="1" x14ac:dyDescent="0.2">
      <c r="A141" s="100"/>
      <c r="B141" s="100"/>
      <c r="C141" s="65" t="s">
        <v>4376</v>
      </c>
      <c r="D141" s="70" t="s">
        <v>57</v>
      </c>
      <c r="E141" s="12">
        <v>44552</v>
      </c>
      <c r="F141" s="68" t="s">
        <v>59</v>
      </c>
      <c r="G141" s="12">
        <v>44558</v>
      </c>
      <c r="H141" s="69" t="s">
        <v>4156</v>
      </c>
      <c r="I141" s="15">
        <v>26</v>
      </c>
      <c r="J141" s="15">
        <v>23</v>
      </c>
      <c r="K141" s="15">
        <v>25</v>
      </c>
      <c r="L141" s="15">
        <v>6</v>
      </c>
      <c r="M141" s="73">
        <v>3.7374999999999998</v>
      </c>
      <c r="N141" s="104">
        <v>6</v>
      </c>
      <c r="O141" s="57">
        <v>7000</v>
      </c>
      <c r="P141" s="58">
        <f t="shared" si="2"/>
        <v>42000</v>
      </c>
    </row>
    <row r="142" spans="1:16" ht="26.25" customHeight="1" x14ac:dyDescent="0.2">
      <c r="A142" s="100"/>
      <c r="B142" s="100"/>
      <c r="C142" s="65" t="s">
        <v>4377</v>
      </c>
      <c r="D142" s="70" t="s">
        <v>57</v>
      </c>
      <c r="E142" s="12">
        <v>44552</v>
      </c>
      <c r="F142" s="68" t="s">
        <v>59</v>
      </c>
      <c r="G142" s="12">
        <v>44558</v>
      </c>
      <c r="H142" s="69" t="s">
        <v>4156</v>
      </c>
      <c r="I142" s="15">
        <v>48</v>
      </c>
      <c r="J142" s="15">
        <v>38</v>
      </c>
      <c r="K142" s="15">
        <v>36</v>
      </c>
      <c r="L142" s="15">
        <v>10</v>
      </c>
      <c r="M142" s="73">
        <v>16.416</v>
      </c>
      <c r="N142" s="104">
        <v>17</v>
      </c>
      <c r="O142" s="57">
        <v>7000</v>
      </c>
      <c r="P142" s="58">
        <f t="shared" si="2"/>
        <v>119000</v>
      </c>
    </row>
    <row r="143" spans="1:16" ht="26.25" customHeight="1" x14ac:dyDescent="0.2">
      <c r="A143" s="100"/>
      <c r="B143" s="100"/>
      <c r="C143" s="65" t="s">
        <v>4378</v>
      </c>
      <c r="D143" s="70" t="s">
        <v>57</v>
      </c>
      <c r="E143" s="12">
        <v>44552</v>
      </c>
      <c r="F143" s="68" t="s">
        <v>59</v>
      </c>
      <c r="G143" s="12">
        <v>44558</v>
      </c>
      <c r="H143" s="69" t="s">
        <v>4156</v>
      </c>
      <c r="I143" s="15">
        <v>71</v>
      </c>
      <c r="J143" s="15">
        <v>40</v>
      </c>
      <c r="K143" s="15">
        <v>60</v>
      </c>
      <c r="L143" s="15">
        <v>20</v>
      </c>
      <c r="M143" s="73">
        <v>42.6</v>
      </c>
      <c r="N143" s="104">
        <v>42.6</v>
      </c>
      <c r="O143" s="57">
        <v>7000</v>
      </c>
      <c r="P143" s="58">
        <f t="shared" si="2"/>
        <v>298200</v>
      </c>
    </row>
    <row r="144" spans="1:16" ht="26.25" customHeight="1" x14ac:dyDescent="0.2">
      <c r="A144" s="100"/>
      <c r="B144" s="100"/>
      <c r="C144" s="65" t="s">
        <v>4379</v>
      </c>
      <c r="D144" s="70" t="s">
        <v>57</v>
      </c>
      <c r="E144" s="12">
        <v>44552</v>
      </c>
      <c r="F144" s="68" t="s">
        <v>59</v>
      </c>
      <c r="G144" s="12">
        <v>44558</v>
      </c>
      <c r="H144" s="69" t="s">
        <v>4156</v>
      </c>
      <c r="I144" s="15">
        <v>245</v>
      </c>
      <c r="J144" s="15">
        <v>28</v>
      </c>
      <c r="K144" s="15">
        <v>25</v>
      </c>
      <c r="L144" s="15">
        <v>11</v>
      </c>
      <c r="M144" s="73">
        <v>42.875</v>
      </c>
      <c r="N144" s="104">
        <v>42.875</v>
      </c>
      <c r="O144" s="57">
        <v>7000</v>
      </c>
      <c r="P144" s="58">
        <f t="shared" si="2"/>
        <v>300125</v>
      </c>
    </row>
    <row r="145" spans="1:16" ht="26.25" customHeight="1" x14ac:dyDescent="0.2">
      <c r="A145" s="100"/>
      <c r="B145" s="100"/>
      <c r="C145" s="65" t="s">
        <v>4380</v>
      </c>
      <c r="D145" s="70" t="s">
        <v>57</v>
      </c>
      <c r="E145" s="12">
        <v>44552</v>
      </c>
      <c r="F145" s="68" t="s">
        <v>59</v>
      </c>
      <c r="G145" s="12">
        <v>44558</v>
      </c>
      <c r="H145" s="69" t="s">
        <v>4156</v>
      </c>
      <c r="I145" s="15">
        <v>74</v>
      </c>
      <c r="J145" s="15">
        <v>48</v>
      </c>
      <c r="K145" s="15">
        <v>18</v>
      </c>
      <c r="L145" s="15">
        <v>5</v>
      </c>
      <c r="M145" s="73">
        <v>15.984</v>
      </c>
      <c r="N145" s="104">
        <v>15.984</v>
      </c>
      <c r="O145" s="57">
        <v>7000</v>
      </c>
      <c r="P145" s="58">
        <f t="shared" si="2"/>
        <v>111888</v>
      </c>
    </row>
    <row r="146" spans="1:16" ht="26.25" customHeight="1" x14ac:dyDescent="0.2">
      <c r="A146" s="100"/>
      <c r="B146" s="100"/>
      <c r="C146" s="65" t="s">
        <v>4381</v>
      </c>
      <c r="D146" s="70" t="s">
        <v>57</v>
      </c>
      <c r="E146" s="12">
        <v>44552</v>
      </c>
      <c r="F146" s="68" t="s">
        <v>59</v>
      </c>
      <c r="G146" s="12">
        <v>44558</v>
      </c>
      <c r="H146" s="69" t="s">
        <v>4156</v>
      </c>
      <c r="I146" s="15">
        <v>45</v>
      </c>
      <c r="J146" s="15">
        <v>33</v>
      </c>
      <c r="K146" s="15">
        <v>30</v>
      </c>
      <c r="L146" s="15">
        <v>7</v>
      </c>
      <c r="M146" s="73">
        <v>11.137499999999999</v>
      </c>
      <c r="N146" s="104">
        <v>11.137499999999999</v>
      </c>
      <c r="O146" s="57">
        <v>7000</v>
      </c>
      <c r="P146" s="58">
        <f t="shared" si="2"/>
        <v>77962.5</v>
      </c>
    </row>
    <row r="147" spans="1:16" ht="26.25" customHeight="1" x14ac:dyDescent="0.2">
      <c r="A147" s="100"/>
      <c r="B147" s="100"/>
      <c r="C147" s="65" t="s">
        <v>4382</v>
      </c>
      <c r="D147" s="70" t="s">
        <v>57</v>
      </c>
      <c r="E147" s="12">
        <v>44552</v>
      </c>
      <c r="F147" s="68" t="s">
        <v>59</v>
      </c>
      <c r="G147" s="12">
        <v>44558</v>
      </c>
      <c r="H147" s="69" t="s">
        <v>4156</v>
      </c>
      <c r="I147" s="15">
        <v>76</v>
      </c>
      <c r="J147" s="15">
        <v>28</v>
      </c>
      <c r="K147" s="15">
        <v>6</v>
      </c>
      <c r="L147" s="15">
        <v>1</v>
      </c>
      <c r="M147" s="73">
        <v>3.1920000000000002</v>
      </c>
      <c r="N147" s="104">
        <v>3.1920000000000002</v>
      </c>
      <c r="O147" s="57">
        <v>7000</v>
      </c>
      <c r="P147" s="58">
        <f t="shared" si="2"/>
        <v>22344</v>
      </c>
    </row>
    <row r="148" spans="1:16" ht="26.25" customHeight="1" x14ac:dyDescent="0.2">
      <c r="A148" s="100"/>
      <c r="B148" s="100"/>
      <c r="C148" s="65" t="s">
        <v>4383</v>
      </c>
      <c r="D148" s="70" t="s">
        <v>57</v>
      </c>
      <c r="E148" s="12">
        <v>44552</v>
      </c>
      <c r="F148" s="68" t="s">
        <v>59</v>
      </c>
      <c r="G148" s="12">
        <v>44558</v>
      </c>
      <c r="H148" s="69" t="s">
        <v>4156</v>
      </c>
      <c r="I148" s="15">
        <v>42</v>
      </c>
      <c r="J148" s="15">
        <v>40</v>
      </c>
      <c r="K148" s="15">
        <v>28</v>
      </c>
      <c r="L148" s="15">
        <v>7</v>
      </c>
      <c r="M148" s="73">
        <v>11.76</v>
      </c>
      <c r="N148" s="104">
        <v>11.76</v>
      </c>
      <c r="O148" s="57">
        <v>7000</v>
      </c>
      <c r="P148" s="58">
        <f t="shared" si="2"/>
        <v>82320</v>
      </c>
    </row>
    <row r="149" spans="1:16" ht="26.25" customHeight="1" x14ac:dyDescent="0.2">
      <c r="A149" s="100"/>
      <c r="B149" s="100"/>
      <c r="C149" s="65" t="s">
        <v>4384</v>
      </c>
      <c r="D149" s="70" t="s">
        <v>57</v>
      </c>
      <c r="E149" s="12">
        <v>44552</v>
      </c>
      <c r="F149" s="68" t="s">
        <v>59</v>
      </c>
      <c r="G149" s="12">
        <v>44558</v>
      </c>
      <c r="H149" s="69" t="s">
        <v>4156</v>
      </c>
      <c r="I149" s="15">
        <v>126</v>
      </c>
      <c r="J149" s="15">
        <v>12</v>
      </c>
      <c r="K149" s="15">
        <v>12</v>
      </c>
      <c r="L149" s="15">
        <v>7</v>
      </c>
      <c r="M149" s="73">
        <v>4.5359999999999996</v>
      </c>
      <c r="N149" s="104">
        <v>7</v>
      </c>
      <c r="O149" s="57">
        <v>7000</v>
      </c>
      <c r="P149" s="58">
        <f t="shared" si="2"/>
        <v>49000</v>
      </c>
    </row>
    <row r="150" spans="1:16" ht="26.25" customHeight="1" x14ac:dyDescent="0.2">
      <c r="A150" s="100"/>
      <c r="B150" s="100"/>
      <c r="C150" s="65" t="s">
        <v>4385</v>
      </c>
      <c r="D150" s="70" t="s">
        <v>57</v>
      </c>
      <c r="E150" s="12">
        <v>44552</v>
      </c>
      <c r="F150" s="68" t="s">
        <v>59</v>
      </c>
      <c r="G150" s="12">
        <v>44558</v>
      </c>
      <c r="H150" s="69" t="s">
        <v>4156</v>
      </c>
      <c r="I150" s="15">
        <v>72</v>
      </c>
      <c r="J150" s="15">
        <v>25</v>
      </c>
      <c r="K150" s="15">
        <v>4</v>
      </c>
      <c r="L150" s="15">
        <v>1</v>
      </c>
      <c r="M150" s="73">
        <v>1.8</v>
      </c>
      <c r="N150" s="104">
        <v>1.8</v>
      </c>
      <c r="O150" s="57">
        <v>7000</v>
      </c>
      <c r="P150" s="58">
        <f t="shared" si="2"/>
        <v>12600</v>
      </c>
    </row>
    <row r="151" spans="1:16" ht="26.25" customHeight="1" x14ac:dyDescent="0.2">
      <c r="A151" s="100"/>
      <c r="B151" s="100"/>
      <c r="C151" s="65" t="s">
        <v>4386</v>
      </c>
      <c r="D151" s="70" t="s">
        <v>57</v>
      </c>
      <c r="E151" s="12">
        <v>44552</v>
      </c>
      <c r="F151" s="68" t="s">
        <v>59</v>
      </c>
      <c r="G151" s="12">
        <v>44558</v>
      </c>
      <c r="H151" s="69" t="s">
        <v>4156</v>
      </c>
      <c r="I151" s="15">
        <v>103</v>
      </c>
      <c r="J151" s="15">
        <v>17</v>
      </c>
      <c r="K151" s="15">
        <v>8</v>
      </c>
      <c r="L151" s="15">
        <v>8</v>
      </c>
      <c r="M151" s="73">
        <v>3.5019999999999998</v>
      </c>
      <c r="N151" s="104">
        <v>9</v>
      </c>
      <c r="O151" s="57">
        <v>7000</v>
      </c>
      <c r="P151" s="58">
        <f t="shared" si="2"/>
        <v>63000</v>
      </c>
    </row>
    <row r="152" spans="1:16" ht="26.25" customHeight="1" x14ac:dyDescent="0.2">
      <c r="A152" s="100"/>
      <c r="B152" s="100"/>
      <c r="C152" s="65" t="s">
        <v>4387</v>
      </c>
      <c r="D152" s="70" t="s">
        <v>57</v>
      </c>
      <c r="E152" s="12">
        <v>44552</v>
      </c>
      <c r="F152" s="68" t="s">
        <v>59</v>
      </c>
      <c r="G152" s="12">
        <v>44558</v>
      </c>
      <c r="H152" s="69" t="s">
        <v>4156</v>
      </c>
      <c r="I152" s="15">
        <v>57</v>
      </c>
      <c r="J152" s="15">
        <v>48</v>
      </c>
      <c r="K152" s="15">
        <v>18</v>
      </c>
      <c r="L152" s="15">
        <v>3</v>
      </c>
      <c r="M152" s="73">
        <v>12.311999999999999</v>
      </c>
      <c r="N152" s="104">
        <v>13</v>
      </c>
      <c r="O152" s="57">
        <v>7000</v>
      </c>
      <c r="P152" s="58">
        <f t="shared" si="2"/>
        <v>91000</v>
      </c>
    </row>
    <row r="153" spans="1:16" ht="26.25" customHeight="1" x14ac:dyDescent="0.2">
      <c r="A153" s="100"/>
      <c r="B153" s="100"/>
      <c r="C153" s="65" t="s">
        <v>4388</v>
      </c>
      <c r="D153" s="70" t="s">
        <v>57</v>
      </c>
      <c r="E153" s="12">
        <v>44552</v>
      </c>
      <c r="F153" s="68" t="s">
        <v>59</v>
      </c>
      <c r="G153" s="12">
        <v>44558</v>
      </c>
      <c r="H153" s="69" t="s">
        <v>4156</v>
      </c>
      <c r="I153" s="15">
        <v>68</v>
      </c>
      <c r="J153" s="15">
        <v>58</v>
      </c>
      <c r="K153" s="15">
        <v>18</v>
      </c>
      <c r="L153" s="15">
        <v>8</v>
      </c>
      <c r="M153" s="73">
        <v>17.748000000000001</v>
      </c>
      <c r="N153" s="104">
        <v>17.748000000000001</v>
      </c>
      <c r="O153" s="57">
        <v>7000</v>
      </c>
      <c r="P153" s="58">
        <f t="shared" si="2"/>
        <v>124236.00000000001</v>
      </c>
    </row>
    <row r="154" spans="1:16" ht="26.25" customHeight="1" x14ac:dyDescent="0.2">
      <c r="A154" s="100"/>
      <c r="B154" s="100"/>
      <c r="C154" s="65" t="s">
        <v>4389</v>
      </c>
      <c r="D154" s="70" t="s">
        <v>57</v>
      </c>
      <c r="E154" s="12">
        <v>44552</v>
      </c>
      <c r="F154" s="68" t="s">
        <v>59</v>
      </c>
      <c r="G154" s="12">
        <v>44558</v>
      </c>
      <c r="H154" s="69" t="s">
        <v>4156</v>
      </c>
      <c r="I154" s="15">
        <v>77</v>
      </c>
      <c r="J154" s="15">
        <v>62</v>
      </c>
      <c r="K154" s="15">
        <v>11</v>
      </c>
      <c r="L154" s="15">
        <v>6</v>
      </c>
      <c r="M154" s="73">
        <v>13.128500000000001</v>
      </c>
      <c r="N154" s="104">
        <v>13.128500000000001</v>
      </c>
      <c r="O154" s="57">
        <v>7000</v>
      </c>
      <c r="P154" s="58">
        <f t="shared" si="2"/>
        <v>91899.5</v>
      </c>
    </row>
    <row r="155" spans="1:16" ht="26.25" customHeight="1" x14ac:dyDescent="0.2">
      <c r="A155" s="100"/>
      <c r="B155" s="100"/>
      <c r="C155" s="65" t="s">
        <v>4390</v>
      </c>
      <c r="D155" s="70" t="s">
        <v>57</v>
      </c>
      <c r="E155" s="12">
        <v>44552</v>
      </c>
      <c r="F155" s="68" t="s">
        <v>59</v>
      </c>
      <c r="G155" s="12">
        <v>44558</v>
      </c>
      <c r="H155" s="69" t="s">
        <v>4156</v>
      </c>
      <c r="I155" s="15">
        <v>21</v>
      </c>
      <c r="J155" s="15">
        <v>16</v>
      </c>
      <c r="K155" s="15">
        <v>10</v>
      </c>
      <c r="L155" s="15">
        <v>1</v>
      </c>
      <c r="M155" s="73">
        <v>0.84</v>
      </c>
      <c r="N155" s="104">
        <v>1</v>
      </c>
      <c r="O155" s="57">
        <v>7000</v>
      </c>
      <c r="P155" s="58">
        <f t="shared" si="2"/>
        <v>7000</v>
      </c>
    </row>
    <row r="156" spans="1:16" ht="26.25" customHeight="1" x14ac:dyDescent="0.2">
      <c r="A156" s="100"/>
      <c r="B156" s="100"/>
      <c r="C156" s="65" t="s">
        <v>4391</v>
      </c>
      <c r="D156" s="70" t="s">
        <v>57</v>
      </c>
      <c r="E156" s="12">
        <v>44552</v>
      </c>
      <c r="F156" s="68" t="s">
        <v>59</v>
      </c>
      <c r="G156" s="12">
        <v>44558</v>
      </c>
      <c r="H156" s="69" t="s">
        <v>4156</v>
      </c>
      <c r="I156" s="15">
        <v>71</v>
      </c>
      <c r="J156" s="15">
        <v>61</v>
      </c>
      <c r="K156" s="15">
        <v>16</v>
      </c>
      <c r="L156" s="15">
        <v>10</v>
      </c>
      <c r="M156" s="73">
        <v>17.324000000000002</v>
      </c>
      <c r="N156" s="104">
        <v>18</v>
      </c>
      <c r="O156" s="57">
        <v>7000</v>
      </c>
      <c r="P156" s="58">
        <f t="shared" si="2"/>
        <v>126000</v>
      </c>
    </row>
    <row r="157" spans="1:16" ht="26.25" customHeight="1" x14ac:dyDescent="0.2">
      <c r="A157" s="100"/>
      <c r="B157" s="100"/>
      <c r="C157" s="65" t="s">
        <v>4392</v>
      </c>
      <c r="D157" s="70" t="s">
        <v>57</v>
      </c>
      <c r="E157" s="12">
        <v>44552</v>
      </c>
      <c r="F157" s="68" t="s">
        <v>59</v>
      </c>
      <c r="G157" s="12">
        <v>44558</v>
      </c>
      <c r="H157" s="69" t="s">
        <v>4156</v>
      </c>
      <c r="I157" s="15">
        <v>71</v>
      </c>
      <c r="J157" s="15">
        <v>52</v>
      </c>
      <c r="K157" s="15">
        <v>26</v>
      </c>
      <c r="L157" s="15">
        <v>9</v>
      </c>
      <c r="M157" s="73">
        <v>23.998000000000001</v>
      </c>
      <c r="N157" s="104">
        <v>23.998000000000001</v>
      </c>
      <c r="O157" s="57">
        <v>7000</v>
      </c>
      <c r="P157" s="58">
        <f t="shared" si="2"/>
        <v>167986</v>
      </c>
    </row>
    <row r="158" spans="1:16" ht="26.25" customHeight="1" x14ac:dyDescent="0.2">
      <c r="A158" s="100"/>
      <c r="B158" s="100"/>
      <c r="C158" s="65" t="s">
        <v>4393</v>
      </c>
      <c r="D158" s="70" t="s">
        <v>57</v>
      </c>
      <c r="E158" s="12">
        <v>44552</v>
      </c>
      <c r="F158" s="68" t="s">
        <v>59</v>
      </c>
      <c r="G158" s="12">
        <v>44558</v>
      </c>
      <c r="H158" s="69" t="s">
        <v>4156</v>
      </c>
      <c r="I158" s="15">
        <v>92</v>
      </c>
      <c r="J158" s="15">
        <v>51</v>
      </c>
      <c r="K158" s="15">
        <v>30</v>
      </c>
      <c r="L158" s="15">
        <v>24</v>
      </c>
      <c r="M158" s="73">
        <v>35.19</v>
      </c>
      <c r="N158" s="104">
        <v>35.19</v>
      </c>
      <c r="O158" s="57">
        <v>7000</v>
      </c>
      <c r="P158" s="58">
        <f t="shared" si="2"/>
        <v>246329.99999999997</v>
      </c>
    </row>
    <row r="159" spans="1:16" ht="26.25" customHeight="1" x14ac:dyDescent="0.2">
      <c r="A159" s="100"/>
      <c r="B159" s="100"/>
      <c r="C159" s="65" t="s">
        <v>4394</v>
      </c>
      <c r="D159" s="70" t="s">
        <v>57</v>
      </c>
      <c r="E159" s="12">
        <v>44552</v>
      </c>
      <c r="F159" s="68" t="s">
        <v>59</v>
      </c>
      <c r="G159" s="12">
        <v>44558</v>
      </c>
      <c r="H159" s="69" t="s">
        <v>4156</v>
      </c>
      <c r="I159" s="15">
        <v>110</v>
      </c>
      <c r="J159" s="15">
        <v>31</v>
      </c>
      <c r="K159" s="15">
        <v>24</v>
      </c>
      <c r="L159" s="15">
        <v>16</v>
      </c>
      <c r="M159" s="73">
        <v>20.46</v>
      </c>
      <c r="N159" s="104">
        <v>21</v>
      </c>
      <c r="O159" s="57">
        <v>7000</v>
      </c>
      <c r="P159" s="58">
        <f t="shared" si="2"/>
        <v>147000</v>
      </c>
    </row>
    <row r="160" spans="1:16" ht="26.25" customHeight="1" x14ac:dyDescent="0.2">
      <c r="A160" s="100"/>
      <c r="B160" s="100"/>
      <c r="C160" s="65" t="s">
        <v>4395</v>
      </c>
      <c r="D160" s="70" t="s">
        <v>57</v>
      </c>
      <c r="E160" s="12">
        <v>44552</v>
      </c>
      <c r="F160" s="68" t="s">
        <v>59</v>
      </c>
      <c r="G160" s="12">
        <v>44558</v>
      </c>
      <c r="H160" s="69" t="s">
        <v>4156</v>
      </c>
      <c r="I160" s="15">
        <v>51</v>
      </c>
      <c r="J160" s="15">
        <v>40</v>
      </c>
      <c r="K160" s="15">
        <v>13</v>
      </c>
      <c r="L160" s="15">
        <v>5</v>
      </c>
      <c r="M160" s="73">
        <v>6.63</v>
      </c>
      <c r="N160" s="104">
        <v>6.63</v>
      </c>
      <c r="O160" s="57">
        <v>7000</v>
      </c>
      <c r="P160" s="58">
        <f t="shared" si="2"/>
        <v>46410</v>
      </c>
    </row>
    <row r="161" spans="1:16" ht="26.25" customHeight="1" x14ac:dyDescent="0.2">
      <c r="A161" s="100"/>
      <c r="B161" s="100"/>
      <c r="C161" s="65" t="s">
        <v>4396</v>
      </c>
      <c r="D161" s="70" t="s">
        <v>57</v>
      </c>
      <c r="E161" s="12">
        <v>44552</v>
      </c>
      <c r="F161" s="68" t="s">
        <v>59</v>
      </c>
      <c r="G161" s="12">
        <v>44558</v>
      </c>
      <c r="H161" s="69" t="s">
        <v>4156</v>
      </c>
      <c r="I161" s="15">
        <v>106</v>
      </c>
      <c r="J161" s="15">
        <v>61</v>
      </c>
      <c r="K161" s="15">
        <v>28</v>
      </c>
      <c r="L161" s="15">
        <v>29</v>
      </c>
      <c r="M161" s="73">
        <v>45.262</v>
      </c>
      <c r="N161" s="104">
        <v>45.262</v>
      </c>
      <c r="O161" s="57">
        <v>7000</v>
      </c>
      <c r="P161" s="58">
        <f t="shared" si="2"/>
        <v>316834</v>
      </c>
    </row>
    <row r="162" spans="1:16" ht="26.25" customHeight="1" x14ac:dyDescent="0.2">
      <c r="A162" s="100"/>
      <c r="B162" s="100"/>
      <c r="C162" s="65" t="s">
        <v>4397</v>
      </c>
      <c r="D162" s="70" t="s">
        <v>57</v>
      </c>
      <c r="E162" s="12">
        <v>44552</v>
      </c>
      <c r="F162" s="68" t="s">
        <v>59</v>
      </c>
      <c r="G162" s="12">
        <v>44558</v>
      </c>
      <c r="H162" s="69" t="s">
        <v>4156</v>
      </c>
      <c r="I162" s="15">
        <v>183</v>
      </c>
      <c r="J162" s="15">
        <v>44</v>
      </c>
      <c r="K162" s="15">
        <v>11</v>
      </c>
      <c r="L162" s="15">
        <v>11</v>
      </c>
      <c r="M162" s="73">
        <v>22.143000000000001</v>
      </c>
      <c r="N162" s="104">
        <v>22.143000000000001</v>
      </c>
      <c r="O162" s="57">
        <v>7000</v>
      </c>
      <c r="P162" s="58">
        <f t="shared" si="2"/>
        <v>155001</v>
      </c>
    </row>
    <row r="163" spans="1:16" ht="26.25" customHeight="1" x14ac:dyDescent="0.2">
      <c r="A163" s="100"/>
      <c r="B163" s="100"/>
      <c r="C163" s="65" t="s">
        <v>4398</v>
      </c>
      <c r="D163" s="70" t="s">
        <v>57</v>
      </c>
      <c r="E163" s="12">
        <v>44552</v>
      </c>
      <c r="F163" s="68" t="s">
        <v>59</v>
      </c>
      <c r="G163" s="12">
        <v>44558</v>
      </c>
      <c r="H163" s="69" t="s">
        <v>4156</v>
      </c>
      <c r="I163" s="15">
        <v>54</v>
      </c>
      <c r="J163" s="15">
        <v>41</v>
      </c>
      <c r="K163" s="15">
        <v>16</v>
      </c>
      <c r="L163" s="15">
        <v>3</v>
      </c>
      <c r="M163" s="73">
        <v>8.8559999999999999</v>
      </c>
      <c r="N163" s="104">
        <v>8.8559999999999999</v>
      </c>
      <c r="O163" s="57">
        <v>7000</v>
      </c>
      <c r="P163" s="58">
        <f t="shared" si="2"/>
        <v>61992</v>
      </c>
    </row>
    <row r="164" spans="1:16" ht="26.25" customHeight="1" x14ac:dyDescent="0.2">
      <c r="A164" s="100"/>
      <c r="B164" s="100"/>
      <c r="C164" s="65" t="s">
        <v>4399</v>
      </c>
      <c r="D164" s="70" t="s">
        <v>57</v>
      </c>
      <c r="E164" s="12">
        <v>44552</v>
      </c>
      <c r="F164" s="68" t="s">
        <v>59</v>
      </c>
      <c r="G164" s="12">
        <v>44558</v>
      </c>
      <c r="H164" s="69" t="s">
        <v>4156</v>
      </c>
      <c r="I164" s="15">
        <v>91</v>
      </c>
      <c r="J164" s="15">
        <v>50</v>
      </c>
      <c r="K164" s="15">
        <v>38</v>
      </c>
      <c r="L164" s="15">
        <v>13</v>
      </c>
      <c r="M164" s="73">
        <v>43.225000000000001</v>
      </c>
      <c r="N164" s="104">
        <v>43.225000000000001</v>
      </c>
      <c r="O164" s="57">
        <v>7000</v>
      </c>
      <c r="P164" s="58">
        <f t="shared" si="2"/>
        <v>302575</v>
      </c>
    </row>
    <row r="165" spans="1:16" ht="26.25" customHeight="1" x14ac:dyDescent="0.2">
      <c r="A165" s="100"/>
      <c r="B165" s="100"/>
      <c r="C165" s="65" t="s">
        <v>4400</v>
      </c>
      <c r="D165" s="70" t="s">
        <v>57</v>
      </c>
      <c r="E165" s="12">
        <v>44552</v>
      </c>
      <c r="F165" s="68" t="s">
        <v>59</v>
      </c>
      <c r="G165" s="12">
        <v>44558</v>
      </c>
      <c r="H165" s="69" t="s">
        <v>4156</v>
      </c>
      <c r="I165" s="15">
        <v>61</v>
      </c>
      <c r="J165" s="15">
        <v>48</v>
      </c>
      <c r="K165" s="15">
        <v>11</v>
      </c>
      <c r="L165" s="15">
        <v>3</v>
      </c>
      <c r="M165" s="73">
        <v>8.0519999999999996</v>
      </c>
      <c r="N165" s="104">
        <v>8.0519999999999996</v>
      </c>
      <c r="O165" s="57">
        <v>7000</v>
      </c>
      <c r="P165" s="58">
        <f t="shared" si="2"/>
        <v>56364</v>
      </c>
    </row>
    <row r="166" spans="1:16" ht="26.25" customHeight="1" x14ac:dyDescent="0.2">
      <c r="A166" s="100"/>
      <c r="B166" s="100"/>
      <c r="C166" s="65" t="s">
        <v>4401</v>
      </c>
      <c r="D166" s="70" t="s">
        <v>57</v>
      </c>
      <c r="E166" s="12">
        <v>44552</v>
      </c>
      <c r="F166" s="68" t="s">
        <v>59</v>
      </c>
      <c r="G166" s="12">
        <v>44558</v>
      </c>
      <c r="H166" s="69" t="s">
        <v>4156</v>
      </c>
      <c r="I166" s="15">
        <v>91</v>
      </c>
      <c r="J166" s="15">
        <v>41</v>
      </c>
      <c r="K166" s="15">
        <v>12</v>
      </c>
      <c r="L166" s="15">
        <v>1</v>
      </c>
      <c r="M166" s="73">
        <v>11.193</v>
      </c>
      <c r="N166" s="104">
        <v>11.193</v>
      </c>
      <c r="O166" s="57">
        <v>7000</v>
      </c>
      <c r="P166" s="58">
        <f t="shared" si="2"/>
        <v>78351</v>
      </c>
    </row>
    <row r="167" spans="1:16" ht="26.25" customHeight="1" x14ac:dyDescent="0.2">
      <c r="A167" s="100"/>
      <c r="B167" s="100"/>
      <c r="C167" s="65" t="s">
        <v>4402</v>
      </c>
      <c r="D167" s="70" t="s">
        <v>57</v>
      </c>
      <c r="E167" s="12">
        <v>44552</v>
      </c>
      <c r="F167" s="68" t="s">
        <v>59</v>
      </c>
      <c r="G167" s="12">
        <v>44558</v>
      </c>
      <c r="H167" s="69" t="s">
        <v>4156</v>
      </c>
      <c r="I167" s="15">
        <v>50</v>
      </c>
      <c r="J167" s="15">
        <v>31</v>
      </c>
      <c r="K167" s="15">
        <v>22</v>
      </c>
      <c r="L167" s="15">
        <v>8</v>
      </c>
      <c r="M167" s="73">
        <v>8.5250000000000004</v>
      </c>
      <c r="N167" s="104">
        <v>8.5250000000000004</v>
      </c>
      <c r="O167" s="57">
        <v>7000</v>
      </c>
      <c r="P167" s="58">
        <f t="shared" si="2"/>
        <v>59675</v>
      </c>
    </row>
    <row r="168" spans="1:16" ht="26.25" customHeight="1" x14ac:dyDescent="0.2">
      <c r="A168" s="100"/>
      <c r="B168" s="100"/>
      <c r="C168" s="65" t="s">
        <v>4403</v>
      </c>
      <c r="D168" s="70" t="s">
        <v>57</v>
      </c>
      <c r="E168" s="12">
        <v>44552</v>
      </c>
      <c r="F168" s="68" t="s">
        <v>59</v>
      </c>
      <c r="G168" s="12">
        <v>44558</v>
      </c>
      <c r="H168" s="69" t="s">
        <v>4156</v>
      </c>
      <c r="I168" s="15">
        <v>108</v>
      </c>
      <c r="J168" s="15">
        <v>68</v>
      </c>
      <c r="K168" s="15">
        <v>33</v>
      </c>
      <c r="L168" s="15">
        <v>43</v>
      </c>
      <c r="M168" s="73">
        <v>60.588000000000001</v>
      </c>
      <c r="N168" s="104">
        <v>60.588000000000001</v>
      </c>
      <c r="O168" s="57">
        <v>7000</v>
      </c>
      <c r="P168" s="58">
        <f t="shared" si="2"/>
        <v>424116</v>
      </c>
    </row>
    <row r="169" spans="1:16" ht="26.25" customHeight="1" x14ac:dyDescent="0.2">
      <c r="A169" s="100"/>
      <c r="B169" s="100"/>
      <c r="C169" s="65" t="s">
        <v>4404</v>
      </c>
      <c r="D169" s="70" t="s">
        <v>57</v>
      </c>
      <c r="E169" s="12">
        <v>44552</v>
      </c>
      <c r="F169" s="68" t="s">
        <v>59</v>
      </c>
      <c r="G169" s="12">
        <v>44558</v>
      </c>
      <c r="H169" s="69" t="s">
        <v>4156</v>
      </c>
      <c r="I169" s="15">
        <v>71</v>
      </c>
      <c r="J169" s="15">
        <v>53</v>
      </c>
      <c r="K169" s="15">
        <v>24</v>
      </c>
      <c r="L169" s="15">
        <v>6</v>
      </c>
      <c r="M169" s="73">
        <v>22.577999999999999</v>
      </c>
      <c r="N169" s="104">
        <v>22.577999999999999</v>
      </c>
      <c r="O169" s="57">
        <v>7000</v>
      </c>
      <c r="P169" s="58">
        <f t="shared" si="2"/>
        <v>158046</v>
      </c>
    </row>
    <row r="170" spans="1:16" ht="26.25" customHeight="1" x14ac:dyDescent="0.2">
      <c r="A170" s="100"/>
      <c r="B170" s="100"/>
      <c r="C170" s="65" t="s">
        <v>4405</v>
      </c>
      <c r="D170" s="70" t="s">
        <v>57</v>
      </c>
      <c r="E170" s="12">
        <v>44552</v>
      </c>
      <c r="F170" s="68" t="s">
        <v>59</v>
      </c>
      <c r="G170" s="12">
        <v>44558</v>
      </c>
      <c r="H170" s="69" t="s">
        <v>4156</v>
      </c>
      <c r="I170" s="15">
        <v>88</v>
      </c>
      <c r="J170" s="15">
        <v>51</v>
      </c>
      <c r="K170" s="15">
        <v>20</v>
      </c>
      <c r="L170" s="15">
        <v>13</v>
      </c>
      <c r="M170" s="73">
        <v>22.44</v>
      </c>
      <c r="N170" s="104">
        <v>23</v>
      </c>
      <c r="O170" s="57">
        <v>7000</v>
      </c>
      <c r="P170" s="58">
        <f t="shared" si="2"/>
        <v>161000</v>
      </c>
    </row>
    <row r="171" spans="1:16" ht="26.25" customHeight="1" x14ac:dyDescent="0.2">
      <c r="A171" s="100"/>
      <c r="B171" s="100"/>
      <c r="C171" s="65" t="s">
        <v>4406</v>
      </c>
      <c r="D171" s="70" t="s">
        <v>57</v>
      </c>
      <c r="E171" s="12">
        <v>44552</v>
      </c>
      <c r="F171" s="68" t="s">
        <v>59</v>
      </c>
      <c r="G171" s="12">
        <v>44558</v>
      </c>
      <c r="H171" s="69" t="s">
        <v>4156</v>
      </c>
      <c r="I171" s="15">
        <v>95</v>
      </c>
      <c r="J171" s="15">
        <v>61</v>
      </c>
      <c r="K171" s="15">
        <v>27</v>
      </c>
      <c r="L171" s="15">
        <v>18</v>
      </c>
      <c r="M171" s="73">
        <v>39.116250000000001</v>
      </c>
      <c r="N171" s="104">
        <v>39.116250000000001</v>
      </c>
      <c r="O171" s="57">
        <v>7000</v>
      </c>
      <c r="P171" s="58">
        <f t="shared" si="2"/>
        <v>273813.75</v>
      </c>
    </row>
    <row r="172" spans="1:16" ht="26.25" customHeight="1" x14ac:dyDescent="0.2">
      <c r="A172" s="100"/>
      <c r="B172" s="100"/>
      <c r="C172" s="65" t="s">
        <v>4407</v>
      </c>
      <c r="D172" s="70" t="s">
        <v>57</v>
      </c>
      <c r="E172" s="12">
        <v>44552</v>
      </c>
      <c r="F172" s="68" t="s">
        <v>59</v>
      </c>
      <c r="G172" s="12">
        <v>44558</v>
      </c>
      <c r="H172" s="69" t="s">
        <v>4156</v>
      </c>
      <c r="I172" s="15">
        <v>61</v>
      </c>
      <c r="J172" s="15">
        <v>51</v>
      </c>
      <c r="K172" s="15">
        <v>22</v>
      </c>
      <c r="L172" s="15">
        <v>12</v>
      </c>
      <c r="M172" s="73">
        <v>17.110499999999998</v>
      </c>
      <c r="N172" s="104">
        <v>17.110499999999998</v>
      </c>
      <c r="O172" s="57">
        <v>7000</v>
      </c>
      <c r="P172" s="58">
        <f t="shared" si="2"/>
        <v>119773.49999999999</v>
      </c>
    </row>
    <row r="173" spans="1:16" ht="26.25" customHeight="1" x14ac:dyDescent="0.2">
      <c r="A173" s="100"/>
      <c r="B173" s="100"/>
      <c r="C173" s="65" t="s">
        <v>4408</v>
      </c>
      <c r="D173" s="70" t="s">
        <v>57</v>
      </c>
      <c r="E173" s="12">
        <v>44552</v>
      </c>
      <c r="F173" s="68" t="s">
        <v>59</v>
      </c>
      <c r="G173" s="12">
        <v>44558</v>
      </c>
      <c r="H173" s="69" t="s">
        <v>4156</v>
      </c>
      <c r="I173" s="15">
        <v>84</v>
      </c>
      <c r="J173" s="15">
        <v>55</v>
      </c>
      <c r="K173" s="15">
        <v>30</v>
      </c>
      <c r="L173" s="15">
        <v>21</v>
      </c>
      <c r="M173" s="73">
        <v>34.65</v>
      </c>
      <c r="N173" s="104">
        <v>34.65</v>
      </c>
      <c r="O173" s="57">
        <v>7000</v>
      </c>
      <c r="P173" s="58">
        <f t="shared" si="2"/>
        <v>242550</v>
      </c>
    </row>
    <row r="174" spans="1:16" ht="26.25" customHeight="1" x14ac:dyDescent="0.2">
      <c r="A174" s="100"/>
      <c r="B174" s="100"/>
      <c r="C174" s="65" t="s">
        <v>4409</v>
      </c>
      <c r="D174" s="70" t="s">
        <v>57</v>
      </c>
      <c r="E174" s="12">
        <v>44552</v>
      </c>
      <c r="F174" s="68" t="s">
        <v>59</v>
      </c>
      <c r="G174" s="12">
        <v>44558</v>
      </c>
      <c r="H174" s="69" t="s">
        <v>4156</v>
      </c>
      <c r="I174" s="15">
        <v>72</v>
      </c>
      <c r="J174" s="15">
        <v>50</v>
      </c>
      <c r="K174" s="15">
        <v>32</v>
      </c>
      <c r="L174" s="15">
        <v>16</v>
      </c>
      <c r="M174" s="73">
        <v>28.8</v>
      </c>
      <c r="N174" s="104">
        <v>28.8</v>
      </c>
      <c r="O174" s="57">
        <v>7000</v>
      </c>
      <c r="P174" s="58">
        <f t="shared" si="2"/>
        <v>201600</v>
      </c>
    </row>
    <row r="175" spans="1:16" ht="26.25" customHeight="1" x14ac:dyDescent="0.2">
      <c r="A175" s="100"/>
      <c r="B175" s="100"/>
      <c r="C175" s="65" t="s">
        <v>4410</v>
      </c>
      <c r="D175" s="70" t="s">
        <v>57</v>
      </c>
      <c r="E175" s="12">
        <v>44552</v>
      </c>
      <c r="F175" s="68" t="s">
        <v>59</v>
      </c>
      <c r="G175" s="12">
        <v>44558</v>
      </c>
      <c r="H175" s="69" t="s">
        <v>4156</v>
      </c>
      <c r="I175" s="15">
        <v>38</v>
      </c>
      <c r="J175" s="15">
        <v>33</v>
      </c>
      <c r="K175" s="15">
        <v>35</v>
      </c>
      <c r="L175" s="15">
        <v>12</v>
      </c>
      <c r="M175" s="73">
        <v>10.9725</v>
      </c>
      <c r="N175" s="104">
        <v>12</v>
      </c>
      <c r="O175" s="57">
        <v>7000</v>
      </c>
      <c r="P175" s="58">
        <f t="shared" si="2"/>
        <v>84000</v>
      </c>
    </row>
    <row r="176" spans="1:16" ht="26.25" customHeight="1" x14ac:dyDescent="0.2">
      <c r="A176" s="100"/>
      <c r="B176" s="100"/>
      <c r="C176" s="65" t="s">
        <v>4411</v>
      </c>
      <c r="D176" s="70" t="s">
        <v>57</v>
      </c>
      <c r="E176" s="12">
        <v>44552</v>
      </c>
      <c r="F176" s="68" t="s">
        <v>59</v>
      </c>
      <c r="G176" s="12">
        <v>44558</v>
      </c>
      <c r="H176" s="69" t="s">
        <v>4156</v>
      </c>
      <c r="I176" s="15">
        <v>68</v>
      </c>
      <c r="J176" s="15">
        <v>24</v>
      </c>
      <c r="K176" s="15">
        <v>21</v>
      </c>
      <c r="L176" s="15">
        <v>5</v>
      </c>
      <c r="M176" s="73">
        <v>8.5679999999999996</v>
      </c>
      <c r="N176" s="104">
        <v>8.5679999999999996</v>
      </c>
      <c r="O176" s="57">
        <v>7000</v>
      </c>
      <c r="P176" s="58">
        <f t="shared" si="2"/>
        <v>59976</v>
      </c>
    </row>
    <row r="177" spans="1:16" ht="26.25" customHeight="1" x14ac:dyDescent="0.2">
      <c r="A177" s="100"/>
      <c r="B177" s="100"/>
      <c r="C177" s="65" t="s">
        <v>4412</v>
      </c>
      <c r="D177" s="70" t="s">
        <v>57</v>
      </c>
      <c r="E177" s="12">
        <v>44552</v>
      </c>
      <c r="F177" s="68" t="s">
        <v>59</v>
      </c>
      <c r="G177" s="12">
        <v>44558</v>
      </c>
      <c r="H177" s="69" t="s">
        <v>4156</v>
      </c>
      <c r="I177" s="15">
        <v>71</v>
      </c>
      <c r="J177" s="15">
        <v>35</v>
      </c>
      <c r="K177" s="15">
        <v>40</v>
      </c>
      <c r="L177" s="15">
        <v>20</v>
      </c>
      <c r="M177" s="73">
        <v>24.85</v>
      </c>
      <c r="N177" s="104">
        <v>24.85</v>
      </c>
      <c r="O177" s="57">
        <v>7000</v>
      </c>
      <c r="P177" s="58">
        <f t="shared" si="2"/>
        <v>173950</v>
      </c>
    </row>
    <row r="178" spans="1:16" ht="26.25" customHeight="1" x14ac:dyDescent="0.2">
      <c r="A178" s="100"/>
      <c r="B178" s="100"/>
      <c r="C178" s="65" t="s">
        <v>4413</v>
      </c>
      <c r="D178" s="70" t="s">
        <v>57</v>
      </c>
      <c r="E178" s="12">
        <v>44552</v>
      </c>
      <c r="F178" s="68" t="s">
        <v>59</v>
      </c>
      <c r="G178" s="12">
        <v>44558</v>
      </c>
      <c r="H178" s="69" t="s">
        <v>4156</v>
      </c>
      <c r="I178" s="15">
        <v>20</v>
      </c>
      <c r="J178" s="15">
        <v>10</v>
      </c>
      <c r="K178" s="15">
        <v>3</v>
      </c>
      <c r="L178" s="15">
        <v>1</v>
      </c>
      <c r="M178" s="73">
        <v>0.15</v>
      </c>
      <c r="N178" s="104">
        <v>1</v>
      </c>
      <c r="O178" s="57">
        <v>7000</v>
      </c>
      <c r="P178" s="58">
        <f t="shared" si="2"/>
        <v>7000</v>
      </c>
    </row>
    <row r="179" spans="1:16" ht="26.25" customHeight="1" x14ac:dyDescent="0.2">
      <c r="A179" s="100"/>
      <c r="B179" s="100"/>
      <c r="C179" s="65" t="s">
        <v>4414</v>
      </c>
      <c r="D179" s="70" t="s">
        <v>57</v>
      </c>
      <c r="E179" s="12">
        <v>44552</v>
      </c>
      <c r="F179" s="68" t="s">
        <v>59</v>
      </c>
      <c r="G179" s="12">
        <v>44558</v>
      </c>
      <c r="H179" s="69" t="s">
        <v>4156</v>
      </c>
      <c r="I179" s="15">
        <v>61</v>
      </c>
      <c r="J179" s="15">
        <v>50</v>
      </c>
      <c r="K179" s="15">
        <v>35</v>
      </c>
      <c r="L179" s="15">
        <v>27</v>
      </c>
      <c r="M179" s="73">
        <v>26.6875</v>
      </c>
      <c r="N179" s="104">
        <v>27</v>
      </c>
      <c r="O179" s="57">
        <v>7000</v>
      </c>
      <c r="P179" s="58">
        <f t="shared" si="2"/>
        <v>189000</v>
      </c>
    </row>
    <row r="180" spans="1:16" ht="26.25" customHeight="1" x14ac:dyDescent="0.2">
      <c r="A180" s="100"/>
      <c r="B180" s="100"/>
      <c r="C180" s="65" t="s">
        <v>4415</v>
      </c>
      <c r="D180" s="70" t="s">
        <v>57</v>
      </c>
      <c r="E180" s="12">
        <v>44552</v>
      </c>
      <c r="F180" s="68" t="s">
        <v>59</v>
      </c>
      <c r="G180" s="12">
        <v>44558</v>
      </c>
      <c r="H180" s="69" t="s">
        <v>4156</v>
      </c>
      <c r="I180" s="15">
        <v>74</v>
      </c>
      <c r="J180" s="15">
        <v>68</v>
      </c>
      <c r="K180" s="15">
        <v>32</v>
      </c>
      <c r="L180" s="15">
        <v>20</v>
      </c>
      <c r="M180" s="73">
        <v>40.256</v>
      </c>
      <c r="N180" s="104">
        <v>40.256</v>
      </c>
      <c r="O180" s="57">
        <v>7000</v>
      </c>
      <c r="P180" s="58">
        <f t="shared" si="2"/>
        <v>281792</v>
      </c>
    </row>
    <row r="181" spans="1:16" ht="26.25" customHeight="1" x14ac:dyDescent="0.2">
      <c r="A181" s="100"/>
      <c r="B181" s="100"/>
      <c r="C181" s="65" t="s">
        <v>4416</v>
      </c>
      <c r="D181" s="70" t="s">
        <v>57</v>
      </c>
      <c r="E181" s="12">
        <v>44552</v>
      </c>
      <c r="F181" s="68" t="s">
        <v>59</v>
      </c>
      <c r="G181" s="12">
        <v>44558</v>
      </c>
      <c r="H181" s="69" t="s">
        <v>4156</v>
      </c>
      <c r="I181" s="15">
        <v>94</v>
      </c>
      <c r="J181" s="15">
        <v>58</v>
      </c>
      <c r="K181" s="15">
        <v>31</v>
      </c>
      <c r="L181" s="15">
        <v>28</v>
      </c>
      <c r="M181" s="73">
        <v>42.253</v>
      </c>
      <c r="N181" s="104">
        <v>42.253</v>
      </c>
      <c r="O181" s="57">
        <v>7000</v>
      </c>
      <c r="P181" s="58">
        <f t="shared" si="2"/>
        <v>295771</v>
      </c>
    </row>
    <row r="182" spans="1:16" ht="26.25" customHeight="1" x14ac:dyDescent="0.2">
      <c r="A182" s="100"/>
      <c r="B182" s="100"/>
      <c r="C182" s="65" t="s">
        <v>4417</v>
      </c>
      <c r="D182" s="70" t="s">
        <v>57</v>
      </c>
      <c r="E182" s="12">
        <v>44552</v>
      </c>
      <c r="F182" s="68" t="s">
        <v>59</v>
      </c>
      <c r="G182" s="12">
        <v>44558</v>
      </c>
      <c r="H182" s="69" t="s">
        <v>4156</v>
      </c>
      <c r="I182" s="15">
        <v>100</v>
      </c>
      <c r="J182" s="15">
        <v>65</v>
      </c>
      <c r="K182" s="15">
        <v>33</v>
      </c>
      <c r="L182" s="15">
        <v>32</v>
      </c>
      <c r="M182" s="73">
        <v>53.625</v>
      </c>
      <c r="N182" s="104">
        <v>53.625</v>
      </c>
      <c r="O182" s="57">
        <v>7000</v>
      </c>
      <c r="P182" s="58">
        <f t="shared" si="2"/>
        <v>375375</v>
      </c>
    </row>
    <row r="183" spans="1:16" ht="26.25" customHeight="1" x14ac:dyDescent="0.2">
      <c r="A183" s="100"/>
      <c r="B183" s="101"/>
      <c r="C183" s="65" t="s">
        <v>4418</v>
      </c>
      <c r="D183" s="70" t="s">
        <v>57</v>
      </c>
      <c r="E183" s="12">
        <v>44552</v>
      </c>
      <c r="F183" s="68" t="s">
        <v>59</v>
      </c>
      <c r="G183" s="12">
        <v>44558</v>
      </c>
      <c r="H183" s="69" t="s">
        <v>4156</v>
      </c>
      <c r="I183" s="15">
        <v>98</v>
      </c>
      <c r="J183" s="15">
        <v>56</v>
      </c>
      <c r="K183" s="15">
        <v>34</v>
      </c>
      <c r="L183" s="15">
        <v>19</v>
      </c>
      <c r="M183" s="73">
        <v>46.648000000000003</v>
      </c>
      <c r="N183" s="104">
        <v>46.648000000000003</v>
      </c>
      <c r="O183" s="57">
        <v>7000</v>
      </c>
      <c r="P183" s="58">
        <f t="shared" si="2"/>
        <v>326536</v>
      </c>
    </row>
    <row r="184" spans="1:16" ht="26.25" customHeight="1" x14ac:dyDescent="0.2">
      <c r="A184" s="100"/>
      <c r="B184" s="90" t="s">
        <v>4419</v>
      </c>
      <c r="C184" s="65" t="s">
        <v>4420</v>
      </c>
      <c r="D184" s="70" t="s">
        <v>57</v>
      </c>
      <c r="E184" s="12">
        <v>44552</v>
      </c>
      <c r="F184" s="68" t="s">
        <v>59</v>
      </c>
      <c r="G184" s="12">
        <v>44558</v>
      </c>
      <c r="H184" s="69" t="s">
        <v>4156</v>
      </c>
      <c r="I184" s="15">
        <v>120</v>
      </c>
      <c r="J184" s="15">
        <v>22</v>
      </c>
      <c r="K184" s="15">
        <v>10</v>
      </c>
      <c r="L184" s="15">
        <v>1</v>
      </c>
      <c r="M184" s="73">
        <v>6.6</v>
      </c>
      <c r="N184" s="104">
        <v>6.6</v>
      </c>
      <c r="O184" s="57">
        <v>7000</v>
      </c>
      <c r="P184" s="58">
        <f t="shared" si="2"/>
        <v>46200</v>
      </c>
    </row>
    <row r="185" spans="1:16" ht="26.25" customHeight="1" x14ac:dyDescent="0.2">
      <c r="A185" s="100"/>
      <c r="B185" s="100" t="s">
        <v>4421</v>
      </c>
      <c r="C185" s="65" t="s">
        <v>4422</v>
      </c>
      <c r="D185" s="70" t="s">
        <v>57</v>
      </c>
      <c r="E185" s="12">
        <v>44552</v>
      </c>
      <c r="F185" s="68" t="s">
        <v>59</v>
      </c>
      <c r="G185" s="12">
        <v>44558</v>
      </c>
      <c r="H185" s="69" t="s">
        <v>4156</v>
      </c>
      <c r="I185" s="15">
        <v>41</v>
      </c>
      <c r="J185" s="15">
        <v>32</v>
      </c>
      <c r="K185" s="15">
        <v>11</v>
      </c>
      <c r="L185" s="15">
        <v>2</v>
      </c>
      <c r="M185" s="73">
        <v>3.6080000000000001</v>
      </c>
      <c r="N185" s="104">
        <v>3.6080000000000001</v>
      </c>
      <c r="O185" s="57">
        <v>7000</v>
      </c>
      <c r="P185" s="58">
        <f t="shared" si="2"/>
        <v>25256</v>
      </c>
    </row>
    <row r="186" spans="1:16" ht="26.25" customHeight="1" x14ac:dyDescent="0.2">
      <c r="A186" s="100"/>
      <c r="B186" s="100"/>
      <c r="C186" s="65" t="s">
        <v>4423</v>
      </c>
      <c r="D186" s="70" t="s">
        <v>57</v>
      </c>
      <c r="E186" s="12">
        <v>44552</v>
      </c>
      <c r="F186" s="68" t="s">
        <v>59</v>
      </c>
      <c r="G186" s="12">
        <v>44558</v>
      </c>
      <c r="H186" s="69" t="s">
        <v>4156</v>
      </c>
      <c r="I186" s="15">
        <v>71</v>
      </c>
      <c r="J186" s="15">
        <v>49</v>
      </c>
      <c r="K186" s="15">
        <v>36</v>
      </c>
      <c r="L186" s="15">
        <v>20</v>
      </c>
      <c r="M186" s="73">
        <v>31.311</v>
      </c>
      <c r="N186" s="104">
        <v>32</v>
      </c>
      <c r="O186" s="57">
        <v>7000</v>
      </c>
      <c r="P186" s="58">
        <f t="shared" si="2"/>
        <v>224000</v>
      </c>
    </row>
    <row r="187" spans="1:16" ht="26.25" customHeight="1" x14ac:dyDescent="0.2">
      <c r="A187" s="100"/>
      <c r="B187" s="100"/>
      <c r="C187" s="65" t="s">
        <v>4424</v>
      </c>
      <c r="D187" s="70" t="s">
        <v>57</v>
      </c>
      <c r="E187" s="12">
        <v>44552</v>
      </c>
      <c r="F187" s="68" t="s">
        <v>59</v>
      </c>
      <c r="G187" s="12">
        <v>44558</v>
      </c>
      <c r="H187" s="69" t="s">
        <v>4156</v>
      </c>
      <c r="I187" s="15">
        <v>32</v>
      </c>
      <c r="J187" s="15">
        <v>26</v>
      </c>
      <c r="K187" s="15">
        <v>11</v>
      </c>
      <c r="L187" s="15">
        <v>3</v>
      </c>
      <c r="M187" s="73">
        <v>2.2879999999999998</v>
      </c>
      <c r="N187" s="104">
        <v>3</v>
      </c>
      <c r="O187" s="57">
        <v>7000</v>
      </c>
      <c r="P187" s="58">
        <f t="shared" si="2"/>
        <v>21000</v>
      </c>
    </row>
    <row r="188" spans="1:16" ht="26.25" customHeight="1" x14ac:dyDescent="0.2">
      <c r="A188" s="100"/>
      <c r="B188" s="100"/>
      <c r="C188" s="65" t="s">
        <v>4425</v>
      </c>
      <c r="D188" s="70" t="s">
        <v>57</v>
      </c>
      <c r="E188" s="12">
        <v>44552</v>
      </c>
      <c r="F188" s="68" t="s">
        <v>59</v>
      </c>
      <c r="G188" s="12">
        <v>44558</v>
      </c>
      <c r="H188" s="69" t="s">
        <v>4156</v>
      </c>
      <c r="I188" s="15">
        <v>72</v>
      </c>
      <c r="J188" s="15">
        <v>42</v>
      </c>
      <c r="K188" s="15">
        <v>28</v>
      </c>
      <c r="L188" s="15">
        <v>8</v>
      </c>
      <c r="M188" s="73">
        <v>21.167999999999999</v>
      </c>
      <c r="N188" s="104">
        <v>21.167999999999999</v>
      </c>
      <c r="O188" s="57">
        <v>7000</v>
      </c>
      <c r="P188" s="58">
        <f t="shared" si="2"/>
        <v>148176</v>
      </c>
    </row>
    <row r="189" spans="1:16" ht="26.25" customHeight="1" x14ac:dyDescent="0.2">
      <c r="A189" s="100"/>
      <c r="B189" s="100"/>
      <c r="C189" s="65" t="s">
        <v>4426</v>
      </c>
      <c r="D189" s="70" t="s">
        <v>57</v>
      </c>
      <c r="E189" s="12">
        <v>44552</v>
      </c>
      <c r="F189" s="68" t="s">
        <v>59</v>
      </c>
      <c r="G189" s="12">
        <v>44558</v>
      </c>
      <c r="H189" s="69" t="s">
        <v>4156</v>
      </c>
      <c r="I189" s="15">
        <v>74</v>
      </c>
      <c r="J189" s="15">
        <v>51</v>
      </c>
      <c r="K189" s="15">
        <v>38</v>
      </c>
      <c r="L189" s="15">
        <v>20</v>
      </c>
      <c r="M189" s="73">
        <v>35.853000000000002</v>
      </c>
      <c r="N189" s="104">
        <v>35.853000000000002</v>
      </c>
      <c r="O189" s="57">
        <v>7000</v>
      </c>
      <c r="P189" s="58">
        <f t="shared" si="2"/>
        <v>250971</v>
      </c>
    </row>
    <row r="190" spans="1:16" ht="26.25" customHeight="1" x14ac:dyDescent="0.2">
      <c r="A190" s="100"/>
      <c r="B190" s="100"/>
      <c r="C190" s="65" t="s">
        <v>4427</v>
      </c>
      <c r="D190" s="70" t="s">
        <v>57</v>
      </c>
      <c r="E190" s="12">
        <v>44552</v>
      </c>
      <c r="F190" s="68" t="s">
        <v>59</v>
      </c>
      <c r="G190" s="12">
        <v>44558</v>
      </c>
      <c r="H190" s="69" t="s">
        <v>4156</v>
      </c>
      <c r="I190" s="15">
        <v>70</v>
      </c>
      <c r="J190" s="15">
        <v>36</v>
      </c>
      <c r="K190" s="15">
        <v>35</v>
      </c>
      <c r="L190" s="15">
        <v>12</v>
      </c>
      <c r="M190" s="73">
        <v>22.05</v>
      </c>
      <c r="N190" s="104">
        <v>22.05</v>
      </c>
      <c r="O190" s="57">
        <v>7000</v>
      </c>
      <c r="P190" s="58">
        <f t="shared" si="2"/>
        <v>154350</v>
      </c>
    </row>
    <row r="191" spans="1:16" ht="26.25" customHeight="1" x14ac:dyDescent="0.2">
      <c r="A191" s="100"/>
      <c r="B191" s="100"/>
      <c r="C191" s="65" t="s">
        <v>4428</v>
      </c>
      <c r="D191" s="70" t="s">
        <v>57</v>
      </c>
      <c r="E191" s="12">
        <v>44552</v>
      </c>
      <c r="F191" s="68" t="s">
        <v>59</v>
      </c>
      <c r="G191" s="12">
        <v>44558</v>
      </c>
      <c r="H191" s="69" t="s">
        <v>4156</v>
      </c>
      <c r="I191" s="15">
        <v>52</v>
      </c>
      <c r="J191" s="15">
        <v>33</v>
      </c>
      <c r="K191" s="15">
        <v>11</v>
      </c>
      <c r="L191" s="15">
        <v>3</v>
      </c>
      <c r="M191" s="73">
        <v>4.7190000000000003</v>
      </c>
      <c r="N191" s="104">
        <v>4.7190000000000003</v>
      </c>
      <c r="O191" s="57">
        <v>7000</v>
      </c>
      <c r="P191" s="58">
        <f t="shared" si="2"/>
        <v>33033</v>
      </c>
    </row>
    <row r="192" spans="1:16" ht="26.25" customHeight="1" x14ac:dyDescent="0.2">
      <c r="A192" s="100"/>
      <c r="B192" s="100"/>
      <c r="C192" s="65" t="s">
        <v>4429</v>
      </c>
      <c r="D192" s="70" t="s">
        <v>57</v>
      </c>
      <c r="E192" s="12">
        <v>44552</v>
      </c>
      <c r="F192" s="68" t="s">
        <v>59</v>
      </c>
      <c r="G192" s="12">
        <v>44558</v>
      </c>
      <c r="H192" s="69" t="s">
        <v>4156</v>
      </c>
      <c r="I192" s="15">
        <v>97</v>
      </c>
      <c r="J192" s="15">
        <v>42</v>
      </c>
      <c r="K192" s="15">
        <v>33</v>
      </c>
      <c r="L192" s="15">
        <v>20</v>
      </c>
      <c r="M192" s="73">
        <v>33.610500000000002</v>
      </c>
      <c r="N192" s="104">
        <v>33.610500000000002</v>
      </c>
      <c r="O192" s="57">
        <v>7000</v>
      </c>
      <c r="P192" s="58">
        <f t="shared" si="2"/>
        <v>235273.5</v>
      </c>
    </row>
    <row r="193" spans="1:16" ht="26.25" customHeight="1" x14ac:dyDescent="0.2">
      <c r="A193" s="100"/>
      <c r="B193" s="100"/>
      <c r="C193" s="65" t="s">
        <v>4430</v>
      </c>
      <c r="D193" s="70" t="s">
        <v>57</v>
      </c>
      <c r="E193" s="12">
        <v>44552</v>
      </c>
      <c r="F193" s="68" t="s">
        <v>59</v>
      </c>
      <c r="G193" s="12">
        <v>44558</v>
      </c>
      <c r="H193" s="69" t="s">
        <v>4156</v>
      </c>
      <c r="I193" s="15">
        <v>75</v>
      </c>
      <c r="J193" s="15">
        <v>41</v>
      </c>
      <c r="K193" s="15">
        <v>15</v>
      </c>
      <c r="L193" s="15">
        <v>7</v>
      </c>
      <c r="M193" s="73">
        <v>11.53125</v>
      </c>
      <c r="N193" s="104">
        <v>11.53125</v>
      </c>
      <c r="O193" s="57">
        <v>7000</v>
      </c>
      <c r="P193" s="58">
        <f t="shared" si="2"/>
        <v>80718.75</v>
      </c>
    </row>
    <row r="194" spans="1:16" ht="26.25" customHeight="1" x14ac:dyDescent="0.2">
      <c r="A194" s="100"/>
      <c r="B194" s="100"/>
      <c r="C194" s="65" t="s">
        <v>4431</v>
      </c>
      <c r="D194" s="70" t="s">
        <v>57</v>
      </c>
      <c r="E194" s="12">
        <v>44552</v>
      </c>
      <c r="F194" s="68" t="s">
        <v>59</v>
      </c>
      <c r="G194" s="12">
        <v>44558</v>
      </c>
      <c r="H194" s="69" t="s">
        <v>4156</v>
      </c>
      <c r="I194" s="15">
        <v>88</v>
      </c>
      <c r="J194" s="15">
        <v>45</v>
      </c>
      <c r="K194" s="15">
        <v>13</v>
      </c>
      <c r="L194" s="15">
        <v>8</v>
      </c>
      <c r="M194" s="73">
        <v>12.87</v>
      </c>
      <c r="N194" s="104">
        <v>12.87</v>
      </c>
      <c r="O194" s="57">
        <v>7000</v>
      </c>
      <c r="P194" s="58">
        <f t="shared" si="2"/>
        <v>90090</v>
      </c>
    </row>
    <row r="195" spans="1:16" ht="26.25" customHeight="1" x14ac:dyDescent="0.2">
      <c r="A195" s="100"/>
      <c r="B195" s="100"/>
      <c r="C195" s="65" t="s">
        <v>4432</v>
      </c>
      <c r="D195" s="70" t="s">
        <v>57</v>
      </c>
      <c r="E195" s="12">
        <v>44552</v>
      </c>
      <c r="F195" s="68" t="s">
        <v>59</v>
      </c>
      <c r="G195" s="12">
        <v>44558</v>
      </c>
      <c r="H195" s="69" t="s">
        <v>4156</v>
      </c>
      <c r="I195" s="15">
        <v>94</v>
      </c>
      <c r="J195" s="15">
        <v>31</v>
      </c>
      <c r="K195" s="15">
        <v>16</v>
      </c>
      <c r="L195" s="15">
        <v>7</v>
      </c>
      <c r="M195" s="73">
        <v>11.656000000000001</v>
      </c>
      <c r="N195" s="104">
        <v>11.656000000000001</v>
      </c>
      <c r="O195" s="57">
        <v>7000</v>
      </c>
      <c r="P195" s="58">
        <f t="shared" ref="P195:P196" si="3">N195*O195</f>
        <v>81592</v>
      </c>
    </row>
    <row r="196" spans="1:16" ht="26.25" customHeight="1" x14ac:dyDescent="0.2">
      <c r="A196" s="100"/>
      <c r="B196" s="100"/>
      <c r="C196" s="90" t="s">
        <v>4433</v>
      </c>
      <c r="D196" s="102" t="s">
        <v>57</v>
      </c>
      <c r="E196" s="91">
        <v>44552</v>
      </c>
      <c r="F196" s="102" t="s">
        <v>59</v>
      </c>
      <c r="G196" s="91">
        <v>44558</v>
      </c>
      <c r="H196" s="90" t="s">
        <v>4156</v>
      </c>
      <c r="I196" s="90">
        <v>94</v>
      </c>
      <c r="J196" s="90">
        <v>31</v>
      </c>
      <c r="K196" s="90">
        <v>16</v>
      </c>
      <c r="L196" s="90">
        <v>7</v>
      </c>
      <c r="M196" s="90">
        <v>11.656000000000001</v>
      </c>
      <c r="N196" s="104">
        <v>11.656000000000001</v>
      </c>
      <c r="O196" s="57">
        <v>7000</v>
      </c>
      <c r="P196" s="58">
        <f t="shared" si="3"/>
        <v>81592</v>
      </c>
    </row>
    <row r="197" spans="1:16" ht="22.5" customHeight="1" x14ac:dyDescent="0.2">
      <c r="A197" s="159" t="s">
        <v>30</v>
      </c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1"/>
      <c r="M197" s="71">
        <f>SUBTOTAL(109,Table224578910112345678910111213141516171819202122232425262728293031323334353738394041424344454647484950515253545556575859606162636465666768697071[KG VOLUME])</f>
        <v>3975.317750000002</v>
      </c>
      <c r="N197" s="61">
        <f>SUM(N3:N196)</f>
        <v>4016.750500000001</v>
      </c>
      <c r="O197" s="162">
        <f>SUM(P3:P196)</f>
        <v>28117253.5</v>
      </c>
      <c r="P197" s="163"/>
    </row>
    <row r="198" spans="1:16" ht="18" customHeight="1" x14ac:dyDescent="0.2">
      <c r="A198" s="78"/>
      <c r="B198" s="49" t="s">
        <v>42</v>
      </c>
      <c r="C198" s="48"/>
      <c r="D198" s="50" t="s">
        <v>43</v>
      </c>
      <c r="E198" s="78"/>
      <c r="F198" s="78"/>
      <c r="G198" s="78"/>
      <c r="H198" s="78"/>
      <c r="I198" s="78"/>
      <c r="J198" s="78"/>
      <c r="K198" s="78"/>
      <c r="L198" s="78"/>
      <c r="M198" s="79"/>
      <c r="N198" s="80" t="s">
        <v>52</v>
      </c>
      <c r="O198" s="81"/>
      <c r="P198" s="81">
        <v>0</v>
      </c>
    </row>
    <row r="199" spans="1:16" ht="18" customHeight="1" thickBot="1" x14ac:dyDescent="0.25">
      <c r="A199" s="78"/>
      <c r="B199" s="49"/>
      <c r="C199" s="48"/>
      <c r="D199" s="50"/>
      <c r="E199" s="78"/>
      <c r="F199" s="78"/>
      <c r="G199" s="78"/>
      <c r="H199" s="78"/>
      <c r="I199" s="78"/>
      <c r="J199" s="78"/>
      <c r="K199" s="78"/>
      <c r="L199" s="78"/>
      <c r="M199" s="79"/>
      <c r="N199" s="82" t="s">
        <v>53</v>
      </c>
      <c r="O199" s="83"/>
      <c r="P199" s="83">
        <f>O197-P198</f>
        <v>28117253.5</v>
      </c>
    </row>
    <row r="200" spans="1:16" ht="18" customHeight="1" x14ac:dyDescent="0.2">
      <c r="A200" s="10"/>
      <c r="H200" s="56"/>
      <c r="N200" s="55" t="s">
        <v>31</v>
      </c>
      <c r="P200" s="62">
        <f>P199*1%</f>
        <v>281172.53500000003</v>
      </c>
    </row>
    <row r="201" spans="1:16" ht="18" customHeight="1" thickBot="1" x14ac:dyDescent="0.25">
      <c r="A201" s="10"/>
      <c r="H201" s="56"/>
      <c r="N201" s="55" t="s">
        <v>54</v>
      </c>
      <c r="P201" s="64">
        <f>P199*2%</f>
        <v>562345.07000000007</v>
      </c>
    </row>
    <row r="202" spans="1:16" ht="18" customHeight="1" x14ac:dyDescent="0.2">
      <c r="A202" s="10"/>
      <c r="H202" s="56"/>
      <c r="N202" s="59" t="s">
        <v>32</v>
      </c>
      <c r="O202" s="60"/>
      <c r="P202" s="63">
        <f>P199+P200-P201</f>
        <v>27836080.965</v>
      </c>
    </row>
    <row r="204" spans="1:16" x14ac:dyDescent="0.2">
      <c r="A204" s="10"/>
      <c r="H204" s="56"/>
      <c r="P204" s="64"/>
    </row>
    <row r="205" spans="1:16" x14ac:dyDescent="0.2">
      <c r="A205" s="10"/>
      <c r="H205" s="56"/>
      <c r="O205" s="51"/>
      <c r="P205" s="64"/>
    </row>
    <row r="206" spans="1:16" s="3" customFormat="1" x14ac:dyDescent="0.25">
      <c r="A206" s="10"/>
      <c r="B206" s="2"/>
      <c r="C206" s="2"/>
      <c r="E206" s="11"/>
      <c r="H206" s="56"/>
      <c r="N206" s="14"/>
      <c r="O206" s="14"/>
      <c r="P206" s="14"/>
    </row>
    <row r="207" spans="1:16" s="3" customFormat="1" x14ac:dyDescent="0.25">
      <c r="A207" s="10"/>
      <c r="B207" s="2"/>
      <c r="C207" s="2"/>
      <c r="E207" s="11"/>
      <c r="H207" s="56"/>
      <c r="N207" s="14"/>
      <c r="O207" s="14"/>
      <c r="P207" s="14"/>
    </row>
    <row r="208" spans="1:16" s="3" customFormat="1" x14ac:dyDescent="0.25">
      <c r="A208" s="10"/>
      <c r="B208" s="2"/>
      <c r="C208" s="2"/>
      <c r="E208" s="11"/>
      <c r="H208" s="56"/>
      <c r="N208" s="14"/>
      <c r="O208" s="14"/>
      <c r="P208" s="14"/>
    </row>
    <row r="209" spans="1:16" s="3" customFormat="1" x14ac:dyDescent="0.25">
      <c r="A209" s="10"/>
      <c r="B209" s="2"/>
      <c r="C209" s="2"/>
      <c r="E209" s="11"/>
      <c r="H209" s="56"/>
      <c r="N209" s="14"/>
      <c r="O209" s="14"/>
      <c r="P209" s="14"/>
    </row>
    <row r="210" spans="1:16" s="3" customFormat="1" x14ac:dyDescent="0.25">
      <c r="A210" s="10"/>
      <c r="B210" s="2"/>
      <c r="C210" s="2"/>
      <c r="E210" s="11"/>
      <c r="H210" s="56"/>
      <c r="N210" s="14"/>
      <c r="O210" s="14"/>
      <c r="P210" s="14"/>
    </row>
    <row r="211" spans="1:16" s="3" customFormat="1" x14ac:dyDescent="0.25">
      <c r="A211" s="10"/>
      <c r="B211" s="2"/>
      <c r="C211" s="2"/>
      <c r="E211" s="11"/>
      <c r="H211" s="56"/>
      <c r="N211" s="14"/>
      <c r="O211" s="14"/>
      <c r="P211" s="14"/>
    </row>
    <row r="212" spans="1:16" s="3" customFormat="1" x14ac:dyDescent="0.25">
      <c r="A212" s="10"/>
      <c r="B212" s="2"/>
      <c r="C212" s="2"/>
      <c r="E212" s="11"/>
      <c r="H212" s="56"/>
      <c r="N212" s="14"/>
      <c r="O212" s="14"/>
      <c r="P212" s="14"/>
    </row>
    <row r="213" spans="1:16" s="3" customFormat="1" x14ac:dyDescent="0.25">
      <c r="A213" s="10"/>
      <c r="B213" s="2"/>
      <c r="C213" s="2"/>
      <c r="E213" s="11"/>
      <c r="H213" s="56"/>
      <c r="N213" s="14"/>
      <c r="O213" s="14"/>
      <c r="P213" s="14"/>
    </row>
    <row r="214" spans="1:16" s="3" customFormat="1" x14ac:dyDescent="0.25">
      <c r="A214" s="10"/>
      <c r="B214" s="2"/>
      <c r="C214" s="2"/>
      <c r="E214" s="11"/>
      <c r="H214" s="56"/>
      <c r="N214" s="14"/>
      <c r="O214" s="14"/>
      <c r="P214" s="14"/>
    </row>
    <row r="215" spans="1:16" s="3" customFormat="1" x14ac:dyDescent="0.25">
      <c r="A215" s="10"/>
      <c r="B215" s="2"/>
      <c r="C215" s="2"/>
      <c r="E215" s="11"/>
      <c r="H215" s="56"/>
      <c r="N215" s="14"/>
      <c r="O215" s="14"/>
      <c r="P215" s="14"/>
    </row>
    <row r="216" spans="1:16" s="3" customFormat="1" x14ac:dyDescent="0.25">
      <c r="A216" s="10"/>
      <c r="B216" s="2"/>
      <c r="C216" s="2"/>
      <c r="E216" s="11"/>
      <c r="H216" s="56"/>
      <c r="N216" s="14"/>
      <c r="O216" s="14"/>
      <c r="P216" s="14"/>
    </row>
    <row r="217" spans="1:16" s="3" customFormat="1" x14ac:dyDescent="0.25">
      <c r="A217" s="10"/>
      <c r="B217" s="2"/>
      <c r="C217" s="2"/>
      <c r="E217" s="11"/>
      <c r="H217" s="56"/>
      <c r="N217" s="14"/>
      <c r="O217" s="14"/>
      <c r="P217" s="14"/>
    </row>
  </sheetData>
  <mergeCells count="2">
    <mergeCell ref="A197:L197"/>
    <mergeCell ref="O197:P197"/>
  </mergeCells>
  <conditionalFormatting sqref="C3:C196">
    <cfRule type="duplicateValues" dxfId="479" priority="10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workbookViewId="0">
      <selection activeCell="E4" sqref="E4"/>
    </sheetView>
  </sheetViews>
  <sheetFormatPr defaultRowHeight="15" x14ac:dyDescent="0.2"/>
  <cols>
    <col min="1" max="1" width="8" style="4" customWidth="1"/>
    <col min="2" max="2" width="20.28515625" style="2" customWidth="1"/>
    <col min="3" max="3" width="15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403985</v>
      </c>
      <c r="B3" s="99" t="s">
        <v>4434</v>
      </c>
      <c r="C3" s="90" t="s">
        <v>4435</v>
      </c>
      <c r="D3" s="102" t="s">
        <v>57</v>
      </c>
      <c r="E3" s="91">
        <v>44553</v>
      </c>
      <c r="F3" s="102" t="s">
        <v>59</v>
      </c>
      <c r="G3" s="91">
        <v>44558</v>
      </c>
      <c r="H3" s="90" t="s">
        <v>4156</v>
      </c>
      <c r="I3" s="90">
        <v>91</v>
      </c>
      <c r="J3" s="90">
        <v>39</v>
      </c>
      <c r="K3" s="90">
        <v>39</v>
      </c>
      <c r="L3" s="90">
        <v>12</v>
      </c>
      <c r="M3" s="90">
        <v>34.60275</v>
      </c>
      <c r="N3" s="104">
        <v>34.60275</v>
      </c>
      <c r="O3" s="57">
        <v>7000</v>
      </c>
      <c r="P3" s="58">
        <f t="shared" ref="P3:P38" si="0">N3*O3</f>
        <v>242219.25</v>
      </c>
    </row>
    <row r="4" spans="1:16" ht="26.25" customHeight="1" x14ac:dyDescent="0.2">
      <c r="A4" s="100"/>
      <c r="B4" s="100"/>
      <c r="C4" s="90" t="s">
        <v>4436</v>
      </c>
      <c r="D4" s="102" t="s">
        <v>57</v>
      </c>
      <c r="E4" s="91">
        <v>44553</v>
      </c>
      <c r="F4" s="102" t="s">
        <v>59</v>
      </c>
      <c r="G4" s="91">
        <v>44558</v>
      </c>
      <c r="H4" s="90" t="s">
        <v>4156</v>
      </c>
      <c r="I4" s="90">
        <v>74</v>
      </c>
      <c r="J4" s="90">
        <v>60</v>
      </c>
      <c r="K4" s="90">
        <v>15</v>
      </c>
      <c r="L4" s="90">
        <v>9</v>
      </c>
      <c r="M4" s="90">
        <v>16.649999999999999</v>
      </c>
      <c r="N4" s="104">
        <v>16.649999999999999</v>
      </c>
      <c r="O4" s="57">
        <v>7000</v>
      </c>
      <c r="P4" s="58">
        <f t="shared" si="0"/>
        <v>116549.99999999999</v>
      </c>
    </row>
    <row r="5" spans="1:16" ht="26.25" customHeight="1" x14ac:dyDescent="0.2">
      <c r="A5" s="100"/>
      <c r="B5" s="100"/>
      <c r="C5" s="90" t="s">
        <v>4437</v>
      </c>
      <c r="D5" s="102" t="s">
        <v>57</v>
      </c>
      <c r="E5" s="91">
        <v>44553</v>
      </c>
      <c r="F5" s="102" t="s">
        <v>59</v>
      </c>
      <c r="G5" s="91">
        <v>44558</v>
      </c>
      <c r="H5" s="90" t="s">
        <v>4156</v>
      </c>
      <c r="I5" s="90">
        <v>62</v>
      </c>
      <c r="J5" s="90">
        <v>41</v>
      </c>
      <c r="K5" s="90">
        <v>20</v>
      </c>
      <c r="L5" s="90">
        <v>1</v>
      </c>
      <c r="M5" s="90">
        <v>12.71</v>
      </c>
      <c r="N5" s="104">
        <v>12.71</v>
      </c>
      <c r="O5" s="57">
        <v>7000</v>
      </c>
      <c r="P5" s="58">
        <f t="shared" si="0"/>
        <v>88970</v>
      </c>
    </row>
    <row r="6" spans="1:16" ht="26.25" customHeight="1" x14ac:dyDescent="0.2">
      <c r="A6" s="100"/>
      <c r="B6" s="100"/>
      <c r="C6" s="65" t="s">
        <v>4438</v>
      </c>
      <c r="D6" s="70" t="s">
        <v>57</v>
      </c>
      <c r="E6" s="12">
        <v>44553</v>
      </c>
      <c r="F6" s="68" t="s">
        <v>59</v>
      </c>
      <c r="G6" s="12">
        <v>44558</v>
      </c>
      <c r="H6" s="69" t="s">
        <v>4156</v>
      </c>
      <c r="I6" s="15">
        <v>57</v>
      </c>
      <c r="J6" s="15">
        <v>30</v>
      </c>
      <c r="K6" s="15">
        <v>21</v>
      </c>
      <c r="L6" s="15">
        <v>3</v>
      </c>
      <c r="M6" s="73">
        <v>8.9774999999999991</v>
      </c>
      <c r="N6" s="104">
        <v>8.9774999999999991</v>
      </c>
      <c r="O6" s="57">
        <v>7000</v>
      </c>
      <c r="P6" s="58">
        <f t="shared" si="0"/>
        <v>62842.499999999993</v>
      </c>
    </row>
    <row r="7" spans="1:16" ht="26.25" customHeight="1" x14ac:dyDescent="0.2">
      <c r="A7" s="100"/>
      <c r="B7" s="100"/>
      <c r="C7" s="65" t="s">
        <v>4439</v>
      </c>
      <c r="D7" s="70" t="s">
        <v>57</v>
      </c>
      <c r="E7" s="12">
        <v>44553</v>
      </c>
      <c r="F7" s="68" t="s">
        <v>59</v>
      </c>
      <c r="G7" s="12">
        <v>44558</v>
      </c>
      <c r="H7" s="69" t="s">
        <v>4156</v>
      </c>
      <c r="I7" s="15">
        <v>16</v>
      </c>
      <c r="J7" s="15">
        <v>16</v>
      </c>
      <c r="K7" s="15">
        <v>3</v>
      </c>
      <c r="L7" s="15">
        <v>1</v>
      </c>
      <c r="M7" s="73">
        <v>0.192</v>
      </c>
      <c r="N7" s="104">
        <v>1</v>
      </c>
      <c r="O7" s="57">
        <v>7000</v>
      </c>
      <c r="P7" s="58">
        <f t="shared" si="0"/>
        <v>7000</v>
      </c>
    </row>
    <row r="8" spans="1:16" ht="26.25" customHeight="1" x14ac:dyDescent="0.2">
      <c r="A8" s="100"/>
      <c r="B8" s="100"/>
      <c r="C8" s="65" t="s">
        <v>4440</v>
      </c>
      <c r="D8" s="70" t="s">
        <v>57</v>
      </c>
      <c r="E8" s="12">
        <v>44553</v>
      </c>
      <c r="F8" s="68" t="s">
        <v>59</v>
      </c>
      <c r="G8" s="12">
        <v>44558</v>
      </c>
      <c r="H8" s="69" t="s">
        <v>4156</v>
      </c>
      <c r="I8" s="15">
        <v>95</v>
      </c>
      <c r="J8" s="15">
        <v>41</v>
      </c>
      <c r="K8" s="15">
        <v>20</v>
      </c>
      <c r="L8" s="15">
        <v>7</v>
      </c>
      <c r="M8" s="73">
        <v>19.475000000000001</v>
      </c>
      <c r="N8" s="104">
        <v>20</v>
      </c>
      <c r="O8" s="57">
        <v>7000</v>
      </c>
      <c r="P8" s="58">
        <f t="shared" si="0"/>
        <v>140000</v>
      </c>
    </row>
    <row r="9" spans="1:16" ht="26.25" customHeight="1" x14ac:dyDescent="0.2">
      <c r="A9" s="100"/>
      <c r="B9" s="100"/>
      <c r="C9" s="65" t="s">
        <v>4441</v>
      </c>
      <c r="D9" s="70" t="s">
        <v>57</v>
      </c>
      <c r="E9" s="12">
        <v>44553</v>
      </c>
      <c r="F9" s="68" t="s">
        <v>59</v>
      </c>
      <c r="G9" s="12">
        <v>44558</v>
      </c>
      <c r="H9" s="69" t="s">
        <v>4156</v>
      </c>
      <c r="I9" s="15">
        <v>109</v>
      </c>
      <c r="J9" s="15">
        <v>66</v>
      </c>
      <c r="K9" s="15">
        <v>40</v>
      </c>
      <c r="L9" s="15">
        <v>32</v>
      </c>
      <c r="M9" s="73">
        <v>71.94</v>
      </c>
      <c r="N9" s="104">
        <v>71.94</v>
      </c>
      <c r="O9" s="57">
        <v>7000</v>
      </c>
      <c r="P9" s="58">
        <f t="shared" si="0"/>
        <v>503580</v>
      </c>
    </row>
    <row r="10" spans="1:16" ht="26.25" customHeight="1" x14ac:dyDescent="0.2">
      <c r="A10" s="100"/>
      <c r="B10" s="100"/>
      <c r="C10" s="65" t="s">
        <v>4442</v>
      </c>
      <c r="D10" s="70" t="s">
        <v>57</v>
      </c>
      <c r="E10" s="12">
        <v>44553</v>
      </c>
      <c r="F10" s="68" t="s">
        <v>59</v>
      </c>
      <c r="G10" s="12">
        <v>44558</v>
      </c>
      <c r="H10" s="69" t="s">
        <v>4156</v>
      </c>
      <c r="I10" s="15">
        <v>92</v>
      </c>
      <c r="J10" s="15">
        <v>60</v>
      </c>
      <c r="K10" s="15">
        <v>33</v>
      </c>
      <c r="L10" s="15">
        <v>20</v>
      </c>
      <c r="M10" s="73">
        <v>45.54</v>
      </c>
      <c r="N10" s="104">
        <v>45.54</v>
      </c>
      <c r="O10" s="57">
        <v>7000</v>
      </c>
      <c r="P10" s="58">
        <f t="shared" si="0"/>
        <v>318780</v>
      </c>
    </row>
    <row r="11" spans="1:16" ht="26.25" customHeight="1" x14ac:dyDescent="0.2">
      <c r="A11" s="100"/>
      <c r="B11" s="100"/>
      <c r="C11" s="65" t="s">
        <v>4443</v>
      </c>
      <c r="D11" s="70" t="s">
        <v>57</v>
      </c>
      <c r="E11" s="12">
        <v>44553</v>
      </c>
      <c r="F11" s="68" t="s">
        <v>59</v>
      </c>
      <c r="G11" s="12">
        <v>44558</v>
      </c>
      <c r="H11" s="69" t="s">
        <v>4156</v>
      </c>
      <c r="I11" s="15">
        <v>48</v>
      </c>
      <c r="J11" s="15">
        <v>40</v>
      </c>
      <c r="K11" s="15">
        <v>24</v>
      </c>
      <c r="L11" s="15">
        <v>4</v>
      </c>
      <c r="M11" s="73">
        <v>11.52</v>
      </c>
      <c r="N11" s="104">
        <v>11.52</v>
      </c>
      <c r="O11" s="57">
        <v>7000</v>
      </c>
      <c r="P11" s="58">
        <f t="shared" si="0"/>
        <v>80640</v>
      </c>
    </row>
    <row r="12" spans="1:16" ht="26.25" customHeight="1" x14ac:dyDescent="0.2">
      <c r="A12" s="100"/>
      <c r="B12" s="100"/>
      <c r="C12" s="65" t="s">
        <v>4444</v>
      </c>
      <c r="D12" s="70" t="s">
        <v>57</v>
      </c>
      <c r="E12" s="12">
        <v>44553</v>
      </c>
      <c r="F12" s="68" t="s">
        <v>59</v>
      </c>
      <c r="G12" s="12">
        <v>44558</v>
      </c>
      <c r="H12" s="69" t="s">
        <v>4156</v>
      </c>
      <c r="I12" s="15">
        <v>88</v>
      </c>
      <c r="J12" s="15">
        <v>51</v>
      </c>
      <c r="K12" s="15">
        <v>16</v>
      </c>
      <c r="L12" s="15">
        <v>12</v>
      </c>
      <c r="M12" s="73">
        <v>17.952000000000002</v>
      </c>
      <c r="N12" s="104">
        <v>17.952000000000002</v>
      </c>
      <c r="O12" s="57">
        <v>7000</v>
      </c>
      <c r="P12" s="58">
        <f t="shared" si="0"/>
        <v>125664.00000000001</v>
      </c>
    </row>
    <row r="13" spans="1:16" ht="26.25" customHeight="1" x14ac:dyDescent="0.2">
      <c r="A13" s="100"/>
      <c r="B13" s="100"/>
      <c r="C13" s="65" t="s">
        <v>4445</v>
      </c>
      <c r="D13" s="70" t="s">
        <v>57</v>
      </c>
      <c r="E13" s="12">
        <v>44553</v>
      </c>
      <c r="F13" s="68" t="s">
        <v>59</v>
      </c>
      <c r="G13" s="12">
        <v>44558</v>
      </c>
      <c r="H13" s="69" t="s">
        <v>4156</v>
      </c>
      <c r="I13" s="15">
        <v>64</v>
      </c>
      <c r="J13" s="15">
        <v>46</v>
      </c>
      <c r="K13" s="15">
        <v>20</v>
      </c>
      <c r="L13" s="15">
        <v>15</v>
      </c>
      <c r="M13" s="73">
        <v>14.72</v>
      </c>
      <c r="N13" s="104">
        <v>15</v>
      </c>
      <c r="O13" s="57">
        <v>7000</v>
      </c>
      <c r="P13" s="58">
        <f t="shared" si="0"/>
        <v>105000</v>
      </c>
    </row>
    <row r="14" spans="1:16" ht="26.25" customHeight="1" x14ac:dyDescent="0.2">
      <c r="A14" s="100"/>
      <c r="B14" s="100"/>
      <c r="C14" s="65" t="s">
        <v>4446</v>
      </c>
      <c r="D14" s="70" t="s">
        <v>57</v>
      </c>
      <c r="E14" s="12">
        <v>44553</v>
      </c>
      <c r="F14" s="68" t="s">
        <v>59</v>
      </c>
      <c r="G14" s="12">
        <v>44558</v>
      </c>
      <c r="H14" s="69" t="s">
        <v>4156</v>
      </c>
      <c r="I14" s="15">
        <v>105</v>
      </c>
      <c r="J14" s="15">
        <v>54</v>
      </c>
      <c r="K14" s="15">
        <v>20</v>
      </c>
      <c r="L14" s="15">
        <v>20</v>
      </c>
      <c r="M14" s="73">
        <v>28.35</v>
      </c>
      <c r="N14" s="104">
        <v>29</v>
      </c>
      <c r="O14" s="57">
        <v>7000</v>
      </c>
      <c r="P14" s="58">
        <f t="shared" si="0"/>
        <v>203000</v>
      </c>
    </row>
    <row r="15" spans="1:16" ht="26.25" customHeight="1" x14ac:dyDescent="0.2">
      <c r="A15" s="100"/>
      <c r="B15" s="100"/>
      <c r="C15" s="65" t="s">
        <v>4447</v>
      </c>
      <c r="D15" s="70" t="s">
        <v>57</v>
      </c>
      <c r="E15" s="12">
        <v>44553</v>
      </c>
      <c r="F15" s="68" t="s">
        <v>59</v>
      </c>
      <c r="G15" s="12">
        <v>44558</v>
      </c>
      <c r="H15" s="69" t="s">
        <v>4156</v>
      </c>
      <c r="I15" s="15">
        <v>40</v>
      </c>
      <c r="J15" s="15">
        <v>40</v>
      </c>
      <c r="K15" s="15">
        <v>17</v>
      </c>
      <c r="L15" s="15">
        <v>4</v>
      </c>
      <c r="M15" s="73">
        <v>6.8</v>
      </c>
      <c r="N15" s="104">
        <v>6.8</v>
      </c>
      <c r="O15" s="57">
        <v>7000</v>
      </c>
      <c r="P15" s="58">
        <f t="shared" si="0"/>
        <v>47600</v>
      </c>
    </row>
    <row r="16" spans="1:16" ht="26.25" customHeight="1" x14ac:dyDescent="0.2">
      <c r="A16" s="100"/>
      <c r="B16" s="100"/>
      <c r="C16" s="65" t="s">
        <v>4448</v>
      </c>
      <c r="D16" s="70" t="s">
        <v>57</v>
      </c>
      <c r="E16" s="12">
        <v>44553</v>
      </c>
      <c r="F16" s="68" t="s">
        <v>59</v>
      </c>
      <c r="G16" s="12">
        <v>44558</v>
      </c>
      <c r="H16" s="69" t="s">
        <v>4156</v>
      </c>
      <c r="I16" s="15">
        <v>98</v>
      </c>
      <c r="J16" s="15">
        <v>60</v>
      </c>
      <c r="K16" s="15">
        <v>35</v>
      </c>
      <c r="L16" s="15">
        <v>20</v>
      </c>
      <c r="M16" s="73">
        <v>51.45</v>
      </c>
      <c r="N16" s="104">
        <v>52</v>
      </c>
      <c r="O16" s="57">
        <v>7000</v>
      </c>
      <c r="P16" s="58">
        <f t="shared" si="0"/>
        <v>364000</v>
      </c>
    </row>
    <row r="17" spans="1:16" ht="26.25" customHeight="1" x14ac:dyDescent="0.2">
      <c r="A17" s="100"/>
      <c r="B17" s="100"/>
      <c r="C17" s="65" t="s">
        <v>4449</v>
      </c>
      <c r="D17" s="70" t="s">
        <v>57</v>
      </c>
      <c r="E17" s="12">
        <v>44553</v>
      </c>
      <c r="F17" s="68" t="s">
        <v>59</v>
      </c>
      <c r="G17" s="12">
        <v>44558</v>
      </c>
      <c r="H17" s="69" t="s">
        <v>4156</v>
      </c>
      <c r="I17" s="15">
        <v>83</v>
      </c>
      <c r="J17" s="15">
        <v>48</v>
      </c>
      <c r="K17" s="15">
        <v>30</v>
      </c>
      <c r="L17" s="15">
        <v>11</v>
      </c>
      <c r="M17" s="73">
        <v>29.88</v>
      </c>
      <c r="N17" s="104">
        <v>29.88</v>
      </c>
      <c r="O17" s="57">
        <v>7000</v>
      </c>
      <c r="P17" s="58">
        <f t="shared" si="0"/>
        <v>209160</v>
      </c>
    </row>
    <row r="18" spans="1:16" ht="26.25" customHeight="1" x14ac:dyDescent="0.2">
      <c r="A18" s="100"/>
      <c r="B18" s="100"/>
      <c r="C18" s="65" t="s">
        <v>4450</v>
      </c>
      <c r="D18" s="70" t="s">
        <v>57</v>
      </c>
      <c r="E18" s="12">
        <v>44553</v>
      </c>
      <c r="F18" s="68" t="s">
        <v>59</v>
      </c>
      <c r="G18" s="12">
        <v>44558</v>
      </c>
      <c r="H18" s="69" t="s">
        <v>4156</v>
      </c>
      <c r="I18" s="15">
        <v>90</v>
      </c>
      <c r="J18" s="15">
        <v>62</v>
      </c>
      <c r="K18" s="15">
        <v>25</v>
      </c>
      <c r="L18" s="15">
        <v>6</v>
      </c>
      <c r="M18" s="73">
        <v>34.875</v>
      </c>
      <c r="N18" s="104">
        <v>34.875</v>
      </c>
      <c r="O18" s="57">
        <v>7000</v>
      </c>
      <c r="P18" s="58">
        <f t="shared" si="0"/>
        <v>244125</v>
      </c>
    </row>
    <row r="19" spans="1:16" ht="26.25" customHeight="1" x14ac:dyDescent="0.2">
      <c r="A19" s="100"/>
      <c r="B19" s="100"/>
      <c r="C19" s="65" t="s">
        <v>4451</v>
      </c>
      <c r="D19" s="70" t="s">
        <v>57</v>
      </c>
      <c r="E19" s="12">
        <v>44553</v>
      </c>
      <c r="F19" s="68" t="s">
        <v>59</v>
      </c>
      <c r="G19" s="12">
        <v>44558</v>
      </c>
      <c r="H19" s="69" t="s">
        <v>4156</v>
      </c>
      <c r="I19" s="15">
        <v>52</v>
      </c>
      <c r="J19" s="15">
        <v>30</v>
      </c>
      <c r="K19" s="15">
        <v>20</v>
      </c>
      <c r="L19" s="15">
        <v>3</v>
      </c>
      <c r="M19" s="73">
        <v>7.8</v>
      </c>
      <c r="N19" s="104">
        <v>7.8</v>
      </c>
      <c r="O19" s="57">
        <v>7000</v>
      </c>
      <c r="P19" s="58">
        <f t="shared" si="0"/>
        <v>54600</v>
      </c>
    </row>
    <row r="20" spans="1:16" ht="26.25" customHeight="1" x14ac:dyDescent="0.2">
      <c r="A20" s="100"/>
      <c r="B20" s="100"/>
      <c r="C20" s="65" t="s">
        <v>4452</v>
      </c>
      <c r="D20" s="70" t="s">
        <v>57</v>
      </c>
      <c r="E20" s="12">
        <v>44553</v>
      </c>
      <c r="F20" s="68" t="s">
        <v>59</v>
      </c>
      <c r="G20" s="12">
        <v>44558</v>
      </c>
      <c r="H20" s="69" t="s">
        <v>4156</v>
      </c>
      <c r="I20" s="15">
        <v>65</v>
      </c>
      <c r="J20" s="15">
        <v>60</v>
      </c>
      <c r="K20" s="15">
        <v>28</v>
      </c>
      <c r="L20" s="15">
        <v>12</v>
      </c>
      <c r="M20" s="73">
        <v>27.3</v>
      </c>
      <c r="N20" s="104">
        <v>28</v>
      </c>
      <c r="O20" s="57">
        <v>7000</v>
      </c>
      <c r="P20" s="58">
        <f t="shared" si="0"/>
        <v>196000</v>
      </c>
    </row>
    <row r="21" spans="1:16" ht="26.25" customHeight="1" x14ac:dyDescent="0.2">
      <c r="A21" s="100"/>
      <c r="B21" s="100"/>
      <c r="C21" s="65" t="s">
        <v>4453</v>
      </c>
      <c r="D21" s="70" t="s">
        <v>57</v>
      </c>
      <c r="E21" s="12">
        <v>44553</v>
      </c>
      <c r="F21" s="68" t="s">
        <v>59</v>
      </c>
      <c r="G21" s="12">
        <v>44558</v>
      </c>
      <c r="H21" s="69" t="s">
        <v>4156</v>
      </c>
      <c r="I21" s="15">
        <v>82</v>
      </c>
      <c r="J21" s="15">
        <v>64</v>
      </c>
      <c r="K21" s="15">
        <v>31</v>
      </c>
      <c r="L21" s="15">
        <v>20</v>
      </c>
      <c r="M21" s="73">
        <v>40.671999999999997</v>
      </c>
      <c r="N21" s="104">
        <v>40.671999999999997</v>
      </c>
      <c r="O21" s="57">
        <v>7000</v>
      </c>
      <c r="P21" s="58">
        <f t="shared" si="0"/>
        <v>284704</v>
      </c>
    </row>
    <row r="22" spans="1:16" ht="26.25" customHeight="1" x14ac:dyDescent="0.2">
      <c r="A22" s="100"/>
      <c r="B22" s="100"/>
      <c r="C22" s="65" t="s">
        <v>4454</v>
      </c>
      <c r="D22" s="70" t="s">
        <v>57</v>
      </c>
      <c r="E22" s="12">
        <v>44553</v>
      </c>
      <c r="F22" s="68" t="s">
        <v>59</v>
      </c>
      <c r="G22" s="12">
        <v>44558</v>
      </c>
      <c r="H22" s="69" t="s">
        <v>4156</v>
      </c>
      <c r="I22" s="15">
        <v>40</v>
      </c>
      <c r="J22" s="15">
        <v>40</v>
      </c>
      <c r="K22" s="15">
        <v>15</v>
      </c>
      <c r="L22" s="15">
        <v>4</v>
      </c>
      <c r="M22" s="73">
        <v>6</v>
      </c>
      <c r="N22" s="104">
        <v>6</v>
      </c>
      <c r="O22" s="57">
        <v>7000</v>
      </c>
      <c r="P22" s="58">
        <f t="shared" si="0"/>
        <v>42000</v>
      </c>
    </row>
    <row r="23" spans="1:16" ht="26.25" customHeight="1" x14ac:dyDescent="0.2">
      <c r="A23" s="100"/>
      <c r="B23" s="100"/>
      <c r="C23" s="65" t="s">
        <v>4455</v>
      </c>
      <c r="D23" s="70" t="s">
        <v>57</v>
      </c>
      <c r="E23" s="12">
        <v>44553</v>
      </c>
      <c r="F23" s="68" t="s">
        <v>59</v>
      </c>
      <c r="G23" s="12">
        <v>44558</v>
      </c>
      <c r="H23" s="69" t="s">
        <v>4156</v>
      </c>
      <c r="I23" s="15">
        <v>66</v>
      </c>
      <c r="J23" s="15">
        <v>42</v>
      </c>
      <c r="K23" s="15">
        <v>31</v>
      </c>
      <c r="L23" s="15">
        <v>4</v>
      </c>
      <c r="M23" s="73">
        <v>21.483000000000001</v>
      </c>
      <c r="N23" s="104">
        <v>22</v>
      </c>
      <c r="O23" s="57">
        <v>7000</v>
      </c>
      <c r="P23" s="58">
        <f t="shared" si="0"/>
        <v>154000</v>
      </c>
    </row>
    <row r="24" spans="1:16" ht="26.25" customHeight="1" x14ac:dyDescent="0.2">
      <c r="A24" s="100"/>
      <c r="B24" s="100"/>
      <c r="C24" s="65" t="s">
        <v>4456</v>
      </c>
      <c r="D24" s="70" t="s">
        <v>57</v>
      </c>
      <c r="E24" s="12">
        <v>44553</v>
      </c>
      <c r="F24" s="68" t="s">
        <v>59</v>
      </c>
      <c r="G24" s="12">
        <v>44558</v>
      </c>
      <c r="H24" s="69" t="s">
        <v>4156</v>
      </c>
      <c r="I24" s="15">
        <v>86</v>
      </c>
      <c r="J24" s="15">
        <v>63</v>
      </c>
      <c r="K24" s="15">
        <v>30</v>
      </c>
      <c r="L24" s="15">
        <v>10</v>
      </c>
      <c r="M24" s="73">
        <v>40.634999999999998</v>
      </c>
      <c r="N24" s="104">
        <v>40.634999999999998</v>
      </c>
      <c r="O24" s="57">
        <v>7000</v>
      </c>
      <c r="P24" s="58">
        <f t="shared" si="0"/>
        <v>284445</v>
      </c>
    </row>
    <row r="25" spans="1:16" ht="26.25" customHeight="1" x14ac:dyDescent="0.2">
      <c r="A25" s="100"/>
      <c r="B25" s="100"/>
      <c r="C25" s="65" t="s">
        <v>4457</v>
      </c>
      <c r="D25" s="70" t="s">
        <v>57</v>
      </c>
      <c r="E25" s="12">
        <v>44553</v>
      </c>
      <c r="F25" s="68" t="s">
        <v>59</v>
      </c>
      <c r="G25" s="12">
        <v>44558</v>
      </c>
      <c r="H25" s="69" t="s">
        <v>4156</v>
      </c>
      <c r="I25" s="15">
        <v>50</v>
      </c>
      <c r="J25" s="15">
        <v>54</v>
      </c>
      <c r="K25" s="15">
        <v>20</v>
      </c>
      <c r="L25" s="15">
        <v>3</v>
      </c>
      <c r="M25" s="73">
        <v>13.5</v>
      </c>
      <c r="N25" s="104">
        <v>15</v>
      </c>
      <c r="O25" s="57">
        <v>7000</v>
      </c>
      <c r="P25" s="58">
        <f t="shared" si="0"/>
        <v>105000</v>
      </c>
    </row>
    <row r="26" spans="1:16" ht="26.25" customHeight="1" x14ac:dyDescent="0.2">
      <c r="A26" s="100"/>
      <c r="B26" s="100"/>
      <c r="C26" s="65" t="s">
        <v>4458</v>
      </c>
      <c r="D26" s="70" t="s">
        <v>57</v>
      </c>
      <c r="E26" s="12">
        <v>44553</v>
      </c>
      <c r="F26" s="68" t="s">
        <v>59</v>
      </c>
      <c r="G26" s="12">
        <v>44558</v>
      </c>
      <c r="H26" s="69" t="s">
        <v>4156</v>
      </c>
      <c r="I26" s="15">
        <v>53</v>
      </c>
      <c r="J26" s="15">
        <v>31</v>
      </c>
      <c r="K26" s="15">
        <v>15</v>
      </c>
      <c r="L26" s="15">
        <v>2</v>
      </c>
      <c r="M26" s="73">
        <v>6.1612499999999999</v>
      </c>
      <c r="N26" s="104">
        <v>6.1612499999999999</v>
      </c>
      <c r="O26" s="57">
        <v>7000</v>
      </c>
      <c r="P26" s="58">
        <f t="shared" si="0"/>
        <v>43128.75</v>
      </c>
    </row>
    <row r="27" spans="1:16" ht="26.25" customHeight="1" x14ac:dyDescent="0.2">
      <c r="A27" s="100"/>
      <c r="B27" s="100"/>
      <c r="C27" s="65" t="s">
        <v>4459</v>
      </c>
      <c r="D27" s="70" t="s">
        <v>57</v>
      </c>
      <c r="E27" s="12">
        <v>44553</v>
      </c>
      <c r="F27" s="68" t="s">
        <v>59</v>
      </c>
      <c r="G27" s="12">
        <v>44558</v>
      </c>
      <c r="H27" s="69" t="s">
        <v>4156</v>
      </c>
      <c r="I27" s="15">
        <v>100</v>
      </c>
      <c r="J27" s="15">
        <v>50</v>
      </c>
      <c r="K27" s="15">
        <v>40</v>
      </c>
      <c r="L27" s="15">
        <v>7</v>
      </c>
      <c r="M27" s="73">
        <v>50</v>
      </c>
      <c r="N27" s="104">
        <v>50</v>
      </c>
      <c r="O27" s="57">
        <v>7000</v>
      </c>
      <c r="P27" s="58">
        <f t="shared" si="0"/>
        <v>350000</v>
      </c>
    </row>
    <row r="28" spans="1:16" ht="26.25" customHeight="1" x14ac:dyDescent="0.2">
      <c r="A28" s="100"/>
      <c r="B28" s="100"/>
      <c r="C28" s="65" t="s">
        <v>4460</v>
      </c>
      <c r="D28" s="70" t="s">
        <v>57</v>
      </c>
      <c r="E28" s="12">
        <v>44553</v>
      </c>
      <c r="F28" s="68" t="s">
        <v>59</v>
      </c>
      <c r="G28" s="12">
        <v>44558</v>
      </c>
      <c r="H28" s="69" t="s">
        <v>4156</v>
      </c>
      <c r="I28" s="15">
        <v>70</v>
      </c>
      <c r="J28" s="15">
        <v>60</v>
      </c>
      <c r="K28" s="15">
        <v>25</v>
      </c>
      <c r="L28" s="15">
        <v>11</v>
      </c>
      <c r="M28" s="73">
        <v>26.25</v>
      </c>
      <c r="N28" s="104">
        <v>26.25</v>
      </c>
      <c r="O28" s="57">
        <v>7000</v>
      </c>
      <c r="P28" s="58">
        <f t="shared" si="0"/>
        <v>183750</v>
      </c>
    </row>
    <row r="29" spans="1:16" ht="26.25" customHeight="1" x14ac:dyDescent="0.2">
      <c r="A29" s="100"/>
      <c r="B29" s="100"/>
      <c r="C29" s="65" t="s">
        <v>4461</v>
      </c>
      <c r="D29" s="70" t="s">
        <v>57</v>
      </c>
      <c r="E29" s="12">
        <v>44553</v>
      </c>
      <c r="F29" s="68" t="s">
        <v>59</v>
      </c>
      <c r="G29" s="12">
        <v>44558</v>
      </c>
      <c r="H29" s="69" t="s">
        <v>4156</v>
      </c>
      <c r="I29" s="15">
        <v>96</v>
      </c>
      <c r="J29" s="15">
        <v>59</v>
      </c>
      <c r="K29" s="15">
        <v>43</v>
      </c>
      <c r="L29" s="15">
        <v>17</v>
      </c>
      <c r="M29" s="73">
        <v>60.887999999999998</v>
      </c>
      <c r="N29" s="104">
        <v>60.887999999999998</v>
      </c>
      <c r="O29" s="57">
        <v>7000</v>
      </c>
      <c r="P29" s="58">
        <f t="shared" si="0"/>
        <v>426216</v>
      </c>
    </row>
    <row r="30" spans="1:16" ht="26.25" customHeight="1" x14ac:dyDescent="0.2">
      <c r="A30" s="100"/>
      <c r="B30" s="100"/>
      <c r="C30" s="65" t="s">
        <v>4462</v>
      </c>
      <c r="D30" s="70" t="s">
        <v>57</v>
      </c>
      <c r="E30" s="12">
        <v>44553</v>
      </c>
      <c r="F30" s="68" t="s">
        <v>59</v>
      </c>
      <c r="G30" s="12">
        <v>44558</v>
      </c>
      <c r="H30" s="69" t="s">
        <v>4156</v>
      </c>
      <c r="I30" s="15">
        <v>42</v>
      </c>
      <c r="J30" s="15">
        <v>21</v>
      </c>
      <c r="K30" s="15">
        <v>3</v>
      </c>
      <c r="L30" s="15">
        <v>1</v>
      </c>
      <c r="M30" s="73">
        <v>0.66149999999999998</v>
      </c>
      <c r="N30" s="104">
        <v>1</v>
      </c>
      <c r="O30" s="57">
        <v>7000</v>
      </c>
      <c r="P30" s="58">
        <f t="shared" si="0"/>
        <v>7000</v>
      </c>
    </row>
    <row r="31" spans="1:16" ht="26.25" customHeight="1" x14ac:dyDescent="0.2">
      <c r="A31" s="100"/>
      <c r="B31" s="100"/>
      <c r="C31" s="65" t="s">
        <v>4463</v>
      </c>
      <c r="D31" s="70" t="s">
        <v>57</v>
      </c>
      <c r="E31" s="12">
        <v>44553</v>
      </c>
      <c r="F31" s="68" t="s">
        <v>59</v>
      </c>
      <c r="G31" s="12">
        <v>44558</v>
      </c>
      <c r="H31" s="69" t="s">
        <v>4156</v>
      </c>
      <c r="I31" s="15">
        <v>45</v>
      </c>
      <c r="J31" s="15">
        <v>36</v>
      </c>
      <c r="K31" s="15">
        <v>12</v>
      </c>
      <c r="L31" s="15">
        <v>2</v>
      </c>
      <c r="M31" s="73">
        <v>4.8600000000000003</v>
      </c>
      <c r="N31" s="104">
        <v>4.8600000000000003</v>
      </c>
      <c r="O31" s="57">
        <v>7000</v>
      </c>
      <c r="P31" s="58">
        <f t="shared" si="0"/>
        <v>34020</v>
      </c>
    </row>
    <row r="32" spans="1:16" ht="26.25" customHeight="1" x14ac:dyDescent="0.2">
      <c r="A32" s="100"/>
      <c r="B32" s="100"/>
      <c r="C32" s="65" t="s">
        <v>4464</v>
      </c>
      <c r="D32" s="70" t="s">
        <v>57</v>
      </c>
      <c r="E32" s="12">
        <v>44553</v>
      </c>
      <c r="F32" s="68" t="s">
        <v>59</v>
      </c>
      <c r="G32" s="12">
        <v>44558</v>
      </c>
      <c r="H32" s="69" t="s">
        <v>4156</v>
      </c>
      <c r="I32" s="15">
        <v>20</v>
      </c>
      <c r="J32" s="15">
        <v>12</v>
      </c>
      <c r="K32" s="15">
        <v>5</v>
      </c>
      <c r="L32" s="15">
        <v>1</v>
      </c>
      <c r="M32" s="73">
        <v>0.3</v>
      </c>
      <c r="N32" s="104">
        <v>2</v>
      </c>
      <c r="O32" s="57">
        <v>7000</v>
      </c>
      <c r="P32" s="58">
        <f t="shared" si="0"/>
        <v>14000</v>
      </c>
    </row>
    <row r="33" spans="1:16" ht="26.25" customHeight="1" x14ac:dyDescent="0.2">
      <c r="A33" s="100"/>
      <c r="B33" s="100"/>
      <c r="C33" s="65" t="s">
        <v>4465</v>
      </c>
      <c r="D33" s="70" t="s">
        <v>57</v>
      </c>
      <c r="E33" s="12">
        <v>44553</v>
      </c>
      <c r="F33" s="68" t="s">
        <v>59</v>
      </c>
      <c r="G33" s="12">
        <v>44558</v>
      </c>
      <c r="H33" s="69" t="s">
        <v>4156</v>
      </c>
      <c r="I33" s="15">
        <v>32</v>
      </c>
      <c r="J33" s="15">
        <v>20</v>
      </c>
      <c r="K33" s="15">
        <v>9</v>
      </c>
      <c r="L33" s="15">
        <v>1</v>
      </c>
      <c r="M33" s="73">
        <v>1.44</v>
      </c>
      <c r="N33" s="104">
        <v>2</v>
      </c>
      <c r="O33" s="57">
        <v>7000</v>
      </c>
      <c r="P33" s="58">
        <f t="shared" si="0"/>
        <v>14000</v>
      </c>
    </row>
    <row r="34" spans="1:16" ht="26.25" customHeight="1" x14ac:dyDescent="0.2">
      <c r="A34" s="100"/>
      <c r="B34" s="100"/>
      <c r="C34" s="65" t="s">
        <v>4466</v>
      </c>
      <c r="D34" s="70" t="s">
        <v>57</v>
      </c>
      <c r="E34" s="12">
        <v>44553</v>
      </c>
      <c r="F34" s="68" t="s">
        <v>59</v>
      </c>
      <c r="G34" s="12">
        <v>44558</v>
      </c>
      <c r="H34" s="69" t="s">
        <v>4156</v>
      </c>
      <c r="I34" s="15">
        <v>60</v>
      </c>
      <c r="J34" s="15">
        <v>43</v>
      </c>
      <c r="K34" s="15">
        <v>18</v>
      </c>
      <c r="L34" s="15">
        <v>3</v>
      </c>
      <c r="M34" s="73">
        <v>11.61</v>
      </c>
      <c r="N34" s="104">
        <v>11.61</v>
      </c>
      <c r="O34" s="57">
        <v>7000</v>
      </c>
      <c r="P34" s="58">
        <f t="shared" si="0"/>
        <v>81270</v>
      </c>
    </row>
    <row r="35" spans="1:16" ht="26.25" customHeight="1" x14ac:dyDescent="0.2">
      <c r="A35" s="100"/>
      <c r="B35" s="100"/>
      <c r="C35" s="65" t="s">
        <v>4467</v>
      </c>
      <c r="D35" s="70" t="s">
        <v>57</v>
      </c>
      <c r="E35" s="12">
        <v>44553</v>
      </c>
      <c r="F35" s="68" t="s">
        <v>59</v>
      </c>
      <c r="G35" s="12">
        <v>44558</v>
      </c>
      <c r="H35" s="69" t="s">
        <v>4156</v>
      </c>
      <c r="I35" s="15">
        <v>96</v>
      </c>
      <c r="J35" s="15">
        <v>31</v>
      </c>
      <c r="K35" s="15">
        <v>16</v>
      </c>
      <c r="L35" s="15">
        <v>16</v>
      </c>
      <c r="M35" s="73">
        <v>11.904</v>
      </c>
      <c r="N35" s="104">
        <v>16</v>
      </c>
      <c r="O35" s="57">
        <v>7000</v>
      </c>
      <c r="P35" s="58">
        <f t="shared" si="0"/>
        <v>112000</v>
      </c>
    </row>
    <row r="36" spans="1:16" ht="26.25" customHeight="1" x14ac:dyDescent="0.2">
      <c r="A36" s="100"/>
      <c r="B36" s="100"/>
      <c r="C36" s="65" t="s">
        <v>4468</v>
      </c>
      <c r="D36" s="70" t="s">
        <v>57</v>
      </c>
      <c r="E36" s="12">
        <v>44553</v>
      </c>
      <c r="F36" s="68" t="s">
        <v>59</v>
      </c>
      <c r="G36" s="12">
        <v>44558</v>
      </c>
      <c r="H36" s="69" t="s">
        <v>4156</v>
      </c>
      <c r="I36" s="15">
        <v>63</v>
      </c>
      <c r="J36" s="15">
        <v>50</v>
      </c>
      <c r="K36" s="15">
        <v>24</v>
      </c>
      <c r="L36" s="15">
        <v>14</v>
      </c>
      <c r="M36" s="73">
        <v>18.899999999999999</v>
      </c>
      <c r="N36" s="104">
        <v>18.899999999999999</v>
      </c>
      <c r="O36" s="57">
        <v>7000</v>
      </c>
      <c r="P36" s="58">
        <f t="shared" si="0"/>
        <v>132300</v>
      </c>
    </row>
    <row r="37" spans="1:16" ht="26.25" customHeight="1" x14ac:dyDescent="0.2">
      <c r="A37" s="100"/>
      <c r="B37" s="101"/>
      <c r="C37" s="65" t="s">
        <v>4469</v>
      </c>
      <c r="D37" s="70" t="s">
        <v>57</v>
      </c>
      <c r="E37" s="12">
        <v>44553</v>
      </c>
      <c r="F37" s="68" t="s">
        <v>59</v>
      </c>
      <c r="G37" s="12">
        <v>44558</v>
      </c>
      <c r="H37" s="69" t="s">
        <v>4156</v>
      </c>
      <c r="I37" s="15">
        <v>70</v>
      </c>
      <c r="J37" s="15">
        <v>53</v>
      </c>
      <c r="K37" s="15">
        <v>18</v>
      </c>
      <c r="L37" s="15">
        <v>19</v>
      </c>
      <c r="M37" s="73">
        <v>16.695</v>
      </c>
      <c r="N37" s="104">
        <v>19</v>
      </c>
      <c r="O37" s="57">
        <v>7000</v>
      </c>
      <c r="P37" s="58">
        <f t="shared" si="0"/>
        <v>133000</v>
      </c>
    </row>
    <row r="38" spans="1:16" ht="26.25" customHeight="1" x14ac:dyDescent="0.2">
      <c r="A38" s="100"/>
      <c r="B38" s="100" t="s">
        <v>4470</v>
      </c>
      <c r="C38" s="65" t="s">
        <v>4471</v>
      </c>
      <c r="D38" s="70" t="s">
        <v>57</v>
      </c>
      <c r="E38" s="12">
        <v>44553</v>
      </c>
      <c r="F38" s="68" t="s">
        <v>59</v>
      </c>
      <c r="G38" s="12">
        <v>44558</v>
      </c>
      <c r="H38" s="69" t="s">
        <v>4156</v>
      </c>
      <c r="I38" s="15">
        <v>75</v>
      </c>
      <c r="J38" s="15">
        <v>42</v>
      </c>
      <c r="K38" s="15">
        <v>20</v>
      </c>
      <c r="L38" s="15">
        <v>7</v>
      </c>
      <c r="M38" s="73">
        <v>15.75</v>
      </c>
      <c r="N38" s="104">
        <v>15.75</v>
      </c>
      <c r="O38" s="57">
        <v>7000</v>
      </c>
      <c r="P38" s="58">
        <f t="shared" si="0"/>
        <v>110250</v>
      </c>
    </row>
    <row r="39" spans="1:16" ht="22.5" customHeight="1" x14ac:dyDescent="0.2">
      <c r="A39" s="159" t="s">
        <v>30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1"/>
      <c r="M39" s="71">
        <f>SUBTOTAL(109,Table22457891011234567891011121314151617181920212223242526272829303132333435373839404142434445464748495051525354555657585960616263646566676869707172[KG VOLUME])</f>
        <v>788.44400000000019</v>
      </c>
      <c r="N39" s="61">
        <f>SUM(N3:N38)</f>
        <v>802.97350000000006</v>
      </c>
      <c r="O39" s="162">
        <f>SUM(P3:P38)</f>
        <v>5620814.5</v>
      </c>
      <c r="P39" s="163"/>
    </row>
    <row r="40" spans="1:16" ht="18" customHeight="1" x14ac:dyDescent="0.2">
      <c r="A40" s="78"/>
      <c r="B40" s="49" t="s">
        <v>42</v>
      </c>
      <c r="C40" s="48"/>
      <c r="D40" s="50" t="s">
        <v>43</v>
      </c>
      <c r="E40" s="78"/>
      <c r="F40" s="78"/>
      <c r="G40" s="78"/>
      <c r="H40" s="78"/>
      <c r="I40" s="78"/>
      <c r="J40" s="78"/>
      <c r="K40" s="78"/>
      <c r="L40" s="78"/>
      <c r="M40" s="79"/>
      <c r="N40" s="80" t="s">
        <v>52</v>
      </c>
      <c r="O40" s="81"/>
      <c r="P40" s="81">
        <v>0</v>
      </c>
    </row>
    <row r="41" spans="1:16" ht="18" customHeight="1" thickBot="1" x14ac:dyDescent="0.25">
      <c r="A41" s="78"/>
      <c r="B41" s="49"/>
      <c r="C41" s="48"/>
      <c r="D41" s="50"/>
      <c r="E41" s="78"/>
      <c r="F41" s="78"/>
      <c r="G41" s="78"/>
      <c r="H41" s="78"/>
      <c r="I41" s="78"/>
      <c r="J41" s="78"/>
      <c r="K41" s="78"/>
      <c r="L41" s="78"/>
      <c r="M41" s="79"/>
      <c r="N41" s="82" t="s">
        <v>53</v>
      </c>
      <c r="O41" s="83"/>
      <c r="P41" s="83">
        <f>O39-P40</f>
        <v>5620814.5</v>
      </c>
    </row>
    <row r="42" spans="1:16" ht="18" customHeight="1" x14ac:dyDescent="0.2">
      <c r="A42" s="10"/>
      <c r="H42" s="56"/>
      <c r="N42" s="55" t="s">
        <v>31</v>
      </c>
      <c r="P42" s="62">
        <f>P41*1%</f>
        <v>56208.145000000004</v>
      </c>
    </row>
    <row r="43" spans="1:16" ht="18" customHeight="1" thickBot="1" x14ac:dyDescent="0.25">
      <c r="A43" s="10"/>
      <c r="H43" s="56"/>
      <c r="N43" s="55" t="s">
        <v>54</v>
      </c>
      <c r="P43" s="64">
        <f>P41*2%</f>
        <v>112416.29000000001</v>
      </c>
    </row>
    <row r="44" spans="1:16" ht="18" customHeight="1" x14ac:dyDescent="0.2">
      <c r="A44" s="10"/>
      <c r="H44" s="56"/>
      <c r="N44" s="59" t="s">
        <v>32</v>
      </c>
      <c r="O44" s="60"/>
      <c r="P44" s="63">
        <f>P41+P42-P43</f>
        <v>5564606.3549999995</v>
      </c>
    </row>
    <row r="46" spans="1:16" x14ac:dyDescent="0.2">
      <c r="A46" s="10"/>
      <c r="H46" s="56"/>
      <c r="P46" s="64"/>
    </row>
    <row r="47" spans="1:16" x14ac:dyDescent="0.2">
      <c r="A47" s="10"/>
      <c r="H47" s="56"/>
      <c r="O47" s="51"/>
      <c r="P47" s="6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</sheetData>
  <mergeCells count="2">
    <mergeCell ref="A39:L39"/>
    <mergeCell ref="O39:P39"/>
  </mergeCells>
  <conditionalFormatting sqref="C3:C38">
    <cfRule type="duplicateValues" dxfId="463" priority="10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6"/>
  <sheetViews>
    <sheetView topLeftCell="A16" workbookViewId="0">
      <selection activeCell="N35" sqref="N3:N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403927</v>
      </c>
      <c r="B3" s="99" t="s">
        <v>4472</v>
      </c>
      <c r="C3" s="90" t="s">
        <v>4473</v>
      </c>
      <c r="D3" s="102" t="s">
        <v>57</v>
      </c>
      <c r="E3" s="91">
        <v>44553</v>
      </c>
      <c r="F3" s="102" t="s">
        <v>59</v>
      </c>
      <c r="G3" s="91">
        <v>44558</v>
      </c>
      <c r="H3" s="90" t="s">
        <v>4156</v>
      </c>
      <c r="I3" s="90">
        <v>68</v>
      </c>
      <c r="J3" s="90">
        <v>25</v>
      </c>
      <c r="K3" s="90">
        <v>18</v>
      </c>
      <c r="L3" s="90">
        <v>6</v>
      </c>
      <c r="M3" s="90">
        <v>7.65</v>
      </c>
      <c r="N3" s="104">
        <v>7.65</v>
      </c>
      <c r="O3" s="57">
        <v>7000</v>
      </c>
      <c r="P3" s="58">
        <f t="shared" ref="P3:P35" si="0">N3*O3</f>
        <v>53550</v>
      </c>
    </row>
    <row r="4" spans="1:16" ht="26.25" customHeight="1" x14ac:dyDescent="0.2">
      <c r="A4" s="100"/>
      <c r="B4" s="100"/>
      <c r="C4" s="90" t="s">
        <v>4474</v>
      </c>
      <c r="D4" s="102" t="s">
        <v>57</v>
      </c>
      <c r="E4" s="91">
        <v>44553</v>
      </c>
      <c r="F4" s="102" t="s">
        <v>59</v>
      </c>
      <c r="G4" s="91">
        <v>44558</v>
      </c>
      <c r="H4" s="90" t="s">
        <v>4156</v>
      </c>
      <c r="I4" s="90">
        <v>60</v>
      </c>
      <c r="J4" s="90">
        <v>44</v>
      </c>
      <c r="K4" s="90">
        <v>22</v>
      </c>
      <c r="L4" s="90">
        <v>13</v>
      </c>
      <c r="M4" s="90">
        <v>14.52</v>
      </c>
      <c r="N4" s="104">
        <v>14.52</v>
      </c>
      <c r="O4" s="57">
        <v>7000</v>
      </c>
      <c r="P4" s="58">
        <f t="shared" si="0"/>
        <v>101640</v>
      </c>
    </row>
    <row r="5" spans="1:16" ht="26.25" customHeight="1" x14ac:dyDescent="0.2">
      <c r="A5" s="100"/>
      <c r="B5" s="100"/>
      <c r="C5" s="90" t="s">
        <v>4475</v>
      </c>
      <c r="D5" s="102" t="s">
        <v>57</v>
      </c>
      <c r="E5" s="91">
        <v>44553</v>
      </c>
      <c r="F5" s="102" t="s">
        <v>59</v>
      </c>
      <c r="G5" s="91">
        <v>44558</v>
      </c>
      <c r="H5" s="90" t="s">
        <v>4156</v>
      </c>
      <c r="I5" s="90">
        <v>48</v>
      </c>
      <c r="J5" s="90">
        <v>38</v>
      </c>
      <c r="K5" s="90">
        <v>37</v>
      </c>
      <c r="L5" s="90">
        <v>9</v>
      </c>
      <c r="M5" s="90">
        <v>16.872</v>
      </c>
      <c r="N5" s="104">
        <v>16.872</v>
      </c>
      <c r="O5" s="57">
        <v>7000</v>
      </c>
      <c r="P5" s="58">
        <f t="shared" si="0"/>
        <v>118104</v>
      </c>
    </row>
    <row r="6" spans="1:16" ht="26.25" customHeight="1" x14ac:dyDescent="0.2">
      <c r="A6" s="100"/>
      <c r="B6" s="100"/>
      <c r="C6" s="90" t="s">
        <v>4476</v>
      </c>
      <c r="D6" s="102" t="s">
        <v>57</v>
      </c>
      <c r="E6" s="91">
        <v>44553</v>
      </c>
      <c r="F6" s="102" t="s">
        <v>59</v>
      </c>
      <c r="G6" s="91">
        <v>44558</v>
      </c>
      <c r="H6" s="90" t="s">
        <v>4156</v>
      </c>
      <c r="I6" s="90">
        <v>105</v>
      </c>
      <c r="J6" s="90">
        <v>16</v>
      </c>
      <c r="K6" s="90">
        <v>16</v>
      </c>
      <c r="L6" s="90">
        <v>7</v>
      </c>
      <c r="M6" s="90">
        <v>6.72</v>
      </c>
      <c r="N6" s="104">
        <v>7</v>
      </c>
      <c r="O6" s="57">
        <v>7000</v>
      </c>
      <c r="P6" s="58">
        <f t="shared" si="0"/>
        <v>49000</v>
      </c>
    </row>
    <row r="7" spans="1:16" ht="26.25" customHeight="1" x14ac:dyDescent="0.2">
      <c r="A7" s="100"/>
      <c r="B7" s="100"/>
      <c r="C7" s="65" t="s">
        <v>4477</v>
      </c>
      <c r="D7" s="70" t="s">
        <v>57</v>
      </c>
      <c r="E7" s="12">
        <v>44553</v>
      </c>
      <c r="F7" s="68" t="s">
        <v>59</v>
      </c>
      <c r="G7" s="12">
        <v>44558</v>
      </c>
      <c r="H7" s="69" t="s">
        <v>4156</v>
      </c>
      <c r="I7" s="15">
        <v>80</v>
      </c>
      <c r="J7" s="15">
        <v>62</v>
      </c>
      <c r="K7" s="15">
        <v>20</v>
      </c>
      <c r="L7" s="15">
        <v>9</v>
      </c>
      <c r="M7" s="73">
        <v>24.8</v>
      </c>
      <c r="N7" s="104">
        <v>24.8</v>
      </c>
      <c r="O7" s="57">
        <v>7000</v>
      </c>
      <c r="P7" s="58">
        <f t="shared" si="0"/>
        <v>173600</v>
      </c>
    </row>
    <row r="8" spans="1:16" ht="26.25" customHeight="1" x14ac:dyDescent="0.2">
      <c r="A8" s="100"/>
      <c r="B8" s="100"/>
      <c r="C8" s="65" t="s">
        <v>4478</v>
      </c>
      <c r="D8" s="70" t="s">
        <v>57</v>
      </c>
      <c r="E8" s="12">
        <v>44553</v>
      </c>
      <c r="F8" s="68" t="s">
        <v>59</v>
      </c>
      <c r="G8" s="12">
        <v>44558</v>
      </c>
      <c r="H8" s="69" t="s">
        <v>4156</v>
      </c>
      <c r="I8" s="15">
        <v>64</v>
      </c>
      <c r="J8" s="15">
        <v>57</v>
      </c>
      <c r="K8" s="15">
        <v>15</v>
      </c>
      <c r="L8" s="15">
        <v>5</v>
      </c>
      <c r="M8" s="73">
        <v>13.68</v>
      </c>
      <c r="N8" s="104">
        <v>13.68</v>
      </c>
      <c r="O8" s="57">
        <v>7000</v>
      </c>
      <c r="P8" s="58">
        <f t="shared" si="0"/>
        <v>95760</v>
      </c>
    </row>
    <row r="9" spans="1:16" ht="26.25" customHeight="1" x14ac:dyDescent="0.2">
      <c r="A9" s="100"/>
      <c r="B9" s="100"/>
      <c r="C9" s="65" t="s">
        <v>4479</v>
      </c>
      <c r="D9" s="70" t="s">
        <v>57</v>
      </c>
      <c r="E9" s="12">
        <v>44553</v>
      </c>
      <c r="F9" s="68" t="s">
        <v>59</v>
      </c>
      <c r="G9" s="12">
        <v>44558</v>
      </c>
      <c r="H9" s="69" t="s">
        <v>4156</v>
      </c>
      <c r="I9" s="15">
        <v>50</v>
      </c>
      <c r="J9" s="15">
        <v>40</v>
      </c>
      <c r="K9" s="15">
        <v>25</v>
      </c>
      <c r="L9" s="15">
        <v>13</v>
      </c>
      <c r="M9" s="73">
        <v>12.5</v>
      </c>
      <c r="N9" s="104">
        <v>14</v>
      </c>
      <c r="O9" s="57">
        <v>7000</v>
      </c>
      <c r="P9" s="58">
        <f t="shared" si="0"/>
        <v>98000</v>
      </c>
    </row>
    <row r="10" spans="1:16" ht="26.25" customHeight="1" x14ac:dyDescent="0.2">
      <c r="A10" s="100"/>
      <c r="B10" s="100"/>
      <c r="C10" s="65" t="s">
        <v>4480</v>
      </c>
      <c r="D10" s="70" t="s">
        <v>57</v>
      </c>
      <c r="E10" s="12">
        <v>44553</v>
      </c>
      <c r="F10" s="68" t="s">
        <v>59</v>
      </c>
      <c r="G10" s="12">
        <v>44558</v>
      </c>
      <c r="H10" s="69" t="s">
        <v>4156</v>
      </c>
      <c r="I10" s="15">
        <v>75</v>
      </c>
      <c r="J10" s="15">
        <v>54</v>
      </c>
      <c r="K10" s="15">
        <v>5</v>
      </c>
      <c r="L10" s="15">
        <v>1</v>
      </c>
      <c r="M10" s="73">
        <v>5.0625</v>
      </c>
      <c r="N10" s="104">
        <v>5.0625</v>
      </c>
      <c r="O10" s="57">
        <v>7000</v>
      </c>
      <c r="P10" s="58">
        <f t="shared" si="0"/>
        <v>35437.5</v>
      </c>
    </row>
    <row r="11" spans="1:16" ht="26.25" customHeight="1" x14ac:dyDescent="0.2">
      <c r="A11" s="100"/>
      <c r="B11" s="100"/>
      <c r="C11" s="65" t="s">
        <v>4481</v>
      </c>
      <c r="D11" s="70" t="s">
        <v>57</v>
      </c>
      <c r="E11" s="12">
        <v>44553</v>
      </c>
      <c r="F11" s="68" t="s">
        <v>59</v>
      </c>
      <c r="G11" s="12">
        <v>44558</v>
      </c>
      <c r="H11" s="69" t="s">
        <v>4156</v>
      </c>
      <c r="I11" s="15">
        <v>105</v>
      </c>
      <c r="J11" s="15">
        <v>54</v>
      </c>
      <c r="K11" s="15">
        <v>36</v>
      </c>
      <c r="L11" s="15">
        <v>19</v>
      </c>
      <c r="M11" s="73">
        <v>51.03</v>
      </c>
      <c r="N11" s="104">
        <v>51.03</v>
      </c>
      <c r="O11" s="57">
        <v>7000</v>
      </c>
      <c r="P11" s="58">
        <f t="shared" si="0"/>
        <v>357210</v>
      </c>
    </row>
    <row r="12" spans="1:16" ht="26.25" customHeight="1" x14ac:dyDescent="0.2">
      <c r="A12" s="100"/>
      <c r="B12" s="100"/>
      <c r="C12" s="65" t="s">
        <v>4482</v>
      </c>
      <c r="D12" s="70" t="s">
        <v>57</v>
      </c>
      <c r="E12" s="12">
        <v>44553</v>
      </c>
      <c r="F12" s="68" t="s">
        <v>59</v>
      </c>
      <c r="G12" s="12">
        <v>44558</v>
      </c>
      <c r="H12" s="69" t="s">
        <v>4156</v>
      </c>
      <c r="I12" s="15">
        <v>28</v>
      </c>
      <c r="J12" s="15">
        <v>38</v>
      </c>
      <c r="K12" s="15">
        <v>14</v>
      </c>
      <c r="L12" s="15">
        <v>2</v>
      </c>
      <c r="M12" s="73">
        <v>3.7240000000000002</v>
      </c>
      <c r="N12" s="104">
        <v>3.7240000000000002</v>
      </c>
      <c r="O12" s="57">
        <v>7000</v>
      </c>
      <c r="P12" s="58">
        <f t="shared" si="0"/>
        <v>26068</v>
      </c>
    </row>
    <row r="13" spans="1:16" ht="26.25" customHeight="1" x14ac:dyDescent="0.2">
      <c r="A13" s="100"/>
      <c r="B13" s="100"/>
      <c r="C13" s="135" t="s">
        <v>4483</v>
      </c>
      <c r="D13" s="136" t="s">
        <v>57</v>
      </c>
      <c r="E13" s="137">
        <v>44553</v>
      </c>
      <c r="F13" s="138" t="s">
        <v>59</v>
      </c>
      <c r="G13" s="137">
        <v>44558</v>
      </c>
      <c r="H13" s="139" t="s">
        <v>4156</v>
      </c>
      <c r="I13" s="140">
        <v>57</v>
      </c>
      <c r="J13" s="140">
        <v>39</v>
      </c>
      <c r="K13" s="140">
        <v>15</v>
      </c>
      <c r="L13" s="140">
        <v>3</v>
      </c>
      <c r="M13" s="141">
        <v>8.3362499999999997</v>
      </c>
      <c r="N13" s="142">
        <v>9</v>
      </c>
      <c r="O13" s="57">
        <v>7000</v>
      </c>
      <c r="P13" s="58">
        <f t="shared" si="0"/>
        <v>63000</v>
      </c>
    </row>
    <row r="14" spans="1:16" ht="26.25" customHeight="1" x14ac:dyDescent="0.2">
      <c r="A14" s="100"/>
      <c r="B14" s="100"/>
      <c r="C14" s="135" t="s">
        <v>4484</v>
      </c>
      <c r="D14" s="136" t="s">
        <v>57</v>
      </c>
      <c r="E14" s="137">
        <v>44553</v>
      </c>
      <c r="F14" s="138" t="s">
        <v>59</v>
      </c>
      <c r="G14" s="137">
        <v>44558</v>
      </c>
      <c r="H14" s="139" t="s">
        <v>4156</v>
      </c>
      <c r="I14" s="140">
        <v>64</v>
      </c>
      <c r="J14" s="140">
        <v>54</v>
      </c>
      <c r="K14" s="140">
        <v>24</v>
      </c>
      <c r="L14" s="140">
        <v>5</v>
      </c>
      <c r="M14" s="141">
        <v>20.736000000000001</v>
      </c>
      <c r="N14" s="142">
        <v>20.736000000000001</v>
      </c>
      <c r="O14" s="57">
        <v>7000</v>
      </c>
      <c r="P14" s="58">
        <f t="shared" si="0"/>
        <v>145152</v>
      </c>
    </row>
    <row r="15" spans="1:16" ht="26.25" customHeight="1" x14ac:dyDescent="0.2">
      <c r="A15" s="100"/>
      <c r="B15" s="100"/>
      <c r="C15" s="135" t="s">
        <v>4485</v>
      </c>
      <c r="D15" s="136" t="s">
        <v>57</v>
      </c>
      <c r="E15" s="137">
        <v>44553</v>
      </c>
      <c r="F15" s="138" t="s">
        <v>59</v>
      </c>
      <c r="G15" s="137">
        <v>44558</v>
      </c>
      <c r="H15" s="139" t="s">
        <v>4156</v>
      </c>
      <c r="I15" s="140">
        <v>135</v>
      </c>
      <c r="J15" s="140">
        <v>30</v>
      </c>
      <c r="K15" s="140">
        <v>5</v>
      </c>
      <c r="L15" s="140">
        <v>2</v>
      </c>
      <c r="M15" s="141">
        <v>5.0625</v>
      </c>
      <c r="N15" s="142">
        <v>5.0625</v>
      </c>
      <c r="O15" s="57">
        <v>7000</v>
      </c>
      <c r="P15" s="58">
        <f t="shared" si="0"/>
        <v>35437.5</v>
      </c>
    </row>
    <row r="16" spans="1:16" ht="26.25" customHeight="1" x14ac:dyDescent="0.2">
      <c r="A16" s="100"/>
      <c r="B16" s="100"/>
      <c r="C16" s="135" t="s">
        <v>4486</v>
      </c>
      <c r="D16" s="136" t="s">
        <v>57</v>
      </c>
      <c r="E16" s="137">
        <v>44553</v>
      </c>
      <c r="F16" s="138" t="s">
        <v>59</v>
      </c>
      <c r="G16" s="137">
        <v>44558</v>
      </c>
      <c r="H16" s="139" t="s">
        <v>4156</v>
      </c>
      <c r="I16" s="140">
        <v>44</v>
      </c>
      <c r="J16" s="140">
        <v>47</v>
      </c>
      <c r="K16" s="140">
        <v>12</v>
      </c>
      <c r="L16" s="140">
        <v>2</v>
      </c>
      <c r="M16" s="141">
        <v>6.2039999999999997</v>
      </c>
      <c r="N16" s="142">
        <v>6.2039999999999997</v>
      </c>
      <c r="O16" s="57">
        <v>7000</v>
      </c>
      <c r="P16" s="58">
        <f t="shared" si="0"/>
        <v>43428</v>
      </c>
    </row>
    <row r="17" spans="1:16" ht="26.25" customHeight="1" x14ac:dyDescent="0.2">
      <c r="A17" s="100"/>
      <c r="B17" s="100"/>
      <c r="C17" s="135" t="s">
        <v>4487</v>
      </c>
      <c r="D17" s="136" t="s">
        <v>57</v>
      </c>
      <c r="E17" s="137">
        <v>44553</v>
      </c>
      <c r="F17" s="138" t="s">
        <v>59</v>
      </c>
      <c r="G17" s="137">
        <v>44558</v>
      </c>
      <c r="H17" s="139" t="s">
        <v>4156</v>
      </c>
      <c r="I17" s="140">
        <v>15</v>
      </c>
      <c r="J17" s="140">
        <v>20</v>
      </c>
      <c r="K17" s="140">
        <v>5</v>
      </c>
      <c r="L17" s="140">
        <v>1</v>
      </c>
      <c r="M17" s="141">
        <v>0.375</v>
      </c>
      <c r="N17" s="142">
        <v>2</v>
      </c>
      <c r="O17" s="57">
        <v>7000</v>
      </c>
      <c r="P17" s="58">
        <f t="shared" si="0"/>
        <v>14000</v>
      </c>
    </row>
    <row r="18" spans="1:16" ht="26.25" customHeight="1" x14ac:dyDescent="0.2">
      <c r="A18" s="100"/>
      <c r="B18" s="100"/>
      <c r="C18" s="135" t="s">
        <v>4488</v>
      </c>
      <c r="D18" s="136" t="s">
        <v>57</v>
      </c>
      <c r="E18" s="137">
        <v>44553</v>
      </c>
      <c r="F18" s="138" t="s">
        <v>59</v>
      </c>
      <c r="G18" s="137">
        <v>44558</v>
      </c>
      <c r="H18" s="139" t="s">
        <v>4156</v>
      </c>
      <c r="I18" s="140">
        <v>20</v>
      </c>
      <c r="J18" s="140">
        <v>18</v>
      </c>
      <c r="K18" s="140">
        <v>5</v>
      </c>
      <c r="L18" s="140">
        <v>1</v>
      </c>
      <c r="M18" s="141">
        <v>0.45</v>
      </c>
      <c r="N18" s="142">
        <v>2</v>
      </c>
      <c r="O18" s="57">
        <v>7000</v>
      </c>
      <c r="P18" s="58">
        <f t="shared" si="0"/>
        <v>14000</v>
      </c>
    </row>
    <row r="19" spans="1:16" ht="26.25" customHeight="1" x14ac:dyDescent="0.2">
      <c r="A19" s="100"/>
      <c r="B19" s="100"/>
      <c r="C19" s="135" t="s">
        <v>4489</v>
      </c>
      <c r="D19" s="136" t="s">
        <v>57</v>
      </c>
      <c r="E19" s="137">
        <v>44553</v>
      </c>
      <c r="F19" s="138" t="s">
        <v>59</v>
      </c>
      <c r="G19" s="137">
        <v>44558</v>
      </c>
      <c r="H19" s="139" t="s">
        <v>4156</v>
      </c>
      <c r="I19" s="140">
        <v>100</v>
      </c>
      <c r="J19" s="140">
        <v>67</v>
      </c>
      <c r="K19" s="140">
        <v>25</v>
      </c>
      <c r="L19" s="140">
        <v>13</v>
      </c>
      <c r="M19" s="141">
        <v>41.875</v>
      </c>
      <c r="N19" s="142">
        <v>41.875</v>
      </c>
      <c r="O19" s="57">
        <v>7000</v>
      </c>
      <c r="P19" s="58">
        <f t="shared" si="0"/>
        <v>293125</v>
      </c>
    </row>
    <row r="20" spans="1:16" ht="26.25" customHeight="1" x14ac:dyDescent="0.2">
      <c r="A20" s="100"/>
      <c r="B20" s="100"/>
      <c r="C20" s="135" t="s">
        <v>4490</v>
      </c>
      <c r="D20" s="136" t="s">
        <v>57</v>
      </c>
      <c r="E20" s="137">
        <v>44553</v>
      </c>
      <c r="F20" s="138" t="s">
        <v>59</v>
      </c>
      <c r="G20" s="137">
        <v>44558</v>
      </c>
      <c r="H20" s="139" t="s">
        <v>4156</v>
      </c>
      <c r="I20" s="140">
        <v>91</v>
      </c>
      <c r="J20" s="140">
        <v>55</v>
      </c>
      <c r="K20" s="140">
        <v>21</v>
      </c>
      <c r="L20" s="140">
        <v>16</v>
      </c>
      <c r="M20" s="141">
        <v>26.276250000000001</v>
      </c>
      <c r="N20" s="142">
        <v>26.276250000000001</v>
      </c>
      <c r="O20" s="57">
        <v>7000</v>
      </c>
      <c r="P20" s="58">
        <f t="shared" si="0"/>
        <v>183933.75</v>
      </c>
    </row>
    <row r="21" spans="1:16" ht="26.25" customHeight="1" x14ac:dyDescent="0.2">
      <c r="A21" s="100"/>
      <c r="B21" s="100"/>
      <c r="C21" s="135" t="s">
        <v>4491</v>
      </c>
      <c r="D21" s="136" t="s">
        <v>57</v>
      </c>
      <c r="E21" s="137">
        <v>44553</v>
      </c>
      <c r="F21" s="138" t="s">
        <v>59</v>
      </c>
      <c r="G21" s="137">
        <v>44558</v>
      </c>
      <c r="H21" s="139" t="s">
        <v>4156</v>
      </c>
      <c r="I21" s="140">
        <v>103</v>
      </c>
      <c r="J21" s="140">
        <v>45</v>
      </c>
      <c r="K21" s="140">
        <v>35</v>
      </c>
      <c r="L21" s="140">
        <v>14</v>
      </c>
      <c r="M21" s="141">
        <v>40.556249999999999</v>
      </c>
      <c r="N21" s="142">
        <v>40.556249999999999</v>
      </c>
      <c r="O21" s="57">
        <v>7000</v>
      </c>
      <c r="P21" s="58">
        <f t="shared" si="0"/>
        <v>283893.75</v>
      </c>
    </row>
    <row r="22" spans="1:16" ht="26.25" customHeight="1" x14ac:dyDescent="0.2">
      <c r="A22" s="100"/>
      <c r="B22" s="100"/>
      <c r="C22" s="135" t="s">
        <v>4492</v>
      </c>
      <c r="D22" s="136" t="s">
        <v>57</v>
      </c>
      <c r="E22" s="137">
        <v>44553</v>
      </c>
      <c r="F22" s="138" t="s">
        <v>59</v>
      </c>
      <c r="G22" s="137">
        <v>44558</v>
      </c>
      <c r="H22" s="139" t="s">
        <v>4156</v>
      </c>
      <c r="I22" s="140">
        <v>55</v>
      </c>
      <c r="J22" s="140">
        <v>40</v>
      </c>
      <c r="K22" s="140">
        <v>22</v>
      </c>
      <c r="L22" s="140">
        <v>3</v>
      </c>
      <c r="M22" s="141">
        <v>12.1</v>
      </c>
      <c r="N22" s="142">
        <v>12.1</v>
      </c>
      <c r="O22" s="57">
        <v>7000</v>
      </c>
      <c r="P22" s="58">
        <f t="shared" si="0"/>
        <v>84700</v>
      </c>
    </row>
    <row r="23" spans="1:16" ht="26.25" customHeight="1" x14ac:dyDescent="0.2">
      <c r="A23" s="100"/>
      <c r="B23" s="100"/>
      <c r="C23" s="135" t="s">
        <v>4493</v>
      </c>
      <c r="D23" s="136" t="s">
        <v>57</v>
      </c>
      <c r="E23" s="137">
        <v>44553</v>
      </c>
      <c r="F23" s="138" t="s">
        <v>59</v>
      </c>
      <c r="G23" s="137">
        <v>44558</v>
      </c>
      <c r="H23" s="139" t="s">
        <v>4156</v>
      </c>
      <c r="I23" s="140">
        <v>87</v>
      </c>
      <c r="J23" s="140">
        <v>51</v>
      </c>
      <c r="K23" s="140">
        <v>20</v>
      </c>
      <c r="L23" s="140">
        <v>13</v>
      </c>
      <c r="M23" s="141">
        <v>22.184999999999999</v>
      </c>
      <c r="N23" s="142">
        <v>22.184999999999999</v>
      </c>
      <c r="O23" s="57">
        <v>7000</v>
      </c>
      <c r="P23" s="58">
        <f t="shared" si="0"/>
        <v>155295</v>
      </c>
    </row>
    <row r="24" spans="1:16" ht="26.25" customHeight="1" x14ac:dyDescent="0.2">
      <c r="A24" s="100"/>
      <c r="B24" s="100"/>
      <c r="C24" s="135" t="s">
        <v>4494</v>
      </c>
      <c r="D24" s="136" t="s">
        <v>57</v>
      </c>
      <c r="E24" s="137">
        <v>44553</v>
      </c>
      <c r="F24" s="138" t="s">
        <v>59</v>
      </c>
      <c r="G24" s="137">
        <v>44558</v>
      </c>
      <c r="H24" s="139" t="s">
        <v>4156</v>
      </c>
      <c r="I24" s="140">
        <v>38</v>
      </c>
      <c r="J24" s="140">
        <v>33</v>
      </c>
      <c r="K24" s="140">
        <v>36</v>
      </c>
      <c r="L24" s="140">
        <v>5</v>
      </c>
      <c r="M24" s="141">
        <v>11.286</v>
      </c>
      <c r="N24" s="142">
        <v>11.286</v>
      </c>
      <c r="O24" s="57">
        <v>7000</v>
      </c>
      <c r="P24" s="58">
        <f t="shared" si="0"/>
        <v>79002</v>
      </c>
    </row>
    <row r="25" spans="1:16" ht="26.25" customHeight="1" x14ac:dyDescent="0.2">
      <c r="A25" s="100"/>
      <c r="B25" s="100"/>
      <c r="C25" s="135" t="s">
        <v>4495</v>
      </c>
      <c r="D25" s="136" t="s">
        <v>57</v>
      </c>
      <c r="E25" s="137">
        <v>44553</v>
      </c>
      <c r="F25" s="138" t="s">
        <v>59</v>
      </c>
      <c r="G25" s="137">
        <v>44558</v>
      </c>
      <c r="H25" s="139" t="s">
        <v>4156</v>
      </c>
      <c r="I25" s="140">
        <v>25</v>
      </c>
      <c r="J25" s="140">
        <v>33</v>
      </c>
      <c r="K25" s="140">
        <v>23</v>
      </c>
      <c r="L25" s="140">
        <v>1</v>
      </c>
      <c r="M25" s="141">
        <v>4.7437500000000004</v>
      </c>
      <c r="N25" s="142">
        <v>4.7437500000000004</v>
      </c>
      <c r="O25" s="57">
        <v>7000</v>
      </c>
      <c r="P25" s="58">
        <f t="shared" si="0"/>
        <v>33206.25</v>
      </c>
    </row>
    <row r="26" spans="1:16" ht="26.25" customHeight="1" x14ac:dyDescent="0.2">
      <c r="A26" s="100"/>
      <c r="B26" s="100"/>
      <c r="C26" s="135" t="s">
        <v>4496</v>
      </c>
      <c r="D26" s="136" t="s">
        <v>57</v>
      </c>
      <c r="E26" s="137">
        <v>44553</v>
      </c>
      <c r="F26" s="138" t="s">
        <v>59</v>
      </c>
      <c r="G26" s="137">
        <v>44558</v>
      </c>
      <c r="H26" s="139" t="s">
        <v>4156</v>
      </c>
      <c r="I26" s="140">
        <v>76</v>
      </c>
      <c r="J26" s="140">
        <v>48</v>
      </c>
      <c r="K26" s="140">
        <v>17</v>
      </c>
      <c r="L26" s="140">
        <v>5</v>
      </c>
      <c r="M26" s="141">
        <v>15.504</v>
      </c>
      <c r="N26" s="142">
        <v>17</v>
      </c>
      <c r="O26" s="57">
        <v>7000</v>
      </c>
      <c r="P26" s="58">
        <f t="shared" si="0"/>
        <v>119000</v>
      </c>
    </row>
    <row r="27" spans="1:16" ht="26.25" customHeight="1" x14ac:dyDescent="0.2">
      <c r="A27" s="100"/>
      <c r="B27" s="100"/>
      <c r="C27" s="135" t="s">
        <v>4497</v>
      </c>
      <c r="D27" s="136" t="s">
        <v>57</v>
      </c>
      <c r="E27" s="137">
        <v>44553</v>
      </c>
      <c r="F27" s="138" t="s">
        <v>59</v>
      </c>
      <c r="G27" s="137">
        <v>44558</v>
      </c>
      <c r="H27" s="139" t="s">
        <v>4156</v>
      </c>
      <c r="I27" s="140">
        <v>44</v>
      </c>
      <c r="J27" s="140">
        <v>33</v>
      </c>
      <c r="K27" s="140">
        <v>16</v>
      </c>
      <c r="L27" s="140">
        <v>5</v>
      </c>
      <c r="M27" s="141">
        <v>5.8079999999999998</v>
      </c>
      <c r="N27" s="142">
        <v>5.8079999999999998</v>
      </c>
      <c r="O27" s="57">
        <v>7000</v>
      </c>
      <c r="P27" s="58">
        <f t="shared" si="0"/>
        <v>40656</v>
      </c>
    </row>
    <row r="28" spans="1:16" ht="26.25" customHeight="1" x14ac:dyDescent="0.2">
      <c r="A28" s="100"/>
      <c r="B28" s="100"/>
      <c r="C28" s="135" t="s">
        <v>4498</v>
      </c>
      <c r="D28" s="136" t="s">
        <v>57</v>
      </c>
      <c r="E28" s="137">
        <v>44553</v>
      </c>
      <c r="F28" s="138" t="s">
        <v>59</v>
      </c>
      <c r="G28" s="137">
        <v>44558</v>
      </c>
      <c r="H28" s="139" t="s">
        <v>4156</v>
      </c>
      <c r="I28" s="140">
        <v>52</v>
      </c>
      <c r="J28" s="140">
        <v>45</v>
      </c>
      <c r="K28" s="140">
        <v>30</v>
      </c>
      <c r="L28" s="140">
        <v>7</v>
      </c>
      <c r="M28" s="141">
        <v>17.55</v>
      </c>
      <c r="N28" s="142">
        <v>17.55</v>
      </c>
      <c r="O28" s="57">
        <v>7000</v>
      </c>
      <c r="P28" s="58">
        <f t="shared" si="0"/>
        <v>122850</v>
      </c>
    </row>
    <row r="29" spans="1:16" ht="26.25" customHeight="1" x14ac:dyDescent="0.2">
      <c r="A29" s="100"/>
      <c r="B29" s="100"/>
      <c r="C29" s="135" t="s">
        <v>4499</v>
      </c>
      <c r="D29" s="136" t="s">
        <v>57</v>
      </c>
      <c r="E29" s="137">
        <v>44553</v>
      </c>
      <c r="F29" s="138" t="s">
        <v>59</v>
      </c>
      <c r="G29" s="137">
        <v>44558</v>
      </c>
      <c r="H29" s="139" t="s">
        <v>4156</v>
      </c>
      <c r="I29" s="140">
        <v>22</v>
      </c>
      <c r="J29" s="140">
        <v>20</v>
      </c>
      <c r="K29" s="140">
        <v>20</v>
      </c>
      <c r="L29" s="140">
        <v>2</v>
      </c>
      <c r="M29" s="141">
        <v>2.2000000000000002</v>
      </c>
      <c r="N29" s="142">
        <v>2.2000000000000002</v>
      </c>
      <c r="O29" s="57">
        <v>7000</v>
      </c>
      <c r="P29" s="58">
        <f t="shared" si="0"/>
        <v>15400.000000000002</v>
      </c>
    </row>
    <row r="30" spans="1:16" ht="26.25" customHeight="1" x14ac:dyDescent="0.2">
      <c r="A30" s="100"/>
      <c r="B30" s="100"/>
      <c r="C30" s="135" t="s">
        <v>4500</v>
      </c>
      <c r="D30" s="136" t="s">
        <v>57</v>
      </c>
      <c r="E30" s="137">
        <v>44553</v>
      </c>
      <c r="F30" s="138" t="s">
        <v>59</v>
      </c>
      <c r="G30" s="137">
        <v>44558</v>
      </c>
      <c r="H30" s="139" t="s">
        <v>4156</v>
      </c>
      <c r="I30" s="140">
        <v>45</v>
      </c>
      <c r="J30" s="140">
        <v>38</v>
      </c>
      <c r="K30" s="140">
        <v>10</v>
      </c>
      <c r="L30" s="140">
        <v>2</v>
      </c>
      <c r="M30" s="141">
        <v>4.2750000000000004</v>
      </c>
      <c r="N30" s="142">
        <v>4.2750000000000004</v>
      </c>
      <c r="O30" s="57">
        <v>7000</v>
      </c>
      <c r="P30" s="58">
        <f t="shared" si="0"/>
        <v>29925.000000000004</v>
      </c>
    </row>
    <row r="31" spans="1:16" ht="26.25" customHeight="1" x14ac:dyDescent="0.2">
      <c r="A31" s="100"/>
      <c r="B31" s="100"/>
      <c r="C31" s="135" t="s">
        <v>4501</v>
      </c>
      <c r="D31" s="136" t="s">
        <v>57</v>
      </c>
      <c r="E31" s="137">
        <v>44553</v>
      </c>
      <c r="F31" s="138" t="s">
        <v>59</v>
      </c>
      <c r="G31" s="137">
        <v>44558</v>
      </c>
      <c r="H31" s="139" t="s">
        <v>4156</v>
      </c>
      <c r="I31" s="140">
        <v>22</v>
      </c>
      <c r="J31" s="140">
        <v>28</v>
      </c>
      <c r="K31" s="140">
        <v>10</v>
      </c>
      <c r="L31" s="140">
        <v>2</v>
      </c>
      <c r="M31" s="141">
        <v>1.54</v>
      </c>
      <c r="N31" s="142">
        <v>2</v>
      </c>
      <c r="O31" s="57">
        <v>7000</v>
      </c>
      <c r="P31" s="58">
        <f t="shared" si="0"/>
        <v>14000</v>
      </c>
    </row>
    <row r="32" spans="1:16" ht="26.25" customHeight="1" x14ac:dyDescent="0.2">
      <c r="A32" s="100"/>
      <c r="B32" s="100"/>
      <c r="C32" s="135" t="s">
        <v>4502</v>
      </c>
      <c r="D32" s="136" t="s">
        <v>57</v>
      </c>
      <c r="E32" s="137">
        <v>44553</v>
      </c>
      <c r="F32" s="138" t="s">
        <v>59</v>
      </c>
      <c r="G32" s="137">
        <v>44558</v>
      </c>
      <c r="H32" s="139" t="s">
        <v>4156</v>
      </c>
      <c r="I32" s="140">
        <v>60</v>
      </c>
      <c r="J32" s="140">
        <v>42</v>
      </c>
      <c r="K32" s="140">
        <v>11</v>
      </c>
      <c r="L32" s="140">
        <v>2</v>
      </c>
      <c r="M32" s="141">
        <v>6.93</v>
      </c>
      <c r="N32" s="142">
        <v>6.93</v>
      </c>
      <c r="O32" s="57">
        <v>7000</v>
      </c>
      <c r="P32" s="58">
        <f t="shared" si="0"/>
        <v>48510</v>
      </c>
    </row>
    <row r="33" spans="1:16" ht="26.25" customHeight="1" x14ac:dyDescent="0.2">
      <c r="A33" s="100"/>
      <c r="B33" s="100"/>
      <c r="C33" s="135" t="s">
        <v>4503</v>
      </c>
      <c r="D33" s="136" t="s">
        <v>57</v>
      </c>
      <c r="E33" s="137">
        <v>44553</v>
      </c>
      <c r="F33" s="138" t="s">
        <v>59</v>
      </c>
      <c r="G33" s="137">
        <v>44558</v>
      </c>
      <c r="H33" s="139" t="s">
        <v>4156</v>
      </c>
      <c r="I33" s="140">
        <v>58</v>
      </c>
      <c r="J33" s="140">
        <v>60</v>
      </c>
      <c r="K33" s="140">
        <v>14</v>
      </c>
      <c r="L33" s="140">
        <v>8</v>
      </c>
      <c r="M33" s="141">
        <v>12.18</v>
      </c>
      <c r="N33" s="142">
        <v>12.18</v>
      </c>
      <c r="O33" s="57">
        <v>7000</v>
      </c>
      <c r="P33" s="58">
        <f t="shared" si="0"/>
        <v>85260</v>
      </c>
    </row>
    <row r="34" spans="1:16" ht="26.25" customHeight="1" x14ac:dyDescent="0.2">
      <c r="A34" s="100"/>
      <c r="B34" s="101"/>
      <c r="C34" s="135" t="s">
        <v>4504</v>
      </c>
      <c r="D34" s="136" t="s">
        <v>57</v>
      </c>
      <c r="E34" s="137">
        <v>44553</v>
      </c>
      <c r="F34" s="138" t="s">
        <v>59</v>
      </c>
      <c r="G34" s="137">
        <v>44558</v>
      </c>
      <c r="H34" s="139" t="s">
        <v>4156</v>
      </c>
      <c r="I34" s="140">
        <v>50</v>
      </c>
      <c r="J34" s="140">
        <v>48</v>
      </c>
      <c r="K34" s="140">
        <v>26</v>
      </c>
      <c r="L34" s="140">
        <v>13</v>
      </c>
      <c r="M34" s="141">
        <v>15.6</v>
      </c>
      <c r="N34" s="142">
        <v>15.6</v>
      </c>
      <c r="O34" s="57">
        <v>7000</v>
      </c>
      <c r="P34" s="58">
        <f t="shared" si="0"/>
        <v>109200</v>
      </c>
    </row>
    <row r="35" spans="1:16" ht="26.25" customHeight="1" x14ac:dyDescent="0.2">
      <c r="A35" s="100"/>
      <c r="B35" s="100" t="s">
        <v>4505</v>
      </c>
      <c r="C35" s="135" t="s">
        <v>4506</v>
      </c>
      <c r="D35" s="136" t="s">
        <v>57</v>
      </c>
      <c r="E35" s="137">
        <v>44553</v>
      </c>
      <c r="F35" s="138" t="s">
        <v>59</v>
      </c>
      <c r="G35" s="137">
        <v>44558</v>
      </c>
      <c r="H35" s="139" t="s">
        <v>4156</v>
      </c>
      <c r="I35" s="140">
        <v>16</v>
      </c>
      <c r="J35" s="140">
        <v>26</v>
      </c>
      <c r="K35" s="140">
        <v>7</v>
      </c>
      <c r="L35" s="140">
        <v>1</v>
      </c>
      <c r="M35" s="141">
        <v>0.72799999999999998</v>
      </c>
      <c r="N35" s="142">
        <v>1</v>
      </c>
      <c r="O35" s="57">
        <v>7000</v>
      </c>
      <c r="P35" s="58">
        <f t="shared" si="0"/>
        <v>7000</v>
      </c>
    </row>
    <row r="36" spans="1:16" ht="22.5" customHeight="1" x14ac:dyDescent="0.2">
      <c r="A36" s="159" t="s">
        <v>30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1"/>
      <c r="M36" s="71">
        <f>SUBTOTAL(109,Table2245789101123456789101112131415161718192021222324252627282930313233343537383940414243444546474849505152535455565758596061626364656667686970717273[KG VOLUME])</f>
        <v>439.05950000000001</v>
      </c>
      <c r="N36" s="61">
        <f>SUM(N3:N35)</f>
        <v>446.90624999999994</v>
      </c>
      <c r="O36" s="162">
        <f>SUM(P3:P35)</f>
        <v>3128343.75</v>
      </c>
      <c r="P36" s="163"/>
    </row>
    <row r="37" spans="1:16" ht="18" customHeight="1" x14ac:dyDescent="0.2">
      <c r="A37" s="78"/>
      <c r="B37" s="49" t="s">
        <v>42</v>
      </c>
      <c r="C37" s="48"/>
      <c r="D37" s="50" t="s">
        <v>43</v>
      </c>
      <c r="E37" s="78"/>
      <c r="F37" s="78"/>
      <c r="G37" s="78"/>
      <c r="H37" s="78"/>
      <c r="I37" s="78"/>
      <c r="J37" s="78"/>
      <c r="K37" s="78"/>
      <c r="L37" s="78"/>
      <c r="M37" s="79"/>
      <c r="N37" s="80" t="s">
        <v>52</v>
      </c>
      <c r="O37" s="81"/>
      <c r="P37" s="81">
        <v>0</v>
      </c>
    </row>
    <row r="38" spans="1:16" ht="18" customHeight="1" thickBot="1" x14ac:dyDescent="0.25">
      <c r="A38" s="78"/>
      <c r="B38" s="49"/>
      <c r="C38" s="48"/>
      <c r="D38" s="50"/>
      <c r="E38" s="78"/>
      <c r="F38" s="78"/>
      <c r="G38" s="78"/>
      <c r="H38" s="78"/>
      <c r="I38" s="78"/>
      <c r="J38" s="78"/>
      <c r="K38" s="78"/>
      <c r="L38" s="78"/>
      <c r="M38" s="79"/>
      <c r="N38" s="82" t="s">
        <v>53</v>
      </c>
      <c r="O38" s="83"/>
      <c r="P38" s="83">
        <f>O36-P37</f>
        <v>3128343.75</v>
      </c>
    </row>
    <row r="39" spans="1:16" ht="18" customHeight="1" x14ac:dyDescent="0.2">
      <c r="A39" s="10"/>
      <c r="H39" s="56"/>
      <c r="N39" s="55" t="s">
        <v>31</v>
      </c>
      <c r="P39" s="62">
        <f>P38*1%</f>
        <v>31283.4375</v>
      </c>
    </row>
    <row r="40" spans="1:16" ht="18" customHeight="1" thickBot="1" x14ac:dyDescent="0.25">
      <c r="A40" s="10"/>
      <c r="H40" s="56"/>
      <c r="N40" s="55" t="s">
        <v>54</v>
      </c>
      <c r="P40" s="64">
        <f>P38*2%</f>
        <v>62566.875</v>
      </c>
    </row>
    <row r="41" spans="1:16" ht="18" customHeight="1" x14ac:dyDescent="0.2">
      <c r="A41" s="10"/>
      <c r="H41" s="56"/>
      <c r="N41" s="59" t="s">
        <v>32</v>
      </c>
      <c r="O41" s="60"/>
      <c r="P41" s="63">
        <f>P38+P39-P40</f>
        <v>3097060.3125</v>
      </c>
    </row>
    <row r="43" spans="1:16" x14ac:dyDescent="0.2">
      <c r="A43" s="10"/>
      <c r="H43" s="56"/>
      <c r="P43" s="64"/>
    </row>
    <row r="44" spans="1:16" x14ac:dyDescent="0.2">
      <c r="A44" s="10"/>
      <c r="H44" s="56"/>
      <c r="O44" s="51"/>
      <c r="P44" s="6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</sheetData>
  <mergeCells count="2">
    <mergeCell ref="A36:L36"/>
    <mergeCell ref="O36:P36"/>
  </mergeCells>
  <conditionalFormatting sqref="C3:C35">
    <cfRule type="duplicateValues" dxfId="447" priority="10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9"/>
  <sheetViews>
    <sheetView workbookViewId="0">
      <pane ySplit="1" topLeftCell="A168" activePane="bottomLeft" state="frozen"/>
      <selection pane="bottomLeft" activeCell="N3" sqref="N3:N17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402715</v>
      </c>
      <c r="B3" s="99" t="s">
        <v>4507</v>
      </c>
      <c r="C3" s="90" t="s">
        <v>4508</v>
      </c>
      <c r="D3" s="102" t="s">
        <v>57</v>
      </c>
      <c r="E3" s="91">
        <v>44553</v>
      </c>
      <c r="F3" s="102" t="s">
        <v>58</v>
      </c>
      <c r="G3" s="91">
        <v>44559</v>
      </c>
      <c r="H3" s="90" t="s">
        <v>4687</v>
      </c>
      <c r="I3" s="90">
        <v>198</v>
      </c>
      <c r="J3" s="90">
        <v>8</v>
      </c>
      <c r="K3" s="90">
        <v>8</v>
      </c>
      <c r="L3" s="90">
        <v>1</v>
      </c>
      <c r="M3" s="92">
        <v>3.1680000000000001</v>
      </c>
      <c r="N3" s="104">
        <v>3.1680000000000001</v>
      </c>
      <c r="O3" s="57">
        <v>7000</v>
      </c>
      <c r="P3" s="58">
        <f t="shared" ref="P3:P66" si="0">N3*O3</f>
        <v>22176</v>
      </c>
    </row>
    <row r="4" spans="1:16" ht="26.25" customHeight="1" x14ac:dyDescent="0.2">
      <c r="A4" s="100"/>
      <c r="B4" s="100"/>
      <c r="C4" s="90" t="s">
        <v>4509</v>
      </c>
      <c r="D4" s="102" t="s">
        <v>57</v>
      </c>
      <c r="E4" s="91">
        <v>44553</v>
      </c>
      <c r="F4" s="102" t="s">
        <v>58</v>
      </c>
      <c r="G4" s="91">
        <v>44559</v>
      </c>
      <c r="H4" s="90" t="s">
        <v>4687</v>
      </c>
      <c r="I4" s="90">
        <v>100</v>
      </c>
      <c r="J4" s="90">
        <v>61</v>
      </c>
      <c r="K4" s="90">
        <v>26</v>
      </c>
      <c r="L4" s="90">
        <v>10</v>
      </c>
      <c r="M4" s="92">
        <v>39.65</v>
      </c>
      <c r="N4" s="104">
        <v>39.65</v>
      </c>
      <c r="O4" s="57">
        <v>7000</v>
      </c>
      <c r="P4" s="58">
        <f t="shared" si="0"/>
        <v>277550</v>
      </c>
    </row>
    <row r="5" spans="1:16" ht="26.25" customHeight="1" x14ac:dyDescent="0.2">
      <c r="A5" s="100"/>
      <c r="B5" s="100"/>
      <c r="C5" s="65" t="s">
        <v>4510</v>
      </c>
      <c r="D5" s="70" t="s">
        <v>57</v>
      </c>
      <c r="E5" s="12">
        <v>44553</v>
      </c>
      <c r="F5" s="68" t="s">
        <v>58</v>
      </c>
      <c r="G5" s="12">
        <v>44559</v>
      </c>
      <c r="H5" s="69" t="s">
        <v>4687</v>
      </c>
      <c r="I5" s="15">
        <v>50</v>
      </c>
      <c r="J5" s="15">
        <v>41</v>
      </c>
      <c r="K5" s="15">
        <v>56</v>
      </c>
      <c r="L5" s="15">
        <v>15</v>
      </c>
      <c r="M5" s="73">
        <v>28.7</v>
      </c>
      <c r="N5" s="104">
        <v>28.7</v>
      </c>
      <c r="O5" s="57">
        <v>7000</v>
      </c>
      <c r="P5" s="58">
        <f t="shared" si="0"/>
        <v>200900</v>
      </c>
    </row>
    <row r="6" spans="1:16" ht="26.25" customHeight="1" x14ac:dyDescent="0.2">
      <c r="A6" s="100"/>
      <c r="B6" s="100"/>
      <c r="C6" s="65" t="s">
        <v>4511</v>
      </c>
      <c r="D6" s="70" t="s">
        <v>57</v>
      </c>
      <c r="E6" s="12">
        <v>44553</v>
      </c>
      <c r="F6" s="68" t="s">
        <v>58</v>
      </c>
      <c r="G6" s="12">
        <v>44559</v>
      </c>
      <c r="H6" s="69" t="s">
        <v>4687</v>
      </c>
      <c r="I6" s="15">
        <v>42</v>
      </c>
      <c r="J6" s="15">
        <v>35</v>
      </c>
      <c r="K6" s="15">
        <v>22</v>
      </c>
      <c r="L6" s="15">
        <v>14</v>
      </c>
      <c r="M6" s="73">
        <v>8.0850000000000009</v>
      </c>
      <c r="N6" s="104">
        <v>14</v>
      </c>
      <c r="O6" s="57">
        <v>7000</v>
      </c>
      <c r="P6" s="58">
        <f t="shared" si="0"/>
        <v>98000</v>
      </c>
    </row>
    <row r="7" spans="1:16" ht="26.25" customHeight="1" x14ac:dyDescent="0.2">
      <c r="A7" s="100"/>
      <c r="B7" s="100"/>
      <c r="C7" s="65" t="s">
        <v>4512</v>
      </c>
      <c r="D7" s="70" t="s">
        <v>57</v>
      </c>
      <c r="E7" s="12">
        <v>44553</v>
      </c>
      <c r="F7" s="68" t="s">
        <v>58</v>
      </c>
      <c r="G7" s="12">
        <v>44559</v>
      </c>
      <c r="H7" s="69" t="s">
        <v>4687</v>
      </c>
      <c r="I7" s="15">
        <v>52</v>
      </c>
      <c r="J7" s="15">
        <v>40</v>
      </c>
      <c r="K7" s="15">
        <v>12</v>
      </c>
      <c r="L7" s="15">
        <v>2</v>
      </c>
      <c r="M7" s="73">
        <v>6.24</v>
      </c>
      <c r="N7" s="104">
        <v>6.24</v>
      </c>
      <c r="O7" s="57">
        <v>7000</v>
      </c>
      <c r="P7" s="58">
        <f t="shared" si="0"/>
        <v>43680</v>
      </c>
    </row>
    <row r="8" spans="1:16" ht="26.25" customHeight="1" x14ac:dyDescent="0.2">
      <c r="A8" s="100"/>
      <c r="B8" s="100"/>
      <c r="C8" s="65" t="s">
        <v>4513</v>
      </c>
      <c r="D8" s="70" t="s">
        <v>57</v>
      </c>
      <c r="E8" s="12">
        <v>44553</v>
      </c>
      <c r="F8" s="68" t="s">
        <v>58</v>
      </c>
      <c r="G8" s="12">
        <v>44559</v>
      </c>
      <c r="H8" s="69" t="s">
        <v>4687</v>
      </c>
      <c r="I8" s="15">
        <v>89</v>
      </c>
      <c r="J8" s="15">
        <v>60</v>
      </c>
      <c r="K8" s="15">
        <v>22</v>
      </c>
      <c r="L8" s="15">
        <v>13</v>
      </c>
      <c r="M8" s="73">
        <v>29.37</v>
      </c>
      <c r="N8" s="104">
        <v>30</v>
      </c>
      <c r="O8" s="57">
        <v>7000</v>
      </c>
      <c r="P8" s="58">
        <f t="shared" si="0"/>
        <v>210000</v>
      </c>
    </row>
    <row r="9" spans="1:16" ht="26.25" customHeight="1" x14ac:dyDescent="0.2">
      <c r="A9" s="100"/>
      <c r="B9" s="100"/>
      <c r="C9" s="65" t="s">
        <v>4514</v>
      </c>
      <c r="D9" s="70" t="s">
        <v>57</v>
      </c>
      <c r="E9" s="12">
        <v>44553</v>
      </c>
      <c r="F9" s="68" t="s">
        <v>58</v>
      </c>
      <c r="G9" s="12">
        <v>44559</v>
      </c>
      <c r="H9" s="69" t="s">
        <v>4687</v>
      </c>
      <c r="I9" s="15">
        <v>81</v>
      </c>
      <c r="J9" s="15">
        <v>42</v>
      </c>
      <c r="K9" s="15">
        <v>20</v>
      </c>
      <c r="L9" s="15">
        <v>4</v>
      </c>
      <c r="M9" s="73">
        <v>17.010000000000002</v>
      </c>
      <c r="N9" s="104">
        <v>17.010000000000002</v>
      </c>
      <c r="O9" s="57">
        <v>7000</v>
      </c>
      <c r="P9" s="58">
        <f t="shared" si="0"/>
        <v>119070.00000000001</v>
      </c>
    </row>
    <row r="10" spans="1:16" ht="26.25" customHeight="1" x14ac:dyDescent="0.2">
      <c r="A10" s="100"/>
      <c r="B10" s="100"/>
      <c r="C10" s="65" t="s">
        <v>4515</v>
      </c>
      <c r="D10" s="70" t="s">
        <v>57</v>
      </c>
      <c r="E10" s="12">
        <v>44553</v>
      </c>
      <c r="F10" s="68" t="s">
        <v>58</v>
      </c>
      <c r="G10" s="12">
        <v>44559</v>
      </c>
      <c r="H10" s="69" t="s">
        <v>4687</v>
      </c>
      <c r="I10" s="15">
        <v>70</v>
      </c>
      <c r="J10" s="15">
        <v>62</v>
      </c>
      <c r="K10" s="15">
        <v>23</v>
      </c>
      <c r="L10" s="15">
        <v>5</v>
      </c>
      <c r="M10" s="73">
        <v>24.954999999999998</v>
      </c>
      <c r="N10" s="104">
        <v>24.954999999999998</v>
      </c>
      <c r="O10" s="57">
        <v>7000</v>
      </c>
      <c r="P10" s="58">
        <f t="shared" si="0"/>
        <v>174685</v>
      </c>
    </row>
    <row r="11" spans="1:16" ht="26.25" customHeight="1" x14ac:dyDescent="0.2">
      <c r="A11" s="100"/>
      <c r="B11" s="100"/>
      <c r="C11" s="65" t="s">
        <v>4516</v>
      </c>
      <c r="D11" s="70" t="s">
        <v>57</v>
      </c>
      <c r="E11" s="12">
        <v>44553</v>
      </c>
      <c r="F11" s="68" t="s">
        <v>58</v>
      </c>
      <c r="G11" s="12">
        <v>44559</v>
      </c>
      <c r="H11" s="69" t="s">
        <v>4687</v>
      </c>
      <c r="I11" s="15">
        <v>43</v>
      </c>
      <c r="J11" s="15">
        <v>46</v>
      </c>
      <c r="K11" s="15">
        <v>23</v>
      </c>
      <c r="L11" s="15">
        <v>8</v>
      </c>
      <c r="M11" s="73">
        <v>11.3735</v>
      </c>
      <c r="N11" s="104">
        <v>12</v>
      </c>
      <c r="O11" s="57">
        <v>7000</v>
      </c>
      <c r="P11" s="58">
        <f t="shared" si="0"/>
        <v>84000</v>
      </c>
    </row>
    <row r="12" spans="1:16" ht="26.25" customHeight="1" x14ac:dyDescent="0.2">
      <c r="A12" s="100"/>
      <c r="B12" s="100"/>
      <c r="C12" s="65" t="s">
        <v>4517</v>
      </c>
      <c r="D12" s="70" t="s">
        <v>57</v>
      </c>
      <c r="E12" s="12">
        <v>44553</v>
      </c>
      <c r="F12" s="68" t="s">
        <v>58</v>
      </c>
      <c r="G12" s="12">
        <v>44559</v>
      </c>
      <c r="H12" s="69" t="s">
        <v>4687</v>
      </c>
      <c r="I12" s="15">
        <v>55</v>
      </c>
      <c r="J12" s="15">
        <v>40</v>
      </c>
      <c r="K12" s="15">
        <v>14</v>
      </c>
      <c r="L12" s="15">
        <v>6</v>
      </c>
      <c r="M12" s="73">
        <v>7.7</v>
      </c>
      <c r="N12" s="104">
        <v>7.7</v>
      </c>
      <c r="O12" s="57">
        <v>7000</v>
      </c>
      <c r="P12" s="58">
        <f t="shared" si="0"/>
        <v>53900</v>
      </c>
    </row>
    <row r="13" spans="1:16" ht="26.25" customHeight="1" x14ac:dyDescent="0.2">
      <c r="A13" s="100"/>
      <c r="B13" s="100"/>
      <c r="C13" s="65" t="s">
        <v>4518</v>
      </c>
      <c r="D13" s="70" t="s">
        <v>57</v>
      </c>
      <c r="E13" s="12">
        <v>44553</v>
      </c>
      <c r="F13" s="68" t="s">
        <v>58</v>
      </c>
      <c r="G13" s="12">
        <v>44559</v>
      </c>
      <c r="H13" s="69" t="s">
        <v>4687</v>
      </c>
      <c r="I13" s="15">
        <v>83</v>
      </c>
      <c r="J13" s="15">
        <v>57</v>
      </c>
      <c r="K13" s="15">
        <v>34</v>
      </c>
      <c r="L13" s="15">
        <v>10</v>
      </c>
      <c r="M13" s="73">
        <v>40.213500000000003</v>
      </c>
      <c r="N13" s="104">
        <v>40.213500000000003</v>
      </c>
      <c r="O13" s="57">
        <v>7000</v>
      </c>
      <c r="P13" s="58">
        <f t="shared" si="0"/>
        <v>281494.5</v>
      </c>
    </row>
    <row r="14" spans="1:16" ht="26.25" customHeight="1" x14ac:dyDescent="0.2">
      <c r="A14" s="100"/>
      <c r="B14" s="100"/>
      <c r="C14" s="65" t="s">
        <v>4519</v>
      </c>
      <c r="D14" s="70" t="s">
        <v>57</v>
      </c>
      <c r="E14" s="12">
        <v>44553</v>
      </c>
      <c r="F14" s="68" t="s">
        <v>58</v>
      </c>
      <c r="G14" s="12">
        <v>44559</v>
      </c>
      <c r="H14" s="69" t="s">
        <v>4687</v>
      </c>
      <c r="I14" s="15">
        <v>60</v>
      </c>
      <c r="J14" s="15">
        <v>61</v>
      </c>
      <c r="K14" s="15">
        <v>23</v>
      </c>
      <c r="L14" s="15">
        <v>7</v>
      </c>
      <c r="M14" s="73">
        <v>21.045000000000002</v>
      </c>
      <c r="N14" s="104">
        <v>21.045000000000002</v>
      </c>
      <c r="O14" s="57">
        <v>7000</v>
      </c>
      <c r="P14" s="58">
        <f t="shared" si="0"/>
        <v>147315</v>
      </c>
    </row>
    <row r="15" spans="1:16" ht="26.25" customHeight="1" x14ac:dyDescent="0.2">
      <c r="A15" s="100"/>
      <c r="B15" s="100"/>
      <c r="C15" s="65" t="s">
        <v>4520</v>
      </c>
      <c r="D15" s="70" t="s">
        <v>57</v>
      </c>
      <c r="E15" s="12">
        <v>44553</v>
      </c>
      <c r="F15" s="68" t="s">
        <v>58</v>
      </c>
      <c r="G15" s="12">
        <v>44559</v>
      </c>
      <c r="H15" s="69" t="s">
        <v>4687</v>
      </c>
      <c r="I15" s="15">
        <v>67</v>
      </c>
      <c r="J15" s="15">
        <v>53</v>
      </c>
      <c r="K15" s="15">
        <v>23</v>
      </c>
      <c r="L15" s="15">
        <v>21</v>
      </c>
      <c r="M15" s="73">
        <v>20.41825</v>
      </c>
      <c r="N15" s="104">
        <v>22</v>
      </c>
      <c r="O15" s="57">
        <v>7000</v>
      </c>
      <c r="P15" s="58">
        <f t="shared" si="0"/>
        <v>154000</v>
      </c>
    </row>
    <row r="16" spans="1:16" ht="26.25" customHeight="1" x14ac:dyDescent="0.2">
      <c r="A16" s="100"/>
      <c r="B16" s="100"/>
      <c r="C16" s="65" t="s">
        <v>4521</v>
      </c>
      <c r="D16" s="70" t="s">
        <v>57</v>
      </c>
      <c r="E16" s="12">
        <v>44553</v>
      </c>
      <c r="F16" s="68" t="s">
        <v>58</v>
      </c>
      <c r="G16" s="12">
        <v>44559</v>
      </c>
      <c r="H16" s="69" t="s">
        <v>4687</v>
      </c>
      <c r="I16" s="15">
        <v>80</v>
      </c>
      <c r="J16" s="15">
        <v>62</v>
      </c>
      <c r="K16" s="15">
        <v>22</v>
      </c>
      <c r="L16" s="15">
        <v>10</v>
      </c>
      <c r="M16" s="73">
        <v>27.28</v>
      </c>
      <c r="N16" s="104">
        <v>27.28</v>
      </c>
      <c r="O16" s="57">
        <v>7000</v>
      </c>
      <c r="P16" s="58">
        <f t="shared" si="0"/>
        <v>190960</v>
      </c>
    </row>
    <row r="17" spans="1:16" ht="26.25" customHeight="1" x14ac:dyDescent="0.2">
      <c r="A17" s="100"/>
      <c r="B17" s="100"/>
      <c r="C17" s="65" t="s">
        <v>4522</v>
      </c>
      <c r="D17" s="70" t="s">
        <v>57</v>
      </c>
      <c r="E17" s="12">
        <v>44553</v>
      </c>
      <c r="F17" s="68" t="s">
        <v>58</v>
      </c>
      <c r="G17" s="12">
        <v>44559</v>
      </c>
      <c r="H17" s="69" t="s">
        <v>4687</v>
      </c>
      <c r="I17" s="15">
        <v>38</v>
      </c>
      <c r="J17" s="15">
        <v>32</v>
      </c>
      <c r="K17" s="15">
        <v>13</v>
      </c>
      <c r="L17" s="15">
        <v>3</v>
      </c>
      <c r="M17" s="73">
        <v>3.952</v>
      </c>
      <c r="N17" s="104">
        <v>3.952</v>
      </c>
      <c r="O17" s="57">
        <v>7000</v>
      </c>
      <c r="P17" s="58">
        <f t="shared" si="0"/>
        <v>27664</v>
      </c>
    </row>
    <row r="18" spans="1:16" ht="26.25" customHeight="1" x14ac:dyDescent="0.2">
      <c r="A18" s="100"/>
      <c r="B18" s="100"/>
      <c r="C18" s="65" t="s">
        <v>4523</v>
      </c>
      <c r="D18" s="70" t="s">
        <v>57</v>
      </c>
      <c r="E18" s="12">
        <v>44553</v>
      </c>
      <c r="F18" s="68" t="s">
        <v>58</v>
      </c>
      <c r="G18" s="12">
        <v>44559</v>
      </c>
      <c r="H18" s="69" t="s">
        <v>4687</v>
      </c>
      <c r="I18" s="15">
        <v>82</v>
      </c>
      <c r="J18" s="15">
        <v>62</v>
      </c>
      <c r="K18" s="15">
        <v>24</v>
      </c>
      <c r="L18" s="15">
        <v>13</v>
      </c>
      <c r="M18" s="73">
        <v>30.504000000000001</v>
      </c>
      <c r="N18" s="104">
        <v>31</v>
      </c>
      <c r="O18" s="57">
        <v>7000</v>
      </c>
      <c r="P18" s="58">
        <f t="shared" si="0"/>
        <v>217000</v>
      </c>
    </row>
    <row r="19" spans="1:16" ht="26.25" customHeight="1" x14ac:dyDescent="0.2">
      <c r="A19" s="100"/>
      <c r="B19" s="100"/>
      <c r="C19" s="65" t="s">
        <v>4524</v>
      </c>
      <c r="D19" s="70" t="s">
        <v>57</v>
      </c>
      <c r="E19" s="12">
        <v>44553</v>
      </c>
      <c r="F19" s="68" t="s">
        <v>58</v>
      </c>
      <c r="G19" s="12">
        <v>44559</v>
      </c>
      <c r="H19" s="69" t="s">
        <v>4687</v>
      </c>
      <c r="I19" s="15">
        <v>68</v>
      </c>
      <c r="J19" s="15">
        <v>57</v>
      </c>
      <c r="K19" s="15">
        <v>20</v>
      </c>
      <c r="L19" s="15">
        <v>4</v>
      </c>
      <c r="M19" s="73">
        <v>19.38</v>
      </c>
      <c r="N19" s="104">
        <v>20</v>
      </c>
      <c r="O19" s="57">
        <v>7000</v>
      </c>
      <c r="P19" s="58">
        <f t="shared" si="0"/>
        <v>140000</v>
      </c>
    </row>
    <row r="20" spans="1:16" ht="26.25" customHeight="1" x14ac:dyDescent="0.2">
      <c r="A20" s="100"/>
      <c r="B20" s="100"/>
      <c r="C20" s="65" t="s">
        <v>4525</v>
      </c>
      <c r="D20" s="70" t="s">
        <v>57</v>
      </c>
      <c r="E20" s="12">
        <v>44553</v>
      </c>
      <c r="F20" s="68" t="s">
        <v>58</v>
      </c>
      <c r="G20" s="12">
        <v>44559</v>
      </c>
      <c r="H20" s="69" t="s">
        <v>4687</v>
      </c>
      <c r="I20" s="15">
        <v>60</v>
      </c>
      <c r="J20" s="15">
        <v>63</v>
      </c>
      <c r="K20" s="15">
        <v>23</v>
      </c>
      <c r="L20" s="15">
        <v>7</v>
      </c>
      <c r="M20" s="73">
        <v>21.734999999999999</v>
      </c>
      <c r="N20" s="104">
        <v>21.734999999999999</v>
      </c>
      <c r="O20" s="57">
        <v>7000</v>
      </c>
      <c r="P20" s="58">
        <f t="shared" si="0"/>
        <v>152145</v>
      </c>
    </row>
    <row r="21" spans="1:16" ht="26.25" customHeight="1" x14ac:dyDescent="0.2">
      <c r="A21" s="100"/>
      <c r="B21" s="100"/>
      <c r="C21" s="65" t="s">
        <v>4526</v>
      </c>
      <c r="D21" s="70" t="s">
        <v>57</v>
      </c>
      <c r="E21" s="12">
        <v>44553</v>
      </c>
      <c r="F21" s="68" t="s">
        <v>58</v>
      </c>
      <c r="G21" s="12">
        <v>44559</v>
      </c>
      <c r="H21" s="69" t="s">
        <v>4687</v>
      </c>
      <c r="I21" s="15">
        <v>67</v>
      </c>
      <c r="J21" s="15">
        <v>52</v>
      </c>
      <c r="K21" s="15">
        <v>14</v>
      </c>
      <c r="L21" s="15">
        <v>5</v>
      </c>
      <c r="M21" s="73">
        <v>12.194000000000001</v>
      </c>
      <c r="N21" s="104">
        <v>12.194000000000001</v>
      </c>
      <c r="O21" s="57">
        <v>7000</v>
      </c>
      <c r="P21" s="58">
        <f t="shared" si="0"/>
        <v>85358</v>
      </c>
    </row>
    <row r="22" spans="1:16" ht="26.25" customHeight="1" x14ac:dyDescent="0.2">
      <c r="A22" s="100"/>
      <c r="B22" s="100"/>
      <c r="C22" s="65" t="s">
        <v>4527</v>
      </c>
      <c r="D22" s="70" t="s">
        <v>57</v>
      </c>
      <c r="E22" s="12">
        <v>44553</v>
      </c>
      <c r="F22" s="68" t="s">
        <v>58</v>
      </c>
      <c r="G22" s="12">
        <v>44559</v>
      </c>
      <c r="H22" s="69" t="s">
        <v>4687</v>
      </c>
      <c r="I22" s="15">
        <v>61</v>
      </c>
      <c r="J22" s="15">
        <v>35</v>
      </c>
      <c r="K22" s="15">
        <v>14</v>
      </c>
      <c r="L22" s="15">
        <v>4</v>
      </c>
      <c r="M22" s="73">
        <v>7.4725000000000001</v>
      </c>
      <c r="N22" s="104">
        <v>8</v>
      </c>
      <c r="O22" s="57">
        <v>7000</v>
      </c>
      <c r="P22" s="58">
        <f t="shared" si="0"/>
        <v>56000</v>
      </c>
    </row>
    <row r="23" spans="1:16" ht="26.25" customHeight="1" x14ac:dyDescent="0.2">
      <c r="A23" s="100"/>
      <c r="B23" s="100"/>
      <c r="C23" s="65" t="s">
        <v>4528</v>
      </c>
      <c r="D23" s="70" t="s">
        <v>57</v>
      </c>
      <c r="E23" s="12">
        <v>44553</v>
      </c>
      <c r="F23" s="68" t="s">
        <v>58</v>
      </c>
      <c r="G23" s="12">
        <v>44559</v>
      </c>
      <c r="H23" s="69" t="s">
        <v>4687</v>
      </c>
      <c r="I23" s="15">
        <v>84</v>
      </c>
      <c r="J23" s="15">
        <v>51</v>
      </c>
      <c r="K23" s="15">
        <v>22</v>
      </c>
      <c r="L23" s="15">
        <v>28</v>
      </c>
      <c r="M23" s="73">
        <v>23.562000000000001</v>
      </c>
      <c r="N23" s="104">
        <v>28</v>
      </c>
      <c r="O23" s="57">
        <v>7000</v>
      </c>
      <c r="P23" s="58">
        <f t="shared" si="0"/>
        <v>196000</v>
      </c>
    </row>
    <row r="24" spans="1:16" ht="26.25" customHeight="1" x14ac:dyDescent="0.2">
      <c r="A24" s="100"/>
      <c r="B24" s="100"/>
      <c r="C24" s="65" t="s">
        <v>4529</v>
      </c>
      <c r="D24" s="70" t="s">
        <v>57</v>
      </c>
      <c r="E24" s="12">
        <v>44553</v>
      </c>
      <c r="F24" s="68" t="s">
        <v>58</v>
      </c>
      <c r="G24" s="12">
        <v>44559</v>
      </c>
      <c r="H24" s="69" t="s">
        <v>4687</v>
      </c>
      <c r="I24" s="15">
        <v>71</v>
      </c>
      <c r="J24" s="15">
        <v>58</v>
      </c>
      <c r="K24" s="15">
        <v>31</v>
      </c>
      <c r="L24" s="15">
        <v>15</v>
      </c>
      <c r="M24" s="73">
        <v>31.9145</v>
      </c>
      <c r="N24" s="104">
        <v>31.9145</v>
      </c>
      <c r="O24" s="57">
        <v>7000</v>
      </c>
      <c r="P24" s="58">
        <f t="shared" si="0"/>
        <v>223401.5</v>
      </c>
    </row>
    <row r="25" spans="1:16" ht="26.25" customHeight="1" x14ac:dyDescent="0.2">
      <c r="A25" s="100"/>
      <c r="B25" s="100"/>
      <c r="C25" s="65" t="s">
        <v>4530</v>
      </c>
      <c r="D25" s="70" t="s">
        <v>57</v>
      </c>
      <c r="E25" s="12">
        <v>44553</v>
      </c>
      <c r="F25" s="68" t="s">
        <v>58</v>
      </c>
      <c r="G25" s="12">
        <v>44559</v>
      </c>
      <c r="H25" s="69" t="s">
        <v>4687</v>
      </c>
      <c r="I25" s="15">
        <v>93</v>
      </c>
      <c r="J25" s="15">
        <v>60</v>
      </c>
      <c r="K25" s="15">
        <v>22</v>
      </c>
      <c r="L25" s="15">
        <v>16</v>
      </c>
      <c r="M25" s="73">
        <v>30.69</v>
      </c>
      <c r="N25" s="104">
        <v>30.69</v>
      </c>
      <c r="O25" s="57">
        <v>7000</v>
      </c>
      <c r="P25" s="58">
        <f t="shared" si="0"/>
        <v>214830</v>
      </c>
    </row>
    <row r="26" spans="1:16" ht="26.25" customHeight="1" x14ac:dyDescent="0.2">
      <c r="A26" s="100"/>
      <c r="B26" s="100"/>
      <c r="C26" s="65" t="s">
        <v>4531</v>
      </c>
      <c r="D26" s="70" t="s">
        <v>57</v>
      </c>
      <c r="E26" s="12">
        <v>44553</v>
      </c>
      <c r="F26" s="68" t="s">
        <v>58</v>
      </c>
      <c r="G26" s="12">
        <v>44559</v>
      </c>
      <c r="H26" s="69" t="s">
        <v>4687</v>
      </c>
      <c r="I26" s="15">
        <v>92</v>
      </c>
      <c r="J26" s="15">
        <v>62</v>
      </c>
      <c r="K26" s="15">
        <v>33</v>
      </c>
      <c r="L26" s="15">
        <v>15</v>
      </c>
      <c r="M26" s="73">
        <v>47.058</v>
      </c>
      <c r="N26" s="104">
        <v>47.058</v>
      </c>
      <c r="O26" s="57">
        <v>7000</v>
      </c>
      <c r="P26" s="58">
        <f t="shared" si="0"/>
        <v>329406</v>
      </c>
    </row>
    <row r="27" spans="1:16" ht="26.25" customHeight="1" x14ac:dyDescent="0.2">
      <c r="A27" s="100"/>
      <c r="B27" s="100"/>
      <c r="C27" s="65" t="s">
        <v>4532</v>
      </c>
      <c r="D27" s="70" t="s">
        <v>57</v>
      </c>
      <c r="E27" s="12">
        <v>44553</v>
      </c>
      <c r="F27" s="68" t="s">
        <v>58</v>
      </c>
      <c r="G27" s="12">
        <v>44559</v>
      </c>
      <c r="H27" s="69" t="s">
        <v>4687</v>
      </c>
      <c r="I27" s="15">
        <v>92</v>
      </c>
      <c r="J27" s="15">
        <v>60</v>
      </c>
      <c r="K27" s="15">
        <v>23</v>
      </c>
      <c r="L27" s="15">
        <v>22</v>
      </c>
      <c r="M27" s="73">
        <v>31.74</v>
      </c>
      <c r="N27" s="104">
        <v>31.74</v>
      </c>
      <c r="O27" s="57">
        <v>7000</v>
      </c>
      <c r="P27" s="58">
        <f t="shared" si="0"/>
        <v>222180</v>
      </c>
    </row>
    <row r="28" spans="1:16" ht="26.25" customHeight="1" x14ac:dyDescent="0.2">
      <c r="A28" s="100"/>
      <c r="B28" s="100"/>
      <c r="C28" s="65" t="s">
        <v>4533</v>
      </c>
      <c r="D28" s="70" t="s">
        <v>57</v>
      </c>
      <c r="E28" s="12">
        <v>44553</v>
      </c>
      <c r="F28" s="68" t="s">
        <v>58</v>
      </c>
      <c r="G28" s="12">
        <v>44559</v>
      </c>
      <c r="H28" s="69" t="s">
        <v>4687</v>
      </c>
      <c r="I28" s="15">
        <v>100</v>
      </c>
      <c r="J28" s="15">
        <v>58</v>
      </c>
      <c r="K28" s="15">
        <v>43</v>
      </c>
      <c r="L28" s="15">
        <v>27</v>
      </c>
      <c r="M28" s="73">
        <v>62.35</v>
      </c>
      <c r="N28" s="104">
        <v>63</v>
      </c>
      <c r="O28" s="57">
        <v>7000</v>
      </c>
      <c r="P28" s="58">
        <f t="shared" si="0"/>
        <v>441000</v>
      </c>
    </row>
    <row r="29" spans="1:16" ht="26.25" customHeight="1" x14ac:dyDescent="0.2">
      <c r="A29" s="100"/>
      <c r="B29" s="100"/>
      <c r="C29" s="65" t="s">
        <v>4534</v>
      </c>
      <c r="D29" s="70" t="s">
        <v>57</v>
      </c>
      <c r="E29" s="12">
        <v>44553</v>
      </c>
      <c r="F29" s="68" t="s">
        <v>58</v>
      </c>
      <c r="G29" s="12">
        <v>44559</v>
      </c>
      <c r="H29" s="69" t="s">
        <v>4687</v>
      </c>
      <c r="I29" s="15">
        <v>53</v>
      </c>
      <c r="J29" s="15">
        <v>36</v>
      </c>
      <c r="K29" s="15">
        <v>15</v>
      </c>
      <c r="L29" s="15">
        <v>7</v>
      </c>
      <c r="M29" s="73">
        <v>7.1550000000000002</v>
      </c>
      <c r="N29" s="104">
        <v>7.1550000000000002</v>
      </c>
      <c r="O29" s="57">
        <v>7000</v>
      </c>
      <c r="P29" s="58">
        <f t="shared" si="0"/>
        <v>50085</v>
      </c>
    </row>
    <row r="30" spans="1:16" ht="26.25" customHeight="1" x14ac:dyDescent="0.2">
      <c r="A30" s="100"/>
      <c r="B30" s="100"/>
      <c r="C30" s="65" t="s">
        <v>4535</v>
      </c>
      <c r="D30" s="70" t="s">
        <v>57</v>
      </c>
      <c r="E30" s="12">
        <v>44553</v>
      </c>
      <c r="F30" s="68" t="s">
        <v>58</v>
      </c>
      <c r="G30" s="12">
        <v>44559</v>
      </c>
      <c r="H30" s="69" t="s">
        <v>4687</v>
      </c>
      <c r="I30" s="15">
        <v>60</v>
      </c>
      <c r="J30" s="15">
        <v>45</v>
      </c>
      <c r="K30" s="15">
        <v>23</v>
      </c>
      <c r="L30" s="15">
        <v>5</v>
      </c>
      <c r="M30" s="73">
        <v>15.525</v>
      </c>
      <c r="N30" s="104">
        <v>15.525</v>
      </c>
      <c r="O30" s="57">
        <v>7000</v>
      </c>
      <c r="P30" s="58">
        <f t="shared" si="0"/>
        <v>108675</v>
      </c>
    </row>
    <row r="31" spans="1:16" ht="26.25" customHeight="1" x14ac:dyDescent="0.2">
      <c r="A31" s="100"/>
      <c r="B31" s="100"/>
      <c r="C31" s="65" t="s">
        <v>4536</v>
      </c>
      <c r="D31" s="70" t="s">
        <v>57</v>
      </c>
      <c r="E31" s="12">
        <v>44553</v>
      </c>
      <c r="F31" s="68" t="s">
        <v>58</v>
      </c>
      <c r="G31" s="12">
        <v>44559</v>
      </c>
      <c r="H31" s="69" t="s">
        <v>4687</v>
      </c>
      <c r="I31" s="15">
        <v>13</v>
      </c>
      <c r="J31" s="15">
        <v>9</v>
      </c>
      <c r="K31" s="15">
        <v>5</v>
      </c>
      <c r="L31" s="15">
        <v>1</v>
      </c>
      <c r="M31" s="73">
        <v>0.14624999999999999</v>
      </c>
      <c r="N31" s="104">
        <v>1</v>
      </c>
      <c r="O31" s="57">
        <v>7000</v>
      </c>
      <c r="P31" s="58">
        <f t="shared" si="0"/>
        <v>7000</v>
      </c>
    </row>
    <row r="32" spans="1:16" ht="26.25" customHeight="1" x14ac:dyDescent="0.2">
      <c r="A32" s="100"/>
      <c r="B32" s="100"/>
      <c r="C32" s="65" t="s">
        <v>4537</v>
      </c>
      <c r="D32" s="70" t="s">
        <v>57</v>
      </c>
      <c r="E32" s="12">
        <v>44553</v>
      </c>
      <c r="F32" s="68" t="s">
        <v>58</v>
      </c>
      <c r="G32" s="12">
        <v>44559</v>
      </c>
      <c r="H32" s="69" t="s">
        <v>4687</v>
      </c>
      <c r="I32" s="15">
        <v>32</v>
      </c>
      <c r="J32" s="15">
        <v>30</v>
      </c>
      <c r="K32" s="15">
        <v>25</v>
      </c>
      <c r="L32" s="15">
        <v>10</v>
      </c>
      <c r="M32" s="73">
        <v>6</v>
      </c>
      <c r="N32" s="104">
        <v>10</v>
      </c>
      <c r="O32" s="57">
        <v>7000</v>
      </c>
      <c r="P32" s="58">
        <f t="shared" si="0"/>
        <v>70000</v>
      </c>
    </row>
    <row r="33" spans="1:16" ht="26.25" customHeight="1" x14ac:dyDescent="0.2">
      <c r="A33" s="100"/>
      <c r="B33" s="100"/>
      <c r="C33" s="65" t="s">
        <v>4538</v>
      </c>
      <c r="D33" s="70" t="s">
        <v>57</v>
      </c>
      <c r="E33" s="12">
        <v>44553</v>
      </c>
      <c r="F33" s="68" t="s">
        <v>58</v>
      </c>
      <c r="G33" s="12">
        <v>44559</v>
      </c>
      <c r="H33" s="69" t="s">
        <v>4687</v>
      </c>
      <c r="I33" s="15">
        <v>56</v>
      </c>
      <c r="J33" s="15">
        <v>45</v>
      </c>
      <c r="K33" s="15">
        <v>23</v>
      </c>
      <c r="L33" s="15">
        <v>8</v>
      </c>
      <c r="M33" s="73">
        <v>14.49</v>
      </c>
      <c r="N33" s="104">
        <v>15</v>
      </c>
      <c r="O33" s="57">
        <v>7000</v>
      </c>
      <c r="P33" s="58">
        <f t="shared" si="0"/>
        <v>105000</v>
      </c>
    </row>
    <row r="34" spans="1:16" ht="26.25" customHeight="1" x14ac:dyDescent="0.2">
      <c r="A34" s="100"/>
      <c r="B34" s="100"/>
      <c r="C34" s="65" t="s">
        <v>4539</v>
      </c>
      <c r="D34" s="70" t="s">
        <v>57</v>
      </c>
      <c r="E34" s="12">
        <v>44553</v>
      </c>
      <c r="F34" s="68" t="s">
        <v>58</v>
      </c>
      <c r="G34" s="12">
        <v>44559</v>
      </c>
      <c r="H34" s="69" t="s">
        <v>4687</v>
      </c>
      <c r="I34" s="15">
        <v>37</v>
      </c>
      <c r="J34" s="15">
        <v>31</v>
      </c>
      <c r="K34" s="15">
        <v>23</v>
      </c>
      <c r="L34" s="15">
        <v>2</v>
      </c>
      <c r="M34" s="73">
        <v>6.5952500000000001</v>
      </c>
      <c r="N34" s="104">
        <v>6.5952500000000001</v>
      </c>
      <c r="O34" s="57">
        <v>7000</v>
      </c>
      <c r="P34" s="58">
        <f t="shared" si="0"/>
        <v>46166.75</v>
      </c>
    </row>
    <row r="35" spans="1:16" ht="26.25" customHeight="1" x14ac:dyDescent="0.2">
      <c r="A35" s="100"/>
      <c r="B35" s="100"/>
      <c r="C35" s="65" t="s">
        <v>4540</v>
      </c>
      <c r="D35" s="70" t="s">
        <v>57</v>
      </c>
      <c r="E35" s="12">
        <v>44553</v>
      </c>
      <c r="F35" s="68" t="s">
        <v>58</v>
      </c>
      <c r="G35" s="12">
        <v>44559</v>
      </c>
      <c r="H35" s="69" t="s">
        <v>4687</v>
      </c>
      <c r="I35" s="15">
        <v>70</v>
      </c>
      <c r="J35" s="15">
        <v>50</v>
      </c>
      <c r="K35" s="15">
        <v>34</v>
      </c>
      <c r="L35" s="15">
        <v>28</v>
      </c>
      <c r="M35" s="73">
        <v>29.75</v>
      </c>
      <c r="N35" s="104">
        <v>29.75</v>
      </c>
      <c r="O35" s="57">
        <v>7000</v>
      </c>
      <c r="P35" s="58">
        <f t="shared" si="0"/>
        <v>208250</v>
      </c>
    </row>
    <row r="36" spans="1:16" ht="26.25" customHeight="1" x14ac:dyDescent="0.2">
      <c r="A36" s="100"/>
      <c r="B36" s="100"/>
      <c r="C36" s="65" t="s">
        <v>4541</v>
      </c>
      <c r="D36" s="70" t="s">
        <v>57</v>
      </c>
      <c r="E36" s="12">
        <v>44553</v>
      </c>
      <c r="F36" s="68" t="s">
        <v>58</v>
      </c>
      <c r="G36" s="12">
        <v>44559</v>
      </c>
      <c r="H36" s="69" t="s">
        <v>4687</v>
      </c>
      <c r="I36" s="15">
        <v>91</v>
      </c>
      <c r="J36" s="15">
        <v>65</v>
      </c>
      <c r="K36" s="15">
        <v>5</v>
      </c>
      <c r="L36" s="15">
        <v>11</v>
      </c>
      <c r="M36" s="73">
        <v>7.3937499999999998</v>
      </c>
      <c r="N36" s="104">
        <v>11</v>
      </c>
      <c r="O36" s="57">
        <v>7000</v>
      </c>
      <c r="P36" s="58">
        <f t="shared" si="0"/>
        <v>77000</v>
      </c>
    </row>
    <row r="37" spans="1:16" ht="26.25" customHeight="1" x14ac:dyDescent="0.2">
      <c r="A37" s="100"/>
      <c r="B37" s="100"/>
      <c r="C37" s="65" t="s">
        <v>4542</v>
      </c>
      <c r="D37" s="70" t="s">
        <v>57</v>
      </c>
      <c r="E37" s="12">
        <v>44553</v>
      </c>
      <c r="F37" s="68" t="s">
        <v>58</v>
      </c>
      <c r="G37" s="12">
        <v>44559</v>
      </c>
      <c r="H37" s="69" t="s">
        <v>4687</v>
      </c>
      <c r="I37" s="15">
        <v>52</v>
      </c>
      <c r="J37" s="15">
        <v>42</v>
      </c>
      <c r="K37" s="15">
        <v>13</v>
      </c>
      <c r="L37" s="15">
        <v>9</v>
      </c>
      <c r="M37" s="73">
        <v>7.0979999999999999</v>
      </c>
      <c r="N37" s="104">
        <v>9</v>
      </c>
      <c r="O37" s="57">
        <v>7000</v>
      </c>
      <c r="P37" s="58">
        <f t="shared" si="0"/>
        <v>63000</v>
      </c>
    </row>
    <row r="38" spans="1:16" ht="26.25" customHeight="1" x14ac:dyDescent="0.2">
      <c r="A38" s="100"/>
      <c r="B38" s="100"/>
      <c r="C38" s="65" t="s">
        <v>4543</v>
      </c>
      <c r="D38" s="70" t="s">
        <v>57</v>
      </c>
      <c r="E38" s="12">
        <v>44553</v>
      </c>
      <c r="F38" s="68" t="s">
        <v>58</v>
      </c>
      <c r="G38" s="12">
        <v>44559</v>
      </c>
      <c r="H38" s="69" t="s">
        <v>4687</v>
      </c>
      <c r="I38" s="15">
        <v>101</v>
      </c>
      <c r="J38" s="15">
        <v>61</v>
      </c>
      <c r="K38" s="15">
        <v>34</v>
      </c>
      <c r="L38" s="15">
        <v>34</v>
      </c>
      <c r="M38" s="73">
        <v>52.368499999999997</v>
      </c>
      <c r="N38" s="104">
        <v>53</v>
      </c>
      <c r="O38" s="57">
        <v>7000</v>
      </c>
      <c r="P38" s="58">
        <f t="shared" si="0"/>
        <v>371000</v>
      </c>
    </row>
    <row r="39" spans="1:16" ht="26.25" customHeight="1" x14ac:dyDescent="0.2">
      <c r="A39" s="100"/>
      <c r="B39" s="100"/>
      <c r="C39" s="65" t="s">
        <v>4544</v>
      </c>
      <c r="D39" s="70" t="s">
        <v>57</v>
      </c>
      <c r="E39" s="12">
        <v>44553</v>
      </c>
      <c r="F39" s="68" t="s">
        <v>58</v>
      </c>
      <c r="G39" s="12">
        <v>44559</v>
      </c>
      <c r="H39" s="69" t="s">
        <v>4687</v>
      </c>
      <c r="I39" s="15">
        <v>50</v>
      </c>
      <c r="J39" s="15">
        <v>43</v>
      </c>
      <c r="K39" s="15">
        <v>23</v>
      </c>
      <c r="L39" s="15">
        <v>3</v>
      </c>
      <c r="M39" s="73">
        <v>12.362500000000001</v>
      </c>
      <c r="N39" s="104">
        <v>13</v>
      </c>
      <c r="O39" s="57">
        <v>7000</v>
      </c>
      <c r="P39" s="58">
        <f t="shared" si="0"/>
        <v>91000</v>
      </c>
    </row>
    <row r="40" spans="1:16" ht="26.25" customHeight="1" x14ac:dyDescent="0.2">
      <c r="A40" s="100"/>
      <c r="B40" s="100"/>
      <c r="C40" s="65" t="s">
        <v>4545</v>
      </c>
      <c r="D40" s="70" t="s">
        <v>57</v>
      </c>
      <c r="E40" s="12">
        <v>44553</v>
      </c>
      <c r="F40" s="68" t="s">
        <v>58</v>
      </c>
      <c r="G40" s="12">
        <v>44559</v>
      </c>
      <c r="H40" s="69" t="s">
        <v>4687</v>
      </c>
      <c r="I40" s="15">
        <v>85</v>
      </c>
      <c r="J40" s="15">
        <v>21</v>
      </c>
      <c r="K40" s="15">
        <v>13</v>
      </c>
      <c r="L40" s="15">
        <v>9</v>
      </c>
      <c r="M40" s="73">
        <v>5.8012499999999996</v>
      </c>
      <c r="N40" s="104">
        <v>9</v>
      </c>
      <c r="O40" s="57">
        <v>7000</v>
      </c>
      <c r="P40" s="58">
        <f t="shared" si="0"/>
        <v>63000</v>
      </c>
    </row>
    <row r="41" spans="1:16" ht="26.25" customHeight="1" x14ac:dyDescent="0.2">
      <c r="A41" s="100"/>
      <c r="B41" s="100"/>
      <c r="C41" s="65" t="s">
        <v>4546</v>
      </c>
      <c r="D41" s="70" t="s">
        <v>57</v>
      </c>
      <c r="E41" s="12">
        <v>44553</v>
      </c>
      <c r="F41" s="68" t="s">
        <v>58</v>
      </c>
      <c r="G41" s="12">
        <v>44559</v>
      </c>
      <c r="H41" s="69" t="s">
        <v>4687</v>
      </c>
      <c r="I41" s="15">
        <v>123</v>
      </c>
      <c r="J41" s="15">
        <v>6</v>
      </c>
      <c r="K41" s="15">
        <v>6</v>
      </c>
      <c r="L41" s="15">
        <v>1</v>
      </c>
      <c r="M41" s="73">
        <v>1.107</v>
      </c>
      <c r="N41" s="104">
        <v>1.107</v>
      </c>
      <c r="O41" s="57">
        <v>7000</v>
      </c>
      <c r="P41" s="58">
        <f t="shared" si="0"/>
        <v>7749</v>
      </c>
    </row>
    <row r="42" spans="1:16" ht="26.25" customHeight="1" x14ac:dyDescent="0.2">
      <c r="A42" s="100"/>
      <c r="B42" s="100"/>
      <c r="C42" s="65" t="s">
        <v>4547</v>
      </c>
      <c r="D42" s="70" t="s">
        <v>57</v>
      </c>
      <c r="E42" s="12">
        <v>44553</v>
      </c>
      <c r="F42" s="68" t="s">
        <v>58</v>
      </c>
      <c r="G42" s="12">
        <v>44559</v>
      </c>
      <c r="H42" s="69" t="s">
        <v>4687</v>
      </c>
      <c r="I42" s="15">
        <v>40</v>
      </c>
      <c r="J42" s="15">
        <v>40</v>
      </c>
      <c r="K42" s="15">
        <v>32</v>
      </c>
      <c r="L42" s="15">
        <v>5</v>
      </c>
      <c r="M42" s="73">
        <v>12.8</v>
      </c>
      <c r="N42" s="104">
        <v>12.8</v>
      </c>
      <c r="O42" s="57">
        <v>7000</v>
      </c>
      <c r="P42" s="58">
        <f t="shared" si="0"/>
        <v>89600</v>
      </c>
    </row>
    <row r="43" spans="1:16" ht="26.25" customHeight="1" x14ac:dyDescent="0.2">
      <c r="A43" s="100"/>
      <c r="B43" s="100"/>
      <c r="C43" s="65" t="s">
        <v>4548</v>
      </c>
      <c r="D43" s="70" t="s">
        <v>57</v>
      </c>
      <c r="E43" s="12">
        <v>44553</v>
      </c>
      <c r="F43" s="68" t="s">
        <v>58</v>
      </c>
      <c r="G43" s="12">
        <v>44559</v>
      </c>
      <c r="H43" s="69" t="s">
        <v>4687</v>
      </c>
      <c r="I43" s="15">
        <v>41</v>
      </c>
      <c r="J43" s="15">
        <v>31</v>
      </c>
      <c r="K43" s="15">
        <v>23</v>
      </c>
      <c r="L43" s="15">
        <v>6</v>
      </c>
      <c r="M43" s="73">
        <v>7.3082500000000001</v>
      </c>
      <c r="N43" s="104">
        <v>8</v>
      </c>
      <c r="O43" s="57">
        <v>7000</v>
      </c>
      <c r="P43" s="58">
        <f t="shared" si="0"/>
        <v>56000</v>
      </c>
    </row>
    <row r="44" spans="1:16" ht="26.25" customHeight="1" x14ac:dyDescent="0.2">
      <c r="A44" s="100"/>
      <c r="B44" s="100"/>
      <c r="C44" s="65" t="s">
        <v>4549</v>
      </c>
      <c r="D44" s="70" t="s">
        <v>57</v>
      </c>
      <c r="E44" s="12">
        <v>44553</v>
      </c>
      <c r="F44" s="68" t="s">
        <v>58</v>
      </c>
      <c r="G44" s="12">
        <v>44559</v>
      </c>
      <c r="H44" s="69" t="s">
        <v>4687</v>
      </c>
      <c r="I44" s="15">
        <v>76</v>
      </c>
      <c r="J44" s="15">
        <v>45</v>
      </c>
      <c r="K44" s="15">
        <v>7</v>
      </c>
      <c r="L44" s="15">
        <v>2</v>
      </c>
      <c r="M44" s="73">
        <v>5.9850000000000003</v>
      </c>
      <c r="N44" s="104">
        <v>5.9850000000000003</v>
      </c>
      <c r="O44" s="57">
        <v>7000</v>
      </c>
      <c r="P44" s="58">
        <f t="shared" si="0"/>
        <v>41895</v>
      </c>
    </row>
    <row r="45" spans="1:16" ht="26.25" customHeight="1" x14ac:dyDescent="0.2">
      <c r="A45" s="100"/>
      <c r="B45" s="100"/>
      <c r="C45" s="65" t="s">
        <v>4550</v>
      </c>
      <c r="D45" s="70" t="s">
        <v>57</v>
      </c>
      <c r="E45" s="12">
        <v>44553</v>
      </c>
      <c r="F45" s="68" t="s">
        <v>58</v>
      </c>
      <c r="G45" s="12">
        <v>44559</v>
      </c>
      <c r="H45" s="69" t="s">
        <v>4687</v>
      </c>
      <c r="I45" s="15">
        <v>34</v>
      </c>
      <c r="J45" s="15">
        <v>24</v>
      </c>
      <c r="K45" s="15">
        <v>23</v>
      </c>
      <c r="L45" s="15">
        <v>5</v>
      </c>
      <c r="M45" s="73">
        <v>4.6920000000000002</v>
      </c>
      <c r="N45" s="104">
        <v>5</v>
      </c>
      <c r="O45" s="57">
        <v>7000</v>
      </c>
      <c r="P45" s="58">
        <f t="shared" si="0"/>
        <v>35000</v>
      </c>
    </row>
    <row r="46" spans="1:16" ht="26.25" customHeight="1" x14ac:dyDescent="0.2">
      <c r="A46" s="100"/>
      <c r="B46" s="100"/>
      <c r="C46" s="65" t="s">
        <v>4551</v>
      </c>
      <c r="D46" s="70" t="s">
        <v>57</v>
      </c>
      <c r="E46" s="12">
        <v>44553</v>
      </c>
      <c r="F46" s="68" t="s">
        <v>58</v>
      </c>
      <c r="G46" s="12">
        <v>44559</v>
      </c>
      <c r="H46" s="69" t="s">
        <v>4687</v>
      </c>
      <c r="I46" s="15">
        <v>42</v>
      </c>
      <c r="J46" s="15">
        <v>26</v>
      </c>
      <c r="K46" s="15">
        <v>24</v>
      </c>
      <c r="L46" s="15">
        <v>4</v>
      </c>
      <c r="M46" s="73">
        <v>6.5519999999999996</v>
      </c>
      <c r="N46" s="104">
        <v>6.5519999999999996</v>
      </c>
      <c r="O46" s="57">
        <v>7000</v>
      </c>
      <c r="P46" s="58">
        <f t="shared" si="0"/>
        <v>45864</v>
      </c>
    </row>
    <row r="47" spans="1:16" ht="26.25" customHeight="1" x14ac:dyDescent="0.2">
      <c r="A47" s="100"/>
      <c r="B47" s="100"/>
      <c r="C47" s="65" t="s">
        <v>4552</v>
      </c>
      <c r="D47" s="70" t="s">
        <v>57</v>
      </c>
      <c r="E47" s="12">
        <v>44553</v>
      </c>
      <c r="F47" s="68" t="s">
        <v>58</v>
      </c>
      <c r="G47" s="12">
        <v>44559</v>
      </c>
      <c r="H47" s="69" t="s">
        <v>4687</v>
      </c>
      <c r="I47" s="15">
        <v>48</v>
      </c>
      <c r="J47" s="15">
        <v>31</v>
      </c>
      <c r="K47" s="15">
        <v>13</v>
      </c>
      <c r="L47" s="15">
        <v>3</v>
      </c>
      <c r="M47" s="73">
        <v>4.8360000000000003</v>
      </c>
      <c r="N47" s="104">
        <v>4.8360000000000003</v>
      </c>
      <c r="O47" s="57">
        <v>7000</v>
      </c>
      <c r="P47" s="58">
        <f t="shared" si="0"/>
        <v>33852</v>
      </c>
    </row>
    <row r="48" spans="1:16" ht="26.25" customHeight="1" x14ac:dyDescent="0.2">
      <c r="A48" s="100"/>
      <c r="B48" s="100"/>
      <c r="C48" s="65" t="s">
        <v>4553</v>
      </c>
      <c r="D48" s="70" t="s">
        <v>57</v>
      </c>
      <c r="E48" s="12">
        <v>44553</v>
      </c>
      <c r="F48" s="68" t="s">
        <v>58</v>
      </c>
      <c r="G48" s="12">
        <v>44559</v>
      </c>
      <c r="H48" s="69" t="s">
        <v>4687</v>
      </c>
      <c r="I48" s="15">
        <v>68</v>
      </c>
      <c r="J48" s="15">
        <v>60</v>
      </c>
      <c r="K48" s="15">
        <v>23</v>
      </c>
      <c r="L48" s="15">
        <v>11</v>
      </c>
      <c r="M48" s="73">
        <v>23.46</v>
      </c>
      <c r="N48" s="104">
        <v>24</v>
      </c>
      <c r="O48" s="57">
        <v>7000</v>
      </c>
      <c r="P48" s="58">
        <f t="shared" si="0"/>
        <v>168000</v>
      </c>
    </row>
    <row r="49" spans="1:16" ht="26.25" customHeight="1" x14ac:dyDescent="0.2">
      <c r="A49" s="100"/>
      <c r="B49" s="100"/>
      <c r="C49" s="65" t="s">
        <v>4554</v>
      </c>
      <c r="D49" s="70" t="s">
        <v>57</v>
      </c>
      <c r="E49" s="12">
        <v>44553</v>
      </c>
      <c r="F49" s="68" t="s">
        <v>58</v>
      </c>
      <c r="G49" s="12">
        <v>44559</v>
      </c>
      <c r="H49" s="69" t="s">
        <v>4687</v>
      </c>
      <c r="I49" s="15">
        <v>40</v>
      </c>
      <c r="J49" s="15">
        <v>41</v>
      </c>
      <c r="K49" s="15">
        <v>14</v>
      </c>
      <c r="L49" s="15">
        <v>2</v>
      </c>
      <c r="M49" s="73">
        <v>5.74</v>
      </c>
      <c r="N49" s="104">
        <v>5.74</v>
      </c>
      <c r="O49" s="57">
        <v>7000</v>
      </c>
      <c r="P49" s="58">
        <f t="shared" si="0"/>
        <v>40180</v>
      </c>
    </row>
    <row r="50" spans="1:16" ht="26.25" customHeight="1" x14ac:dyDescent="0.2">
      <c r="A50" s="100"/>
      <c r="B50" s="100"/>
      <c r="C50" s="65" t="s">
        <v>4555</v>
      </c>
      <c r="D50" s="70" t="s">
        <v>57</v>
      </c>
      <c r="E50" s="12">
        <v>44553</v>
      </c>
      <c r="F50" s="68" t="s">
        <v>58</v>
      </c>
      <c r="G50" s="12">
        <v>44559</v>
      </c>
      <c r="H50" s="69" t="s">
        <v>4687</v>
      </c>
      <c r="I50" s="15">
        <v>237</v>
      </c>
      <c r="J50" s="15">
        <v>21</v>
      </c>
      <c r="K50" s="15">
        <v>42</v>
      </c>
      <c r="L50" s="15">
        <v>20</v>
      </c>
      <c r="M50" s="73">
        <v>52.258499999999998</v>
      </c>
      <c r="N50" s="104">
        <v>52.258499999999998</v>
      </c>
      <c r="O50" s="57">
        <v>7000</v>
      </c>
      <c r="P50" s="58">
        <f t="shared" si="0"/>
        <v>365809.5</v>
      </c>
    </row>
    <row r="51" spans="1:16" ht="26.25" customHeight="1" x14ac:dyDescent="0.2">
      <c r="A51" s="100"/>
      <c r="B51" s="100"/>
      <c r="C51" s="65" t="s">
        <v>4556</v>
      </c>
      <c r="D51" s="70" t="s">
        <v>57</v>
      </c>
      <c r="E51" s="12">
        <v>44553</v>
      </c>
      <c r="F51" s="68" t="s">
        <v>58</v>
      </c>
      <c r="G51" s="12">
        <v>44559</v>
      </c>
      <c r="H51" s="69" t="s">
        <v>4687</v>
      </c>
      <c r="I51" s="15">
        <v>70</v>
      </c>
      <c r="J51" s="15">
        <v>43</v>
      </c>
      <c r="K51" s="15">
        <v>30</v>
      </c>
      <c r="L51" s="15">
        <v>14</v>
      </c>
      <c r="M51" s="73">
        <v>22.574999999999999</v>
      </c>
      <c r="N51" s="104">
        <v>22.574999999999999</v>
      </c>
      <c r="O51" s="57">
        <v>7000</v>
      </c>
      <c r="P51" s="58">
        <f t="shared" si="0"/>
        <v>158025</v>
      </c>
    </row>
    <row r="52" spans="1:16" ht="26.25" customHeight="1" x14ac:dyDescent="0.2">
      <c r="A52" s="100"/>
      <c r="B52" s="100"/>
      <c r="C52" s="65" t="s">
        <v>4557</v>
      </c>
      <c r="D52" s="70" t="s">
        <v>57</v>
      </c>
      <c r="E52" s="12">
        <v>44553</v>
      </c>
      <c r="F52" s="68" t="s">
        <v>58</v>
      </c>
      <c r="G52" s="12">
        <v>44559</v>
      </c>
      <c r="H52" s="69" t="s">
        <v>4687</v>
      </c>
      <c r="I52" s="15">
        <v>84</v>
      </c>
      <c r="J52" s="15">
        <v>58</v>
      </c>
      <c r="K52" s="15">
        <v>24</v>
      </c>
      <c r="L52" s="15">
        <v>14</v>
      </c>
      <c r="M52" s="73">
        <v>29.231999999999999</v>
      </c>
      <c r="N52" s="104">
        <v>29.231999999999999</v>
      </c>
      <c r="O52" s="57">
        <v>7000</v>
      </c>
      <c r="P52" s="58">
        <f t="shared" si="0"/>
        <v>204624</v>
      </c>
    </row>
    <row r="53" spans="1:16" ht="26.25" customHeight="1" x14ac:dyDescent="0.2">
      <c r="A53" s="100"/>
      <c r="B53" s="100"/>
      <c r="C53" s="65" t="s">
        <v>4558</v>
      </c>
      <c r="D53" s="70" t="s">
        <v>57</v>
      </c>
      <c r="E53" s="12">
        <v>44553</v>
      </c>
      <c r="F53" s="68" t="s">
        <v>58</v>
      </c>
      <c r="G53" s="12">
        <v>44559</v>
      </c>
      <c r="H53" s="69" t="s">
        <v>4687</v>
      </c>
      <c r="I53" s="15">
        <v>100</v>
      </c>
      <c r="J53" s="15">
        <v>52</v>
      </c>
      <c r="K53" s="15">
        <v>31</v>
      </c>
      <c r="L53" s="15">
        <v>23</v>
      </c>
      <c r="M53" s="73">
        <v>40.299999999999997</v>
      </c>
      <c r="N53" s="104">
        <v>41</v>
      </c>
      <c r="O53" s="57">
        <v>7000</v>
      </c>
      <c r="P53" s="58">
        <f t="shared" si="0"/>
        <v>287000</v>
      </c>
    </row>
    <row r="54" spans="1:16" ht="26.25" customHeight="1" x14ac:dyDescent="0.2">
      <c r="A54" s="100"/>
      <c r="B54" s="100"/>
      <c r="C54" s="65" t="s">
        <v>4559</v>
      </c>
      <c r="D54" s="70" t="s">
        <v>57</v>
      </c>
      <c r="E54" s="12">
        <v>44553</v>
      </c>
      <c r="F54" s="68" t="s">
        <v>58</v>
      </c>
      <c r="G54" s="12">
        <v>44559</v>
      </c>
      <c r="H54" s="69" t="s">
        <v>4687</v>
      </c>
      <c r="I54" s="15">
        <v>71</v>
      </c>
      <c r="J54" s="15">
        <v>54</v>
      </c>
      <c r="K54" s="15">
        <v>22</v>
      </c>
      <c r="L54" s="15">
        <v>10</v>
      </c>
      <c r="M54" s="73">
        <v>21.087</v>
      </c>
      <c r="N54" s="104">
        <v>21.087</v>
      </c>
      <c r="O54" s="57">
        <v>7000</v>
      </c>
      <c r="P54" s="58">
        <f t="shared" si="0"/>
        <v>147609</v>
      </c>
    </row>
    <row r="55" spans="1:16" ht="26.25" customHeight="1" x14ac:dyDescent="0.2">
      <c r="A55" s="100"/>
      <c r="B55" s="100"/>
      <c r="C55" s="65" t="s">
        <v>4560</v>
      </c>
      <c r="D55" s="70" t="s">
        <v>57</v>
      </c>
      <c r="E55" s="12">
        <v>44553</v>
      </c>
      <c r="F55" s="68" t="s">
        <v>58</v>
      </c>
      <c r="G55" s="12">
        <v>44559</v>
      </c>
      <c r="H55" s="69" t="s">
        <v>4687</v>
      </c>
      <c r="I55" s="15">
        <v>93</v>
      </c>
      <c r="J55" s="15">
        <v>57</v>
      </c>
      <c r="K55" s="15">
        <v>24</v>
      </c>
      <c r="L55" s="15">
        <v>10</v>
      </c>
      <c r="M55" s="73">
        <v>31.806000000000001</v>
      </c>
      <c r="N55" s="104">
        <v>31.806000000000001</v>
      </c>
      <c r="O55" s="57">
        <v>7000</v>
      </c>
      <c r="P55" s="58">
        <f t="shared" si="0"/>
        <v>222642</v>
      </c>
    </row>
    <row r="56" spans="1:16" ht="26.25" customHeight="1" x14ac:dyDescent="0.2">
      <c r="A56" s="100"/>
      <c r="B56" s="100"/>
      <c r="C56" s="65" t="s">
        <v>4561</v>
      </c>
      <c r="D56" s="70" t="s">
        <v>57</v>
      </c>
      <c r="E56" s="12">
        <v>44553</v>
      </c>
      <c r="F56" s="68" t="s">
        <v>58</v>
      </c>
      <c r="G56" s="12">
        <v>44559</v>
      </c>
      <c r="H56" s="69" t="s">
        <v>4687</v>
      </c>
      <c r="I56" s="15">
        <v>90</v>
      </c>
      <c r="J56" s="15">
        <v>60</v>
      </c>
      <c r="K56" s="15">
        <v>23</v>
      </c>
      <c r="L56" s="15">
        <v>19</v>
      </c>
      <c r="M56" s="73">
        <v>31.05</v>
      </c>
      <c r="N56" s="104">
        <v>31.05</v>
      </c>
      <c r="O56" s="57">
        <v>7000</v>
      </c>
      <c r="P56" s="58">
        <f t="shared" si="0"/>
        <v>217350</v>
      </c>
    </row>
    <row r="57" spans="1:16" ht="26.25" customHeight="1" x14ac:dyDescent="0.2">
      <c r="A57" s="100"/>
      <c r="B57" s="100"/>
      <c r="C57" s="65" t="s">
        <v>4562</v>
      </c>
      <c r="D57" s="70" t="s">
        <v>57</v>
      </c>
      <c r="E57" s="12">
        <v>44553</v>
      </c>
      <c r="F57" s="68" t="s">
        <v>58</v>
      </c>
      <c r="G57" s="12">
        <v>44559</v>
      </c>
      <c r="H57" s="69" t="s">
        <v>4687</v>
      </c>
      <c r="I57" s="15">
        <v>77</v>
      </c>
      <c r="J57" s="15">
        <v>50</v>
      </c>
      <c r="K57" s="15">
        <v>20</v>
      </c>
      <c r="L57" s="15">
        <v>9</v>
      </c>
      <c r="M57" s="73">
        <v>19.25</v>
      </c>
      <c r="N57" s="104">
        <v>19.25</v>
      </c>
      <c r="O57" s="57">
        <v>7000</v>
      </c>
      <c r="P57" s="58">
        <f t="shared" si="0"/>
        <v>134750</v>
      </c>
    </row>
    <row r="58" spans="1:16" ht="26.25" customHeight="1" x14ac:dyDescent="0.2">
      <c r="A58" s="100"/>
      <c r="B58" s="100"/>
      <c r="C58" s="65" t="s">
        <v>4563</v>
      </c>
      <c r="D58" s="70" t="s">
        <v>57</v>
      </c>
      <c r="E58" s="12">
        <v>44553</v>
      </c>
      <c r="F58" s="68" t="s">
        <v>58</v>
      </c>
      <c r="G58" s="12">
        <v>44559</v>
      </c>
      <c r="H58" s="69" t="s">
        <v>4687</v>
      </c>
      <c r="I58" s="15">
        <v>66</v>
      </c>
      <c r="J58" s="15">
        <v>57</v>
      </c>
      <c r="K58" s="15">
        <v>24</v>
      </c>
      <c r="L58" s="15">
        <v>18</v>
      </c>
      <c r="M58" s="73">
        <v>22.571999999999999</v>
      </c>
      <c r="N58" s="104">
        <v>22.571999999999999</v>
      </c>
      <c r="O58" s="57">
        <v>7000</v>
      </c>
      <c r="P58" s="58">
        <f t="shared" si="0"/>
        <v>158004</v>
      </c>
    </row>
    <row r="59" spans="1:16" ht="26.25" customHeight="1" x14ac:dyDescent="0.2">
      <c r="A59" s="100"/>
      <c r="B59" s="100"/>
      <c r="C59" s="65" t="s">
        <v>4564</v>
      </c>
      <c r="D59" s="70" t="s">
        <v>57</v>
      </c>
      <c r="E59" s="12">
        <v>44553</v>
      </c>
      <c r="F59" s="68" t="s">
        <v>58</v>
      </c>
      <c r="G59" s="12">
        <v>44559</v>
      </c>
      <c r="H59" s="69" t="s">
        <v>4687</v>
      </c>
      <c r="I59" s="15">
        <v>65</v>
      </c>
      <c r="J59" s="15">
        <v>60</v>
      </c>
      <c r="K59" s="15">
        <v>24</v>
      </c>
      <c r="L59" s="15">
        <v>4</v>
      </c>
      <c r="M59" s="73">
        <v>23.4</v>
      </c>
      <c r="N59" s="104">
        <v>24</v>
      </c>
      <c r="O59" s="57">
        <v>7000</v>
      </c>
      <c r="P59" s="58">
        <f t="shared" si="0"/>
        <v>168000</v>
      </c>
    </row>
    <row r="60" spans="1:16" ht="26.25" customHeight="1" x14ac:dyDescent="0.2">
      <c r="A60" s="100"/>
      <c r="B60" s="100"/>
      <c r="C60" s="65" t="s">
        <v>4565</v>
      </c>
      <c r="D60" s="70" t="s">
        <v>57</v>
      </c>
      <c r="E60" s="12">
        <v>44553</v>
      </c>
      <c r="F60" s="68" t="s">
        <v>58</v>
      </c>
      <c r="G60" s="12">
        <v>44559</v>
      </c>
      <c r="H60" s="69" t="s">
        <v>4687</v>
      </c>
      <c r="I60" s="15">
        <v>61</v>
      </c>
      <c r="J60" s="15">
        <v>52</v>
      </c>
      <c r="K60" s="15">
        <v>22</v>
      </c>
      <c r="L60" s="15">
        <v>8</v>
      </c>
      <c r="M60" s="73">
        <v>17.446000000000002</v>
      </c>
      <c r="N60" s="104">
        <v>18</v>
      </c>
      <c r="O60" s="57">
        <v>7000</v>
      </c>
      <c r="P60" s="58">
        <f t="shared" si="0"/>
        <v>126000</v>
      </c>
    </row>
    <row r="61" spans="1:16" ht="26.25" customHeight="1" x14ac:dyDescent="0.2">
      <c r="A61" s="100"/>
      <c r="B61" s="100"/>
      <c r="C61" s="65" t="s">
        <v>4566</v>
      </c>
      <c r="D61" s="70" t="s">
        <v>57</v>
      </c>
      <c r="E61" s="12">
        <v>44553</v>
      </c>
      <c r="F61" s="68" t="s">
        <v>58</v>
      </c>
      <c r="G61" s="12">
        <v>44559</v>
      </c>
      <c r="H61" s="69" t="s">
        <v>4687</v>
      </c>
      <c r="I61" s="15">
        <v>91</v>
      </c>
      <c r="J61" s="15">
        <v>43</v>
      </c>
      <c r="K61" s="15">
        <v>35</v>
      </c>
      <c r="L61" s="15">
        <v>16</v>
      </c>
      <c r="M61" s="73">
        <v>34.238750000000003</v>
      </c>
      <c r="N61" s="104">
        <v>34.238750000000003</v>
      </c>
      <c r="O61" s="57">
        <v>7000</v>
      </c>
      <c r="P61" s="58">
        <f t="shared" si="0"/>
        <v>239671.25000000003</v>
      </c>
    </row>
    <row r="62" spans="1:16" ht="26.25" customHeight="1" x14ac:dyDescent="0.2">
      <c r="A62" s="100"/>
      <c r="B62" s="100"/>
      <c r="C62" s="65" t="s">
        <v>4567</v>
      </c>
      <c r="D62" s="70" t="s">
        <v>57</v>
      </c>
      <c r="E62" s="12">
        <v>44553</v>
      </c>
      <c r="F62" s="68" t="s">
        <v>58</v>
      </c>
      <c r="G62" s="12">
        <v>44559</v>
      </c>
      <c r="H62" s="69" t="s">
        <v>4687</v>
      </c>
      <c r="I62" s="15">
        <v>71</v>
      </c>
      <c r="J62" s="15">
        <v>50</v>
      </c>
      <c r="K62" s="15">
        <v>23</v>
      </c>
      <c r="L62" s="15">
        <v>21</v>
      </c>
      <c r="M62" s="73">
        <v>20.412500000000001</v>
      </c>
      <c r="N62" s="104">
        <v>21</v>
      </c>
      <c r="O62" s="57">
        <v>7000</v>
      </c>
      <c r="P62" s="58">
        <f t="shared" si="0"/>
        <v>147000</v>
      </c>
    </row>
    <row r="63" spans="1:16" ht="26.25" customHeight="1" x14ac:dyDescent="0.2">
      <c r="A63" s="100"/>
      <c r="B63" s="100"/>
      <c r="C63" s="65" t="s">
        <v>4568</v>
      </c>
      <c r="D63" s="70" t="s">
        <v>57</v>
      </c>
      <c r="E63" s="12">
        <v>44553</v>
      </c>
      <c r="F63" s="68" t="s">
        <v>58</v>
      </c>
      <c r="G63" s="12">
        <v>44559</v>
      </c>
      <c r="H63" s="69" t="s">
        <v>4687</v>
      </c>
      <c r="I63" s="15">
        <v>72</v>
      </c>
      <c r="J63" s="15">
        <v>53</v>
      </c>
      <c r="K63" s="15">
        <v>321</v>
      </c>
      <c r="L63" s="15">
        <v>7</v>
      </c>
      <c r="M63" s="73">
        <v>306.23399999999998</v>
      </c>
      <c r="N63" s="104">
        <v>306.23399999999998</v>
      </c>
      <c r="O63" s="57">
        <v>7000</v>
      </c>
      <c r="P63" s="58">
        <f t="shared" si="0"/>
        <v>2143638</v>
      </c>
    </row>
    <row r="64" spans="1:16" ht="26.25" customHeight="1" x14ac:dyDescent="0.2">
      <c r="A64" s="100"/>
      <c r="B64" s="100"/>
      <c r="C64" s="65" t="s">
        <v>4569</v>
      </c>
      <c r="D64" s="70" t="s">
        <v>57</v>
      </c>
      <c r="E64" s="12">
        <v>44553</v>
      </c>
      <c r="F64" s="68" t="s">
        <v>58</v>
      </c>
      <c r="G64" s="12">
        <v>44559</v>
      </c>
      <c r="H64" s="69" t="s">
        <v>4687</v>
      </c>
      <c r="I64" s="15">
        <v>56</v>
      </c>
      <c r="J64" s="15">
        <v>45</v>
      </c>
      <c r="K64" s="15">
        <v>22</v>
      </c>
      <c r="L64" s="15">
        <v>6</v>
      </c>
      <c r="M64" s="73">
        <v>13.86</v>
      </c>
      <c r="N64" s="104">
        <v>13.86</v>
      </c>
      <c r="O64" s="57">
        <v>7000</v>
      </c>
      <c r="P64" s="58">
        <f t="shared" si="0"/>
        <v>97020</v>
      </c>
    </row>
    <row r="65" spans="1:16" ht="26.25" customHeight="1" x14ac:dyDescent="0.2">
      <c r="A65" s="100"/>
      <c r="B65" s="100"/>
      <c r="C65" s="65" t="s">
        <v>4570</v>
      </c>
      <c r="D65" s="70" t="s">
        <v>57</v>
      </c>
      <c r="E65" s="12">
        <v>44553</v>
      </c>
      <c r="F65" s="68" t="s">
        <v>58</v>
      </c>
      <c r="G65" s="12">
        <v>44559</v>
      </c>
      <c r="H65" s="69" t="s">
        <v>4687</v>
      </c>
      <c r="I65" s="15">
        <v>61</v>
      </c>
      <c r="J65" s="15">
        <v>52</v>
      </c>
      <c r="K65" s="15">
        <v>14</v>
      </c>
      <c r="L65" s="15">
        <v>5</v>
      </c>
      <c r="M65" s="73">
        <v>11.102</v>
      </c>
      <c r="N65" s="104">
        <v>11.102</v>
      </c>
      <c r="O65" s="57">
        <v>7000</v>
      </c>
      <c r="P65" s="58">
        <f t="shared" si="0"/>
        <v>77714</v>
      </c>
    </row>
    <row r="66" spans="1:16" ht="26.25" customHeight="1" x14ac:dyDescent="0.2">
      <c r="A66" s="100"/>
      <c r="B66" s="100"/>
      <c r="C66" s="65" t="s">
        <v>4571</v>
      </c>
      <c r="D66" s="70" t="s">
        <v>57</v>
      </c>
      <c r="E66" s="12">
        <v>44553</v>
      </c>
      <c r="F66" s="68" t="s">
        <v>58</v>
      </c>
      <c r="G66" s="12">
        <v>44559</v>
      </c>
      <c r="H66" s="69" t="s">
        <v>4687</v>
      </c>
      <c r="I66" s="15">
        <v>65</v>
      </c>
      <c r="J66" s="15">
        <v>60</v>
      </c>
      <c r="K66" s="15">
        <v>18</v>
      </c>
      <c r="L66" s="15">
        <v>8</v>
      </c>
      <c r="M66" s="73">
        <v>17.55</v>
      </c>
      <c r="N66" s="104">
        <v>17.55</v>
      </c>
      <c r="O66" s="57">
        <v>7000</v>
      </c>
      <c r="P66" s="58">
        <f t="shared" si="0"/>
        <v>122850</v>
      </c>
    </row>
    <row r="67" spans="1:16" ht="26.25" customHeight="1" x14ac:dyDescent="0.2">
      <c r="A67" s="100"/>
      <c r="B67" s="100"/>
      <c r="C67" s="65" t="s">
        <v>4572</v>
      </c>
      <c r="D67" s="70" t="s">
        <v>57</v>
      </c>
      <c r="E67" s="12">
        <v>44553</v>
      </c>
      <c r="F67" s="68" t="s">
        <v>58</v>
      </c>
      <c r="G67" s="12">
        <v>44559</v>
      </c>
      <c r="H67" s="69" t="s">
        <v>4687</v>
      </c>
      <c r="I67" s="15">
        <v>70</v>
      </c>
      <c r="J67" s="15">
        <v>62</v>
      </c>
      <c r="K67" s="15">
        <v>15</v>
      </c>
      <c r="L67" s="15">
        <v>8</v>
      </c>
      <c r="M67" s="73">
        <v>16.274999999999999</v>
      </c>
      <c r="N67" s="104">
        <v>16.274999999999999</v>
      </c>
      <c r="O67" s="57">
        <v>7000</v>
      </c>
      <c r="P67" s="58">
        <f t="shared" ref="P67:P130" si="1">N67*O67</f>
        <v>113924.99999999999</v>
      </c>
    </row>
    <row r="68" spans="1:16" ht="26.25" customHeight="1" x14ac:dyDescent="0.2">
      <c r="A68" s="100"/>
      <c r="B68" s="100"/>
      <c r="C68" s="65" t="s">
        <v>4573</v>
      </c>
      <c r="D68" s="70" t="s">
        <v>57</v>
      </c>
      <c r="E68" s="12">
        <v>44553</v>
      </c>
      <c r="F68" s="68" t="s">
        <v>58</v>
      </c>
      <c r="G68" s="12">
        <v>44559</v>
      </c>
      <c r="H68" s="69" t="s">
        <v>4687</v>
      </c>
      <c r="I68" s="15">
        <v>48</v>
      </c>
      <c r="J68" s="15">
        <v>38</v>
      </c>
      <c r="K68" s="15">
        <v>11</v>
      </c>
      <c r="L68" s="15">
        <v>3</v>
      </c>
      <c r="M68" s="73">
        <v>5.016</v>
      </c>
      <c r="N68" s="104">
        <v>5.016</v>
      </c>
      <c r="O68" s="57">
        <v>7000</v>
      </c>
      <c r="P68" s="58">
        <f t="shared" si="1"/>
        <v>35112</v>
      </c>
    </row>
    <row r="69" spans="1:16" ht="26.25" customHeight="1" x14ac:dyDescent="0.2">
      <c r="A69" s="100"/>
      <c r="B69" s="100"/>
      <c r="C69" s="65" t="s">
        <v>4574</v>
      </c>
      <c r="D69" s="70" t="s">
        <v>57</v>
      </c>
      <c r="E69" s="12">
        <v>44553</v>
      </c>
      <c r="F69" s="68" t="s">
        <v>58</v>
      </c>
      <c r="G69" s="12">
        <v>44559</v>
      </c>
      <c r="H69" s="69" t="s">
        <v>4687</v>
      </c>
      <c r="I69" s="15">
        <v>59</v>
      </c>
      <c r="J69" s="15">
        <v>42</v>
      </c>
      <c r="K69" s="15">
        <v>21</v>
      </c>
      <c r="L69" s="15">
        <v>4</v>
      </c>
      <c r="M69" s="73">
        <v>13.009499999999999</v>
      </c>
      <c r="N69" s="104">
        <v>13.009499999999999</v>
      </c>
      <c r="O69" s="57">
        <v>7000</v>
      </c>
      <c r="P69" s="58">
        <f t="shared" si="1"/>
        <v>91066.5</v>
      </c>
    </row>
    <row r="70" spans="1:16" ht="26.25" customHeight="1" x14ac:dyDescent="0.2">
      <c r="A70" s="100"/>
      <c r="B70" s="100"/>
      <c r="C70" s="65" t="s">
        <v>4575</v>
      </c>
      <c r="D70" s="70" t="s">
        <v>57</v>
      </c>
      <c r="E70" s="12">
        <v>44553</v>
      </c>
      <c r="F70" s="68" t="s">
        <v>58</v>
      </c>
      <c r="G70" s="12">
        <v>44559</v>
      </c>
      <c r="H70" s="69" t="s">
        <v>4687</v>
      </c>
      <c r="I70" s="15">
        <v>80</v>
      </c>
      <c r="J70" s="15">
        <v>67</v>
      </c>
      <c r="K70" s="15">
        <v>16</v>
      </c>
      <c r="L70" s="15">
        <v>15</v>
      </c>
      <c r="M70" s="73">
        <v>21.44</v>
      </c>
      <c r="N70" s="104">
        <v>22</v>
      </c>
      <c r="O70" s="57">
        <v>7000</v>
      </c>
      <c r="P70" s="58">
        <f t="shared" si="1"/>
        <v>154000</v>
      </c>
    </row>
    <row r="71" spans="1:16" ht="26.25" customHeight="1" x14ac:dyDescent="0.2">
      <c r="A71" s="100"/>
      <c r="B71" s="100"/>
      <c r="C71" s="65" t="s">
        <v>4576</v>
      </c>
      <c r="D71" s="70" t="s">
        <v>57</v>
      </c>
      <c r="E71" s="12">
        <v>44553</v>
      </c>
      <c r="F71" s="68" t="s">
        <v>58</v>
      </c>
      <c r="G71" s="12">
        <v>44559</v>
      </c>
      <c r="H71" s="69" t="s">
        <v>4687</v>
      </c>
      <c r="I71" s="15">
        <v>92</v>
      </c>
      <c r="J71" s="15">
        <v>60</v>
      </c>
      <c r="K71" s="15">
        <v>23</v>
      </c>
      <c r="L71" s="15">
        <v>21</v>
      </c>
      <c r="M71" s="73">
        <v>31.74</v>
      </c>
      <c r="N71" s="104">
        <v>31.74</v>
      </c>
      <c r="O71" s="57">
        <v>7000</v>
      </c>
      <c r="P71" s="58">
        <f t="shared" si="1"/>
        <v>222180</v>
      </c>
    </row>
    <row r="72" spans="1:16" ht="26.25" customHeight="1" x14ac:dyDescent="0.2">
      <c r="A72" s="100"/>
      <c r="B72" s="100"/>
      <c r="C72" s="65" t="s">
        <v>4577</v>
      </c>
      <c r="D72" s="70" t="s">
        <v>57</v>
      </c>
      <c r="E72" s="12">
        <v>44553</v>
      </c>
      <c r="F72" s="68" t="s">
        <v>58</v>
      </c>
      <c r="G72" s="12">
        <v>44559</v>
      </c>
      <c r="H72" s="69" t="s">
        <v>4687</v>
      </c>
      <c r="I72" s="15">
        <v>100</v>
      </c>
      <c r="J72" s="15">
        <v>42</v>
      </c>
      <c r="K72" s="15">
        <v>36</v>
      </c>
      <c r="L72" s="15">
        <v>14</v>
      </c>
      <c r="M72" s="73">
        <v>37.799999999999997</v>
      </c>
      <c r="N72" s="104">
        <v>37.799999999999997</v>
      </c>
      <c r="O72" s="57">
        <v>7000</v>
      </c>
      <c r="P72" s="58">
        <f t="shared" si="1"/>
        <v>264600</v>
      </c>
    </row>
    <row r="73" spans="1:16" ht="26.25" customHeight="1" x14ac:dyDescent="0.2">
      <c r="A73" s="100"/>
      <c r="B73" s="100"/>
      <c r="C73" s="65" t="s">
        <v>4578</v>
      </c>
      <c r="D73" s="70" t="s">
        <v>57</v>
      </c>
      <c r="E73" s="12">
        <v>44553</v>
      </c>
      <c r="F73" s="68" t="s">
        <v>58</v>
      </c>
      <c r="G73" s="12">
        <v>44559</v>
      </c>
      <c r="H73" s="69" t="s">
        <v>4687</v>
      </c>
      <c r="I73" s="15">
        <v>60</v>
      </c>
      <c r="J73" s="15">
        <v>53</v>
      </c>
      <c r="K73" s="15">
        <v>21</v>
      </c>
      <c r="L73" s="15">
        <v>11</v>
      </c>
      <c r="M73" s="73">
        <v>16.695</v>
      </c>
      <c r="N73" s="104">
        <v>16.695</v>
      </c>
      <c r="O73" s="57">
        <v>7000</v>
      </c>
      <c r="P73" s="58">
        <f t="shared" si="1"/>
        <v>116865</v>
      </c>
    </row>
    <row r="74" spans="1:16" ht="26.25" customHeight="1" x14ac:dyDescent="0.2">
      <c r="A74" s="100"/>
      <c r="B74" s="100"/>
      <c r="C74" s="65" t="s">
        <v>4579</v>
      </c>
      <c r="D74" s="70" t="s">
        <v>57</v>
      </c>
      <c r="E74" s="12">
        <v>44553</v>
      </c>
      <c r="F74" s="68" t="s">
        <v>58</v>
      </c>
      <c r="G74" s="12">
        <v>44559</v>
      </c>
      <c r="H74" s="69" t="s">
        <v>4687</v>
      </c>
      <c r="I74" s="15">
        <v>98</v>
      </c>
      <c r="J74" s="15">
        <v>45</v>
      </c>
      <c r="K74" s="15">
        <v>35</v>
      </c>
      <c r="L74" s="15">
        <v>14</v>
      </c>
      <c r="M74" s="73">
        <v>38.587499999999999</v>
      </c>
      <c r="N74" s="104">
        <v>38.587499999999999</v>
      </c>
      <c r="O74" s="57">
        <v>7000</v>
      </c>
      <c r="P74" s="58">
        <f t="shared" si="1"/>
        <v>270112.5</v>
      </c>
    </row>
    <row r="75" spans="1:16" ht="26.25" customHeight="1" x14ac:dyDescent="0.2">
      <c r="A75" s="100"/>
      <c r="B75" s="100"/>
      <c r="C75" s="65" t="s">
        <v>4580</v>
      </c>
      <c r="D75" s="70" t="s">
        <v>57</v>
      </c>
      <c r="E75" s="12">
        <v>44553</v>
      </c>
      <c r="F75" s="68" t="s">
        <v>58</v>
      </c>
      <c r="G75" s="12">
        <v>44559</v>
      </c>
      <c r="H75" s="69" t="s">
        <v>4687</v>
      </c>
      <c r="I75" s="15">
        <v>84</v>
      </c>
      <c r="J75" s="15">
        <v>40</v>
      </c>
      <c r="K75" s="15">
        <v>14</v>
      </c>
      <c r="L75" s="15">
        <v>5</v>
      </c>
      <c r="M75" s="73">
        <v>11.76</v>
      </c>
      <c r="N75" s="104">
        <v>11.76</v>
      </c>
      <c r="O75" s="57">
        <v>7000</v>
      </c>
      <c r="P75" s="58">
        <f t="shared" si="1"/>
        <v>82320</v>
      </c>
    </row>
    <row r="76" spans="1:16" ht="26.25" customHeight="1" x14ac:dyDescent="0.2">
      <c r="A76" s="100"/>
      <c r="B76" s="100"/>
      <c r="C76" s="65" t="s">
        <v>4581</v>
      </c>
      <c r="D76" s="70" t="s">
        <v>57</v>
      </c>
      <c r="E76" s="12">
        <v>44553</v>
      </c>
      <c r="F76" s="68" t="s">
        <v>58</v>
      </c>
      <c r="G76" s="12">
        <v>44559</v>
      </c>
      <c r="H76" s="69" t="s">
        <v>4687</v>
      </c>
      <c r="I76" s="15">
        <v>92</v>
      </c>
      <c r="J76" s="15">
        <v>52</v>
      </c>
      <c r="K76" s="15">
        <v>23</v>
      </c>
      <c r="L76" s="15">
        <v>24</v>
      </c>
      <c r="M76" s="73">
        <v>27.507999999999999</v>
      </c>
      <c r="N76" s="104">
        <v>27.507999999999999</v>
      </c>
      <c r="O76" s="57">
        <v>7000</v>
      </c>
      <c r="P76" s="58">
        <f t="shared" si="1"/>
        <v>192556</v>
      </c>
    </row>
    <row r="77" spans="1:16" ht="26.25" customHeight="1" x14ac:dyDescent="0.2">
      <c r="A77" s="100"/>
      <c r="B77" s="100"/>
      <c r="C77" s="65" t="s">
        <v>4582</v>
      </c>
      <c r="D77" s="70" t="s">
        <v>57</v>
      </c>
      <c r="E77" s="12">
        <v>44553</v>
      </c>
      <c r="F77" s="68" t="s">
        <v>58</v>
      </c>
      <c r="G77" s="12">
        <v>44559</v>
      </c>
      <c r="H77" s="69" t="s">
        <v>4687</v>
      </c>
      <c r="I77" s="15">
        <v>82</v>
      </c>
      <c r="J77" s="15">
        <v>60</v>
      </c>
      <c r="K77" s="15">
        <v>27</v>
      </c>
      <c r="L77" s="15">
        <v>16</v>
      </c>
      <c r="M77" s="73">
        <v>33.21</v>
      </c>
      <c r="N77" s="104">
        <v>33.21</v>
      </c>
      <c r="O77" s="57">
        <v>7000</v>
      </c>
      <c r="P77" s="58">
        <f t="shared" si="1"/>
        <v>232470</v>
      </c>
    </row>
    <row r="78" spans="1:16" ht="26.25" customHeight="1" x14ac:dyDescent="0.2">
      <c r="A78" s="100"/>
      <c r="B78" s="100"/>
      <c r="C78" s="65" t="s">
        <v>4583</v>
      </c>
      <c r="D78" s="70" t="s">
        <v>57</v>
      </c>
      <c r="E78" s="12">
        <v>44553</v>
      </c>
      <c r="F78" s="68" t="s">
        <v>58</v>
      </c>
      <c r="G78" s="12">
        <v>44559</v>
      </c>
      <c r="H78" s="69" t="s">
        <v>4687</v>
      </c>
      <c r="I78" s="15">
        <v>40</v>
      </c>
      <c r="J78" s="15">
        <v>37</v>
      </c>
      <c r="K78" s="15">
        <v>27</v>
      </c>
      <c r="L78" s="15">
        <v>9</v>
      </c>
      <c r="M78" s="73">
        <v>9.99</v>
      </c>
      <c r="N78" s="104">
        <v>9.99</v>
      </c>
      <c r="O78" s="57">
        <v>7000</v>
      </c>
      <c r="P78" s="58">
        <f t="shared" si="1"/>
        <v>69930</v>
      </c>
    </row>
    <row r="79" spans="1:16" ht="26.25" customHeight="1" x14ac:dyDescent="0.2">
      <c r="A79" s="100"/>
      <c r="B79" s="100"/>
      <c r="C79" s="65" t="s">
        <v>4584</v>
      </c>
      <c r="D79" s="70" t="s">
        <v>57</v>
      </c>
      <c r="E79" s="12">
        <v>44553</v>
      </c>
      <c r="F79" s="68" t="s">
        <v>58</v>
      </c>
      <c r="G79" s="12">
        <v>44559</v>
      </c>
      <c r="H79" s="69" t="s">
        <v>4687</v>
      </c>
      <c r="I79" s="15">
        <v>73</v>
      </c>
      <c r="J79" s="15">
        <v>28</v>
      </c>
      <c r="K79" s="15">
        <v>18</v>
      </c>
      <c r="L79" s="15">
        <v>9</v>
      </c>
      <c r="M79" s="73">
        <v>9.1980000000000004</v>
      </c>
      <c r="N79" s="104">
        <v>9.1980000000000004</v>
      </c>
      <c r="O79" s="57">
        <v>7000</v>
      </c>
      <c r="P79" s="58">
        <f t="shared" si="1"/>
        <v>64386</v>
      </c>
    </row>
    <row r="80" spans="1:16" ht="26.25" customHeight="1" x14ac:dyDescent="0.2">
      <c r="A80" s="100"/>
      <c r="B80" s="100"/>
      <c r="C80" s="65" t="s">
        <v>4585</v>
      </c>
      <c r="D80" s="70" t="s">
        <v>57</v>
      </c>
      <c r="E80" s="12">
        <v>44553</v>
      </c>
      <c r="F80" s="68" t="s">
        <v>58</v>
      </c>
      <c r="G80" s="12">
        <v>44559</v>
      </c>
      <c r="H80" s="69" t="s">
        <v>4687</v>
      </c>
      <c r="I80" s="15">
        <v>35</v>
      </c>
      <c r="J80" s="15">
        <v>30</v>
      </c>
      <c r="K80" s="15">
        <v>30</v>
      </c>
      <c r="L80" s="15">
        <v>1</v>
      </c>
      <c r="M80" s="73">
        <v>7.875</v>
      </c>
      <c r="N80" s="104">
        <v>7.875</v>
      </c>
      <c r="O80" s="57">
        <v>7000</v>
      </c>
      <c r="P80" s="58">
        <f t="shared" si="1"/>
        <v>55125</v>
      </c>
    </row>
    <row r="81" spans="1:16" ht="26.25" customHeight="1" x14ac:dyDescent="0.2">
      <c r="A81" s="100"/>
      <c r="B81" s="100"/>
      <c r="C81" s="65" t="s">
        <v>4586</v>
      </c>
      <c r="D81" s="70" t="s">
        <v>57</v>
      </c>
      <c r="E81" s="12">
        <v>44553</v>
      </c>
      <c r="F81" s="68" t="s">
        <v>58</v>
      </c>
      <c r="G81" s="12">
        <v>44559</v>
      </c>
      <c r="H81" s="69" t="s">
        <v>4687</v>
      </c>
      <c r="I81" s="15">
        <v>70</v>
      </c>
      <c r="J81" s="15">
        <v>52</v>
      </c>
      <c r="K81" s="15">
        <v>21</v>
      </c>
      <c r="L81" s="15">
        <v>5</v>
      </c>
      <c r="M81" s="73">
        <v>19.11</v>
      </c>
      <c r="N81" s="104">
        <v>19.11</v>
      </c>
      <c r="O81" s="57">
        <v>7000</v>
      </c>
      <c r="P81" s="58">
        <f t="shared" si="1"/>
        <v>133770</v>
      </c>
    </row>
    <row r="82" spans="1:16" ht="26.25" customHeight="1" x14ac:dyDescent="0.2">
      <c r="A82" s="100"/>
      <c r="B82" s="100"/>
      <c r="C82" s="65" t="s">
        <v>4587</v>
      </c>
      <c r="D82" s="70" t="s">
        <v>57</v>
      </c>
      <c r="E82" s="12">
        <v>44553</v>
      </c>
      <c r="F82" s="68" t="s">
        <v>58</v>
      </c>
      <c r="G82" s="12">
        <v>44559</v>
      </c>
      <c r="H82" s="69" t="s">
        <v>4687</v>
      </c>
      <c r="I82" s="15">
        <v>68</v>
      </c>
      <c r="J82" s="15">
        <v>54</v>
      </c>
      <c r="K82" s="15">
        <v>24</v>
      </c>
      <c r="L82" s="15">
        <v>11</v>
      </c>
      <c r="M82" s="73">
        <v>22.032</v>
      </c>
      <c r="N82" s="104">
        <v>22.032</v>
      </c>
      <c r="O82" s="57">
        <v>7000</v>
      </c>
      <c r="P82" s="58">
        <f t="shared" si="1"/>
        <v>154224</v>
      </c>
    </row>
    <row r="83" spans="1:16" ht="26.25" customHeight="1" x14ac:dyDescent="0.2">
      <c r="A83" s="100"/>
      <c r="B83" s="100"/>
      <c r="C83" s="65" t="s">
        <v>4588</v>
      </c>
      <c r="D83" s="70" t="s">
        <v>57</v>
      </c>
      <c r="E83" s="12">
        <v>44553</v>
      </c>
      <c r="F83" s="68" t="s">
        <v>58</v>
      </c>
      <c r="G83" s="12">
        <v>44559</v>
      </c>
      <c r="H83" s="69" t="s">
        <v>4687</v>
      </c>
      <c r="I83" s="15">
        <v>90</v>
      </c>
      <c r="J83" s="15">
        <v>58</v>
      </c>
      <c r="K83" s="15">
        <v>35</v>
      </c>
      <c r="L83" s="15">
        <v>21</v>
      </c>
      <c r="M83" s="73">
        <v>45.674999999999997</v>
      </c>
      <c r="N83" s="104">
        <v>45.674999999999997</v>
      </c>
      <c r="O83" s="57">
        <v>7000</v>
      </c>
      <c r="P83" s="58">
        <f t="shared" si="1"/>
        <v>319725</v>
      </c>
    </row>
    <row r="84" spans="1:16" ht="26.25" customHeight="1" x14ac:dyDescent="0.2">
      <c r="A84" s="100"/>
      <c r="B84" s="100"/>
      <c r="C84" s="65" t="s">
        <v>4589</v>
      </c>
      <c r="D84" s="70" t="s">
        <v>57</v>
      </c>
      <c r="E84" s="12">
        <v>44553</v>
      </c>
      <c r="F84" s="68" t="s">
        <v>58</v>
      </c>
      <c r="G84" s="12">
        <v>44559</v>
      </c>
      <c r="H84" s="69" t="s">
        <v>4687</v>
      </c>
      <c r="I84" s="15">
        <v>92</v>
      </c>
      <c r="J84" s="15">
        <v>60</v>
      </c>
      <c r="K84" s="15">
        <v>32</v>
      </c>
      <c r="L84" s="15">
        <v>19</v>
      </c>
      <c r="M84" s="73">
        <v>44.16</v>
      </c>
      <c r="N84" s="104">
        <v>44.16</v>
      </c>
      <c r="O84" s="57">
        <v>7000</v>
      </c>
      <c r="P84" s="58">
        <f t="shared" si="1"/>
        <v>309120</v>
      </c>
    </row>
    <row r="85" spans="1:16" ht="26.25" customHeight="1" x14ac:dyDescent="0.2">
      <c r="A85" s="100"/>
      <c r="B85" s="100"/>
      <c r="C85" s="65" t="s">
        <v>4590</v>
      </c>
      <c r="D85" s="70" t="s">
        <v>57</v>
      </c>
      <c r="E85" s="12">
        <v>44553</v>
      </c>
      <c r="F85" s="68" t="s">
        <v>58</v>
      </c>
      <c r="G85" s="12">
        <v>44559</v>
      </c>
      <c r="H85" s="69" t="s">
        <v>4687</v>
      </c>
      <c r="I85" s="15">
        <v>62</v>
      </c>
      <c r="J85" s="15">
        <v>50</v>
      </c>
      <c r="K85" s="15">
        <v>18</v>
      </c>
      <c r="L85" s="15">
        <v>11</v>
      </c>
      <c r="M85" s="73">
        <v>13.95</v>
      </c>
      <c r="N85" s="104">
        <v>13.95</v>
      </c>
      <c r="O85" s="57">
        <v>7000</v>
      </c>
      <c r="P85" s="58">
        <f t="shared" si="1"/>
        <v>97650</v>
      </c>
    </row>
    <row r="86" spans="1:16" ht="26.25" customHeight="1" x14ac:dyDescent="0.2">
      <c r="A86" s="100"/>
      <c r="B86" s="100"/>
      <c r="C86" s="65" t="s">
        <v>4591</v>
      </c>
      <c r="D86" s="70" t="s">
        <v>57</v>
      </c>
      <c r="E86" s="12">
        <v>44553</v>
      </c>
      <c r="F86" s="68" t="s">
        <v>58</v>
      </c>
      <c r="G86" s="12">
        <v>44559</v>
      </c>
      <c r="H86" s="69" t="s">
        <v>4687</v>
      </c>
      <c r="I86" s="15">
        <v>75</v>
      </c>
      <c r="J86" s="15">
        <v>50</v>
      </c>
      <c r="K86" s="15">
        <v>13</v>
      </c>
      <c r="L86" s="15">
        <v>10</v>
      </c>
      <c r="M86" s="73">
        <v>12.1875</v>
      </c>
      <c r="N86" s="104">
        <v>12.1875</v>
      </c>
      <c r="O86" s="57">
        <v>7000</v>
      </c>
      <c r="P86" s="58">
        <f t="shared" si="1"/>
        <v>85312.5</v>
      </c>
    </row>
    <row r="87" spans="1:16" ht="26.25" customHeight="1" x14ac:dyDescent="0.2">
      <c r="A87" s="100"/>
      <c r="B87" s="100"/>
      <c r="C87" s="65" t="s">
        <v>4592</v>
      </c>
      <c r="D87" s="70" t="s">
        <v>57</v>
      </c>
      <c r="E87" s="12">
        <v>44553</v>
      </c>
      <c r="F87" s="68" t="s">
        <v>58</v>
      </c>
      <c r="G87" s="12">
        <v>44559</v>
      </c>
      <c r="H87" s="69" t="s">
        <v>4687</v>
      </c>
      <c r="I87" s="15">
        <v>52</v>
      </c>
      <c r="J87" s="15">
        <v>40</v>
      </c>
      <c r="K87" s="15">
        <v>18</v>
      </c>
      <c r="L87" s="15">
        <v>10</v>
      </c>
      <c r="M87" s="73">
        <v>9.36</v>
      </c>
      <c r="N87" s="104">
        <v>10</v>
      </c>
      <c r="O87" s="57">
        <v>7000</v>
      </c>
      <c r="P87" s="58">
        <f t="shared" si="1"/>
        <v>70000</v>
      </c>
    </row>
    <row r="88" spans="1:16" ht="26.25" customHeight="1" x14ac:dyDescent="0.2">
      <c r="A88" s="100"/>
      <c r="B88" s="100"/>
      <c r="C88" s="65" t="s">
        <v>4593</v>
      </c>
      <c r="D88" s="70" t="s">
        <v>57</v>
      </c>
      <c r="E88" s="12">
        <v>44553</v>
      </c>
      <c r="F88" s="68" t="s">
        <v>58</v>
      </c>
      <c r="G88" s="12">
        <v>44559</v>
      </c>
      <c r="H88" s="69" t="s">
        <v>4687</v>
      </c>
      <c r="I88" s="15">
        <v>60</v>
      </c>
      <c r="J88" s="15">
        <v>52</v>
      </c>
      <c r="K88" s="15">
        <v>17</v>
      </c>
      <c r="L88" s="15">
        <v>10</v>
      </c>
      <c r="M88" s="73">
        <v>13.26</v>
      </c>
      <c r="N88" s="104">
        <v>13.26</v>
      </c>
      <c r="O88" s="57">
        <v>7000</v>
      </c>
      <c r="P88" s="58">
        <f t="shared" si="1"/>
        <v>92820</v>
      </c>
    </row>
    <row r="89" spans="1:16" ht="26.25" customHeight="1" x14ac:dyDescent="0.2">
      <c r="A89" s="100"/>
      <c r="B89" s="100"/>
      <c r="C89" s="65" t="s">
        <v>4594</v>
      </c>
      <c r="D89" s="70" t="s">
        <v>57</v>
      </c>
      <c r="E89" s="12">
        <v>44553</v>
      </c>
      <c r="F89" s="68" t="s">
        <v>58</v>
      </c>
      <c r="G89" s="12">
        <v>44559</v>
      </c>
      <c r="H89" s="69" t="s">
        <v>4687</v>
      </c>
      <c r="I89" s="15">
        <v>235</v>
      </c>
      <c r="J89" s="15">
        <v>8</v>
      </c>
      <c r="K89" s="15">
        <v>8</v>
      </c>
      <c r="L89" s="15">
        <v>4</v>
      </c>
      <c r="M89" s="73">
        <v>3.76</v>
      </c>
      <c r="N89" s="104">
        <v>4</v>
      </c>
      <c r="O89" s="57">
        <v>7000</v>
      </c>
      <c r="P89" s="58">
        <f t="shared" si="1"/>
        <v>28000</v>
      </c>
    </row>
    <row r="90" spans="1:16" ht="26.25" customHeight="1" x14ac:dyDescent="0.2">
      <c r="A90" s="100"/>
      <c r="B90" s="100"/>
      <c r="C90" s="65" t="s">
        <v>4595</v>
      </c>
      <c r="D90" s="70" t="s">
        <v>57</v>
      </c>
      <c r="E90" s="12">
        <v>44553</v>
      </c>
      <c r="F90" s="68" t="s">
        <v>58</v>
      </c>
      <c r="G90" s="12">
        <v>44559</v>
      </c>
      <c r="H90" s="69" t="s">
        <v>4687</v>
      </c>
      <c r="I90" s="15">
        <v>72</v>
      </c>
      <c r="J90" s="15">
        <v>45</v>
      </c>
      <c r="K90" s="15">
        <v>16</v>
      </c>
      <c r="L90" s="15">
        <v>6</v>
      </c>
      <c r="M90" s="73">
        <v>12.96</v>
      </c>
      <c r="N90" s="104">
        <v>12.96</v>
      </c>
      <c r="O90" s="57">
        <v>7000</v>
      </c>
      <c r="P90" s="58">
        <f t="shared" si="1"/>
        <v>90720</v>
      </c>
    </row>
    <row r="91" spans="1:16" ht="26.25" customHeight="1" x14ac:dyDescent="0.2">
      <c r="A91" s="100"/>
      <c r="B91" s="100"/>
      <c r="C91" s="65" t="s">
        <v>4596</v>
      </c>
      <c r="D91" s="70" t="s">
        <v>57</v>
      </c>
      <c r="E91" s="12">
        <v>44553</v>
      </c>
      <c r="F91" s="68" t="s">
        <v>58</v>
      </c>
      <c r="G91" s="12">
        <v>44559</v>
      </c>
      <c r="H91" s="69" t="s">
        <v>4687</v>
      </c>
      <c r="I91" s="15">
        <v>85</v>
      </c>
      <c r="J91" s="15">
        <v>52</v>
      </c>
      <c r="K91" s="15">
        <v>34</v>
      </c>
      <c r="L91" s="15">
        <v>17</v>
      </c>
      <c r="M91" s="73">
        <v>37.57</v>
      </c>
      <c r="N91" s="104">
        <v>37.57</v>
      </c>
      <c r="O91" s="57">
        <v>7000</v>
      </c>
      <c r="P91" s="58">
        <f t="shared" si="1"/>
        <v>262990</v>
      </c>
    </row>
    <row r="92" spans="1:16" ht="26.25" customHeight="1" x14ac:dyDescent="0.2">
      <c r="A92" s="100"/>
      <c r="B92" s="100"/>
      <c r="C92" s="65" t="s">
        <v>4597</v>
      </c>
      <c r="D92" s="70" t="s">
        <v>57</v>
      </c>
      <c r="E92" s="12">
        <v>44553</v>
      </c>
      <c r="F92" s="68" t="s">
        <v>58</v>
      </c>
      <c r="G92" s="12">
        <v>44559</v>
      </c>
      <c r="H92" s="69" t="s">
        <v>4687</v>
      </c>
      <c r="I92" s="15">
        <v>82</v>
      </c>
      <c r="J92" s="15">
        <v>63</v>
      </c>
      <c r="K92" s="15">
        <v>20</v>
      </c>
      <c r="L92" s="15">
        <v>24</v>
      </c>
      <c r="M92" s="73">
        <v>25.83</v>
      </c>
      <c r="N92" s="104">
        <v>25.83</v>
      </c>
      <c r="O92" s="57">
        <v>7000</v>
      </c>
      <c r="P92" s="58">
        <f t="shared" si="1"/>
        <v>180810</v>
      </c>
    </row>
    <row r="93" spans="1:16" ht="26.25" customHeight="1" x14ac:dyDescent="0.2">
      <c r="A93" s="100"/>
      <c r="B93" s="100"/>
      <c r="C93" s="65" t="s">
        <v>4598</v>
      </c>
      <c r="D93" s="70" t="s">
        <v>57</v>
      </c>
      <c r="E93" s="12">
        <v>44553</v>
      </c>
      <c r="F93" s="68" t="s">
        <v>58</v>
      </c>
      <c r="G93" s="12">
        <v>44559</v>
      </c>
      <c r="H93" s="69" t="s">
        <v>4687</v>
      </c>
      <c r="I93" s="15">
        <v>54</v>
      </c>
      <c r="J93" s="15">
        <v>40</v>
      </c>
      <c r="K93" s="15">
        <v>17</v>
      </c>
      <c r="L93" s="15">
        <v>4</v>
      </c>
      <c r="M93" s="73">
        <v>9.18</v>
      </c>
      <c r="N93" s="104">
        <v>9.18</v>
      </c>
      <c r="O93" s="57">
        <v>7000</v>
      </c>
      <c r="P93" s="58">
        <f t="shared" si="1"/>
        <v>64260</v>
      </c>
    </row>
    <row r="94" spans="1:16" ht="26.25" customHeight="1" x14ac:dyDescent="0.2">
      <c r="A94" s="100"/>
      <c r="B94" s="100"/>
      <c r="C94" s="65" t="s">
        <v>4599</v>
      </c>
      <c r="D94" s="70" t="s">
        <v>57</v>
      </c>
      <c r="E94" s="12">
        <v>44553</v>
      </c>
      <c r="F94" s="68" t="s">
        <v>58</v>
      </c>
      <c r="G94" s="12">
        <v>44559</v>
      </c>
      <c r="H94" s="69" t="s">
        <v>4687</v>
      </c>
      <c r="I94" s="15">
        <v>75</v>
      </c>
      <c r="J94" s="15">
        <v>61</v>
      </c>
      <c r="K94" s="15">
        <v>23</v>
      </c>
      <c r="L94" s="15">
        <v>11</v>
      </c>
      <c r="M94" s="73">
        <v>26.306249999999999</v>
      </c>
      <c r="N94" s="104">
        <v>27</v>
      </c>
      <c r="O94" s="57">
        <v>7000</v>
      </c>
      <c r="P94" s="58">
        <f t="shared" si="1"/>
        <v>189000</v>
      </c>
    </row>
    <row r="95" spans="1:16" ht="26.25" customHeight="1" x14ac:dyDescent="0.2">
      <c r="A95" s="100"/>
      <c r="B95" s="100"/>
      <c r="C95" s="65" t="s">
        <v>4600</v>
      </c>
      <c r="D95" s="70" t="s">
        <v>57</v>
      </c>
      <c r="E95" s="12">
        <v>44553</v>
      </c>
      <c r="F95" s="68" t="s">
        <v>58</v>
      </c>
      <c r="G95" s="12">
        <v>44559</v>
      </c>
      <c r="H95" s="69" t="s">
        <v>4687</v>
      </c>
      <c r="I95" s="15">
        <v>80</v>
      </c>
      <c r="J95" s="15">
        <v>62</v>
      </c>
      <c r="K95" s="15">
        <v>22</v>
      </c>
      <c r="L95" s="15">
        <v>12</v>
      </c>
      <c r="M95" s="73">
        <v>27.28</v>
      </c>
      <c r="N95" s="104">
        <v>27.28</v>
      </c>
      <c r="O95" s="57">
        <v>7000</v>
      </c>
      <c r="P95" s="58">
        <f t="shared" si="1"/>
        <v>190960</v>
      </c>
    </row>
    <row r="96" spans="1:16" ht="26.25" customHeight="1" x14ac:dyDescent="0.2">
      <c r="A96" s="100"/>
      <c r="B96" s="100"/>
      <c r="C96" s="65" t="s">
        <v>4601</v>
      </c>
      <c r="D96" s="70" t="s">
        <v>57</v>
      </c>
      <c r="E96" s="12">
        <v>44553</v>
      </c>
      <c r="F96" s="68" t="s">
        <v>58</v>
      </c>
      <c r="G96" s="12">
        <v>44559</v>
      </c>
      <c r="H96" s="69" t="s">
        <v>4687</v>
      </c>
      <c r="I96" s="15">
        <v>82</v>
      </c>
      <c r="J96" s="15">
        <v>63</v>
      </c>
      <c r="K96" s="15">
        <v>15</v>
      </c>
      <c r="L96" s="15">
        <v>10</v>
      </c>
      <c r="M96" s="73">
        <v>19.372499999999999</v>
      </c>
      <c r="N96" s="104">
        <v>18</v>
      </c>
      <c r="O96" s="57">
        <v>7000</v>
      </c>
      <c r="P96" s="58">
        <f t="shared" si="1"/>
        <v>126000</v>
      </c>
    </row>
    <row r="97" spans="1:16" ht="26.25" customHeight="1" x14ac:dyDescent="0.2">
      <c r="A97" s="100"/>
      <c r="B97" s="100"/>
      <c r="C97" s="65" t="s">
        <v>4602</v>
      </c>
      <c r="D97" s="70" t="s">
        <v>57</v>
      </c>
      <c r="E97" s="12">
        <v>44553</v>
      </c>
      <c r="F97" s="68" t="s">
        <v>58</v>
      </c>
      <c r="G97" s="12">
        <v>44559</v>
      </c>
      <c r="H97" s="69" t="s">
        <v>4687</v>
      </c>
      <c r="I97" s="15">
        <v>86</v>
      </c>
      <c r="J97" s="15">
        <v>50</v>
      </c>
      <c r="K97" s="15">
        <v>18</v>
      </c>
      <c r="L97" s="15">
        <v>14</v>
      </c>
      <c r="M97" s="73">
        <v>19.350000000000001</v>
      </c>
      <c r="N97" s="104">
        <v>20</v>
      </c>
      <c r="O97" s="57">
        <v>7000</v>
      </c>
      <c r="P97" s="58">
        <f t="shared" si="1"/>
        <v>140000</v>
      </c>
    </row>
    <row r="98" spans="1:16" ht="26.25" customHeight="1" x14ac:dyDescent="0.2">
      <c r="A98" s="100"/>
      <c r="B98" s="100"/>
      <c r="C98" s="65" t="s">
        <v>4603</v>
      </c>
      <c r="D98" s="70" t="s">
        <v>57</v>
      </c>
      <c r="E98" s="12">
        <v>44553</v>
      </c>
      <c r="F98" s="68" t="s">
        <v>58</v>
      </c>
      <c r="G98" s="12">
        <v>44559</v>
      </c>
      <c r="H98" s="69" t="s">
        <v>4687</v>
      </c>
      <c r="I98" s="15">
        <v>51</v>
      </c>
      <c r="J98" s="15">
        <v>40</v>
      </c>
      <c r="K98" s="15">
        <v>28</v>
      </c>
      <c r="L98" s="15">
        <v>8</v>
      </c>
      <c r="M98" s="73">
        <v>14.28</v>
      </c>
      <c r="N98" s="104">
        <v>14.28</v>
      </c>
      <c r="O98" s="57">
        <v>7000</v>
      </c>
      <c r="P98" s="58">
        <f t="shared" si="1"/>
        <v>99960</v>
      </c>
    </row>
    <row r="99" spans="1:16" ht="26.25" customHeight="1" x14ac:dyDescent="0.2">
      <c r="A99" s="100"/>
      <c r="B99" s="100"/>
      <c r="C99" s="65" t="s">
        <v>4604</v>
      </c>
      <c r="D99" s="70" t="s">
        <v>57</v>
      </c>
      <c r="E99" s="12">
        <v>44553</v>
      </c>
      <c r="F99" s="68" t="s">
        <v>58</v>
      </c>
      <c r="G99" s="12">
        <v>44559</v>
      </c>
      <c r="H99" s="69" t="s">
        <v>4687</v>
      </c>
      <c r="I99" s="15">
        <v>56</v>
      </c>
      <c r="J99" s="15">
        <v>38</v>
      </c>
      <c r="K99" s="15">
        <v>20</v>
      </c>
      <c r="L99" s="15">
        <v>21</v>
      </c>
      <c r="M99" s="73">
        <v>10.64</v>
      </c>
      <c r="N99" s="104">
        <v>21</v>
      </c>
      <c r="O99" s="57">
        <v>7000</v>
      </c>
      <c r="P99" s="58">
        <f t="shared" si="1"/>
        <v>147000</v>
      </c>
    </row>
    <row r="100" spans="1:16" ht="26.25" customHeight="1" x14ac:dyDescent="0.2">
      <c r="A100" s="100"/>
      <c r="B100" s="100"/>
      <c r="C100" s="65" t="s">
        <v>4605</v>
      </c>
      <c r="D100" s="70" t="s">
        <v>57</v>
      </c>
      <c r="E100" s="12">
        <v>44553</v>
      </c>
      <c r="F100" s="68" t="s">
        <v>58</v>
      </c>
      <c r="G100" s="12">
        <v>44559</v>
      </c>
      <c r="H100" s="69" t="s">
        <v>4687</v>
      </c>
      <c r="I100" s="15">
        <v>73</v>
      </c>
      <c r="J100" s="15">
        <v>58</v>
      </c>
      <c r="K100" s="15">
        <v>25</v>
      </c>
      <c r="L100" s="15">
        <v>14</v>
      </c>
      <c r="M100" s="73">
        <v>26.462499999999999</v>
      </c>
      <c r="N100" s="104">
        <v>27</v>
      </c>
      <c r="O100" s="57">
        <v>7000</v>
      </c>
      <c r="P100" s="58">
        <f t="shared" si="1"/>
        <v>189000</v>
      </c>
    </row>
    <row r="101" spans="1:16" ht="26.25" customHeight="1" x14ac:dyDescent="0.2">
      <c r="A101" s="100"/>
      <c r="B101" s="100"/>
      <c r="C101" s="65" t="s">
        <v>4606</v>
      </c>
      <c r="D101" s="70" t="s">
        <v>57</v>
      </c>
      <c r="E101" s="12">
        <v>44553</v>
      </c>
      <c r="F101" s="68" t="s">
        <v>58</v>
      </c>
      <c r="G101" s="12">
        <v>44559</v>
      </c>
      <c r="H101" s="69" t="s">
        <v>4687</v>
      </c>
      <c r="I101" s="15">
        <v>63</v>
      </c>
      <c r="J101" s="15">
        <v>60</v>
      </c>
      <c r="K101" s="15">
        <v>19</v>
      </c>
      <c r="L101" s="15">
        <v>8</v>
      </c>
      <c r="M101" s="73">
        <v>17.954999999999998</v>
      </c>
      <c r="N101" s="104">
        <v>17.954999999999998</v>
      </c>
      <c r="O101" s="57">
        <v>7000</v>
      </c>
      <c r="P101" s="58">
        <f t="shared" si="1"/>
        <v>125684.99999999999</v>
      </c>
    </row>
    <row r="102" spans="1:16" ht="26.25" customHeight="1" x14ac:dyDescent="0.2">
      <c r="A102" s="100"/>
      <c r="B102" s="100"/>
      <c r="C102" s="65" t="s">
        <v>4607</v>
      </c>
      <c r="D102" s="70" t="s">
        <v>57</v>
      </c>
      <c r="E102" s="12">
        <v>44553</v>
      </c>
      <c r="F102" s="68" t="s">
        <v>58</v>
      </c>
      <c r="G102" s="12">
        <v>44559</v>
      </c>
      <c r="H102" s="69" t="s">
        <v>4687</v>
      </c>
      <c r="I102" s="15">
        <v>74</v>
      </c>
      <c r="J102" s="15">
        <v>56</v>
      </c>
      <c r="K102" s="15">
        <v>23</v>
      </c>
      <c r="L102" s="15">
        <v>5</v>
      </c>
      <c r="M102" s="73">
        <v>23.827999999999999</v>
      </c>
      <c r="N102" s="104">
        <v>23.827999999999999</v>
      </c>
      <c r="O102" s="57">
        <v>7000</v>
      </c>
      <c r="P102" s="58">
        <f t="shared" si="1"/>
        <v>166796</v>
      </c>
    </row>
    <row r="103" spans="1:16" ht="26.25" customHeight="1" x14ac:dyDescent="0.2">
      <c r="A103" s="100"/>
      <c r="B103" s="100"/>
      <c r="C103" s="65" t="s">
        <v>4608</v>
      </c>
      <c r="D103" s="70" t="s">
        <v>57</v>
      </c>
      <c r="E103" s="12">
        <v>44553</v>
      </c>
      <c r="F103" s="68" t="s">
        <v>58</v>
      </c>
      <c r="G103" s="12">
        <v>44559</v>
      </c>
      <c r="H103" s="69" t="s">
        <v>4687</v>
      </c>
      <c r="I103" s="15">
        <v>92</v>
      </c>
      <c r="J103" s="15">
        <v>62</v>
      </c>
      <c r="K103" s="15">
        <v>17</v>
      </c>
      <c r="L103" s="15">
        <v>9</v>
      </c>
      <c r="M103" s="73">
        <v>24.242000000000001</v>
      </c>
      <c r="N103" s="104">
        <v>24.242000000000001</v>
      </c>
      <c r="O103" s="57">
        <v>7000</v>
      </c>
      <c r="P103" s="58">
        <f t="shared" si="1"/>
        <v>169694</v>
      </c>
    </row>
    <row r="104" spans="1:16" ht="26.25" customHeight="1" x14ac:dyDescent="0.2">
      <c r="A104" s="100"/>
      <c r="B104" s="100"/>
      <c r="C104" s="65" t="s">
        <v>4609</v>
      </c>
      <c r="D104" s="70" t="s">
        <v>57</v>
      </c>
      <c r="E104" s="12">
        <v>44553</v>
      </c>
      <c r="F104" s="68" t="s">
        <v>58</v>
      </c>
      <c r="G104" s="12">
        <v>44559</v>
      </c>
      <c r="H104" s="69" t="s">
        <v>4687</v>
      </c>
      <c r="I104" s="15">
        <v>86</v>
      </c>
      <c r="J104" s="15">
        <v>56</v>
      </c>
      <c r="K104" s="15">
        <v>26</v>
      </c>
      <c r="L104" s="15">
        <v>14</v>
      </c>
      <c r="M104" s="73">
        <v>31.303999999999998</v>
      </c>
      <c r="N104" s="104">
        <v>32</v>
      </c>
      <c r="O104" s="57">
        <v>7000</v>
      </c>
      <c r="P104" s="58">
        <f t="shared" si="1"/>
        <v>224000</v>
      </c>
    </row>
    <row r="105" spans="1:16" ht="26.25" customHeight="1" x14ac:dyDescent="0.2">
      <c r="A105" s="100"/>
      <c r="B105" s="100"/>
      <c r="C105" s="65" t="s">
        <v>4610</v>
      </c>
      <c r="D105" s="70" t="s">
        <v>57</v>
      </c>
      <c r="E105" s="12">
        <v>44553</v>
      </c>
      <c r="F105" s="68" t="s">
        <v>58</v>
      </c>
      <c r="G105" s="12">
        <v>44559</v>
      </c>
      <c r="H105" s="69" t="s">
        <v>4687</v>
      </c>
      <c r="I105" s="15">
        <v>90</v>
      </c>
      <c r="J105" s="15">
        <v>45</v>
      </c>
      <c r="K105" s="15">
        <v>12</v>
      </c>
      <c r="L105" s="15">
        <v>1</v>
      </c>
      <c r="M105" s="73">
        <v>12.15</v>
      </c>
      <c r="N105" s="104">
        <v>12.15</v>
      </c>
      <c r="O105" s="57">
        <v>7000</v>
      </c>
      <c r="P105" s="58">
        <f t="shared" si="1"/>
        <v>85050</v>
      </c>
    </row>
    <row r="106" spans="1:16" ht="26.25" customHeight="1" x14ac:dyDescent="0.2">
      <c r="A106" s="100"/>
      <c r="B106" s="100"/>
      <c r="C106" s="65" t="s">
        <v>4611</v>
      </c>
      <c r="D106" s="70" t="s">
        <v>57</v>
      </c>
      <c r="E106" s="12">
        <v>44553</v>
      </c>
      <c r="F106" s="68" t="s">
        <v>58</v>
      </c>
      <c r="G106" s="12">
        <v>44559</v>
      </c>
      <c r="H106" s="69" t="s">
        <v>4687</v>
      </c>
      <c r="I106" s="15">
        <v>60</v>
      </c>
      <c r="J106" s="15">
        <v>24</v>
      </c>
      <c r="K106" s="15">
        <v>24</v>
      </c>
      <c r="L106" s="15">
        <v>1</v>
      </c>
      <c r="M106" s="73">
        <v>8.64</v>
      </c>
      <c r="N106" s="104">
        <v>8.64</v>
      </c>
      <c r="O106" s="57">
        <v>7000</v>
      </c>
      <c r="P106" s="58">
        <f t="shared" si="1"/>
        <v>60480.000000000007</v>
      </c>
    </row>
    <row r="107" spans="1:16" ht="26.25" customHeight="1" x14ac:dyDescent="0.2">
      <c r="A107" s="100"/>
      <c r="B107" s="100"/>
      <c r="C107" s="65" t="s">
        <v>4612</v>
      </c>
      <c r="D107" s="70" t="s">
        <v>57</v>
      </c>
      <c r="E107" s="12">
        <v>44553</v>
      </c>
      <c r="F107" s="68" t="s">
        <v>58</v>
      </c>
      <c r="G107" s="12">
        <v>44559</v>
      </c>
      <c r="H107" s="69" t="s">
        <v>4687</v>
      </c>
      <c r="I107" s="15">
        <v>133</v>
      </c>
      <c r="J107" s="15">
        <v>38</v>
      </c>
      <c r="K107" s="15">
        <v>30</v>
      </c>
      <c r="L107" s="15">
        <v>26</v>
      </c>
      <c r="M107" s="73">
        <v>37.905000000000001</v>
      </c>
      <c r="N107" s="104">
        <v>37.905000000000001</v>
      </c>
      <c r="O107" s="57">
        <v>7000</v>
      </c>
      <c r="P107" s="58">
        <f t="shared" si="1"/>
        <v>265335</v>
      </c>
    </row>
    <row r="108" spans="1:16" ht="26.25" customHeight="1" x14ac:dyDescent="0.2">
      <c r="A108" s="100"/>
      <c r="B108" s="100"/>
      <c r="C108" s="65" t="s">
        <v>4613</v>
      </c>
      <c r="D108" s="70" t="s">
        <v>57</v>
      </c>
      <c r="E108" s="12">
        <v>44553</v>
      </c>
      <c r="F108" s="68" t="s">
        <v>58</v>
      </c>
      <c r="G108" s="12">
        <v>44559</v>
      </c>
      <c r="H108" s="69" t="s">
        <v>4687</v>
      </c>
      <c r="I108" s="15">
        <v>53</v>
      </c>
      <c r="J108" s="15">
        <v>40</v>
      </c>
      <c r="K108" s="15">
        <v>28</v>
      </c>
      <c r="L108" s="15">
        <v>8</v>
      </c>
      <c r="M108" s="73">
        <v>14.84</v>
      </c>
      <c r="N108" s="104">
        <v>14.84</v>
      </c>
      <c r="O108" s="57">
        <v>7000</v>
      </c>
      <c r="P108" s="58">
        <f t="shared" si="1"/>
        <v>103880</v>
      </c>
    </row>
    <row r="109" spans="1:16" ht="26.25" customHeight="1" x14ac:dyDescent="0.2">
      <c r="A109" s="100"/>
      <c r="B109" s="100"/>
      <c r="C109" s="65" t="s">
        <v>4614</v>
      </c>
      <c r="D109" s="70" t="s">
        <v>57</v>
      </c>
      <c r="E109" s="12">
        <v>44553</v>
      </c>
      <c r="F109" s="68" t="s">
        <v>58</v>
      </c>
      <c r="G109" s="12">
        <v>44559</v>
      </c>
      <c r="H109" s="69" t="s">
        <v>4687</v>
      </c>
      <c r="I109" s="15">
        <v>82</v>
      </c>
      <c r="J109" s="15">
        <v>52</v>
      </c>
      <c r="K109" s="15">
        <v>15</v>
      </c>
      <c r="L109" s="15">
        <v>2</v>
      </c>
      <c r="M109" s="73">
        <v>15.99</v>
      </c>
      <c r="N109" s="104">
        <v>15.99</v>
      </c>
      <c r="O109" s="57">
        <v>7000</v>
      </c>
      <c r="P109" s="58">
        <f t="shared" si="1"/>
        <v>111930</v>
      </c>
    </row>
    <row r="110" spans="1:16" ht="26.25" customHeight="1" x14ac:dyDescent="0.2">
      <c r="A110" s="100"/>
      <c r="B110" s="100"/>
      <c r="C110" s="65" t="s">
        <v>4615</v>
      </c>
      <c r="D110" s="70" t="s">
        <v>57</v>
      </c>
      <c r="E110" s="12">
        <v>44553</v>
      </c>
      <c r="F110" s="68" t="s">
        <v>58</v>
      </c>
      <c r="G110" s="12">
        <v>44559</v>
      </c>
      <c r="H110" s="69" t="s">
        <v>4687</v>
      </c>
      <c r="I110" s="15">
        <v>80</v>
      </c>
      <c r="J110" s="15">
        <v>70</v>
      </c>
      <c r="K110" s="15">
        <v>5</v>
      </c>
      <c r="L110" s="15">
        <v>4</v>
      </c>
      <c r="M110" s="73">
        <v>7</v>
      </c>
      <c r="N110" s="104">
        <v>7</v>
      </c>
      <c r="O110" s="57">
        <v>7000</v>
      </c>
      <c r="P110" s="58">
        <f t="shared" si="1"/>
        <v>49000</v>
      </c>
    </row>
    <row r="111" spans="1:16" ht="26.25" customHeight="1" x14ac:dyDescent="0.2">
      <c r="A111" s="100"/>
      <c r="B111" s="100"/>
      <c r="C111" s="65" t="s">
        <v>4616</v>
      </c>
      <c r="D111" s="70" t="s">
        <v>57</v>
      </c>
      <c r="E111" s="12">
        <v>44553</v>
      </c>
      <c r="F111" s="68" t="s">
        <v>58</v>
      </c>
      <c r="G111" s="12">
        <v>44559</v>
      </c>
      <c r="H111" s="69" t="s">
        <v>4687</v>
      </c>
      <c r="I111" s="15">
        <v>51</v>
      </c>
      <c r="J111" s="15">
        <v>30</v>
      </c>
      <c r="K111" s="15">
        <v>23</v>
      </c>
      <c r="L111" s="15">
        <v>5</v>
      </c>
      <c r="M111" s="73">
        <v>8.7974999999999994</v>
      </c>
      <c r="N111" s="104">
        <v>8.7974999999999994</v>
      </c>
      <c r="O111" s="57">
        <v>7000</v>
      </c>
      <c r="P111" s="58">
        <f t="shared" si="1"/>
        <v>61582.499999999993</v>
      </c>
    </row>
    <row r="112" spans="1:16" ht="26.25" customHeight="1" x14ac:dyDescent="0.2">
      <c r="A112" s="100"/>
      <c r="B112" s="100"/>
      <c r="C112" s="65" t="s">
        <v>4617</v>
      </c>
      <c r="D112" s="70" t="s">
        <v>57</v>
      </c>
      <c r="E112" s="12">
        <v>44553</v>
      </c>
      <c r="F112" s="68" t="s">
        <v>58</v>
      </c>
      <c r="G112" s="12">
        <v>44559</v>
      </c>
      <c r="H112" s="69" t="s">
        <v>4687</v>
      </c>
      <c r="I112" s="15">
        <v>71</v>
      </c>
      <c r="J112" s="15">
        <v>34</v>
      </c>
      <c r="K112" s="15">
        <v>21</v>
      </c>
      <c r="L112" s="15">
        <v>6</v>
      </c>
      <c r="M112" s="73">
        <v>12.673500000000001</v>
      </c>
      <c r="N112" s="104">
        <v>12.673500000000001</v>
      </c>
      <c r="O112" s="57">
        <v>7000</v>
      </c>
      <c r="P112" s="58">
        <f t="shared" si="1"/>
        <v>88714.5</v>
      </c>
    </row>
    <row r="113" spans="1:16" ht="26.25" customHeight="1" x14ac:dyDescent="0.2">
      <c r="A113" s="100"/>
      <c r="B113" s="100"/>
      <c r="C113" s="65" t="s">
        <v>4618</v>
      </c>
      <c r="D113" s="70" t="s">
        <v>57</v>
      </c>
      <c r="E113" s="12">
        <v>44553</v>
      </c>
      <c r="F113" s="68" t="s">
        <v>58</v>
      </c>
      <c r="G113" s="12">
        <v>44559</v>
      </c>
      <c r="H113" s="69" t="s">
        <v>4687</v>
      </c>
      <c r="I113" s="15">
        <v>50</v>
      </c>
      <c r="J113" s="15">
        <v>23</v>
      </c>
      <c r="K113" s="15">
        <v>23</v>
      </c>
      <c r="L113" s="15">
        <v>1</v>
      </c>
      <c r="M113" s="73">
        <v>6.6124999999999998</v>
      </c>
      <c r="N113" s="104">
        <v>6.6124999999999998</v>
      </c>
      <c r="O113" s="57">
        <v>7000</v>
      </c>
      <c r="P113" s="58">
        <f t="shared" si="1"/>
        <v>46287.5</v>
      </c>
    </row>
    <row r="114" spans="1:16" ht="26.25" customHeight="1" x14ac:dyDescent="0.2">
      <c r="A114" s="100"/>
      <c r="B114" s="100"/>
      <c r="C114" s="65" t="s">
        <v>4619</v>
      </c>
      <c r="D114" s="70" t="s">
        <v>57</v>
      </c>
      <c r="E114" s="12">
        <v>44553</v>
      </c>
      <c r="F114" s="68" t="s">
        <v>58</v>
      </c>
      <c r="G114" s="12">
        <v>44559</v>
      </c>
      <c r="H114" s="69" t="s">
        <v>4687</v>
      </c>
      <c r="I114" s="15">
        <v>100</v>
      </c>
      <c r="J114" s="15">
        <v>60</v>
      </c>
      <c r="K114" s="15">
        <v>23</v>
      </c>
      <c r="L114" s="15">
        <v>9</v>
      </c>
      <c r="M114" s="73">
        <v>34.5</v>
      </c>
      <c r="N114" s="104">
        <v>36</v>
      </c>
      <c r="O114" s="57">
        <v>7000</v>
      </c>
      <c r="P114" s="58">
        <f t="shared" si="1"/>
        <v>252000</v>
      </c>
    </row>
    <row r="115" spans="1:16" ht="26.25" customHeight="1" x14ac:dyDescent="0.2">
      <c r="A115" s="100"/>
      <c r="B115" s="100"/>
      <c r="C115" s="65" t="s">
        <v>4620</v>
      </c>
      <c r="D115" s="70" t="s">
        <v>57</v>
      </c>
      <c r="E115" s="12">
        <v>44553</v>
      </c>
      <c r="F115" s="68" t="s">
        <v>58</v>
      </c>
      <c r="G115" s="12">
        <v>44559</v>
      </c>
      <c r="H115" s="69" t="s">
        <v>4687</v>
      </c>
      <c r="I115" s="15">
        <v>49</v>
      </c>
      <c r="J115" s="15">
        <v>32</v>
      </c>
      <c r="K115" s="15">
        <v>13</v>
      </c>
      <c r="L115" s="15">
        <v>1</v>
      </c>
      <c r="M115" s="73">
        <v>5.0960000000000001</v>
      </c>
      <c r="N115" s="104">
        <v>5.0960000000000001</v>
      </c>
      <c r="O115" s="57">
        <v>7000</v>
      </c>
      <c r="P115" s="58">
        <f t="shared" si="1"/>
        <v>35672</v>
      </c>
    </row>
    <row r="116" spans="1:16" ht="26.25" customHeight="1" x14ac:dyDescent="0.2">
      <c r="A116" s="100"/>
      <c r="B116" s="100"/>
      <c r="C116" s="65" t="s">
        <v>4621</v>
      </c>
      <c r="D116" s="70" t="s">
        <v>57</v>
      </c>
      <c r="E116" s="12">
        <v>44553</v>
      </c>
      <c r="F116" s="68" t="s">
        <v>58</v>
      </c>
      <c r="G116" s="12">
        <v>44559</v>
      </c>
      <c r="H116" s="69" t="s">
        <v>4687</v>
      </c>
      <c r="I116" s="15">
        <v>90</v>
      </c>
      <c r="J116" s="15">
        <v>35</v>
      </c>
      <c r="K116" s="15">
        <v>6</v>
      </c>
      <c r="L116" s="15">
        <v>1</v>
      </c>
      <c r="M116" s="73">
        <v>4.7249999999999996</v>
      </c>
      <c r="N116" s="104">
        <v>4.7249999999999996</v>
      </c>
      <c r="O116" s="57">
        <v>7000</v>
      </c>
      <c r="P116" s="58">
        <f t="shared" si="1"/>
        <v>33075</v>
      </c>
    </row>
    <row r="117" spans="1:16" ht="26.25" customHeight="1" x14ac:dyDescent="0.2">
      <c r="A117" s="100"/>
      <c r="B117" s="100"/>
      <c r="C117" s="65" t="s">
        <v>4622</v>
      </c>
      <c r="D117" s="70" t="s">
        <v>57</v>
      </c>
      <c r="E117" s="12">
        <v>44553</v>
      </c>
      <c r="F117" s="68" t="s">
        <v>58</v>
      </c>
      <c r="G117" s="12">
        <v>44559</v>
      </c>
      <c r="H117" s="69" t="s">
        <v>4687</v>
      </c>
      <c r="I117" s="15">
        <v>50</v>
      </c>
      <c r="J117" s="15">
        <v>34</v>
      </c>
      <c r="K117" s="15">
        <v>20</v>
      </c>
      <c r="L117" s="15">
        <v>4</v>
      </c>
      <c r="M117" s="73">
        <v>8.5</v>
      </c>
      <c r="N117" s="104">
        <v>9</v>
      </c>
      <c r="O117" s="57">
        <v>7000</v>
      </c>
      <c r="P117" s="58">
        <f t="shared" si="1"/>
        <v>63000</v>
      </c>
    </row>
    <row r="118" spans="1:16" ht="26.25" customHeight="1" x14ac:dyDescent="0.2">
      <c r="A118" s="100"/>
      <c r="B118" s="100"/>
      <c r="C118" s="65" t="s">
        <v>4623</v>
      </c>
      <c r="D118" s="70" t="s">
        <v>57</v>
      </c>
      <c r="E118" s="12">
        <v>44553</v>
      </c>
      <c r="F118" s="68" t="s">
        <v>58</v>
      </c>
      <c r="G118" s="12">
        <v>44559</v>
      </c>
      <c r="H118" s="69" t="s">
        <v>4687</v>
      </c>
      <c r="I118" s="15">
        <v>105</v>
      </c>
      <c r="J118" s="15">
        <v>62</v>
      </c>
      <c r="K118" s="15">
        <v>23</v>
      </c>
      <c r="L118" s="15">
        <v>28</v>
      </c>
      <c r="M118" s="73">
        <v>37.432499999999997</v>
      </c>
      <c r="N118" s="104">
        <v>38</v>
      </c>
      <c r="O118" s="57">
        <v>7000</v>
      </c>
      <c r="P118" s="58">
        <f t="shared" si="1"/>
        <v>266000</v>
      </c>
    </row>
    <row r="119" spans="1:16" ht="26.25" customHeight="1" x14ac:dyDescent="0.2">
      <c r="A119" s="100"/>
      <c r="B119" s="100"/>
      <c r="C119" s="65" t="s">
        <v>4624</v>
      </c>
      <c r="D119" s="70" t="s">
        <v>57</v>
      </c>
      <c r="E119" s="12">
        <v>44553</v>
      </c>
      <c r="F119" s="68" t="s">
        <v>58</v>
      </c>
      <c r="G119" s="12">
        <v>44559</v>
      </c>
      <c r="H119" s="69" t="s">
        <v>4687</v>
      </c>
      <c r="I119" s="15">
        <v>62</v>
      </c>
      <c r="J119" s="15">
        <v>41</v>
      </c>
      <c r="K119" s="15">
        <v>22</v>
      </c>
      <c r="L119" s="15">
        <v>1</v>
      </c>
      <c r="M119" s="73">
        <v>13.981</v>
      </c>
      <c r="N119" s="104">
        <v>13.981</v>
      </c>
      <c r="O119" s="57">
        <v>7000</v>
      </c>
      <c r="P119" s="58">
        <f t="shared" si="1"/>
        <v>97867</v>
      </c>
    </row>
    <row r="120" spans="1:16" ht="26.25" customHeight="1" x14ac:dyDescent="0.2">
      <c r="A120" s="100"/>
      <c r="B120" s="100"/>
      <c r="C120" s="65" t="s">
        <v>4625</v>
      </c>
      <c r="D120" s="70" t="s">
        <v>57</v>
      </c>
      <c r="E120" s="12">
        <v>44553</v>
      </c>
      <c r="F120" s="68" t="s">
        <v>58</v>
      </c>
      <c r="G120" s="12">
        <v>44559</v>
      </c>
      <c r="H120" s="69" t="s">
        <v>4687</v>
      </c>
      <c r="I120" s="15">
        <v>52</v>
      </c>
      <c r="J120" s="15">
        <v>40</v>
      </c>
      <c r="K120" s="15">
        <v>26</v>
      </c>
      <c r="L120" s="15">
        <v>8</v>
      </c>
      <c r="M120" s="73">
        <v>13.52</v>
      </c>
      <c r="N120" s="104">
        <v>13.52</v>
      </c>
      <c r="O120" s="57">
        <v>7000</v>
      </c>
      <c r="P120" s="58">
        <f t="shared" si="1"/>
        <v>94640</v>
      </c>
    </row>
    <row r="121" spans="1:16" ht="26.25" customHeight="1" x14ac:dyDescent="0.2">
      <c r="A121" s="100"/>
      <c r="B121" s="100"/>
      <c r="C121" s="65" t="s">
        <v>4626</v>
      </c>
      <c r="D121" s="70" t="s">
        <v>57</v>
      </c>
      <c r="E121" s="12">
        <v>44553</v>
      </c>
      <c r="F121" s="68" t="s">
        <v>58</v>
      </c>
      <c r="G121" s="12">
        <v>44559</v>
      </c>
      <c r="H121" s="69" t="s">
        <v>4687</v>
      </c>
      <c r="I121" s="15">
        <v>89</v>
      </c>
      <c r="J121" s="15">
        <v>6</v>
      </c>
      <c r="K121" s="15">
        <v>6</v>
      </c>
      <c r="L121" s="15">
        <v>1</v>
      </c>
      <c r="M121" s="73">
        <v>0.80100000000000005</v>
      </c>
      <c r="N121" s="104">
        <v>1</v>
      </c>
      <c r="O121" s="57">
        <v>7000</v>
      </c>
      <c r="P121" s="58">
        <f t="shared" si="1"/>
        <v>7000</v>
      </c>
    </row>
    <row r="122" spans="1:16" ht="26.25" customHeight="1" x14ac:dyDescent="0.2">
      <c r="A122" s="100"/>
      <c r="B122" s="100"/>
      <c r="C122" s="65" t="s">
        <v>4627</v>
      </c>
      <c r="D122" s="70" t="s">
        <v>57</v>
      </c>
      <c r="E122" s="12">
        <v>44553</v>
      </c>
      <c r="F122" s="68" t="s">
        <v>58</v>
      </c>
      <c r="G122" s="12">
        <v>44559</v>
      </c>
      <c r="H122" s="69" t="s">
        <v>4687</v>
      </c>
      <c r="I122" s="15">
        <v>68</v>
      </c>
      <c r="J122" s="15">
        <v>50</v>
      </c>
      <c r="K122" s="15">
        <v>6</v>
      </c>
      <c r="L122" s="15">
        <v>3</v>
      </c>
      <c r="M122" s="73">
        <v>5.0999999999999996</v>
      </c>
      <c r="N122" s="104">
        <v>5.0999999999999996</v>
      </c>
      <c r="O122" s="57">
        <v>7000</v>
      </c>
      <c r="P122" s="58">
        <f t="shared" si="1"/>
        <v>35700</v>
      </c>
    </row>
    <row r="123" spans="1:16" ht="26.25" customHeight="1" x14ac:dyDescent="0.2">
      <c r="A123" s="100"/>
      <c r="B123" s="100"/>
      <c r="C123" s="65" t="s">
        <v>4628</v>
      </c>
      <c r="D123" s="70" t="s">
        <v>57</v>
      </c>
      <c r="E123" s="12">
        <v>44553</v>
      </c>
      <c r="F123" s="68" t="s">
        <v>58</v>
      </c>
      <c r="G123" s="12">
        <v>44559</v>
      </c>
      <c r="H123" s="69" t="s">
        <v>4687</v>
      </c>
      <c r="I123" s="15">
        <v>94</v>
      </c>
      <c r="J123" s="15">
        <v>52</v>
      </c>
      <c r="K123" s="15">
        <v>24</v>
      </c>
      <c r="L123" s="15">
        <v>15</v>
      </c>
      <c r="M123" s="73">
        <v>29.327999999999999</v>
      </c>
      <c r="N123" s="104">
        <v>30</v>
      </c>
      <c r="O123" s="57">
        <v>7000</v>
      </c>
      <c r="P123" s="58">
        <f t="shared" si="1"/>
        <v>210000</v>
      </c>
    </row>
    <row r="124" spans="1:16" ht="26.25" customHeight="1" x14ac:dyDescent="0.2">
      <c r="A124" s="100"/>
      <c r="B124" s="100"/>
      <c r="C124" s="65" t="s">
        <v>4629</v>
      </c>
      <c r="D124" s="70" t="s">
        <v>57</v>
      </c>
      <c r="E124" s="12">
        <v>44553</v>
      </c>
      <c r="F124" s="68" t="s">
        <v>58</v>
      </c>
      <c r="G124" s="12">
        <v>44559</v>
      </c>
      <c r="H124" s="69" t="s">
        <v>4687</v>
      </c>
      <c r="I124" s="15">
        <v>91</v>
      </c>
      <c r="J124" s="15">
        <v>52</v>
      </c>
      <c r="K124" s="15">
        <v>30</v>
      </c>
      <c r="L124" s="15">
        <v>8</v>
      </c>
      <c r="M124" s="73">
        <v>35.49</v>
      </c>
      <c r="N124" s="104">
        <v>36</v>
      </c>
      <c r="O124" s="57">
        <v>7000</v>
      </c>
      <c r="P124" s="58">
        <f t="shared" si="1"/>
        <v>252000</v>
      </c>
    </row>
    <row r="125" spans="1:16" ht="26.25" customHeight="1" x14ac:dyDescent="0.2">
      <c r="A125" s="100"/>
      <c r="B125" s="100"/>
      <c r="C125" s="65" t="s">
        <v>4630</v>
      </c>
      <c r="D125" s="70" t="s">
        <v>57</v>
      </c>
      <c r="E125" s="12">
        <v>44553</v>
      </c>
      <c r="F125" s="68" t="s">
        <v>58</v>
      </c>
      <c r="G125" s="12">
        <v>44559</v>
      </c>
      <c r="H125" s="69" t="s">
        <v>4687</v>
      </c>
      <c r="I125" s="15">
        <v>65</v>
      </c>
      <c r="J125" s="15">
        <v>50</v>
      </c>
      <c r="K125" s="15">
        <v>18</v>
      </c>
      <c r="L125" s="15">
        <v>6</v>
      </c>
      <c r="M125" s="73">
        <v>14.625</v>
      </c>
      <c r="N125" s="104">
        <v>14.625</v>
      </c>
      <c r="O125" s="57">
        <v>7000</v>
      </c>
      <c r="P125" s="58">
        <f t="shared" si="1"/>
        <v>102375</v>
      </c>
    </row>
    <row r="126" spans="1:16" ht="26.25" customHeight="1" x14ac:dyDescent="0.2">
      <c r="A126" s="100"/>
      <c r="B126" s="100"/>
      <c r="C126" s="65" t="s">
        <v>4631</v>
      </c>
      <c r="D126" s="70" t="s">
        <v>57</v>
      </c>
      <c r="E126" s="12">
        <v>44553</v>
      </c>
      <c r="F126" s="68" t="s">
        <v>58</v>
      </c>
      <c r="G126" s="12">
        <v>44559</v>
      </c>
      <c r="H126" s="69" t="s">
        <v>4687</v>
      </c>
      <c r="I126" s="15">
        <v>95</v>
      </c>
      <c r="J126" s="15">
        <v>54</v>
      </c>
      <c r="K126" s="15">
        <v>24</v>
      </c>
      <c r="L126" s="15">
        <v>23</v>
      </c>
      <c r="M126" s="73">
        <v>30.78</v>
      </c>
      <c r="N126" s="104">
        <v>30.78</v>
      </c>
      <c r="O126" s="57">
        <v>7000</v>
      </c>
      <c r="P126" s="58">
        <f t="shared" si="1"/>
        <v>215460</v>
      </c>
    </row>
    <row r="127" spans="1:16" ht="26.25" customHeight="1" x14ac:dyDescent="0.2">
      <c r="A127" s="100"/>
      <c r="B127" s="100"/>
      <c r="C127" s="65" t="s">
        <v>4632</v>
      </c>
      <c r="D127" s="70" t="s">
        <v>57</v>
      </c>
      <c r="E127" s="12">
        <v>44553</v>
      </c>
      <c r="F127" s="68" t="s">
        <v>58</v>
      </c>
      <c r="G127" s="12">
        <v>44559</v>
      </c>
      <c r="H127" s="69" t="s">
        <v>4687</v>
      </c>
      <c r="I127" s="15">
        <v>66</v>
      </c>
      <c r="J127" s="15">
        <v>17</v>
      </c>
      <c r="K127" s="15">
        <v>17</v>
      </c>
      <c r="L127" s="15">
        <v>8</v>
      </c>
      <c r="M127" s="73">
        <v>4.7685000000000004</v>
      </c>
      <c r="N127" s="104">
        <v>8</v>
      </c>
      <c r="O127" s="57">
        <v>7000</v>
      </c>
      <c r="P127" s="58">
        <f t="shared" si="1"/>
        <v>56000</v>
      </c>
    </row>
    <row r="128" spans="1:16" ht="26.25" customHeight="1" x14ac:dyDescent="0.2">
      <c r="A128" s="100"/>
      <c r="B128" s="100"/>
      <c r="C128" s="65" t="s">
        <v>4633</v>
      </c>
      <c r="D128" s="70" t="s">
        <v>57</v>
      </c>
      <c r="E128" s="12">
        <v>44553</v>
      </c>
      <c r="F128" s="68" t="s">
        <v>58</v>
      </c>
      <c r="G128" s="12">
        <v>44559</v>
      </c>
      <c r="H128" s="69" t="s">
        <v>4687</v>
      </c>
      <c r="I128" s="15">
        <v>64</v>
      </c>
      <c r="J128" s="15">
        <v>43</v>
      </c>
      <c r="K128" s="15">
        <v>15</v>
      </c>
      <c r="L128" s="15">
        <v>4</v>
      </c>
      <c r="M128" s="73">
        <v>10.32</v>
      </c>
      <c r="N128" s="104">
        <v>11</v>
      </c>
      <c r="O128" s="57">
        <v>7000</v>
      </c>
      <c r="P128" s="58">
        <f t="shared" si="1"/>
        <v>77000</v>
      </c>
    </row>
    <row r="129" spans="1:16" ht="26.25" customHeight="1" x14ac:dyDescent="0.2">
      <c r="A129" s="100"/>
      <c r="B129" s="100"/>
      <c r="C129" s="65" t="s">
        <v>4634</v>
      </c>
      <c r="D129" s="70" t="s">
        <v>57</v>
      </c>
      <c r="E129" s="12">
        <v>44553</v>
      </c>
      <c r="F129" s="68" t="s">
        <v>58</v>
      </c>
      <c r="G129" s="12">
        <v>44559</v>
      </c>
      <c r="H129" s="69" t="s">
        <v>4687</v>
      </c>
      <c r="I129" s="15">
        <v>52</v>
      </c>
      <c r="J129" s="15">
        <v>30</v>
      </c>
      <c r="K129" s="15">
        <v>30</v>
      </c>
      <c r="L129" s="15">
        <v>2</v>
      </c>
      <c r="M129" s="73">
        <v>11.7</v>
      </c>
      <c r="N129" s="104">
        <v>11.7</v>
      </c>
      <c r="O129" s="57">
        <v>7000</v>
      </c>
      <c r="P129" s="58">
        <f t="shared" si="1"/>
        <v>81900</v>
      </c>
    </row>
    <row r="130" spans="1:16" ht="26.25" customHeight="1" x14ac:dyDescent="0.2">
      <c r="A130" s="100"/>
      <c r="B130" s="100"/>
      <c r="C130" s="65" t="s">
        <v>4635</v>
      </c>
      <c r="D130" s="70" t="s">
        <v>57</v>
      </c>
      <c r="E130" s="12">
        <v>44553</v>
      </c>
      <c r="F130" s="68" t="s">
        <v>58</v>
      </c>
      <c r="G130" s="12">
        <v>44559</v>
      </c>
      <c r="H130" s="69" t="s">
        <v>4687</v>
      </c>
      <c r="I130" s="15">
        <v>62</v>
      </c>
      <c r="J130" s="15">
        <v>50</v>
      </c>
      <c r="K130" s="15">
        <v>10</v>
      </c>
      <c r="L130" s="15">
        <v>3</v>
      </c>
      <c r="M130" s="73">
        <v>7.75</v>
      </c>
      <c r="N130" s="104">
        <v>7.75</v>
      </c>
      <c r="O130" s="57">
        <v>7000</v>
      </c>
      <c r="P130" s="58">
        <f t="shared" si="1"/>
        <v>54250</v>
      </c>
    </row>
    <row r="131" spans="1:16" ht="26.25" customHeight="1" x14ac:dyDescent="0.2">
      <c r="A131" s="100"/>
      <c r="B131" s="100"/>
      <c r="C131" s="65" t="s">
        <v>4636</v>
      </c>
      <c r="D131" s="70" t="s">
        <v>57</v>
      </c>
      <c r="E131" s="12">
        <v>44553</v>
      </c>
      <c r="F131" s="68" t="s">
        <v>58</v>
      </c>
      <c r="G131" s="12">
        <v>44559</v>
      </c>
      <c r="H131" s="69" t="s">
        <v>4687</v>
      </c>
      <c r="I131" s="15">
        <v>95</v>
      </c>
      <c r="J131" s="15">
        <v>53</v>
      </c>
      <c r="K131" s="15">
        <v>28</v>
      </c>
      <c r="L131" s="15">
        <v>20</v>
      </c>
      <c r="M131" s="73">
        <v>35.244999999999997</v>
      </c>
      <c r="N131" s="104">
        <v>35.244999999999997</v>
      </c>
      <c r="O131" s="57">
        <v>7000</v>
      </c>
      <c r="P131" s="58">
        <f t="shared" ref="P131:P178" si="2">N131*O131</f>
        <v>246714.99999999997</v>
      </c>
    </row>
    <row r="132" spans="1:16" ht="26.25" customHeight="1" x14ac:dyDescent="0.2">
      <c r="A132" s="100"/>
      <c r="B132" s="100"/>
      <c r="C132" s="65" t="s">
        <v>4637</v>
      </c>
      <c r="D132" s="70" t="s">
        <v>57</v>
      </c>
      <c r="E132" s="12">
        <v>44553</v>
      </c>
      <c r="F132" s="68" t="s">
        <v>58</v>
      </c>
      <c r="G132" s="12">
        <v>44559</v>
      </c>
      <c r="H132" s="69" t="s">
        <v>4687</v>
      </c>
      <c r="I132" s="15">
        <v>85</v>
      </c>
      <c r="J132" s="15">
        <v>43</v>
      </c>
      <c r="K132" s="15">
        <v>45</v>
      </c>
      <c r="L132" s="15">
        <v>15</v>
      </c>
      <c r="M132" s="73">
        <v>41.118749999999999</v>
      </c>
      <c r="N132" s="104">
        <v>41.118749999999999</v>
      </c>
      <c r="O132" s="57">
        <v>7000</v>
      </c>
      <c r="P132" s="58">
        <f t="shared" si="2"/>
        <v>287831.25</v>
      </c>
    </row>
    <row r="133" spans="1:16" ht="26.25" customHeight="1" x14ac:dyDescent="0.2">
      <c r="A133" s="100"/>
      <c r="B133" s="100"/>
      <c r="C133" s="65" t="s">
        <v>4638</v>
      </c>
      <c r="D133" s="70" t="s">
        <v>57</v>
      </c>
      <c r="E133" s="12">
        <v>44553</v>
      </c>
      <c r="F133" s="68" t="s">
        <v>58</v>
      </c>
      <c r="G133" s="12">
        <v>44559</v>
      </c>
      <c r="H133" s="69" t="s">
        <v>4687</v>
      </c>
      <c r="I133" s="15">
        <v>40</v>
      </c>
      <c r="J133" s="15">
        <v>35</v>
      </c>
      <c r="K133" s="15">
        <v>6</v>
      </c>
      <c r="L133" s="15">
        <v>2</v>
      </c>
      <c r="M133" s="73">
        <v>2.1</v>
      </c>
      <c r="N133" s="104">
        <v>2.1</v>
      </c>
      <c r="O133" s="57">
        <v>7000</v>
      </c>
      <c r="P133" s="58">
        <f t="shared" si="2"/>
        <v>14700</v>
      </c>
    </row>
    <row r="134" spans="1:16" ht="26.25" customHeight="1" x14ac:dyDescent="0.2">
      <c r="A134" s="100"/>
      <c r="B134" s="100"/>
      <c r="C134" s="65" t="s">
        <v>4639</v>
      </c>
      <c r="D134" s="70" t="s">
        <v>57</v>
      </c>
      <c r="E134" s="12">
        <v>44553</v>
      </c>
      <c r="F134" s="68" t="s">
        <v>58</v>
      </c>
      <c r="G134" s="12">
        <v>44559</v>
      </c>
      <c r="H134" s="69" t="s">
        <v>4687</v>
      </c>
      <c r="I134" s="15">
        <v>44</v>
      </c>
      <c r="J134" s="15">
        <v>30</v>
      </c>
      <c r="K134" s="15">
        <v>14</v>
      </c>
      <c r="L134" s="15">
        <v>8</v>
      </c>
      <c r="M134" s="73">
        <v>4.62</v>
      </c>
      <c r="N134" s="104">
        <v>8</v>
      </c>
      <c r="O134" s="57">
        <v>7000</v>
      </c>
      <c r="P134" s="58">
        <f t="shared" si="2"/>
        <v>56000</v>
      </c>
    </row>
    <row r="135" spans="1:16" ht="26.25" customHeight="1" x14ac:dyDescent="0.2">
      <c r="A135" s="100"/>
      <c r="B135" s="100"/>
      <c r="C135" s="65" t="s">
        <v>4640</v>
      </c>
      <c r="D135" s="70" t="s">
        <v>57</v>
      </c>
      <c r="E135" s="12">
        <v>44553</v>
      </c>
      <c r="F135" s="68" t="s">
        <v>58</v>
      </c>
      <c r="G135" s="12">
        <v>44559</v>
      </c>
      <c r="H135" s="69" t="s">
        <v>4687</v>
      </c>
      <c r="I135" s="15">
        <v>55</v>
      </c>
      <c r="J135" s="15">
        <v>40</v>
      </c>
      <c r="K135" s="15">
        <v>28</v>
      </c>
      <c r="L135" s="15">
        <v>11</v>
      </c>
      <c r="M135" s="73">
        <v>15.4</v>
      </c>
      <c r="N135" s="104">
        <v>16</v>
      </c>
      <c r="O135" s="57">
        <v>7000</v>
      </c>
      <c r="P135" s="58">
        <f t="shared" si="2"/>
        <v>112000</v>
      </c>
    </row>
    <row r="136" spans="1:16" ht="26.25" customHeight="1" x14ac:dyDescent="0.2">
      <c r="A136" s="100"/>
      <c r="B136" s="100"/>
      <c r="C136" s="65" t="s">
        <v>4641</v>
      </c>
      <c r="D136" s="70" t="s">
        <v>57</v>
      </c>
      <c r="E136" s="12">
        <v>44553</v>
      </c>
      <c r="F136" s="68" t="s">
        <v>58</v>
      </c>
      <c r="G136" s="12">
        <v>44559</v>
      </c>
      <c r="H136" s="69" t="s">
        <v>4687</v>
      </c>
      <c r="I136" s="15">
        <v>90</v>
      </c>
      <c r="J136" s="15">
        <v>55</v>
      </c>
      <c r="K136" s="15">
        <v>17</v>
      </c>
      <c r="L136" s="15">
        <v>8</v>
      </c>
      <c r="M136" s="73">
        <v>21.037500000000001</v>
      </c>
      <c r="N136" s="104">
        <v>21.037500000000001</v>
      </c>
      <c r="O136" s="57">
        <v>7000</v>
      </c>
      <c r="P136" s="58">
        <f t="shared" si="2"/>
        <v>147262.5</v>
      </c>
    </row>
    <row r="137" spans="1:16" ht="26.25" customHeight="1" x14ac:dyDescent="0.2">
      <c r="A137" s="100"/>
      <c r="B137" s="100"/>
      <c r="C137" s="65" t="s">
        <v>4642</v>
      </c>
      <c r="D137" s="70" t="s">
        <v>57</v>
      </c>
      <c r="E137" s="12">
        <v>44553</v>
      </c>
      <c r="F137" s="68" t="s">
        <v>58</v>
      </c>
      <c r="G137" s="12">
        <v>44559</v>
      </c>
      <c r="H137" s="69" t="s">
        <v>4687</v>
      </c>
      <c r="I137" s="15">
        <v>47</v>
      </c>
      <c r="J137" s="15">
        <v>40</v>
      </c>
      <c r="K137" s="15">
        <v>22</v>
      </c>
      <c r="L137" s="15">
        <v>13</v>
      </c>
      <c r="M137" s="73">
        <v>10.34</v>
      </c>
      <c r="N137" s="104">
        <v>13</v>
      </c>
      <c r="O137" s="57">
        <v>7000</v>
      </c>
      <c r="P137" s="58">
        <f t="shared" si="2"/>
        <v>91000</v>
      </c>
    </row>
    <row r="138" spans="1:16" ht="26.25" customHeight="1" x14ac:dyDescent="0.2">
      <c r="A138" s="100"/>
      <c r="B138" s="100"/>
      <c r="C138" s="65" t="s">
        <v>4643</v>
      </c>
      <c r="D138" s="70" t="s">
        <v>57</v>
      </c>
      <c r="E138" s="12">
        <v>44553</v>
      </c>
      <c r="F138" s="68" t="s">
        <v>58</v>
      </c>
      <c r="G138" s="12">
        <v>44559</v>
      </c>
      <c r="H138" s="69" t="s">
        <v>4687</v>
      </c>
      <c r="I138" s="15">
        <v>74</v>
      </c>
      <c r="J138" s="15">
        <v>60</v>
      </c>
      <c r="K138" s="15">
        <v>12</v>
      </c>
      <c r="L138" s="15">
        <v>6</v>
      </c>
      <c r="M138" s="73">
        <v>13.32</v>
      </c>
      <c r="N138" s="104">
        <v>14</v>
      </c>
      <c r="O138" s="57">
        <v>7000</v>
      </c>
      <c r="P138" s="58">
        <f t="shared" si="2"/>
        <v>98000</v>
      </c>
    </row>
    <row r="139" spans="1:16" ht="26.25" customHeight="1" x14ac:dyDescent="0.2">
      <c r="A139" s="100"/>
      <c r="B139" s="100"/>
      <c r="C139" s="65" t="s">
        <v>4644</v>
      </c>
      <c r="D139" s="70" t="s">
        <v>57</v>
      </c>
      <c r="E139" s="12">
        <v>44553</v>
      </c>
      <c r="F139" s="68" t="s">
        <v>58</v>
      </c>
      <c r="G139" s="12">
        <v>44559</v>
      </c>
      <c r="H139" s="69" t="s">
        <v>4687</v>
      </c>
      <c r="I139" s="15">
        <v>30</v>
      </c>
      <c r="J139" s="15">
        <v>23</v>
      </c>
      <c r="K139" s="15">
        <v>17</v>
      </c>
      <c r="L139" s="15">
        <v>7</v>
      </c>
      <c r="M139" s="73">
        <v>2.9325000000000001</v>
      </c>
      <c r="N139" s="104">
        <v>7</v>
      </c>
      <c r="O139" s="57">
        <v>7000</v>
      </c>
      <c r="P139" s="58">
        <f t="shared" si="2"/>
        <v>49000</v>
      </c>
    </row>
    <row r="140" spans="1:16" ht="26.25" customHeight="1" x14ac:dyDescent="0.2">
      <c r="A140" s="100"/>
      <c r="B140" s="100"/>
      <c r="C140" s="65" t="s">
        <v>4645</v>
      </c>
      <c r="D140" s="70" t="s">
        <v>57</v>
      </c>
      <c r="E140" s="12">
        <v>44553</v>
      </c>
      <c r="F140" s="68" t="s">
        <v>58</v>
      </c>
      <c r="G140" s="12">
        <v>44559</v>
      </c>
      <c r="H140" s="69" t="s">
        <v>4687</v>
      </c>
      <c r="I140" s="15">
        <v>54</v>
      </c>
      <c r="J140" s="15">
        <v>54</v>
      </c>
      <c r="K140" s="15">
        <v>14</v>
      </c>
      <c r="L140" s="15">
        <v>5</v>
      </c>
      <c r="M140" s="73">
        <v>10.206</v>
      </c>
      <c r="N140" s="104">
        <v>10.206</v>
      </c>
      <c r="O140" s="57">
        <v>7000</v>
      </c>
      <c r="P140" s="58">
        <f t="shared" si="2"/>
        <v>71442</v>
      </c>
    </row>
    <row r="141" spans="1:16" ht="26.25" customHeight="1" x14ac:dyDescent="0.2">
      <c r="A141" s="100"/>
      <c r="B141" s="100"/>
      <c r="C141" s="65" t="s">
        <v>4646</v>
      </c>
      <c r="D141" s="70" t="s">
        <v>57</v>
      </c>
      <c r="E141" s="12">
        <v>44553</v>
      </c>
      <c r="F141" s="68" t="s">
        <v>58</v>
      </c>
      <c r="G141" s="12">
        <v>44559</v>
      </c>
      <c r="H141" s="69" t="s">
        <v>4687</v>
      </c>
      <c r="I141" s="15">
        <v>65</v>
      </c>
      <c r="J141" s="15">
        <v>50</v>
      </c>
      <c r="K141" s="15">
        <v>25</v>
      </c>
      <c r="L141" s="15">
        <v>10</v>
      </c>
      <c r="M141" s="73">
        <v>20.3125</v>
      </c>
      <c r="N141" s="104">
        <v>21</v>
      </c>
      <c r="O141" s="57">
        <v>7000</v>
      </c>
      <c r="P141" s="58">
        <f t="shared" si="2"/>
        <v>147000</v>
      </c>
    </row>
    <row r="142" spans="1:16" ht="26.25" customHeight="1" x14ac:dyDescent="0.2">
      <c r="A142" s="100"/>
      <c r="B142" s="100"/>
      <c r="C142" s="65" t="s">
        <v>4647</v>
      </c>
      <c r="D142" s="70" t="s">
        <v>57</v>
      </c>
      <c r="E142" s="12">
        <v>44553</v>
      </c>
      <c r="F142" s="68" t="s">
        <v>58</v>
      </c>
      <c r="G142" s="12">
        <v>44559</v>
      </c>
      <c r="H142" s="69" t="s">
        <v>4687</v>
      </c>
      <c r="I142" s="15">
        <v>95</v>
      </c>
      <c r="J142" s="15">
        <v>53</v>
      </c>
      <c r="K142" s="15">
        <v>27</v>
      </c>
      <c r="L142" s="15">
        <v>27</v>
      </c>
      <c r="M142" s="73">
        <v>33.986249999999998</v>
      </c>
      <c r="N142" s="104">
        <v>33.986249999999998</v>
      </c>
      <c r="O142" s="57">
        <v>7000</v>
      </c>
      <c r="P142" s="58">
        <f t="shared" si="2"/>
        <v>237903.75</v>
      </c>
    </row>
    <row r="143" spans="1:16" ht="26.25" customHeight="1" x14ac:dyDescent="0.2">
      <c r="A143" s="100"/>
      <c r="B143" s="100"/>
      <c r="C143" s="65" t="s">
        <v>4648</v>
      </c>
      <c r="D143" s="70" t="s">
        <v>57</v>
      </c>
      <c r="E143" s="12">
        <v>44553</v>
      </c>
      <c r="F143" s="68" t="s">
        <v>58</v>
      </c>
      <c r="G143" s="12">
        <v>44559</v>
      </c>
      <c r="H143" s="69" t="s">
        <v>4687</v>
      </c>
      <c r="I143" s="15">
        <v>75</v>
      </c>
      <c r="J143" s="15">
        <v>60</v>
      </c>
      <c r="K143" s="15">
        <v>17</v>
      </c>
      <c r="L143" s="15">
        <v>7</v>
      </c>
      <c r="M143" s="73">
        <v>19.125</v>
      </c>
      <c r="N143" s="104">
        <v>19.125</v>
      </c>
      <c r="O143" s="57">
        <v>7000</v>
      </c>
      <c r="P143" s="58">
        <f t="shared" si="2"/>
        <v>133875</v>
      </c>
    </row>
    <row r="144" spans="1:16" ht="26.25" customHeight="1" x14ac:dyDescent="0.2">
      <c r="A144" s="100"/>
      <c r="B144" s="100"/>
      <c r="C144" s="65" t="s">
        <v>4649</v>
      </c>
      <c r="D144" s="70" t="s">
        <v>57</v>
      </c>
      <c r="E144" s="12">
        <v>44553</v>
      </c>
      <c r="F144" s="68" t="s">
        <v>58</v>
      </c>
      <c r="G144" s="12">
        <v>44559</v>
      </c>
      <c r="H144" s="69" t="s">
        <v>4687</v>
      </c>
      <c r="I144" s="15">
        <v>98</v>
      </c>
      <c r="J144" s="15">
        <v>57</v>
      </c>
      <c r="K144" s="15">
        <v>28</v>
      </c>
      <c r="L144" s="15">
        <v>14</v>
      </c>
      <c r="M144" s="73">
        <v>39.101999999999997</v>
      </c>
      <c r="N144" s="104">
        <v>39.101999999999997</v>
      </c>
      <c r="O144" s="57">
        <v>7000</v>
      </c>
      <c r="P144" s="58">
        <f t="shared" si="2"/>
        <v>273714</v>
      </c>
    </row>
    <row r="145" spans="1:16" ht="26.25" customHeight="1" x14ac:dyDescent="0.2">
      <c r="A145" s="100"/>
      <c r="B145" s="100"/>
      <c r="C145" s="65" t="s">
        <v>4650</v>
      </c>
      <c r="D145" s="70" t="s">
        <v>57</v>
      </c>
      <c r="E145" s="12">
        <v>44553</v>
      </c>
      <c r="F145" s="68" t="s">
        <v>58</v>
      </c>
      <c r="G145" s="12">
        <v>44559</v>
      </c>
      <c r="H145" s="69" t="s">
        <v>4687</v>
      </c>
      <c r="I145" s="15">
        <v>78</v>
      </c>
      <c r="J145" s="15">
        <v>57</v>
      </c>
      <c r="K145" s="15">
        <v>25</v>
      </c>
      <c r="L145" s="15">
        <v>16</v>
      </c>
      <c r="M145" s="73">
        <v>27.787500000000001</v>
      </c>
      <c r="N145" s="104">
        <v>27.787500000000001</v>
      </c>
      <c r="O145" s="57">
        <v>7000</v>
      </c>
      <c r="P145" s="58">
        <f t="shared" si="2"/>
        <v>194512.5</v>
      </c>
    </row>
    <row r="146" spans="1:16" ht="26.25" customHeight="1" x14ac:dyDescent="0.2">
      <c r="A146" s="100"/>
      <c r="B146" s="100"/>
      <c r="C146" s="65" t="s">
        <v>4651</v>
      </c>
      <c r="D146" s="70" t="s">
        <v>57</v>
      </c>
      <c r="E146" s="12">
        <v>44553</v>
      </c>
      <c r="F146" s="68" t="s">
        <v>58</v>
      </c>
      <c r="G146" s="12">
        <v>44559</v>
      </c>
      <c r="H146" s="69" t="s">
        <v>4687</v>
      </c>
      <c r="I146" s="15">
        <v>60</v>
      </c>
      <c r="J146" s="15">
        <v>35</v>
      </c>
      <c r="K146" s="15">
        <v>15</v>
      </c>
      <c r="L146" s="15">
        <v>3</v>
      </c>
      <c r="M146" s="73">
        <v>7.875</v>
      </c>
      <c r="N146" s="104">
        <v>7.875</v>
      </c>
      <c r="O146" s="57">
        <v>7000</v>
      </c>
      <c r="P146" s="58">
        <f t="shared" si="2"/>
        <v>55125</v>
      </c>
    </row>
    <row r="147" spans="1:16" ht="26.25" customHeight="1" x14ac:dyDescent="0.2">
      <c r="A147" s="100"/>
      <c r="B147" s="100"/>
      <c r="C147" s="65" t="s">
        <v>4652</v>
      </c>
      <c r="D147" s="70" t="s">
        <v>57</v>
      </c>
      <c r="E147" s="12">
        <v>44553</v>
      </c>
      <c r="F147" s="68" t="s">
        <v>58</v>
      </c>
      <c r="G147" s="12">
        <v>44559</v>
      </c>
      <c r="H147" s="69" t="s">
        <v>4687</v>
      </c>
      <c r="I147" s="15">
        <v>75</v>
      </c>
      <c r="J147" s="15">
        <v>60</v>
      </c>
      <c r="K147" s="15">
        <v>12</v>
      </c>
      <c r="L147" s="15">
        <v>3</v>
      </c>
      <c r="M147" s="73">
        <v>13.5</v>
      </c>
      <c r="N147" s="104">
        <v>14</v>
      </c>
      <c r="O147" s="57">
        <v>7000</v>
      </c>
      <c r="P147" s="58">
        <f t="shared" si="2"/>
        <v>98000</v>
      </c>
    </row>
    <row r="148" spans="1:16" ht="26.25" customHeight="1" x14ac:dyDescent="0.2">
      <c r="A148" s="100"/>
      <c r="B148" s="100"/>
      <c r="C148" s="65" t="s">
        <v>4653</v>
      </c>
      <c r="D148" s="70" t="s">
        <v>57</v>
      </c>
      <c r="E148" s="12">
        <v>44553</v>
      </c>
      <c r="F148" s="68" t="s">
        <v>58</v>
      </c>
      <c r="G148" s="12">
        <v>44559</v>
      </c>
      <c r="H148" s="69" t="s">
        <v>4687</v>
      </c>
      <c r="I148" s="15">
        <v>55</v>
      </c>
      <c r="J148" s="15">
        <v>34</v>
      </c>
      <c r="K148" s="15">
        <v>13</v>
      </c>
      <c r="L148" s="15">
        <v>3</v>
      </c>
      <c r="M148" s="73">
        <v>6.0774999999999997</v>
      </c>
      <c r="N148" s="104">
        <v>6.0774999999999997</v>
      </c>
      <c r="O148" s="57">
        <v>7000</v>
      </c>
      <c r="P148" s="58">
        <f t="shared" si="2"/>
        <v>42542.5</v>
      </c>
    </row>
    <row r="149" spans="1:16" ht="26.25" customHeight="1" x14ac:dyDescent="0.2">
      <c r="A149" s="100"/>
      <c r="B149" s="100"/>
      <c r="C149" s="65" t="s">
        <v>4654</v>
      </c>
      <c r="D149" s="70" t="s">
        <v>57</v>
      </c>
      <c r="E149" s="12">
        <v>44553</v>
      </c>
      <c r="F149" s="68" t="s">
        <v>58</v>
      </c>
      <c r="G149" s="12">
        <v>44559</v>
      </c>
      <c r="H149" s="69" t="s">
        <v>4687</v>
      </c>
      <c r="I149" s="15">
        <v>36</v>
      </c>
      <c r="J149" s="15">
        <v>32</v>
      </c>
      <c r="K149" s="15">
        <v>8</v>
      </c>
      <c r="L149" s="15">
        <v>7</v>
      </c>
      <c r="M149" s="73">
        <v>2.3039999999999998</v>
      </c>
      <c r="N149" s="104">
        <v>7</v>
      </c>
      <c r="O149" s="57">
        <v>7000</v>
      </c>
      <c r="P149" s="58">
        <f t="shared" si="2"/>
        <v>49000</v>
      </c>
    </row>
    <row r="150" spans="1:16" ht="26.25" customHeight="1" x14ac:dyDescent="0.2">
      <c r="A150" s="100"/>
      <c r="B150" s="100"/>
      <c r="C150" s="65" t="s">
        <v>4655</v>
      </c>
      <c r="D150" s="70" t="s">
        <v>57</v>
      </c>
      <c r="E150" s="12">
        <v>44553</v>
      </c>
      <c r="F150" s="68" t="s">
        <v>58</v>
      </c>
      <c r="G150" s="12">
        <v>44559</v>
      </c>
      <c r="H150" s="69" t="s">
        <v>4687</v>
      </c>
      <c r="I150" s="15">
        <v>124</v>
      </c>
      <c r="J150" s="15">
        <v>8</v>
      </c>
      <c r="K150" s="15">
        <v>8</v>
      </c>
      <c r="L150" s="15">
        <v>2</v>
      </c>
      <c r="M150" s="73">
        <v>1.984</v>
      </c>
      <c r="N150" s="104">
        <v>2</v>
      </c>
      <c r="O150" s="57">
        <v>7000</v>
      </c>
      <c r="P150" s="58">
        <f t="shared" si="2"/>
        <v>14000</v>
      </c>
    </row>
    <row r="151" spans="1:16" ht="26.25" customHeight="1" x14ac:dyDescent="0.2">
      <c r="A151" s="100"/>
      <c r="B151" s="100"/>
      <c r="C151" s="65" t="s">
        <v>4656</v>
      </c>
      <c r="D151" s="70" t="s">
        <v>57</v>
      </c>
      <c r="E151" s="12">
        <v>44553</v>
      </c>
      <c r="F151" s="68" t="s">
        <v>58</v>
      </c>
      <c r="G151" s="12">
        <v>44559</v>
      </c>
      <c r="H151" s="69" t="s">
        <v>4687</v>
      </c>
      <c r="I151" s="15">
        <v>64</v>
      </c>
      <c r="J151" s="15">
        <v>13</v>
      </c>
      <c r="K151" s="15">
        <v>8</v>
      </c>
      <c r="L151" s="15">
        <v>2</v>
      </c>
      <c r="M151" s="73">
        <v>1.6639999999999999</v>
      </c>
      <c r="N151" s="104">
        <v>2</v>
      </c>
      <c r="O151" s="57">
        <v>7000</v>
      </c>
      <c r="P151" s="58">
        <f t="shared" si="2"/>
        <v>14000</v>
      </c>
    </row>
    <row r="152" spans="1:16" ht="26.25" customHeight="1" x14ac:dyDescent="0.2">
      <c r="A152" s="100"/>
      <c r="B152" s="100"/>
      <c r="C152" s="65" t="s">
        <v>4657</v>
      </c>
      <c r="D152" s="70" t="s">
        <v>57</v>
      </c>
      <c r="E152" s="12">
        <v>44553</v>
      </c>
      <c r="F152" s="68" t="s">
        <v>58</v>
      </c>
      <c r="G152" s="12">
        <v>44559</v>
      </c>
      <c r="H152" s="69" t="s">
        <v>4687</v>
      </c>
      <c r="I152" s="15">
        <v>80</v>
      </c>
      <c r="J152" s="15">
        <v>20</v>
      </c>
      <c r="K152" s="15">
        <v>13</v>
      </c>
      <c r="L152" s="15">
        <v>11</v>
      </c>
      <c r="M152" s="73">
        <v>5.2</v>
      </c>
      <c r="N152" s="104">
        <v>11</v>
      </c>
      <c r="O152" s="57">
        <v>7000</v>
      </c>
      <c r="P152" s="58">
        <f t="shared" si="2"/>
        <v>77000</v>
      </c>
    </row>
    <row r="153" spans="1:16" ht="26.25" customHeight="1" x14ac:dyDescent="0.2">
      <c r="A153" s="100"/>
      <c r="B153" s="100"/>
      <c r="C153" s="65" t="s">
        <v>4658</v>
      </c>
      <c r="D153" s="70" t="s">
        <v>57</v>
      </c>
      <c r="E153" s="12">
        <v>44553</v>
      </c>
      <c r="F153" s="68" t="s">
        <v>58</v>
      </c>
      <c r="G153" s="12">
        <v>44559</v>
      </c>
      <c r="H153" s="69" t="s">
        <v>4687</v>
      </c>
      <c r="I153" s="15">
        <v>82</v>
      </c>
      <c r="J153" s="15">
        <v>62</v>
      </c>
      <c r="K153" s="15">
        <v>17</v>
      </c>
      <c r="L153" s="15">
        <v>5</v>
      </c>
      <c r="M153" s="73">
        <v>21.606999999999999</v>
      </c>
      <c r="N153" s="104">
        <v>21.606999999999999</v>
      </c>
      <c r="O153" s="57">
        <v>7000</v>
      </c>
      <c r="P153" s="58">
        <f t="shared" si="2"/>
        <v>151249</v>
      </c>
    </row>
    <row r="154" spans="1:16" ht="26.25" customHeight="1" x14ac:dyDescent="0.2">
      <c r="A154" s="100"/>
      <c r="B154" s="100"/>
      <c r="C154" s="65" t="s">
        <v>4659</v>
      </c>
      <c r="D154" s="70" t="s">
        <v>57</v>
      </c>
      <c r="E154" s="12">
        <v>44553</v>
      </c>
      <c r="F154" s="68" t="s">
        <v>58</v>
      </c>
      <c r="G154" s="12">
        <v>44559</v>
      </c>
      <c r="H154" s="69" t="s">
        <v>4687</v>
      </c>
      <c r="I154" s="15">
        <v>99</v>
      </c>
      <c r="J154" s="15">
        <v>64</v>
      </c>
      <c r="K154" s="15">
        <v>22</v>
      </c>
      <c r="L154" s="15">
        <v>21</v>
      </c>
      <c r="M154" s="73">
        <v>34.847999999999999</v>
      </c>
      <c r="N154" s="104">
        <v>34.847999999999999</v>
      </c>
      <c r="O154" s="57">
        <v>7000</v>
      </c>
      <c r="P154" s="58">
        <f t="shared" si="2"/>
        <v>243936</v>
      </c>
    </row>
    <row r="155" spans="1:16" ht="26.25" customHeight="1" x14ac:dyDescent="0.2">
      <c r="A155" s="100"/>
      <c r="B155" s="100"/>
      <c r="C155" s="65" t="s">
        <v>4660</v>
      </c>
      <c r="D155" s="70" t="s">
        <v>57</v>
      </c>
      <c r="E155" s="12">
        <v>44553</v>
      </c>
      <c r="F155" s="68" t="s">
        <v>58</v>
      </c>
      <c r="G155" s="12">
        <v>44559</v>
      </c>
      <c r="H155" s="69" t="s">
        <v>4687</v>
      </c>
      <c r="I155" s="15">
        <v>95</v>
      </c>
      <c r="J155" s="15">
        <v>60</v>
      </c>
      <c r="K155" s="15">
        <v>23</v>
      </c>
      <c r="L155" s="15">
        <v>13</v>
      </c>
      <c r="M155" s="73">
        <v>32.774999999999999</v>
      </c>
      <c r="N155" s="104">
        <v>32.774999999999999</v>
      </c>
      <c r="O155" s="57">
        <v>7000</v>
      </c>
      <c r="P155" s="58">
        <f t="shared" si="2"/>
        <v>229425</v>
      </c>
    </row>
    <row r="156" spans="1:16" ht="26.25" customHeight="1" x14ac:dyDescent="0.2">
      <c r="A156" s="100"/>
      <c r="B156" s="100"/>
      <c r="C156" s="65" t="s">
        <v>4661</v>
      </c>
      <c r="D156" s="70" t="s">
        <v>57</v>
      </c>
      <c r="E156" s="12">
        <v>44553</v>
      </c>
      <c r="F156" s="68" t="s">
        <v>58</v>
      </c>
      <c r="G156" s="12">
        <v>44559</v>
      </c>
      <c r="H156" s="69" t="s">
        <v>4687</v>
      </c>
      <c r="I156" s="15">
        <v>87</v>
      </c>
      <c r="J156" s="15">
        <v>54</v>
      </c>
      <c r="K156" s="15">
        <v>24</v>
      </c>
      <c r="L156" s="15">
        <v>11</v>
      </c>
      <c r="M156" s="73">
        <v>28.187999999999999</v>
      </c>
      <c r="N156" s="104">
        <v>28.187999999999999</v>
      </c>
      <c r="O156" s="57">
        <v>7000</v>
      </c>
      <c r="P156" s="58">
        <f t="shared" si="2"/>
        <v>197316</v>
      </c>
    </row>
    <row r="157" spans="1:16" ht="26.25" customHeight="1" x14ac:dyDescent="0.2">
      <c r="A157" s="100"/>
      <c r="B157" s="100"/>
      <c r="C157" s="65" t="s">
        <v>4662</v>
      </c>
      <c r="D157" s="70" t="s">
        <v>57</v>
      </c>
      <c r="E157" s="12">
        <v>44553</v>
      </c>
      <c r="F157" s="68" t="s">
        <v>58</v>
      </c>
      <c r="G157" s="12">
        <v>44559</v>
      </c>
      <c r="H157" s="69" t="s">
        <v>4687</v>
      </c>
      <c r="I157" s="15">
        <v>46</v>
      </c>
      <c r="J157" s="15">
        <v>38</v>
      </c>
      <c r="K157" s="15">
        <v>27</v>
      </c>
      <c r="L157" s="15">
        <v>23</v>
      </c>
      <c r="M157" s="73">
        <v>11.798999999999999</v>
      </c>
      <c r="N157" s="104">
        <v>23</v>
      </c>
      <c r="O157" s="57">
        <v>7000</v>
      </c>
      <c r="P157" s="58">
        <f t="shared" si="2"/>
        <v>161000</v>
      </c>
    </row>
    <row r="158" spans="1:16" ht="26.25" customHeight="1" x14ac:dyDescent="0.2">
      <c r="A158" s="100"/>
      <c r="B158" s="101"/>
      <c r="C158" s="65" t="s">
        <v>4663</v>
      </c>
      <c r="D158" s="70" t="s">
        <v>57</v>
      </c>
      <c r="E158" s="12">
        <v>44553</v>
      </c>
      <c r="F158" s="68" t="s">
        <v>58</v>
      </c>
      <c r="G158" s="12">
        <v>44559</v>
      </c>
      <c r="H158" s="69" t="s">
        <v>4687</v>
      </c>
      <c r="I158" s="15">
        <v>156</v>
      </c>
      <c r="J158" s="15">
        <v>15</v>
      </c>
      <c r="K158" s="15">
        <v>8</v>
      </c>
      <c r="L158" s="15">
        <v>1</v>
      </c>
      <c r="M158" s="73">
        <f>Table224578910112345678910111213141516171819202122232425262728293031323334353738394041424344454647484950515253545556575859606162636465666768697071727374[[#This Row],[P]]*Table224578910112345678910111213141516171819202122232425262728293031323334353738394041424344454647484950515253545556575859606162636465666768697071727374[[#This Row],[L]]*Table224578910112345678910111213141516171819202122232425262728293031323334353738394041424344454647484950515253545556575859606162636465666768697071727374[[#This Row],[T]]/4000</f>
        <v>4.68</v>
      </c>
      <c r="N158" s="104">
        <v>5</v>
      </c>
      <c r="O158" s="57">
        <v>7000</v>
      </c>
      <c r="P158" s="58">
        <f t="shared" si="2"/>
        <v>35000</v>
      </c>
    </row>
    <row r="159" spans="1:16" ht="26.25" customHeight="1" x14ac:dyDescent="0.2">
      <c r="A159" s="100"/>
      <c r="B159" s="100" t="s">
        <v>4664</v>
      </c>
      <c r="C159" s="65" t="s">
        <v>4665</v>
      </c>
      <c r="D159" s="70" t="s">
        <v>57</v>
      </c>
      <c r="E159" s="12">
        <v>44553</v>
      </c>
      <c r="F159" s="68" t="s">
        <v>58</v>
      </c>
      <c r="G159" s="12">
        <v>44559</v>
      </c>
      <c r="H159" s="69" t="s">
        <v>4687</v>
      </c>
      <c r="I159" s="15">
        <v>31</v>
      </c>
      <c r="J159" s="15">
        <v>33</v>
      </c>
      <c r="K159" s="15">
        <v>13</v>
      </c>
      <c r="L159" s="15">
        <v>1</v>
      </c>
      <c r="M159" s="73">
        <v>3.3247499999999999</v>
      </c>
      <c r="N159" s="104">
        <v>4</v>
      </c>
      <c r="O159" s="57">
        <v>7000</v>
      </c>
      <c r="P159" s="58">
        <f t="shared" si="2"/>
        <v>28000</v>
      </c>
    </row>
    <row r="160" spans="1:16" ht="26.25" customHeight="1" x14ac:dyDescent="0.2">
      <c r="A160" s="100"/>
      <c r="B160" s="100"/>
      <c r="C160" s="65" t="s">
        <v>4666</v>
      </c>
      <c r="D160" s="70" t="s">
        <v>57</v>
      </c>
      <c r="E160" s="12">
        <v>44553</v>
      </c>
      <c r="F160" s="68" t="s">
        <v>58</v>
      </c>
      <c r="G160" s="12">
        <v>44559</v>
      </c>
      <c r="H160" s="69" t="s">
        <v>4687</v>
      </c>
      <c r="I160" s="15">
        <v>32</v>
      </c>
      <c r="J160" s="15">
        <v>53</v>
      </c>
      <c r="K160" s="15">
        <v>15</v>
      </c>
      <c r="L160" s="15">
        <v>5</v>
      </c>
      <c r="M160" s="73">
        <v>6.36</v>
      </c>
      <c r="N160" s="104">
        <v>7</v>
      </c>
      <c r="O160" s="57">
        <v>7000</v>
      </c>
      <c r="P160" s="58">
        <f t="shared" si="2"/>
        <v>49000</v>
      </c>
    </row>
    <row r="161" spans="1:16" ht="26.25" customHeight="1" x14ac:dyDescent="0.2">
      <c r="A161" s="100"/>
      <c r="B161" s="100"/>
      <c r="C161" s="65" t="s">
        <v>4667</v>
      </c>
      <c r="D161" s="70" t="s">
        <v>57</v>
      </c>
      <c r="E161" s="12">
        <v>44553</v>
      </c>
      <c r="F161" s="68" t="s">
        <v>58</v>
      </c>
      <c r="G161" s="12">
        <v>44559</v>
      </c>
      <c r="H161" s="69" t="s">
        <v>4687</v>
      </c>
      <c r="I161" s="15">
        <v>30</v>
      </c>
      <c r="J161" s="15">
        <v>26</v>
      </c>
      <c r="K161" s="15">
        <v>12</v>
      </c>
      <c r="L161" s="15">
        <v>1</v>
      </c>
      <c r="M161" s="73">
        <v>2.34</v>
      </c>
      <c r="N161" s="104">
        <v>3</v>
      </c>
      <c r="O161" s="57">
        <v>7000</v>
      </c>
      <c r="P161" s="58">
        <f t="shared" si="2"/>
        <v>21000</v>
      </c>
    </row>
    <row r="162" spans="1:16" ht="26.25" customHeight="1" x14ac:dyDescent="0.2">
      <c r="A162" s="100"/>
      <c r="B162" s="100"/>
      <c r="C162" s="65" t="s">
        <v>4668</v>
      </c>
      <c r="D162" s="70" t="s">
        <v>57</v>
      </c>
      <c r="E162" s="12">
        <v>44553</v>
      </c>
      <c r="F162" s="68" t="s">
        <v>58</v>
      </c>
      <c r="G162" s="12">
        <v>44559</v>
      </c>
      <c r="H162" s="69" t="s">
        <v>4687</v>
      </c>
      <c r="I162" s="15">
        <v>57</v>
      </c>
      <c r="J162" s="15">
        <v>31</v>
      </c>
      <c r="K162" s="15">
        <v>24</v>
      </c>
      <c r="L162" s="15">
        <v>6</v>
      </c>
      <c r="M162" s="73">
        <v>10.602</v>
      </c>
      <c r="N162" s="104">
        <v>10.602</v>
      </c>
      <c r="O162" s="57">
        <v>7000</v>
      </c>
      <c r="P162" s="58">
        <f t="shared" si="2"/>
        <v>74214</v>
      </c>
    </row>
    <row r="163" spans="1:16" ht="26.25" customHeight="1" x14ac:dyDescent="0.2">
      <c r="A163" s="100"/>
      <c r="B163" s="100"/>
      <c r="C163" s="65" t="s">
        <v>4669</v>
      </c>
      <c r="D163" s="70" t="s">
        <v>57</v>
      </c>
      <c r="E163" s="12">
        <v>44553</v>
      </c>
      <c r="F163" s="68" t="s">
        <v>58</v>
      </c>
      <c r="G163" s="12">
        <v>44559</v>
      </c>
      <c r="H163" s="69" t="s">
        <v>4687</v>
      </c>
      <c r="I163" s="15">
        <v>60</v>
      </c>
      <c r="J163" s="15">
        <v>56</v>
      </c>
      <c r="K163" s="15">
        <v>29</v>
      </c>
      <c r="L163" s="15">
        <v>9</v>
      </c>
      <c r="M163" s="73">
        <v>24.36</v>
      </c>
      <c r="N163" s="104">
        <v>25</v>
      </c>
      <c r="O163" s="57">
        <v>7000</v>
      </c>
      <c r="P163" s="58">
        <f t="shared" si="2"/>
        <v>175000</v>
      </c>
    </row>
    <row r="164" spans="1:16" ht="26.25" customHeight="1" x14ac:dyDescent="0.2">
      <c r="A164" s="100"/>
      <c r="B164" s="101"/>
      <c r="C164" s="65" t="s">
        <v>4670</v>
      </c>
      <c r="D164" s="70" t="s">
        <v>57</v>
      </c>
      <c r="E164" s="12">
        <v>44553</v>
      </c>
      <c r="F164" s="68" t="s">
        <v>58</v>
      </c>
      <c r="G164" s="12">
        <v>44559</v>
      </c>
      <c r="H164" s="69" t="s">
        <v>4687</v>
      </c>
      <c r="I164" s="15">
        <v>36</v>
      </c>
      <c r="J164" s="15">
        <v>26</v>
      </c>
      <c r="K164" s="15">
        <v>25</v>
      </c>
      <c r="L164" s="15">
        <v>16</v>
      </c>
      <c r="M164" s="73">
        <v>5.85</v>
      </c>
      <c r="N164" s="104">
        <v>16</v>
      </c>
      <c r="O164" s="57">
        <v>7000</v>
      </c>
      <c r="P164" s="58">
        <f t="shared" si="2"/>
        <v>112000</v>
      </c>
    </row>
    <row r="165" spans="1:16" ht="26.25" customHeight="1" x14ac:dyDescent="0.2">
      <c r="A165" s="100"/>
      <c r="B165" s="100" t="s">
        <v>4671</v>
      </c>
      <c r="C165" s="65" t="s">
        <v>4672</v>
      </c>
      <c r="D165" s="70" t="s">
        <v>57</v>
      </c>
      <c r="E165" s="12">
        <v>44553</v>
      </c>
      <c r="F165" s="68" t="s">
        <v>58</v>
      </c>
      <c r="G165" s="12">
        <v>44559</v>
      </c>
      <c r="H165" s="69" t="s">
        <v>4687</v>
      </c>
      <c r="I165" s="15">
        <v>44</v>
      </c>
      <c r="J165" s="15">
        <v>34</v>
      </c>
      <c r="K165" s="15">
        <v>30</v>
      </c>
      <c r="L165" s="15">
        <v>9</v>
      </c>
      <c r="M165" s="73">
        <v>11.22</v>
      </c>
      <c r="N165" s="104">
        <v>11.22</v>
      </c>
      <c r="O165" s="57">
        <v>7000</v>
      </c>
      <c r="P165" s="58">
        <f t="shared" si="2"/>
        <v>78540</v>
      </c>
    </row>
    <row r="166" spans="1:16" ht="26.25" customHeight="1" x14ac:dyDescent="0.2">
      <c r="A166" s="100"/>
      <c r="B166" s="100"/>
      <c r="C166" s="65" t="s">
        <v>4673</v>
      </c>
      <c r="D166" s="70" t="s">
        <v>57</v>
      </c>
      <c r="E166" s="12">
        <v>44553</v>
      </c>
      <c r="F166" s="68" t="s">
        <v>58</v>
      </c>
      <c r="G166" s="12">
        <v>44559</v>
      </c>
      <c r="H166" s="69" t="s">
        <v>4687</v>
      </c>
      <c r="I166" s="15">
        <v>44</v>
      </c>
      <c r="J166" s="15">
        <v>34</v>
      </c>
      <c r="K166" s="15">
        <v>30</v>
      </c>
      <c r="L166" s="15">
        <v>9</v>
      </c>
      <c r="M166" s="73">
        <v>11.22</v>
      </c>
      <c r="N166" s="104">
        <v>11.22</v>
      </c>
      <c r="O166" s="57">
        <v>7000</v>
      </c>
      <c r="P166" s="58">
        <f t="shared" si="2"/>
        <v>78540</v>
      </c>
    </row>
    <row r="167" spans="1:16" ht="26.25" customHeight="1" x14ac:dyDescent="0.2">
      <c r="A167" s="100"/>
      <c r="B167" s="100"/>
      <c r="C167" s="65" t="s">
        <v>4674</v>
      </c>
      <c r="D167" s="70" t="s">
        <v>57</v>
      </c>
      <c r="E167" s="12">
        <v>44553</v>
      </c>
      <c r="F167" s="68" t="s">
        <v>58</v>
      </c>
      <c r="G167" s="12">
        <v>44559</v>
      </c>
      <c r="H167" s="69" t="s">
        <v>4687</v>
      </c>
      <c r="I167" s="15">
        <v>44</v>
      </c>
      <c r="J167" s="15">
        <v>34</v>
      </c>
      <c r="K167" s="15">
        <v>30</v>
      </c>
      <c r="L167" s="15">
        <v>9</v>
      </c>
      <c r="M167" s="73">
        <v>11.22</v>
      </c>
      <c r="N167" s="104">
        <v>11.22</v>
      </c>
      <c r="O167" s="57">
        <v>7000</v>
      </c>
      <c r="P167" s="58">
        <f t="shared" si="2"/>
        <v>78540</v>
      </c>
    </row>
    <row r="168" spans="1:16" ht="26.25" customHeight="1" x14ac:dyDescent="0.2">
      <c r="A168" s="100"/>
      <c r="B168" s="100"/>
      <c r="C168" s="65" t="s">
        <v>4675</v>
      </c>
      <c r="D168" s="70" t="s">
        <v>57</v>
      </c>
      <c r="E168" s="12">
        <v>44553</v>
      </c>
      <c r="F168" s="68" t="s">
        <v>58</v>
      </c>
      <c r="G168" s="12">
        <v>44559</v>
      </c>
      <c r="H168" s="69" t="s">
        <v>4687</v>
      </c>
      <c r="I168" s="15">
        <v>44</v>
      </c>
      <c r="J168" s="15">
        <v>34</v>
      </c>
      <c r="K168" s="15">
        <v>30</v>
      </c>
      <c r="L168" s="15">
        <v>9</v>
      </c>
      <c r="M168" s="73">
        <v>11.22</v>
      </c>
      <c r="N168" s="104">
        <v>11.22</v>
      </c>
      <c r="O168" s="57">
        <v>7000</v>
      </c>
      <c r="P168" s="58">
        <f t="shared" si="2"/>
        <v>78540</v>
      </c>
    </row>
    <row r="169" spans="1:16" ht="26.25" customHeight="1" x14ac:dyDescent="0.2">
      <c r="A169" s="100"/>
      <c r="B169" s="100"/>
      <c r="C169" s="65" t="s">
        <v>4676</v>
      </c>
      <c r="D169" s="70" t="s">
        <v>57</v>
      </c>
      <c r="E169" s="12">
        <v>44553</v>
      </c>
      <c r="F169" s="68" t="s">
        <v>58</v>
      </c>
      <c r="G169" s="12">
        <v>44559</v>
      </c>
      <c r="H169" s="69" t="s">
        <v>4687</v>
      </c>
      <c r="I169" s="15">
        <v>33</v>
      </c>
      <c r="J169" s="15">
        <v>23</v>
      </c>
      <c r="K169" s="15">
        <v>19</v>
      </c>
      <c r="L169" s="15">
        <v>7</v>
      </c>
      <c r="M169" s="73">
        <v>3.6052499999999998</v>
      </c>
      <c r="N169" s="104">
        <v>7</v>
      </c>
      <c r="O169" s="57">
        <v>7000</v>
      </c>
      <c r="P169" s="58">
        <f t="shared" si="2"/>
        <v>49000</v>
      </c>
    </row>
    <row r="170" spans="1:16" ht="26.25" customHeight="1" x14ac:dyDescent="0.2">
      <c r="A170" s="100"/>
      <c r="B170" s="100"/>
      <c r="C170" s="65" t="s">
        <v>4677</v>
      </c>
      <c r="D170" s="70" t="s">
        <v>57</v>
      </c>
      <c r="E170" s="12">
        <v>44553</v>
      </c>
      <c r="F170" s="68" t="s">
        <v>58</v>
      </c>
      <c r="G170" s="12">
        <v>44559</v>
      </c>
      <c r="H170" s="69" t="s">
        <v>4687</v>
      </c>
      <c r="I170" s="15">
        <v>33</v>
      </c>
      <c r="J170" s="15">
        <v>23</v>
      </c>
      <c r="K170" s="15">
        <v>19</v>
      </c>
      <c r="L170" s="15">
        <v>7</v>
      </c>
      <c r="M170" s="73">
        <v>3.6052499999999998</v>
      </c>
      <c r="N170" s="104">
        <v>7</v>
      </c>
      <c r="O170" s="57">
        <v>7000</v>
      </c>
      <c r="P170" s="58">
        <f t="shared" si="2"/>
        <v>49000</v>
      </c>
    </row>
    <row r="171" spans="1:16" ht="26.25" customHeight="1" x14ac:dyDescent="0.2">
      <c r="A171" s="100"/>
      <c r="B171" s="100"/>
      <c r="C171" s="65" t="s">
        <v>4678</v>
      </c>
      <c r="D171" s="70" t="s">
        <v>57</v>
      </c>
      <c r="E171" s="12">
        <v>44553</v>
      </c>
      <c r="F171" s="68" t="s">
        <v>58</v>
      </c>
      <c r="G171" s="12">
        <v>44559</v>
      </c>
      <c r="H171" s="69" t="s">
        <v>4687</v>
      </c>
      <c r="I171" s="15">
        <v>33</v>
      </c>
      <c r="J171" s="15">
        <v>23</v>
      </c>
      <c r="K171" s="15">
        <v>19</v>
      </c>
      <c r="L171" s="15">
        <v>7</v>
      </c>
      <c r="M171" s="73">
        <v>3.6052499999999998</v>
      </c>
      <c r="N171" s="104">
        <v>7</v>
      </c>
      <c r="O171" s="57">
        <v>7000</v>
      </c>
      <c r="P171" s="58">
        <f t="shared" si="2"/>
        <v>49000</v>
      </c>
    </row>
    <row r="172" spans="1:16" ht="26.25" customHeight="1" x14ac:dyDescent="0.2">
      <c r="A172" s="100"/>
      <c r="B172" s="100"/>
      <c r="C172" s="65" t="s">
        <v>4679</v>
      </c>
      <c r="D172" s="70" t="s">
        <v>57</v>
      </c>
      <c r="E172" s="12">
        <v>44553</v>
      </c>
      <c r="F172" s="68" t="s">
        <v>58</v>
      </c>
      <c r="G172" s="12">
        <v>44559</v>
      </c>
      <c r="H172" s="69" t="s">
        <v>4687</v>
      </c>
      <c r="I172" s="15">
        <v>33</v>
      </c>
      <c r="J172" s="15">
        <v>23</v>
      </c>
      <c r="K172" s="15">
        <v>19</v>
      </c>
      <c r="L172" s="15">
        <v>7</v>
      </c>
      <c r="M172" s="73">
        <v>3.6052499999999998</v>
      </c>
      <c r="N172" s="104">
        <v>7</v>
      </c>
      <c r="O172" s="57">
        <v>7000</v>
      </c>
      <c r="P172" s="58">
        <f t="shared" si="2"/>
        <v>49000</v>
      </c>
    </row>
    <row r="173" spans="1:16" ht="26.25" customHeight="1" x14ac:dyDescent="0.2">
      <c r="A173" s="100"/>
      <c r="B173" s="100"/>
      <c r="C173" s="65" t="s">
        <v>4680</v>
      </c>
      <c r="D173" s="70" t="s">
        <v>57</v>
      </c>
      <c r="E173" s="12">
        <v>44553</v>
      </c>
      <c r="F173" s="68" t="s">
        <v>58</v>
      </c>
      <c r="G173" s="12">
        <v>44559</v>
      </c>
      <c r="H173" s="69" t="s">
        <v>4687</v>
      </c>
      <c r="I173" s="15">
        <v>33</v>
      </c>
      <c r="J173" s="15">
        <v>23</v>
      </c>
      <c r="K173" s="15">
        <v>19</v>
      </c>
      <c r="L173" s="15">
        <v>7</v>
      </c>
      <c r="M173" s="73">
        <v>3.6052499999999998</v>
      </c>
      <c r="N173" s="104">
        <v>7</v>
      </c>
      <c r="O173" s="57">
        <v>7000</v>
      </c>
      <c r="P173" s="58">
        <f t="shared" si="2"/>
        <v>49000</v>
      </c>
    </row>
    <row r="174" spans="1:16" ht="26.25" customHeight="1" x14ac:dyDescent="0.2">
      <c r="A174" s="100"/>
      <c r="B174" s="100"/>
      <c r="C174" s="65" t="s">
        <v>4681</v>
      </c>
      <c r="D174" s="70" t="s">
        <v>57</v>
      </c>
      <c r="E174" s="12">
        <v>44553</v>
      </c>
      <c r="F174" s="68" t="s">
        <v>58</v>
      </c>
      <c r="G174" s="12">
        <v>44559</v>
      </c>
      <c r="H174" s="69" t="s">
        <v>4687</v>
      </c>
      <c r="I174" s="15">
        <v>85</v>
      </c>
      <c r="J174" s="15">
        <v>85</v>
      </c>
      <c r="K174" s="15">
        <v>10</v>
      </c>
      <c r="L174" s="15">
        <v>11</v>
      </c>
      <c r="M174" s="73">
        <v>18.0625</v>
      </c>
      <c r="N174" s="104">
        <v>18.0625</v>
      </c>
      <c r="O174" s="57">
        <v>7000</v>
      </c>
      <c r="P174" s="58">
        <f t="shared" si="2"/>
        <v>126437.5</v>
      </c>
    </row>
    <row r="175" spans="1:16" ht="26.25" customHeight="1" x14ac:dyDescent="0.2">
      <c r="A175" s="100"/>
      <c r="B175" s="100"/>
      <c r="C175" s="65" t="s">
        <v>4682</v>
      </c>
      <c r="D175" s="70" t="s">
        <v>57</v>
      </c>
      <c r="E175" s="12">
        <v>44553</v>
      </c>
      <c r="F175" s="68" t="s">
        <v>58</v>
      </c>
      <c r="G175" s="12">
        <v>44559</v>
      </c>
      <c r="H175" s="69" t="s">
        <v>4687</v>
      </c>
      <c r="I175" s="15">
        <v>85</v>
      </c>
      <c r="J175" s="15">
        <v>85</v>
      </c>
      <c r="K175" s="15">
        <v>10</v>
      </c>
      <c r="L175" s="15">
        <v>11</v>
      </c>
      <c r="M175" s="73">
        <v>18.0625</v>
      </c>
      <c r="N175" s="104">
        <v>18.0625</v>
      </c>
      <c r="O175" s="57">
        <v>7000</v>
      </c>
      <c r="P175" s="58">
        <f t="shared" si="2"/>
        <v>126437.5</v>
      </c>
    </row>
    <row r="176" spans="1:16" ht="26.25" customHeight="1" x14ac:dyDescent="0.2">
      <c r="A176" s="100"/>
      <c r="B176" s="100"/>
      <c r="C176" s="65" t="s">
        <v>4683</v>
      </c>
      <c r="D176" s="70" t="s">
        <v>57</v>
      </c>
      <c r="E176" s="12">
        <v>44553</v>
      </c>
      <c r="F176" s="68" t="s">
        <v>58</v>
      </c>
      <c r="G176" s="12">
        <v>44559</v>
      </c>
      <c r="H176" s="69" t="s">
        <v>4687</v>
      </c>
      <c r="I176" s="15">
        <v>85</v>
      </c>
      <c r="J176" s="15">
        <v>85</v>
      </c>
      <c r="K176" s="15">
        <v>10</v>
      </c>
      <c r="L176" s="15">
        <v>11</v>
      </c>
      <c r="M176" s="73">
        <v>18.0625</v>
      </c>
      <c r="N176" s="104">
        <v>18.0625</v>
      </c>
      <c r="O176" s="57">
        <v>7000</v>
      </c>
      <c r="P176" s="58">
        <f t="shared" si="2"/>
        <v>126437.5</v>
      </c>
    </row>
    <row r="177" spans="1:16" ht="26.25" customHeight="1" x14ac:dyDescent="0.2">
      <c r="A177" s="100"/>
      <c r="B177" s="101"/>
      <c r="C177" s="65" t="s">
        <v>4684</v>
      </c>
      <c r="D177" s="70" t="s">
        <v>57</v>
      </c>
      <c r="E177" s="12">
        <v>44553</v>
      </c>
      <c r="F177" s="68" t="s">
        <v>58</v>
      </c>
      <c r="G177" s="12">
        <v>44559</v>
      </c>
      <c r="H177" s="69" t="s">
        <v>4687</v>
      </c>
      <c r="I177" s="15">
        <v>40</v>
      </c>
      <c r="J177" s="15">
        <v>40</v>
      </c>
      <c r="K177" s="15">
        <v>37</v>
      </c>
      <c r="L177" s="15">
        <v>21</v>
      </c>
      <c r="M177" s="73">
        <v>14.8</v>
      </c>
      <c r="N177" s="104">
        <v>21</v>
      </c>
      <c r="O177" s="57">
        <v>7000</v>
      </c>
      <c r="P177" s="58">
        <f t="shared" si="2"/>
        <v>147000</v>
      </c>
    </row>
    <row r="178" spans="1:16" ht="26.25" customHeight="1" x14ac:dyDescent="0.2">
      <c r="A178" s="100"/>
      <c r="B178" s="100" t="s">
        <v>4685</v>
      </c>
      <c r="C178" s="65" t="s">
        <v>4686</v>
      </c>
      <c r="D178" s="70" t="s">
        <v>57</v>
      </c>
      <c r="E178" s="12">
        <v>44553</v>
      </c>
      <c r="F178" s="68" t="s">
        <v>58</v>
      </c>
      <c r="G178" s="12">
        <v>44559</v>
      </c>
      <c r="H178" s="69" t="s">
        <v>4687</v>
      </c>
      <c r="I178" s="15">
        <v>85</v>
      </c>
      <c r="J178" s="15">
        <v>85</v>
      </c>
      <c r="K178" s="15">
        <v>10</v>
      </c>
      <c r="L178" s="15">
        <v>11</v>
      </c>
      <c r="M178" s="73">
        <v>18.0625</v>
      </c>
      <c r="N178" s="104">
        <v>18.0625</v>
      </c>
      <c r="O178" s="57">
        <v>7000</v>
      </c>
      <c r="P178" s="58">
        <f t="shared" si="2"/>
        <v>126437.5</v>
      </c>
    </row>
    <row r="179" spans="1:16" ht="22.5" customHeight="1" x14ac:dyDescent="0.2">
      <c r="A179" s="159" t="s">
        <v>30</v>
      </c>
      <c r="B179" s="160"/>
      <c r="C179" s="160"/>
      <c r="D179" s="160"/>
      <c r="E179" s="160"/>
      <c r="F179" s="160"/>
      <c r="G179" s="160"/>
      <c r="H179" s="160"/>
      <c r="I179" s="160"/>
      <c r="J179" s="160"/>
      <c r="K179" s="160"/>
      <c r="L179" s="161"/>
      <c r="M179" s="71">
        <f>SUBTOTAL(109,Table224578910112345678910111213141516171819202122232425262728293031323334353738394041424344454647484950515253545556575859606162636465666768697071727374[KG VOLUME])</f>
        <v>3414.4115000000002</v>
      </c>
      <c r="N179" s="61">
        <f>SUM(N3:N178)</f>
        <v>3540.9649999999992</v>
      </c>
      <c r="O179" s="162">
        <f>SUM(P3:P178)</f>
        <v>24786755</v>
      </c>
      <c r="P179" s="163"/>
    </row>
    <row r="180" spans="1:16" ht="18" customHeight="1" x14ac:dyDescent="0.2">
      <c r="A180" s="78"/>
      <c r="B180" s="49" t="s">
        <v>42</v>
      </c>
      <c r="C180" s="48"/>
      <c r="D180" s="50" t="s">
        <v>43</v>
      </c>
      <c r="E180" s="78"/>
      <c r="F180" s="78"/>
      <c r="G180" s="78"/>
      <c r="H180" s="78"/>
      <c r="I180" s="78"/>
      <c r="J180" s="78"/>
      <c r="K180" s="78"/>
      <c r="L180" s="78"/>
      <c r="M180" s="79"/>
      <c r="N180" s="80" t="s">
        <v>52</v>
      </c>
      <c r="O180" s="81"/>
      <c r="P180" s="81">
        <v>0</v>
      </c>
    </row>
    <row r="181" spans="1:16" ht="18" customHeight="1" thickBot="1" x14ac:dyDescent="0.25">
      <c r="A181" s="78"/>
      <c r="B181" s="49"/>
      <c r="C181" s="48"/>
      <c r="D181" s="50"/>
      <c r="E181" s="78"/>
      <c r="F181" s="78"/>
      <c r="G181" s="78"/>
      <c r="H181" s="78"/>
      <c r="I181" s="78"/>
      <c r="J181" s="78"/>
      <c r="K181" s="78"/>
      <c r="L181" s="78"/>
      <c r="M181" s="79"/>
      <c r="N181" s="82" t="s">
        <v>53</v>
      </c>
      <c r="O181" s="83"/>
      <c r="P181" s="83">
        <f>O179-P180</f>
        <v>24786755</v>
      </c>
    </row>
    <row r="182" spans="1:16" ht="18" customHeight="1" x14ac:dyDescent="0.2">
      <c r="A182" s="10"/>
      <c r="H182" s="56"/>
      <c r="N182" s="55" t="s">
        <v>31</v>
      </c>
      <c r="P182" s="62">
        <f>P181*1%</f>
        <v>247867.55000000002</v>
      </c>
    </row>
    <row r="183" spans="1:16" ht="18" customHeight="1" thickBot="1" x14ac:dyDescent="0.25">
      <c r="A183" s="10"/>
      <c r="H183" s="56"/>
      <c r="N183" s="55" t="s">
        <v>54</v>
      </c>
      <c r="P183" s="64">
        <f>P181*2%</f>
        <v>495735.10000000003</v>
      </c>
    </row>
    <row r="184" spans="1:16" ht="18" customHeight="1" x14ac:dyDescent="0.2">
      <c r="A184" s="10"/>
      <c r="H184" s="56"/>
      <c r="N184" s="59" t="s">
        <v>32</v>
      </c>
      <c r="O184" s="60"/>
      <c r="P184" s="63">
        <f>P181+P182-P183</f>
        <v>24538887.449999999</v>
      </c>
    </row>
    <row r="186" spans="1:16" x14ac:dyDescent="0.2">
      <c r="A186" s="10"/>
      <c r="H186" s="56"/>
      <c r="P186" s="64"/>
    </row>
    <row r="187" spans="1:16" x14ac:dyDescent="0.2">
      <c r="A187" s="10"/>
      <c r="H187" s="56"/>
      <c r="O187" s="51"/>
      <c r="P187" s="64"/>
    </row>
    <row r="188" spans="1:16" s="3" customFormat="1" x14ac:dyDescent="0.25">
      <c r="A188" s="10"/>
      <c r="B188" s="2"/>
      <c r="C188" s="2"/>
      <c r="E188" s="11"/>
      <c r="H188" s="56"/>
      <c r="N188" s="14"/>
      <c r="O188" s="14"/>
      <c r="P188" s="14"/>
    </row>
    <row r="189" spans="1:16" s="3" customFormat="1" x14ac:dyDescent="0.25">
      <c r="A189" s="10"/>
      <c r="B189" s="2"/>
      <c r="C189" s="2"/>
      <c r="E189" s="11"/>
      <c r="H189" s="56"/>
      <c r="N189" s="14"/>
      <c r="O189" s="14"/>
      <c r="P189" s="14"/>
    </row>
    <row r="190" spans="1:16" s="3" customFormat="1" x14ac:dyDescent="0.25">
      <c r="A190" s="10"/>
      <c r="B190" s="2"/>
      <c r="C190" s="2"/>
      <c r="E190" s="11"/>
      <c r="H190" s="56"/>
      <c r="N190" s="14"/>
      <c r="O190" s="14"/>
      <c r="P190" s="14"/>
    </row>
    <row r="191" spans="1:16" s="3" customFormat="1" x14ac:dyDescent="0.25">
      <c r="A191" s="10"/>
      <c r="B191" s="2"/>
      <c r="C191" s="2"/>
      <c r="E191" s="11"/>
      <c r="H191" s="56"/>
      <c r="N191" s="14"/>
      <c r="O191" s="14"/>
      <c r="P191" s="14"/>
    </row>
    <row r="192" spans="1:16" s="3" customFormat="1" x14ac:dyDescent="0.25">
      <c r="A192" s="10"/>
      <c r="B192" s="2"/>
      <c r="C192" s="2"/>
      <c r="E192" s="11"/>
      <c r="H192" s="56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56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56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56"/>
      <c r="N195" s="14"/>
      <c r="O195" s="14"/>
      <c r="P195" s="14"/>
    </row>
    <row r="196" spans="1:16" s="3" customFormat="1" x14ac:dyDescent="0.25">
      <c r="A196" s="10"/>
      <c r="B196" s="2"/>
      <c r="C196" s="2"/>
      <c r="E196" s="11"/>
      <c r="H196" s="56"/>
      <c r="N196" s="14"/>
      <c r="O196" s="14"/>
      <c r="P196" s="14"/>
    </row>
    <row r="197" spans="1:16" s="3" customFormat="1" x14ac:dyDescent="0.25">
      <c r="A197" s="10"/>
      <c r="B197" s="2"/>
      <c r="C197" s="2"/>
      <c r="E197" s="11"/>
      <c r="H197" s="56"/>
      <c r="N197" s="14"/>
      <c r="O197" s="14"/>
      <c r="P197" s="14"/>
    </row>
    <row r="198" spans="1:16" s="3" customFormat="1" x14ac:dyDescent="0.25">
      <c r="A198" s="10"/>
      <c r="B198" s="2"/>
      <c r="C198" s="2"/>
      <c r="E198" s="11"/>
      <c r="H198" s="56"/>
      <c r="N198" s="14"/>
      <c r="O198" s="14"/>
      <c r="P198" s="14"/>
    </row>
    <row r="199" spans="1:16" s="3" customFormat="1" x14ac:dyDescent="0.25">
      <c r="A199" s="10"/>
      <c r="B199" s="2"/>
      <c r="C199" s="2"/>
      <c r="E199" s="11"/>
      <c r="H199" s="56"/>
      <c r="N199" s="14"/>
      <c r="O199" s="14"/>
      <c r="P199" s="14"/>
    </row>
  </sheetData>
  <mergeCells count="2">
    <mergeCell ref="A179:L179"/>
    <mergeCell ref="O179:P179"/>
  </mergeCells>
  <conditionalFormatting sqref="C3:C178">
    <cfRule type="duplicateValues" dxfId="431" priority="10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topLeftCell="A28" workbookViewId="0">
      <selection activeCell="N30" sqref="N3:N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403987</v>
      </c>
      <c r="B3" s="99" t="s">
        <v>4688</v>
      </c>
      <c r="C3" s="90" t="s">
        <v>4689</v>
      </c>
      <c r="D3" s="102" t="s">
        <v>57</v>
      </c>
      <c r="E3" s="91">
        <v>44554</v>
      </c>
      <c r="F3" s="102" t="s">
        <v>59</v>
      </c>
      <c r="G3" s="91">
        <v>44558</v>
      </c>
      <c r="H3" s="90" t="s">
        <v>4156</v>
      </c>
      <c r="I3" s="90">
        <v>62</v>
      </c>
      <c r="J3" s="90">
        <v>52</v>
      </c>
      <c r="K3" s="90">
        <v>10</v>
      </c>
      <c r="L3" s="90">
        <v>2</v>
      </c>
      <c r="M3" s="90">
        <v>8.06</v>
      </c>
      <c r="N3" s="104">
        <v>8.06</v>
      </c>
      <c r="O3" s="57">
        <v>7000</v>
      </c>
      <c r="P3" s="58">
        <f t="shared" ref="P3:P30" si="0">N3*O3</f>
        <v>56420</v>
      </c>
    </row>
    <row r="4" spans="1:16" ht="26.25" customHeight="1" x14ac:dyDescent="0.2">
      <c r="A4" s="100"/>
      <c r="B4" s="100"/>
      <c r="C4" s="90" t="s">
        <v>4690</v>
      </c>
      <c r="D4" s="102" t="s">
        <v>57</v>
      </c>
      <c r="E4" s="91">
        <v>44554</v>
      </c>
      <c r="F4" s="102" t="s">
        <v>59</v>
      </c>
      <c r="G4" s="91">
        <v>44558</v>
      </c>
      <c r="H4" s="90" t="s">
        <v>4156</v>
      </c>
      <c r="I4" s="90">
        <v>52</v>
      </c>
      <c r="J4" s="90">
        <v>35</v>
      </c>
      <c r="K4" s="90">
        <v>22</v>
      </c>
      <c r="L4" s="90">
        <v>4</v>
      </c>
      <c r="M4" s="90">
        <v>10.01</v>
      </c>
      <c r="N4" s="104">
        <v>10.01</v>
      </c>
      <c r="O4" s="57">
        <v>7000</v>
      </c>
      <c r="P4" s="58">
        <f t="shared" si="0"/>
        <v>70070</v>
      </c>
    </row>
    <row r="5" spans="1:16" ht="26.25" customHeight="1" x14ac:dyDescent="0.2">
      <c r="A5" s="100"/>
      <c r="B5" s="100"/>
      <c r="C5" s="90" t="s">
        <v>4691</v>
      </c>
      <c r="D5" s="102" t="s">
        <v>57</v>
      </c>
      <c r="E5" s="91">
        <v>44554</v>
      </c>
      <c r="F5" s="102" t="s">
        <v>59</v>
      </c>
      <c r="G5" s="91">
        <v>44558</v>
      </c>
      <c r="H5" s="90" t="s">
        <v>4156</v>
      </c>
      <c r="I5" s="90">
        <v>37</v>
      </c>
      <c r="J5" s="90">
        <v>40</v>
      </c>
      <c r="K5" s="90">
        <v>21</v>
      </c>
      <c r="L5" s="90">
        <v>3</v>
      </c>
      <c r="M5" s="90">
        <v>7.77</v>
      </c>
      <c r="N5" s="104">
        <v>7.77</v>
      </c>
      <c r="O5" s="57">
        <v>7000</v>
      </c>
      <c r="P5" s="58">
        <f t="shared" si="0"/>
        <v>54390</v>
      </c>
    </row>
    <row r="6" spans="1:16" ht="26.25" customHeight="1" x14ac:dyDescent="0.2">
      <c r="A6" s="100"/>
      <c r="B6" s="100"/>
      <c r="C6" s="90" t="s">
        <v>4692</v>
      </c>
      <c r="D6" s="102" t="s">
        <v>57</v>
      </c>
      <c r="E6" s="91">
        <v>44554</v>
      </c>
      <c r="F6" s="102" t="s">
        <v>59</v>
      </c>
      <c r="G6" s="91">
        <v>44558</v>
      </c>
      <c r="H6" s="90" t="s">
        <v>4156</v>
      </c>
      <c r="I6" s="90">
        <v>53</v>
      </c>
      <c r="J6" s="90">
        <v>51</v>
      </c>
      <c r="K6" s="90">
        <v>20</v>
      </c>
      <c r="L6" s="90">
        <v>1</v>
      </c>
      <c r="M6" s="90">
        <v>13.515000000000001</v>
      </c>
      <c r="N6" s="104">
        <v>13.515000000000001</v>
      </c>
      <c r="O6" s="57">
        <v>7000</v>
      </c>
      <c r="P6" s="58">
        <f t="shared" si="0"/>
        <v>94605</v>
      </c>
    </row>
    <row r="7" spans="1:16" ht="26.25" customHeight="1" x14ac:dyDescent="0.2">
      <c r="A7" s="100"/>
      <c r="B7" s="100"/>
      <c r="C7" s="65" t="s">
        <v>4693</v>
      </c>
      <c r="D7" s="70" t="s">
        <v>57</v>
      </c>
      <c r="E7" s="12">
        <v>44554</v>
      </c>
      <c r="F7" s="68" t="s">
        <v>59</v>
      </c>
      <c r="G7" s="12">
        <v>44558</v>
      </c>
      <c r="H7" s="69" t="s">
        <v>4156</v>
      </c>
      <c r="I7" s="15">
        <v>81</v>
      </c>
      <c r="J7" s="15">
        <v>60</v>
      </c>
      <c r="K7" s="15">
        <v>30</v>
      </c>
      <c r="L7" s="15">
        <v>11</v>
      </c>
      <c r="M7" s="73">
        <v>36.450000000000003</v>
      </c>
      <c r="N7" s="104">
        <v>37</v>
      </c>
      <c r="O7" s="57">
        <v>7000</v>
      </c>
      <c r="P7" s="58">
        <f t="shared" si="0"/>
        <v>259000</v>
      </c>
    </row>
    <row r="8" spans="1:16" ht="26.25" customHeight="1" x14ac:dyDescent="0.2">
      <c r="A8" s="100"/>
      <c r="B8" s="100"/>
      <c r="C8" s="65" t="s">
        <v>4694</v>
      </c>
      <c r="D8" s="70" t="s">
        <v>57</v>
      </c>
      <c r="E8" s="12">
        <v>44554</v>
      </c>
      <c r="F8" s="68" t="s">
        <v>59</v>
      </c>
      <c r="G8" s="12">
        <v>44558</v>
      </c>
      <c r="H8" s="69" t="s">
        <v>4156</v>
      </c>
      <c r="I8" s="15">
        <v>103</v>
      </c>
      <c r="J8" s="15">
        <v>56</v>
      </c>
      <c r="K8" s="15">
        <v>30</v>
      </c>
      <c r="L8" s="15">
        <v>22</v>
      </c>
      <c r="M8" s="73">
        <v>43.26</v>
      </c>
      <c r="N8" s="104">
        <v>43.26</v>
      </c>
      <c r="O8" s="57">
        <v>7000</v>
      </c>
      <c r="P8" s="58">
        <f t="shared" si="0"/>
        <v>302820</v>
      </c>
    </row>
    <row r="9" spans="1:16" ht="26.25" customHeight="1" x14ac:dyDescent="0.2">
      <c r="A9" s="100"/>
      <c r="B9" s="100"/>
      <c r="C9" s="65" t="s">
        <v>4695</v>
      </c>
      <c r="D9" s="70" t="s">
        <v>57</v>
      </c>
      <c r="E9" s="12">
        <v>44554</v>
      </c>
      <c r="F9" s="68" t="s">
        <v>59</v>
      </c>
      <c r="G9" s="12">
        <v>44558</v>
      </c>
      <c r="H9" s="69" t="s">
        <v>4156</v>
      </c>
      <c r="I9" s="15">
        <v>97</v>
      </c>
      <c r="J9" s="15">
        <v>60</v>
      </c>
      <c r="K9" s="15">
        <v>43</v>
      </c>
      <c r="L9" s="15">
        <v>18</v>
      </c>
      <c r="M9" s="73">
        <v>62.564999999999998</v>
      </c>
      <c r="N9" s="104">
        <v>62.564999999999998</v>
      </c>
      <c r="O9" s="57">
        <v>7000</v>
      </c>
      <c r="P9" s="58">
        <f t="shared" si="0"/>
        <v>437955</v>
      </c>
    </row>
    <row r="10" spans="1:16" ht="26.25" customHeight="1" x14ac:dyDescent="0.2">
      <c r="A10" s="100"/>
      <c r="B10" s="100"/>
      <c r="C10" s="65" t="s">
        <v>4696</v>
      </c>
      <c r="D10" s="70" t="s">
        <v>57</v>
      </c>
      <c r="E10" s="12">
        <v>44554</v>
      </c>
      <c r="F10" s="68" t="s">
        <v>59</v>
      </c>
      <c r="G10" s="12">
        <v>44558</v>
      </c>
      <c r="H10" s="69" t="s">
        <v>4156</v>
      </c>
      <c r="I10" s="15">
        <v>58</v>
      </c>
      <c r="J10" s="15">
        <v>35</v>
      </c>
      <c r="K10" s="15">
        <v>14</v>
      </c>
      <c r="L10" s="15">
        <v>5</v>
      </c>
      <c r="M10" s="73">
        <v>7.1050000000000004</v>
      </c>
      <c r="N10" s="104">
        <v>7.1050000000000004</v>
      </c>
      <c r="O10" s="57">
        <v>7000</v>
      </c>
      <c r="P10" s="58">
        <f t="shared" si="0"/>
        <v>49735</v>
      </c>
    </row>
    <row r="11" spans="1:16" ht="26.25" customHeight="1" x14ac:dyDescent="0.2">
      <c r="A11" s="100"/>
      <c r="B11" s="100"/>
      <c r="C11" s="65" t="s">
        <v>4697</v>
      </c>
      <c r="D11" s="70" t="s">
        <v>57</v>
      </c>
      <c r="E11" s="12">
        <v>44554</v>
      </c>
      <c r="F11" s="68" t="s">
        <v>59</v>
      </c>
      <c r="G11" s="12">
        <v>44558</v>
      </c>
      <c r="H11" s="69" t="s">
        <v>4156</v>
      </c>
      <c r="I11" s="15">
        <v>61</v>
      </c>
      <c r="J11" s="15">
        <v>60</v>
      </c>
      <c r="K11" s="15">
        <v>21</v>
      </c>
      <c r="L11" s="15">
        <v>7</v>
      </c>
      <c r="M11" s="73">
        <v>19.215</v>
      </c>
      <c r="N11" s="104">
        <v>19.215</v>
      </c>
      <c r="O11" s="57">
        <v>7000</v>
      </c>
      <c r="P11" s="58">
        <f t="shared" si="0"/>
        <v>134505</v>
      </c>
    </row>
    <row r="12" spans="1:16" ht="26.25" customHeight="1" x14ac:dyDescent="0.2">
      <c r="A12" s="100"/>
      <c r="B12" s="100"/>
      <c r="C12" s="65" t="s">
        <v>4698</v>
      </c>
      <c r="D12" s="70" t="s">
        <v>57</v>
      </c>
      <c r="E12" s="12">
        <v>44554</v>
      </c>
      <c r="F12" s="68" t="s">
        <v>59</v>
      </c>
      <c r="G12" s="12">
        <v>44558</v>
      </c>
      <c r="H12" s="69" t="s">
        <v>4156</v>
      </c>
      <c r="I12" s="15">
        <v>92</v>
      </c>
      <c r="J12" s="15">
        <v>57</v>
      </c>
      <c r="K12" s="15">
        <v>30</v>
      </c>
      <c r="L12" s="15">
        <v>7</v>
      </c>
      <c r="M12" s="73">
        <v>39.33</v>
      </c>
      <c r="N12" s="104">
        <v>40</v>
      </c>
      <c r="O12" s="57">
        <v>7000</v>
      </c>
      <c r="P12" s="58">
        <f t="shared" si="0"/>
        <v>280000</v>
      </c>
    </row>
    <row r="13" spans="1:16" ht="26.25" customHeight="1" x14ac:dyDescent="0.2">
      <c r="A13" s="100"/>
      <c r="B13" s="100"/>
      <c r="C13" s="65" t="s">
        <v>4699</v>
      </c>
      <c r="D13" s="70" t="s">
        <v>57</v>
      </c>
      <c r="E13" s="12">
        <v>44554</v>
      </c>
      <c r="F13" s="68" t="s">
        <v>59</v>
      </c>
      <c r="G13" s="12">
        <v>44558</v>
      </c>
      <c r="H13" s="69" t="s">
        <v>4156</v>
      </c>
      <c r="I13" s="15">
        <v>58</v>
      </c>
      <c r="J13" s="15">
        <v>43</v>
      </c>
      <c r="K13" s="15">
        <v>40</v>
      </c>
      <c r="L13" s="15">
        <v>5</v>
      </c>
      <c r="M13" s="73">
        <v>24.94</v>
      </c>
      <c r="N13" s="104">
        <v>24.94</v>
      </c>
      <c r="O13" s="57">
        <v>7000</v>
      </c>
      <c r="P13" s="58">
        <f t="shared" si="0"/>
        <v>174580</v>
      </c>
    </row>
    <row r="14" spans="1:16" ht="26.25" customHeight="1" x14ac:dyDescent="0.2">
      <c r="A14" s="100"/>
      <c r="B14" s="100"/>
      <c r="C14" s="65" t="s">
        <v>4700</v>
      </c>
      <c r="D14" s="70" t="s">
        <v>57</v>
      </c>
      <c r="E14" s="12">
        <v>44554</v>
      </c>
      <c r="F14" s="68" t="s">
        <v>59</v>
      </c>
      <c r="G14" s="12">
        <v>44558</v>
      </c>
      <c r="H14" s="69" t="s">
        <v>4156</v>
      </c>
      <c r="I14" s="15">
        <v>55</v>
      </c>
      <c r="J14" s="15">
        <v>40</v>
      </c>
      <c r="K14" s="15">
        <v>17</v>
      </c>
      <c r="L14" s="15">
        <v>4</v>
      </c>
      <c r="M14" s="73">
        <v>9.35</v>
      </c>
      <c r="N14" s="104">
        <v>10</v>
      </c>
      <c r="O14" s="57">
        <v>7000</v>
      </c>
      <c r="P14" s="58">
        <f t="shared" si="0"/>
        <v>70000</v>
      </c>
    </row>
    <row r="15" spans="1:16" ht="26.25" customHeight="1" x14ac:dyDescent="0.2">
      <c r="A15" s="100"/>
      <c r="B15" s="100"/>
      <c r="C15" s="65" t="s">
        <v>4701</v>
      </c>
      <c r="D15" s="70" t="s">
        <v>57</v>
      </c>
      <c r="E15" s="12">
        <v>44554</v>
      </c>
      <c r="F15" s="68" t="s">
        <v>59</v>
      </c>
      <c r="G15" s="12">
        <v>44558</v>
      </c>
      <c r="H15" s="69" t="s">
        <v>4156</v>
      </c>
      <c r="I15" s="15">
        <v>81</v>
      </c>
      <c r="J15" s="15">
        <v>60</v>
      </c>
      <c r="K15" s="15">
        <v>31</v>
      </c>
      <c r="L15" s="15">
        <v>11</v>
      </c>
      <c r="M15" s="73">
        <v>37.664999999999999</v>
      </c>
      <c r="N15" s="104">
        <v>37.664999999999999</v>
      </c>
      <c r="O15" s="57">
        <v>7000</v>
      </c>
      <c r="P15" s="58">
        <f t="shared" si="0"/>
        <v>263655</v>
      </c>
    </row>
    <row r="16" spans="1:16" ht="26.25" customHeight="1" x14ac:dyDescent="0.2">
      <c r="A16" s="100"/>
      <c r="B16" s="100"/>
      <c r="C16" s="65" t="s">
        <v>4702</v>
      </c>
      <c r="D16" s="70" t="s">
        <v>57</v>
      </c>
      <c r="E16" s="12">
        <v>44554</v>
      </c>
      <c r="F16" s="68" t="s">
        <v>59</v>
      </c>
      <c r="G16" s="12">
        <v>44558</v>
      </c>
      <c r="H16" s="69" t="s">
        <v>4156</v>
      </c>
      <c r="I16" s="15">
        <v>60</v>
      </c>
      <c r="J16" s="15">
        <v>45</v>
      </c>
      <c r="K16" s="15">
        <v>22</v>
      </c>
      <c r="L16" s="15">
        <v>3</v>
      </c>
      <c r="M16" s="73">
        <v>14.85</v>
      </c>
      <c r="N16" s="104">
        <v>14.85</v>
      </c>
      <c r="O16" s="57">
        <v>7000</v>
      </c>
      <c r="P16" s="58">
        <f t="shared" si="0"/>
        <v>103950</v>
      </c>
    </row>
    <row r="17" spans="1:16" ht="26.25" customHeight="1" x14ac:dyDescent="0.2">
      <c r="A17" s="100"/>
      <c r="B17" s="100"/>
      <c r="C17" s="65" t="s">
        <v>4703</v>
      </c>
      <c r="D17" s="70" t="s">
        <v>57</v>
      </c>
      <c r="E17" s="12">
        <v>44554</v>
      </c>
      <c r="F17" s="68" t="s">
        <v>59</v>
      </c>
      <c r="G17" s="12">
        <v>44558</v>
      </c>
      <c r="H17" s="69" t="s">
        <v>4156</v>
      </c>
      <c r="I17" s="15">
        <v>51</v>
      </c>
      <c r="J17" s="15">
        <v>40</v>
      </c>
      <c r="K17" s="15">
        <v>26</v>
      </c>
      <c r="L17" s="15">
        <v>3</v>
      </c>
      <c r="M17" s="73">
        <v>13.26</v>
      </c>
      <c r="N17" s="104">
        <v>13.26</v>
      </c>
      <c r="O17" s="57">
        <v>7000</v>
      </c>
      <c r="P17" s="58">
        <f t="shared" si="0"/>
        <v>92820</v>
      </c>
    </row>
    <row r="18" spans="1:16" ht="26.25" customHeight="1" x14ac:dyDescent="0.2">
      <c r="A18" s="100"/>
      <c r="B18" s="100"/>
      <c r="C18" s="65" t="s">
        <v>4704</v>
      </c>
      <c r="D18" s="70" t="s">
        <v>57</v>
      </c>
      <c r="E18" s="12">
        <v>44554</v>
      </c>
      <c r="F18" s="68" t="s">
        <v>59</v>
      </c>
      <c r="G18" s="12">
        <v>44558</v>
      </c>
      <c r="H18" s="69" t="s">
        <v>4156</v>
      </c>
      <c r="I18" s="15">
        <v>58</v>
      </c>
      <c r="J18" s="15">
        <v>34</v>
      </c>
      <c r="K18" s="15">
        <v>20</v>
      </c>
      <c r="L18" s="15">
        <v>5</v>
      </c>
      <c r="M18" s="73">
        <v>9.86</v>
      </c>
      <c r="N18" s="104">
        <v>9.86</v>
      </c>
      <c r="O18" s="57">
        <v>7000</v>
      </c>
      <c r="P18" s="58">
        <f t="shared" si="0"/>
        <v>69020</v>
      </c>
    </row>
    <row r="19" spans="1:16" ht="26.25" customHeight="1" x14ac:dyDescent="0.2">
      <c r="A19" s="100"/>
      <c r="B19" s="100"/>
      <c r="C19" s="65" t="s">
        <v>4705</v>
      </c>
      <c r="D19" s="70" t="s">
        <v>57</v>
      </c>
      <c r="E19" s="12">
        <v>44554</v>
      </c>
      <c r="F19" s="68" t="s">
        <v>59</v>
      </c>
      <c r="G19" s="12">
        <v>44558</v>
      </c>
      <c r="H19" s="69" t="s">
        <v>4156</v>
      </c>
      <c r="I19" s="15">
        <v>90</v>
      </c>
      <c r="J19" s="15">
        <v>44</v>
      </c>
      <c r="K19" s="15">
        <v>37</v>
      </c>
      <c r="L19" s="15">
        <v>18</v>
      </c>
      <c r="M19" s="73">
        <v>36.630000000000003</v>
      </c>
      <c r="N19" s="104">
        <v>36.630000000000003</v>
      </c>
      <c r="O19" s="57">
        <v>7000</v>
      </c>
      <c r="P19" s="58">
        <f t="shared" si="0"/>
        <v>256410.00000000003</v>
      </c>
    </row>
    <row r="20" spans="1:16" ht="26.25" customHeight="1" x14ac:dyDescent="0.2">
      <c r="A20" s="100"/>
      <c r="B20" s="100"/>
      <c r="C20" s="65" t="s">
        <v>4706</v>
      </c>
      <c r="D20" s="70" t="s">
        <v>57</v>
      </c>
      <c r="E20" s="12">
        <v>44554</v>
      </c>
      <c r="F20" s="68" t="s">
        <v>59</v>
      </c>
      <c r="G20" s="12">
        <v>44558</v>
      </c>
      <c r="H20" s="69" t="s">
        <v>4156</v>
      </c>
      <c r="I20" s="15">
        <v>34</v>
      </c>
      <c r="J20" s="15">
        <v>37</v>
      </c>
      <c r="K20" s="15">
        <v>15</v>
      </c>
      <c r="L20" s="15">
        <v>2</v>
      </c>
      <c r="M20" s="73">
        <v>4.7175000000000002</v>
      </c>
      <c r="N20" s="104">
        <v>4.7175000000000002</v>
      </c>
      <c r="O20" s="57">
        <v>7000</v>
      </c>
      <c r="P20" s="58">
        <f t="shared" si="0"/>
        <v>33022.5</v>
      </c>
    </row>
    <row r="21" spans="1:16" ht="26.25" customHeight="1" x14ac:dyDescent="0.2">
      <c r="A21" s="100"/>
      <c r="B21" s="100"/>
      <c r="C21" s="65" t="s">
        <v>4707</v>
      </c>
      <c r="D21" s="70" t="s">
        <v>57</v>
      </c>
      <c r="E21" s="12">
        <v>44554</v>
      </c>
      <c r="F21" s="68" t="s">
        <v>59</v>
      </c>
      <c r="G21" s="12">
        <v>44558</v>
      </c>
      <c r="H21" s="69" t="s">
        <v>4156</v>
      </c>
      <c r="I21" s="15">
        <v>82</v>
      </c>
      <c r="J21" s="15">
        <v>50</v>
      </c>
      <c r="K21" s="15">
        <v>36</v>
      </c>
      <c r="L21" s="15">
        <v>23</v>
      </c>
      <c r="M21" s="73">
        <v>36.9</v>
      </c>
      <c r="N21" s="104">
        <v>36.9</v>
      </c>
      <c r="O21" s="57">
        <v>7000</v>
      </c>
      <c r="P21" s="58">
        <f t="shared" si="0"/>
        <v>258300</v>
      </c>
    </row>
    <row r="22" spans="1:16" ht="26.25" customHeight="1" x14ac:dyDescent="0.2">
      <c r="A22" s="100"/>
      <c r="B22" s="100"/>
      <c r="C22" s="65" t="s">
        <v>4708</v>
      </c>
      <c r="D22" s="70" t="s">
        <v>57</v>
      </c>
      <c r="E22" s="12">
        <v>44554</v>
      </c>
      <c r="F22" s="68" t="s">
        <v>59</v>
      </c>
      <c r="G22" s="12">
        <v>44558</v>
      </c>
      <c r="H22" s="69" t="s">
        <v>4156</v>
      </c>
      <c r="I22" s="15">
        <v>71</v>
      </c>
      <c r="J22" s="15">
        <v>45</v>
      </c>
      <c r="K22" s="15">
        <v>20</v>
      </c>
      <c r="L22" s="15">
        <v>4</v>
      </c>
      <c r="M22" s="73">
        <v>15.975</v>
      </c>
      <c r="N22" s="104">
        <v>15.975</v>
      </c>
      <c r="O22" s="57">
        <v>7000</v>
      </c>
      <c r="P22" s="58">
        <f t="shared" si="0"/>
        <v>111825</v>
      </c>
    </row>
    <row r="23" spans="1:16" ht="26.25" customHeight="1" x14ac:dyDescent="0.2">
      <c r="A23" s="100"/>
      <c r="B23" s="100"/>
      <c r="C23" s="65" t="s">
        <v>4709</v>
      </c>
      <c r="D23" s="70" t="s">
        <v>57</v>
      </c>
      <c r="E23" s="12">
        <v>44554</v>
      </c>
      <c r="F23" s="68" t="s">
        <v>59</v>
      </c>
      <c r="G23" s="12">
        <v>44558</v>
      </c>
      <c r="H23" s="69" t="s">
        <v>4156</v>
      </c>
      <c r="I23" s="15">
        <v>43</v>
      </c>
      <c r="J23" s="15">
        <v>20</v>
      </c>
      <c r="K23" s="15">
        <v>8</v>
      </c>
      <c r="L23" s="15">
        <v>2</v>
      </c>
      <c r="M23" s="73">
        <v>1.72</v>
      </c>
      <c r="N23" s="104">
        <v>2</v>
      </c>
      <c r="O23" s="57">
        <v>7000</v>
      </c>
      <c r="P23" s="58">
        <f t="shared" si="0"/>
        <v>14000</v>
      </c>
    </row>
    <row r="24" spans="1:16" ht="26.25" customHeight="1" x14ac:dyDescent="0.2">
      <c r="A24" s="100"/>
      <c r="B24" s="100"/>
      <c r="C24" s="65" t="s">
        <v>4710</v>
      </c>
      <c r="D24" s="70" t="s">
        <v>57</v>
      </c>
      <c r="E24" s="12">
        <v>44554</v>
      </c>
      <c r="F24" s="68" t="s">
        <v>59</v>
      </c>
      <c r="G24" s="12">
        <v>44558</v>
      </c>
      <c r="H24" s="69" t="s">
        <v>4156</v>
      </c>
      <c r="I24" s="15">
        <v>56</v>
      </c>
      <c r="J24" s="15">
        <v>32</v>
      </c>
      <c r="K24" s="15">
        <v>23</v>
      </c>
      <c r="L24" s="15">
        <v>6</v>
      </c>
      <c r="M24" s="73">
        <v>10.304</v>
      </c>
      <c r="N24" s="104">
        <v>11</v>
      </c>
      <c r="O24" s="57">
        <v>7000</v>
      </c>
      <c r="P24" s="58">
        <f t="shared" si="0"/>
        <v>77000</v>
      </c>
    </row>
    <row r="25" spans="1:16" ht="26.25" customHeight="1" x14ac:dyDescent="0.2">
      <c r="A25" s="100"/>
      <c r="B25" s="100"/>
      <c r="C25" s="65" t="s">
        <v>4711</v>
      </c>
      <c r="D25" s="70" t="s">
        <v>57</v>
      </c>
      <c r="E25" s="12">
        <v>44554</v>
      </c>
      <c r="F25" s="68" t="s">
        <v>59</v>
      </c>
      <c r="G25" s="12">
        <v>44558</v>
      </c>
      <c r="H25" s="69" t="s">
        <v>4156</v>
      </c>
      <c r="I25" s="15">
        <v>64</v>
      </c>
      <c r="J25" s="15">
        <v>35</v>
      </c>
      <c r="K25" s="15">
        <v>14</v>
      </c>
      <c r="L25" s="15">
        <v>5</v>
      </c>
      <c r="M25" s="73">
        <v>7.84</v>
      </c>
      <c r="N25" s="104">
        <v>7.84</v>
      </c>
      <c r="O25" s="57">
        <v>7000</v>
      </c>
      <c r="P25" s="58">
        <f t="shared" si="0"/>
        <v>54880</v>
      </c>
    </row>
    <row r="26" spans="1:16" ht="26.25" customHeight="1" x14ac:dyDescent="0.2">
      <c r="A26" s="100"/>
      <c r="B26" s="100"/>
      <c r="C26" s="65" t="s">
        <v>4712</v>
      </c>
      <c r="D26" s="70" t="s">
        <v>57</v>
      </c>
      <c r="E26" s="12">
        <v>44554</v>
      </c>
      <c r="F26" s="68" t="s">
        <v>59</v>
      </c>
      <c r="G26" s="12">
        <v>44558</v>
      </c>
      <c r="H26" s="69" t="s">
        <v>4156</v>
      </c>
      <c r="I26" s="15">
        <v>37</v>
      </c>
      <c r="J26" s="15">
        <v>37</v>
      </c>
      <c r="K26" s="15">
        <v>10</v>
      </c>
      <c r="L26" s="15">
        <v>1</v>
      </c>
      <c r="M26" s="73">
        <v>3.4224999999999999</v>
      </c>
      <c r="N26" s="104">
        <v>4</v>
      </c>
      <c r="O26" s="57">
        <v>7000</v>
      </c>
      <c r="P26" s="58">
        <f t="shared" si="0"/>
        <v>28000</v>
      </c>
    </row>
    <row r="27" spans="1:16" ht="26.25" customHeight="1" x14ac:dyDescent="0.2">
      <c r="A27" s="100"/>
      <c r="B27" s="101"/>
      <c r="C27" s="65" t="s">
        <v>4713</v>
      </c>
      <c r="D27" s="70" t="s">
        <v>57</v>
      </c>
      <c r="E27" s="12">
        <v>44554</v>
      </c>
      <c r="F27" s="68" t="s">
        <v>59</v>
      </c>
      <c r="G27" s="12">
        <v>44558</v>
      </c>
      <c r="H27" s="69" t="s">
        <v>4156</v>
      </c>
      <c r="I27" s="15">
        <v>76</v>
      </c>
      <c r="J27" s="15">
        <v>60</v>
      </c>
      <c r="K27" s="15">
        <v>28</v>
      </c>
      <c r="L27" s="15">
        <v>7</v>
      </c>
      <c r="M27" s="73">
        <v>31.92</v>
      </c>
      <c r="N27" s="104">
        <v>31.92</v>
      </c>
      <c r="O27" s="57">
        <v>7000</v>
      </c>
      <c r="P27" s="58">
        <f t="shared" si="0"/>
        <v>223440</v>
      </c>
    </row>
    <row r="28" spans="1:16" ht="26.25" customHeight="1" x14ac:dyDescent="0.2">
      <c r="A28" s="100"/>
      <c r="B28" s="100" t="s">
        <v>4714</v>
      </c>
      <c r="C28" s="65" t="s">
        <v>4715</v>
      </c>
      <c r="D28" s="70" t="s">
        <v>57</v>
      </c>
      <c r="E28" s="12">
        <v>44554</v>
      </c>
      <c r="F28" s="68" t="s">
        <v>59</v>
      </c>
      <c r="G28" s="12">
        <v>44558</v>
      </c>
      <c r="H28" s="69" t="s">
        <v>4156</v>
      </c>
      <c r="I28" s="15">
        <v>35</v>
      </c>
      <c r="J28" s="15">
        <v>26</v>
      </c>
      <c r="K28" s="15">
        <v>20</v>
      </c>
      <c r="L28" s="15">
        <v>3</v>
      </c>
      <c r="M28" s="73">
        <v>4.55</v>
      </c>
      <c r="N28" s="104">
        <v>4.55</v>
      </c>
      <c r="O28" s="57">
        <v>7000</v>
      </c>
      <c r="P28" s="58">
        <f t="shared" si="0"/>
        <v>31850</v>
      </c>
    </row>
    <row r="29" spans="1:16" ht="26.25" customHeight="1" x14ac:dyDescent="0.2">
      <c r="A29" s="100"/>
      <c r="B29" s="100"/>
      <c r="C29" s="65" t="s">
        <v>4716</v>
      </c>
      <c r="D29" s="70" t="s">
        <v>57</v>
      </c>
      <c r="E29" s="12">
        <v>44554</v>
      </c>
      <c r="F29" s="68" t="s">
        <v>59</v>
      </c>
      <c r="G29" s="12">
        <v>44558</v>
      </c>
      <c r="H29" s="69" t="s">
        <v>4156</v>
      </c>
      <c r="I29" s="15">
        <v>40</v>
      </c>
      <c r="J29" s="15">
        <v>29</v>
      </c>
      <c r="K29" s="15">
        <v>11</v>
      </c>
      <c r="L29" s="15">
        <v>5</v>
      </c>
      <c r="M29" s="73">
        <v>3.19</v>
      </c>
      <c r="N29" s="104">
        <v>5</v>
      </c>
      <c r="O29" s="57">
        <v>7000</v>
      </c>
      <c r="P29" s="58">
        <f t="shared" si="0"/>
        <v>35000</v>
      </c>
    </row>
    <row r="30" spans="1:16" ht="26.25" customHeight="1" x14ac:dyDescent="0.2">
      <c r="A30" s="100"/>
      <c r="B30" s="100"/>
      <c r="C30" s="65" t="s">
        <v>4717</v>
      </c>
      <c r="D30" s="70" t="s">
        <v>57</v>
      </c>
      <c r="E30" s="12">
        <v>44554</v>
      </c>
      <c r="F30" s="68" t="s">
        <v>59</v>
      </c>
      <c r="G30" s="12">
        <v>44558</v>
      </c>
      <c r="H30" s="69" t="s">
        <v>4156</v>
      </c>
      <c r="I30" s="15">
        <v>63</v>
      </c>
      <c r="J30" s="15">
        <v>40</v>
      </c>
      <c r="K30" s="15">
        <v>32</v>
      </c>
      <c r="L30" s="15">
        <v>36</v>
      </c>
      <c r="M30" s="73">
        <v>20.16</v>
      </c>
      <c r="N30" s="104">
        <v>36</v>
      </c>
      <c r="O30" s="57">
        <v>7000</v>
      </c>
      <c r="P30" s="58">
        <f t="shared" si="0"/>
        <v>252000</v>
      </c>
    </row>
    <row r="31" spans="1:16" ht="22.5" customHeight="1" x14ac:dyDescent="0.2">
      <c r="A31" s="159" t="s">
        <v>30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1"/>
      <c r="M31" s="71">
        <f>SUBTOTAL(109,Table22457891011234567891011121314151617181920212223242526272829303132333435373839404142434445464748495051525354555657585960616263646566676869707172737475[KG VOLUME])</f>
        <v>534.53399999999999</v>
      </c>
      <c r="N31" s="61">
        <f>SUM(N3:N30)</f>
        <v>555.60749999999996</v>
      </c>
      <c r="O31" s="162">
        <f>SUM(P3:P30)</f>
        <v>3889252.5</v>
      </c>
      <c r="P31" s="163"/>
    </row>
    <row r="32" spans="1:16" ht="18" customHeight="1" x14ac:dyDescent="0.2">
      <c r="A32" s="78"/>
      <c r="B32" s="49" t="s">
        <v>42</v>
      </c>
      <c r="C32" s="48"/>
      <c r="D32" s="50" t="s">
        <v>43</v>
      </c>
      <c r="E32" s="78"/>
      <c r="F32" s="78"/>
      <c r="G32" s="78"/>
      <c r="H32" s="78"/>
      <c r="I32" s="78"/>
      <c r="J32" s="78"/>
      <c r="K32" s="78"/>
      <c r="L32" s="78"/>
      <c r="M32" s="79"/>
      <c r="N32" s="80" t="s">
        <v>52</v>
      </c>
      <c r="O32" s="81"/>
      <c r="P32" s="81">
        <v>0</v>
      </c>
    </row>
    <row r="33" spans="1:16" ht="18" customHeight="1" thickBot="1" x14ac:dyDescent="0.25">
      <c r="A33" s="78"/>
      <c r="B33" s="49"/>
      <c r="C33" s="48"/>
      <c r="D33" s="50"/>
      <c r="E33" s="78"/>
      <c r="F33" s="78"/>
      <c r="G33" s="78"/>
      <c r="H33" s="78"/>
      <c r="I33" s="78"/>
      <c r="J33" s="78"/>
      <c r="K33" s="78"/>
      <c r="L33" s="78"/>
      <c r="M33" s="79"/>
      <c r="N33" s="82" t="s">
        <v>53</v>
      </c>
      <c r="O33" s="83"/>
      <c r="P33" s="83">
        <f>O31-P32</f>
        <v>3889252.5</v>
      </c>
    </row>
    <row r="34" spans="1:16" ht="18" customHeight="1" x14ac:dyDescent="0.2">
      <c r="A34" s="10"/>
      <c r="H34" s="56"/>
      <c r="N34" s="55" t="s">
        <v>31</v>
      </c>
      <c r="P34" s="62">
        <f>P33*1%</f>
        <v>38892.525000000001</v>
      </c>
    </row>
    <row r="35" spans="1:16" ht="18" customHeight="1" thickBot="1" x14ac:dyDescent="0.25">
      <c r="A35" s="10"/>
      <c r="H35" s="56"/>
      <c r="N35" s="55" t="s">
        <v>54</v>
      </c>
      <c r="P35" s="64">
        <f>P33*2%</f>
        <v>77785.05</v>
      </c>
    </row>
    <row r="36" spans="1:16" ht="18" customHeight="1" x14ac:dyDescent="0.2">
      <c r="A36" s="10"/>
      <c r="H36" s="56"/>
      <c r="N36" s="59" t="s">
        <v>32</v>
      </c>
      <c r="O36" s="60"/>
      <c r="P36" s="63">
        <f>P33+P34-P35</f>
        <v>3850359.9750000001</v>
      </c>
    </row>
    <row r="38" spans="1:16" x14ac:dyDescent="0.2">
      <c r="A38" s="10"/>
      <c r="H38" s="56"/>
      <c r="P38" s="64"/>
    </row>
    <row r="39" spans="1:16" x14ac:dyDescent="0.2">
      <c r="A39" s="10"/>
      <c r="H39" s="56"/>
      <c r="O39" s="51"/>
      <c r="P39" s="6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</sheetData>
  <mergeCells count="2">
    <mergeCell ref="A31:L31"/>
    <mergeCell ref="O31:P31"/>
  </mergeCells>
  <conditionalFormatting sqref="C3:C30">
    <cfRule type="duplicateValues" dxfId="415" priority="10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workbookViewId="0">
      <selection activeCell="N30" sqref="N3:N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403930</v>
      </c>
      <c r="B3" s="99" t="s">
        <v>4718</v>
      </c>
      <c r="C3" s="90" t="s">
        <v>4719</v>
      </c>
      <c r="D3" s="102" t="s">
        <v>57</v>
      </c>
      <c r="E3" s="91">
        <v>44554</v>
      </c>
      <c r="F3" s="102" t="s">
        <v>59</v>
      </c>
      <c r="G3" s="91">
        <v>44558</v>
      </c>
      <c r="H3" s="90" t="s">
        <v>4156</v>
      </c>
      <c r="I3" s="90">
        <v>78</v>
      </c>
      <c r="J3" s="90">
        <v>54</v>
      </c>
      <c r="K3" s="90">
        <v>23</v>
      </c>
      <c r="L3" s="90">
        <v>8</v>
      </c>
      <c r="M3" s="90">
        <v>24.219000000000001</v>
      </c>
      <c r="N3" s="104">
        <v>24.219000000000001</v>
      </c>
      <c r="O3" s="57">
        <v>7000</v>
      </c>
      <c r="P3" s="58">
        <f t="shared" ref="P3:P30" si="0">N3*O3</f>
        <v>169533</v>
      </c>
    </row>
    <row r="4" spans="1:16" ht="26.25" customHeight="1" x14ac:dyDescent="0.2">
      <c r="A4" s="100"/>
      <c r="B4" s="100"/>
      <c r="C4" s="90" t="s">
        <v>4720</v>
      </c>
      <c r="D4" s="102" t="s">
        <v>57</v>
      </c>
      <c r="E4" s="91">
        <v>44554</v>
      </c>
      <c r="F4" s="102" t="s">
        <v>59</v>
      </c>
      <c r="G4" s="91">
        <v>44558</v>
      </c>
      <c r="H4" s="90" t="s">
        <v>4156</v>
      </c>
      <c r="I4" s="90">
        <v>34</v>
      </c>
      <c r="J4" s="90">
        <v>25</v>
      </c>
      <c r="K4" s="90">
        <v>17</v>
      </c>
      <c r="L4" s="90">
        <v>5</v>
      </c>
      <c r="M4" s="90">
        <v>3.6124999999999998</v>
      </c>
      <c r="N4" s="104">
        <v>5</v>
      </c>
      <c r="O4" s="57">
        <v>7000</v>
      </c>
      <c r="P4" s="58">
        <f t="shared" si="0"/>
        <v>35000</v>
      </c>
    </row>
    <row r="5" spans="1:16" ht="26.25" customHeight="1" x14ac:dyDescent="0.2">
      <c r="A5" s="100"/>
      <c r="B5" s="100"/>
      <c r="C5" s="90" t="s">
        <v>4721</v>
      </c>
      <c r="D5" s="102" t="s">
        <v>57</v>
      </c>
      <c r="E5" s="91">
        <v>44554</v>
      </c>
      <c r="F5" s="102" t="s">
        <v>59</v>
      </c>
      <c r="G5" s="91">
        <v>44558</v>
      </c>
      <c r="H5" s="90" t="s">
        <v>4156</v>
      </c>
      <c r="I5" s="90">
        <v>55</v>
      </c>
      <c r="J5" s="90">
        <v>35</v>
      </c>
      <c r="K5" s="90">
        <v>16</v>
      </c>
      <c r="L5" s="90">
        <v>5</v>
      </c>
      <c r="M5" s="90">
        <v>7.7</v>
      </c>
      <c r="N5" s="104">
        <v>7.7</v>
      </c>
      <c r="O5" s="57">
        <v>7000</v>
      </c>
      <c r="P5" s="58">
        <f t="shared" si="0"/>
        <v>53900</v>
      </c>
    </row>
    <row r="6" spans="1:16" ht="26.25" customHeight="1" x14ac:dyDescent="0.2">
      <c r="A6" s="100"/>
      <c r="B6" s="100"/>
      <c r="C6" s="65" t="s">
        <v>4722</v>
      </c>
      <c r="D6" s="70" t="s">
        <v>57</v>
      </c>
      <c r="E6" s="12">
        <v>44554</v>
      </c>
      <c r="F6" s="68" t="s">
        <v>59</v>
      </c>
      <c r="G6" s="12">
        <v>44558</v>
      </c>
      <c r="H6" s="69" t="s">
        <v>4156</v>
      </c>
      <c r="I6" s="15">
        <v>85</v>
      </c>
      <c r="J6" s="15">
        <v>65</v>
      </c>
      <c r="K6" s="15">
        <v>18</v>
      </c>
      <c r="L6" s="15">
        <v>7</v>
      </c>
      <c r="M6" s="73">
        <v>24.862500000000001</v>
      </c>
      <c r="N6" s="104">
        <v>24.862500000000001</v>
      </c>
      <c r="O6" s="57">
        <v>7000</v>
      </c>
      <c r="P6" s="58">
        <f t="shared" si="0"/>
        <v>174037.5</v>
      </c>
    </row>
    <row r="7" spans="1:16" ht="26.25" customHeight="1" x14ac:dyDescent="0.2">
      <c r="A7" s="100"/>
      <c r="B7" s="100"/>
      <c r="C7" s="65" t="s">
        <v>4723</v>
      </c>
      <c r="D7" s="70" t="s">
        <v>57</v>
      </c>
      <c r="E7" s="12">
        <v>44554</v>
      </c>
      <c r="F7" s="68" t="s">
        <v>59</v>
      </c>
      <c r="G7" s="12">
        <v>44558</v>
      </c>
      <c r="H7" s="69" t="s">
        <v>4156</v>
      </c>
      <c r="I7" s="15">
        <v>56</v>
      </c>
      <c r="J7" s="15">
        <v>47</v>
      </c>
      <c r="K7" s="15">
        <v>12</v>
      </c>
      <c r="L7" s="15">
        <v>10</v>
      </c>
      <c r="M7" s="73">
        <v>7.8959999999999999</v>
      </c>
      <c r="N7" s="104">
        <v>10</v>
      </c>
      <c r="O7" s="57">
        <v>7000</v>
      </c>
      <c r="P7" s="58">
        <f t="shared" si="0"/>
        <v>70000</v>
      </c>
    </row>
    <row r="8" spans="1:16" ht="26.25" customHeight="1" x14ac:dyDescent="0.2">
      <c r="A8" s="100"/>
      <c r="B8" s="100"/>
      <c r="C8" s="65" t="s">
        <v>4724</v>
      </c>
      <c r="D8" s="70" t="s">
        <v>57</v>
      </c>
      <c r="E8" s="12">
        <v>44554</v>
      </c>
      <c r="F8" s="68" t="s">
        <v>59</v>
      </c>
      <c r="G8" s="12">
        <v>44558</v>
      </c>
      <c r="H8" s="69" t="s">
        <v>4156</v>
      </c>
      <c r="I8" s="15">
        <v>38</v>
      </c>
      <c r="J8" s="15">
        <v>30</v>
      </c>
      <c r="K8" s="15">
        <v>25</v>
      </c>
      <c r="L8" s="15">
        <v>2</v>
      </c>
      <c r="M8" s="73">
        <v>7.125</v>
      </c>
      <c r="N8" s="104">
        <v>7.125</v>
      </c>
      <c r="O8" s="57">
        <v>7000</v>
      </c>
      <c r="P8" s="58">
        <f t="shared" si="0"/>
        <v>49875</v>
      </c>
    </row>
    <row r="9" spans="1:16" ht="26.25" customHeight="1" x14ac:dyDescent="0.2">
      <c r="A9" s="100"/>
      <c r="B9" s="100"/>
      <c r="C9" s="65" t="s">
        <v>4725</v>
      </c>
      <c r="D9" s="70" t="s">
        <v>57</v>
      </c>
      <c r="E9" s="12">
        <v>44554</v>
      </c>
      <c r="F9" s="68" t="s">
        <v>59</v>
      </c>
      <c r="G9" s="12">
        <v>44558</v>
      </c>
      <c r="H9" s="69" t="s">
        <v>4156</v>
      </c>
      <c r="I9" s="15">
        <v>72</v>
      </c>
      <c r="J9" s="15">
        <v>61</v>
      </c>
      <c r="K9" s="15">
        <v>22</v>
      </c>
      <c r="L9" s="15">
        <v>4</v>
      </c>
      <c r="M9" s="73">
        <v>24.155999999999999</v>
      </c>
      <c r="N9" s="104">
        <v>24.155999999999999</v>
      </c>
      <c r="O9" s="57">
        <v>7000</v>
      </c>
      <c r="P9" s="58">
        <f t="shared" si="0"/>
        <v>169092</v>
      </c>
    </row>
    <row r="10" spans="1:16" ht="26.25" customHeight="1" x14ac:dyDescent="0.2">
      <c r="A10" s="100"/>
      <c r="B10" s="100"/>
      <c r="C10" s="65" t="s">
        <v>4726</v>
      </c>
      <c r="D10" s="70" t="s">
        <v>57</v>
      </c>
      <c r="E10" s="12">
        <v>44554</v>
      </c>
      <c r="F10" s="68" t="s">
        <v>59</v>
      </c>
      <c r="G10" s="12">
        <v>44558</v>
      </c>
      <c r="H10" s="69" t="s">
        <v>4156</v>
      </c>
      <c r="I10" s="15">
        <v>44</v>
      </c>
      <c r="J10" s="15">
        <v>33</v>
      </c>
      <c r="K10" s="15">
        <v>25</v>
      </c>
      <c r="L10" s="15">
        <v>9</v>
      </c>
      <c r="M10" s="73">
        <v>9.0749999999999993</v>
      </c>
      <c r="N10" s="104">
        <v>9.0749999999999993</v>
      </c>
      <c r="O10" s="57">
        <v>7000</v>
      </c>
      <c r="P10" s="58">
        <f t="shared" si="0"/>
        <v>63524.999999999993</v>
      </c>
    </row>
    <row r="11" spans="1:16" ht="26.25" customHeight="1" x14ac:dyDescent="0.2">
      <c r="A11" s="100"/>
      <c r="B11" s="100"/>
      <c r="C11" s="65" t="s">
        <v>4727</v>
      </c>
      <c r="D11" s="70" t="s">
        <v>57</v>
      </c>
      <c r="E11" s="12">
        <v>44554</v>
      </c>
      <c r="F11" s="68" t="s">
        <v>59</v>
      </c>
      <c r="G11" s="12">
        <v>44558</v>
      </c>
      <c r="H11" s="69" t="s">
        <v>4156</v>
      </c>
      <c r="I11" s="15">
        <v>87</v>
      </c>
      <c r="J11" s="15">
        <v>56</v>
      </c>
      <c r="K11" s="15">
        <v>25</v>
      </c>
      <c r="L11" s="15">
        <v>27</v>
      </c>
      <c r="M11" s="73">
        <v>30.45</v>
      </c>
      <c r="N11" s="104">
        <v>31</v>
      </c>
      <c r="O11" s="57">
        <v>7000</v>
      </c>
      <c r="P11" s="58">
        <f t="shared" si="0"/>
        <v>217000</v>
      </c>
    </row>
    <row r="12" spans="1:16" ht="26.25" customHeight="1" x14ac:dyDescent="0.2">
      <c r="A12" s="100"/>
      <c r="B12" s="100"/>
      <c r="C12" s="65" t="s">
        <v>4728</v>
      </c>
      <c r="D12" s="70" t="s">
        <v>57</v>
      </c>
      <c r="E12" s="12">
        <v>44554</v>
      </c>
      <c r="F12" s="68" t="s">
        <v>59</v>
      </c>
      <c r="G12" s="12">
        <v>44558</v>
      </c>
      <c r="H12" s="69" t="s">
        <v>4156</v>
      </c>
      <c r="I12" s="15">
        <v>50</v>
      </c>
      <c r="J12" s="15">
        <v>59</v>
      </c>
      <c r="K12" s="15">
        <v>22</v>
      </c>
      <c r="L12" s="15">
        <v>4</v>
      </c>
      <c r="M12" s="73">
        <v>16.225000000000001</v>
      </c>
      <c r="N12" s="104">
        <v>16.225000000000001</v>
      </c>
      <c r="O12" s="57">
        <v>7000</v>
      </c>
      <c r="P12" s="58">
        <f t="shared" si="0"/>
        <v>113575.00000000001</v>
      </c>
    </row>
    <row r="13" spans="1:16" ht="26.25" customHeight="1" x14ac:dyDescent="0.2">
      <c r="A13" s="100"/>
      <c r="B13" s="100"/>
      <c r="C13" s="65" t="s">
        <v>4729</v>
      </c>
      <c r="D13" s="70" t="s">
        <v>57</v>
      </c>
      <c r="E13" s="12">
        <v>44554</v>
      </c>
      <c r="F13" s="68" t="s">
        <v>59</v>
      </c>
      <c r="G13" s="12">
        <v>44558</v>
      </c>
      <c r="H13" s="69" t="s">
        <v>4156</v>
      </c>
      <c r="I13" s="15">
        <v>24</v>
      </c>
      <c r="J13" s="15">
        <v>24</v>
      </c>
      <c r="K13" s="15">
        <v>15</v>
      </c>
      <c r="L13" s="15">
        <v>1</v>
      </c>
      <c r="M13" s="73">
        <v>2.16</v>
      </c>
      <c r="N13" s="104">
        <v>2.16</v>
      </c>
      <c r="O13" s="57">
        <v>7000</v>
      </c>
      <c r="P13" s="58">
        <f t="shared" si="0"/>
        <v>15120.000000000002</v>
      </c>
    </row>
    <row r="14" spans="1:16" ht="26.25" customHeight="1" x14ac:dyDescent="0.2">
      <c r="A14" s="100"/>
      <c r="B14" s="100"/>
      <c r="C14" s="65" t="s">
        <v>4730</v>
      </c>
      <c r="D14" s="70" t="s">
        <v>57</v>
      </c>
      <c r="E14" s="12">
        <v>44554</v>
      </c>
      <c r="F14" s="68" t="s">
        <v>59</v>
      </c>
      <c r="G14" s="12">
        <v>44558</v>
      </c>
      <c r="H14" s="69" t="s">
        <v>4156</v>
      </c>
      <c r="I14" s="15">
        <v>98</v>
      </c>
      <c r="J14" s="15">
        <v>25</v>
      </c>
      <c r="K14" s="15">
        <v>12</v>
      </c>
      <c r="L14" s="15">
        <v>1</v>
      </c>
      <c r="M14" s="73">
        <v>7.35</v>
      </c>
      <c r="N14" s="104">
        <v>8</v>
      </c>
      <c r="O14" s="57">
        <v>7000</v>
      </c>
      <c r="P14" s="58">
        <f t="shared" si="0"/>
        <v>56000</v>
      </c>
    </row>
    <row r="15" spans="1:16" ht="26.25" customHeight="1" x14ac:dyDescent="0.2">
      <c r="A15" s="100"/>
      <c r="B15" s="100"/>
      <c r="C15" s="65" t="s">
        <v>4731</v>
      </c>
      <c r="D15" s="70" t="s">
        <v>57</v>
      </c>
      <c r="E15" s="12">
        <v>44554</v>
      </c>
      <c r="F15" s="68" t="s">
        <v>59</v>
      </c>
      <c r="G15" s="12">
        <v>44558</v>
      </c>
      <c r="H15" s="69" t="s">
        <v>4156</v>
      </c>
      <c r="I15" s="15">
        <v>35</v>
      </c>
      <c r="J15" s="15">
        <v>25</v>
      </c>
      <c r="K15" s="15">
        <v>16</v>
      </c>
      <c r="L15" s="15">
        <v>2</v>
      </c>
      <c r="M15" s="73">
        <v>3.5</v>
      </c>
      <c r="N15" s="104">
        <v>5</v>
      </c>
      <c r="O15" s="57">
        <v>7000</v>
      </c>
      <c r="P15" s="58">
        <f t="shared" si="0"/>
        <v>35000</v>
      </c>
    </row>
    <row r="16" spans="1:16" ht="26.25" customHeight="1" x14ac:dyDescent="0.2">
      <c r="A16" s="100"/>
      <c r="B16" s="100"/>
      <c r="C16" s="65" t="s">
        <v>4732</v>
      </c>
      <c r="D16" s="70" t="s">
        <v>57</v>
      </c>
      <c r="E16" s="12">
        <v>44554</v>
      </c>
      <c r="F16" s="68" t="s">
        <v>59</v>
      </c>
      <c r="G16" s="12">
        <v>44558</v>
      </c>
      <c r="H16" s="69" t="s">
        <v>4156</v>
      </c>
      <c r="I16" s="15">
        <v>30</v>
      </c>
      <c r="J16" s="15">
        <v>40</v>
      </c>
      <c r="K16" s="15">
        <v>22</v>
      </c>
      <c r="L16" s="15">
        <v>2</v>
      </c>
      <c r="M16" s="73">
        <v>6.6</v>
      </c>
      <c r="N16" s="104">
        <v>6.6</v>
      </c>
      <c r="O16" s="57">
        <v>7000</v>
      </c>
      <c r="P16" s="58">
        <f t="shared" si="0"/>
        <v>46200</v>
      </c>
    </row>
    <row r="17" spans="1:16" ht="26.25" customHeight="1" x14ac:dyDescent="0.2">
      <c r="A17" s="100"/>
      <c r="B17" s="100"/>
      <c r="C17" s="65" t="s">
        <v>4733</v>
      </c>
      <c r="D17" s="70" t="s">
        <v>57</v>
      </c>
      <c r="E17" s="12">
        <v>44554</v>
      </c>
      <c r="F17" s="68" t="s">
        <v>59</v>
      </c>
      <c r="G17" s="12">
        <v>44558</v>
      </c>
      <c r="H17" s="69" t="s">
        <v>4156</v>
      </c>
      <c r="I17" s="15">
        <v>45</v>
      </c>
      <c r="J17" s="15">
        <v>36</v>
      </c>
      <c r="K17" s="15">
        <v>17</v>
      </c>
      <c r="L17" s="15">
        <v>1</v>
      </c>
      <c r="M17" s="73">
        <v>6.8849999999999998</v>
      </c>
      <c r="N17" s="104">
        <v>6.8849999999999998</v>
      </c>
      <c r="O17" s="57">
        <v>7000</v>
      </c>
      <c r="P17" s="58">
        <f t="shared" si="0"/>
        <v>48195</v>
      </c>
    </row>
    <row r="18" spans="1:16" ht="26.25" customHeight="1" x14ac:dyDescent="0.2">
      <c r="A18" s="100"/>
      <c r="B18" s="100"/>
      <c r="C18" s="65" t="s">
        <v>4734</v>
      </c>
      <c r="D18" s="70" t="s">
        <v>57</v>
      </c>
      <c r="E18" s="12">
        <v>44554</v>
      </c>
      <c r="F18" s="68" t="s">
        <v>59</v>
      </c>
      <c r="G18" s="12">
        <v>44558</v>
      </c>
      <c r="H18" s="69" t="s">
        <v>4156</v>
      </c>
      <c r="I18" s="15">
        <v>52</v>
      </c>
      <c r="J18" s="15">
        <v>34</v>
      </c>
      <c r="K18" s="15">
        <v>14</v>
      </c>
      <c r="L18" s="15">
        <v>3</v>
      </c>
      <c r="M18" s="73">
        <v>6.1879999999999997</v>
      </c>
      <c r="N18" s="104">
        <v>6.1879999999999997</v>
      </c>
      <c r="O18" s="57">
        <v>7000</v>
      </c>
      <c r="P18" s="58">
        <f t="shared" si="0"/>
        <v>43316</v>
      </c>
    </row>
    <row r="19" spans="1:16" ht="26.25" customHeight="1" x14ac:dyDescent="0.2">
      <c r="A19" s="100"/>
      <c r="B19" s="100"/>
      <c r="C19" s="90" t="s">
        <v>4735</v>
      </c>
      <c r="D19" s="102" t="s">
        <v>57</v>
      </c>
      <c r="E19" s="91">
        <v>44554</v>
      </c>
      <c r="F19" s="102" t="s">
        <v>59</v>
      </c>
      <c r="G19" s="91">
        <v>44558</v>
      </c>
      <c r="H19" s="90" t="s">
        <v>4156</v>
      </c>
      <c r="I19" s="90">
        <v>75</v>
      </c>
      <c r="J19" s="90">
        <v>45</v>
      </c>
      <c r="K19" s="90">
        <v>16</v>
      </c>
      <c r="L19" s="90">
        <v>3</v>
      </c>
      <c r="M19" s="90">
        <v>13.5</v>
      </c>
      <c r="N19" s="104">
        <v>15</v>
      </c>
      <c r="O19" s="57">
        <v>7000</v>
      </c>
      <c r="P19" s="58">
        <f t="shared" si="0"/>
        <v>105000</v>
      </c>
    </row>
    <row r="20" spans="1:16" ht="26.25" customHeight="1" x14ac:dyDescent="0.2">
      <c r="A20" s="100"/>
      <c r="B20" s="100"/>
      <c r="C20" s="65" t="s">
        <v>4736</v>
      </c>
      <c r="D20" s="70" t="s">
        <v>57</v>
      </c>
      <c r="E20" s="12">
        <v>44554</v>
      </c>
      <c r="F20" s="68" t="s">
        <v>59</v>
      </c>
      <c r="G20" s="12">
        <v>44558</v>
      </c>
      <c r="H20" s="69" t="s">
        <v>4156</v>
      </c>
      <c r="I20" s="15">
        <v>98</v>
      </c>
      <c r="J20" s="15">
        <v>45</v>
      </c>
      <c r="K20" s="15">
        <v>11</v>
      </c>
      <c r="L20" s="15">
        <v>3</v>
      </c>
      <c r="M20" s="73">
        <v>12.1275</v>
      </c>
      <c r="N20" s="104">
        <v>12.1275</v>
      </c>
      <c r="O20" s="57">
        <v>7000</v>
      </c>
      <c r="P20" s="58">
        <f t="shared" si="0"/>
        <v>84892.5</v>
      </c>
    </row>
    <row r="21" spans="1:16" ht="26.25" customHeight="1" x14ac:dyDescent="0.2">
      <c r="A21" s="100"/>
      <c r="B21" s="100"/>
      <c r="C21" s="65" t="s">
        <v>4737</v>
      </c>
      <c r="D21" s="70" t="s">
        <v>57</v>
      </c>
      <c r="E21" s="12">
        <v>44554</v>
      </c>
      <c r="F21" s="68" t="s">
        <v>59</v>
      </c>
      <c r="G21" s="12">
        <v>44558</v>
      </c>
      <c r="H21" s="69" t="s">
        <v>4156</v>
      </c>
      <c r="I21" s="15">
        <v>58</v>
      </c>
      <c r="J21" s="15">
        <v>42</v>
      </c>
      <c r="K21" s="15">
        <v>35</v>
      </c>
      <c r="L21" s="15">
        <v>8</v>
      </c>
      <c r="M21" s="73">
        <v>21.315000000000001</v>
      </c>
      <c r="N21" s="104">
        <v>22</v>
      </c>
      <c r="O21" s="57">
        <v>7000</v>
      </c>
      <c r="P21" s="58">
        <f t="shared" si="0"/>
        <v>154000</v>
      </c>
    </row>
    <row r="22" spans="1:16" ht="26.25" customHeight="1" x14ac:dyDescent="0.2">
      <c r="A22" s="100"/>
      <c r="B22" s="100"/>
      <c r="C22" s="65" t="s">
        <v>4738</v>
      </c>
      <c r="D22" s="70" t="s">
        <v>57</v>
      </c>
      <c r="E22" s="12">
        <v>44554</v>
      </c>
      <c r="F22" s="68" t="s">
        <v>59</v>
      </c>
      <c r="G22" s="12">
        <v>44558</v>
      </c>
      <c r="H22" s="69" t="s">
        <v>4156</v>
      </c>
      <c r="I22" s="15">
        <v>65</v>
      </c>
      <c r="J22" s="15">
        <v>40</v>
      </c>
      <c r="K22" s="15">
        <v>18</v>
      </c>
      <c r="L22" s="15">
        <v>7</v>
      </c>
      <c r="M22" s="73">
        <v>11.7</v>
      </c>
      <c r="N22" s="104">
        <v>11.7</v>
      </c>
      <c r="O22" s="57">
        <v>7000</v>
      </c>
      <c r="P22" s="58">
        <f t="shared" si="0"/>
        <v>81900</v>
      </c>
    </row>
    <row r="23" spans="1:16" ht="26.25" customHeight="1" x14ac:dyDescent="0.2">
      <c r="A23" s="100"/>
      <c r="B23" s="100"/>
      <c r="C23" s="65" t="s">
        <v>4739</v>
      </c>
      <c r="D23" s="70" t="s">
        <v>57</v>
      </c>
      <c r="E23" s="12">
        <v>44554</v>
      </c>
      <c r="F23" s="68" t="s">
        <v>59</v>
      </c>
      <c r="G23" s="12">
        <v>44558</v>
      </c>
      <c r="H23" s="69" t="s">
        <v>4156</v>
      </c>
      <c r="I23" s="15">
        <v>110</v>
      </c>
      <c r="J23" s="15">
        <v>60</v>
      </c>
      <c r="K23" s="15">
        <v>32</v>
      </c>
      <c r="L23" s="15">
        <v>19</v>
      </c>
      <c r="M23" s="73">
        <v>52.8</v>
      </c>
      <c r="N23" s="104">
        <v>52.8</v>
      </c>
      <c r="O23" s="57">
        <v>7000</v>
      </c>
      <c r="P23" s="58">
        <f t="shared" si="0"/>
        <v>369600</v>
      </c>
    </row>
    <row r="24" spans="1:16" ht="26.25" customHeight="1" x14ac:dyDescent="0.2">
      <c r="A24" s="100"/>
      <c r="B24" s="100"/>
      <c r="C24" s="65" t="s">
        <v>4740</v>
      </c>
      <c r="D24" s="70" t="s">
        <v>57</v>
      </c>
      <c r="E24" s="12">
        <v>44554</v>
      </c>
      <c r="F24" s="68" t="s">
        <v>59</v>
      </c>
      <c r="G24" s="12">
        <v>44558</v>
      </c>
      <c r="H24" s="69" t="s">
        <v>4156</v>
      </c>
      <c r="I24" s="15">
        <v>35</v>
      </c>
      <c r="J24" s="15">
        <v>35</v>
      </c>
      <c r="K24" s="15">
        <v>30</v>
      </c>
      <c r="L24" s="15">
        <v>8</v>
      </c>
      <c r="M24" s="73">
        <v>9.1875</v>
      </c>
      <c r="N24" s="104">
        <v>9.1875</v>
      </c>
      <c r="O24" s="57">
        <v>7000</v>
      </c>
      <c r="P24" s="58">
        <f t="shared" si="0"/>
        <v>64312.5</v>
      </c>
    </row>
    <row r="25" spans="1:16" ht="26.25" customHeight="1" x14ac:dyDescent="0.2">
      <c r="A25" s="100"/>
      <c r="B25" s="100"/>
      <c r="C25" s="65" t="s">
        <v>4741</v>
      </c>
      <c r="D25" s="70" t="s">
        <v>57</v>
      </c>
      <c r="E25" s="12">
        <v>44554</v>
      </c>
      <c r="F25" s="68" t="s">
        <v>59</v>
      </c>
      <c r="G25" s="12">
        <v>44558</v>
      </c>
      <c r="H25" s="69" t="s">
        <v>4156</v>
      </c>
      <c r="I25" s="15">
        <v>96</v>
      </c>
      <c r="J25" s="15">
        <v>64</v>
      </c>
      <c r="K25" s="15">
        <v>22</v>
      </c>
      <c r="L25" s="15">
        <v>14</v>
      </c>
      <c r="M25" s="73">
        <v>33.792000000000002</v>
      </c>
      <c r="N25" s="104">
        <v>33.792000000000002</v>
      </c>
      <c r="O25" s="57">
        <v>7000</v>
      </c>
      <c r="P25" s="58">
        <f t="shared" si="0"/>
        <v>236544</v>
      </c>
    </row>
    <row r="26" spans="1:16" ht="26.25" customHeight="1" x14ac:dyDescent="0.2">
      <c r="A26" s="100"/>
      <c r="B26" s="100"/>
      <c r="C26" s="65" t="s">
        <v>4742</v>
      </c>
      <c r="D26" s="70" t="s">
        <v>57</v>
      </c>
      <c r="E26" s="12">
        <v>44554</v>
      </c>
      <c r="F26" s="68" t="s">
        <v>59</v>
      </c>
      <c r="G26" s="12">
        <v>44558</v>
      </c>
      <c r="H26" s="69" t="s">
        <v>4156</v>
      </c>
      <c r="I26" s="15">
        <v>45</v>
      </c>
      <c r="J26" s="15">
        <v>40</v>
      </c>
      <c r="K26" s="15">
        <v>18</v>
      </c>
      <c r="L26" s="15">
        <v>3</v>
      </c>
      <c r="M26" s="73">
        <v>8.1</v>
      </c>
      <c r="N26" s="104">
        <v>8.1</v>
      </c>
      <c r="O26" s="57">
        <v>7000</v>
      </c>
      <c r="P26" s="58">
        <f t="shared" si="0"/>
        <v>56700</v>
      </c>
    </row>
    <row r="27" spans="1:16" ht="26.25" customHeight="1" x14ac:dyDescent="0.2">
      <c r="A27" s="100"/>
      <c r="B27" s="100"/>
      <c r="C27" s="65" t="s">
        <v>4743</v>
      </c>
      <c r="D27" s="70" t="s">
        <v>57</v>
      </c>
      <c r="E27" s="12">
        <v>44554</v>
      </c>
      <c r="F27" s="68" t="s">
        <v>59</v>
      </c>
      <c r="G27" s="12">
        <v>44558</v>
      </c>
      <c r="H27" s="69" t="s">
        <v>4156</v>
      </c>
      <c r="I27" s="15">
        <v>100</v>
      </c>
      <c r="J27" s="15">
        <v>75</v>
      </c>
      <c r="K27" s="15">
        <v>34</v>
      </c>
      <c r="L27" s="15">
        <v>25</v>
      </c>
      <c r="M27" s="73">
        <v>63.75</v>
      </c>
      <c r="N27" s="104">
        <v>63.75</v>
      </c>
      <c r="O27" s="57">
        <v>7000</v>
      </c>
      <c r="P27" s="58">
        <f t="shared" si="0"/>
        <v>446250</v>
      </c>
    </row>
    <row r="28" spans="1:16" ht="26.25" customHeight="1" x14ac:dyDescent="0.2">
      <c r="A28" s="100"/>
      <c r="B28" s="100"/>
      <c r="C28" s="65" t="s">
        <v>4744</v>
      </c>
      <c r="D28" s="70" t="s">
        <v>57</v>
      </c>
      <c r="E28" s="12">
        <v>44554</v>
      </c>
      <c r="F28" s="68" t="s">
        <v>59</v>
      </c>
      <c r="G28" s="12">
        <v>44558</v>
      </c>
      <c r="H28" s="69" t="s">
        <v>4156</v>
      </c>
      <c r="I28" s="15">
        <v>98</v>
      </c>
      <c r="J28" s="15">
        <v>65</v>
      </c>
      <c r="K28" s="15">
        <v>29</v>
      </c>
      <c r="L28" s="15">
        <v>21</v>
      </c>
      <c r="M28" s="73">
        <v>46.182499999999997</v>
      </c>
      <c r="N28" s="104">
        <v>46.182499999999997</v>
      </c>
      <c r="O28" s="57">
        <v>7000</v>
      </c>
      <c r="P28" s="58">
        <f t="shared" si="0"/>
        <v>323277.5</v>
      </c>
    </row>
    <row r="29" spans="1:16" ht="26.25" customHeight="1" x14ac:dyDescent="0.2">
      <c r="A29" s="100"/>
      <c r="B29" s="101"/>
      <c r="C29" s="65" t="s">
        <v>4745</v>
      </c>
      <c r="D29" s="70" t="s">
        <v>57</v>
      </c>
      <c r="E29" s="12">
        <v>44554</v>
      </c>
      <c r="F29" s="68" t="s">
        <v>59</v>
      </c>
      <c r="G29" s="12">
        <v>44558</v>
      </c>
      <c r="H29" s="69" t="s">
        <v>4156</v>
      </c>
      <c r="I29" s="15">
        <v>45</v>
      </c>
      <c r="J29" s="15">
        <v>25</v>
      </c>
      <c r="K29" s="15">
        <v>16</v>
      </c>
      <c r="L29" s="15">
        <v>5</v>
      </c>
      <c r="M29" s="73">
        <v>4.5</v>
      </c>
      <c r="N29" s="104">
        <v>6</v>
      </c>
      <c r="O29" s="57">
        <v>7000</v>
      </c>
      <c r="P29" s="58">
        <f t="shared" si="0"/>
        <v>42000</v>
      </c>
    </row>
    <row r="30" spans="1:16" ht="26.25" customHeight="1" x14ac:dyDescent="0.2">
      <c r="A30" s="100"/>
      <c r="B30" s="100" t="s">
        <v>4746</v>
      </c>
      <c r="C30" s="65" t="s">
        <v>4747</v>
      </c>
      <c r="D30" s="70" t="s">
        <v>57</v>
      </c>
      <c r="E30" s="12">
        <v>44554</v>
      </c>
      <c r="F30" s="68" t="s">
        <v>59</v>
      </c>
      <c r="G30" s="12">
        <v>44558</v>
      </c>
      <c r="H30" s="69" t="s">
        <v>4156</v>
      </c>
      <c r="I30" s="15">
        <v>15</v>
      </c>
      <c r="J30" s="15">
        <v>10</v>
      </c>
      <c r="K30" s="15">
        <v>8</v>
      </c>
      <c r="L30" s="15">
        <v>1</v>
      </c>
      <c r="M30" s="73">
        <v>0.3</v>
      </c>
      <c r="N30" s="104">
        <v>2</v>
      </c>
      <c r="O30" s="57">
        <v>7000</v>
      </c>
      <c r="P30" s="58">
        <f t="shared" si="0"/>
        <v>14000</v>
      </c>
    </row>
    <row r="31" spans="1:16" ht="22.5" customHeight="1" x14ac:dyDescent="0.2">
      <c r="A31" s="159" t="s">
        <v>30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1"/>
      <c r="M31" s="71">
        <f>SUBTOTAL(109,Table2245789101123456789101112131415161718192021222324252627282930313233343537383940414243444546474849505152535455565758596061626364656667686970717273747576[KG VOLUME])</f>
        <v>465.25849999999997</v>
      </c>
      <c r="N31" s="61">
        <f>SUM(N3:N30)</f>
        <v>476.83499999999992</v>
      </c>
      <c r="O31" s="162">
        <f>SUM(P3:P30)</f>
        <v>3337845</v>
      </c>
      <c r="P31" s="163"/>
    </row>
    <row r="32" spans="1:16" ht="18" customHeight="1" x14ac:dyDescent="0.2">
      <c r="A32" s="78"/>
      <c r="B32" s="49" t="s">
        <v>42</v>
      </c>
      <c r="C32" s="48"/>
      <c r="D32" s="50" t="s">
        <v>43</v>
      </c>
      <c r="E32" s="78"/>
      <c r="F32" s="78"/>
      <c r="G32" s="78"/>
      <c r="H32" s="78"/>
      <c r="I32" s="78"/>
      <c r="J32" s="78"/>
      <c r="K32" s="78"/>
      <c r="L32" s="78"/>
      <c r="M32" s="79"/>
      <c r="N32" s="80" t="s">
        <v>52</v>
      </c>
      <c r="O32" s="81"/>
      <c r="P32" s="81">
        <v>0</v>
      </c>
    </row>
    <row r="33" spans="1:16" ht="18" customHeight="1" thickBot="1" x14ac:dyDescent="0.25">
      <c r="A33" s="78"/>
      <c r="B33" s="49"/>
      <c r="C33" s="48"/>
      <c r="D33" s="50"/>
      <c r="E33" s="78"/>
      <c r="F33" s="78"/>
      <c r="G33" s="78"/>
      <c r="H33" s="78"/>
      <c r="I33" s="78"/>
      <c r="J33" s="78"/>
      <c r="K33" s="78"/>
      <c r="L33" s="78"/>
      <c r="M33" s="79"/>
      <c r="N33" s="82" t="s">
        <v>53</v>
      </c>
      <c r="O33" s="83"/>
      <c r="P33" s="83">
        <f>O31-P32</f>
        <v>3337845</v>
      </c>
    </row>
    <row r="34" spans="1:16" ht="18" customHeight="1" x14ac:dyDescent="0.2">
      <c r="A34" s="10"/>
      <c r="H34" s="56"/>
      <c r="N34" s="55" t="s">
        <v>31</v>
      </c>
      <c r="P34" s="62">
        <f>P33*1%</f>
        <v>33378.449999999997</v>
      </c>
    </row>
    <row r="35" spans="1:16" ht="18" customHeight="1" thickBot="1" x14ac:dyDescent="0.25">
      <c r="A35" s="10"/>
      <c r="H35" s="56"/>
      <c r="N35" s="55" t="s">
        <v>54</v>
      </c>
      <c r="P35" s="64">
        <f>P33*2%</f>
        <v>66756.899999999994</v>
      </c>
    </row>
    <row r="36" spans="1:16" ht="18" customHeight="1" x14ac:dyDescent="0.2">
      <c r="A36" s="10"/>
      <c r="H36" s="56"/>
      <c r="N36" s="59" t="s">
        <v>32</v>
      </c>
      <c r="O36" s="60"/>
      <c r="P36" s="63">
        <f>P33+P34-P35</f>
        <v>3304466.5500000003</v>
      </c>
    </row>
    <row r="38" spans="1:16" x14ac:dyDescent="0.2">
      <c r="A38" s="10"/>
      <c r="H38" s="56"/>
      <c r="P38" s="64"/>
    </row>
    <row r="39" spans="1:16" x14ac:dyDescent="0.2">
      <c r="A39" s="10"/>
      <c r="H39" s="56"/>
      <c r="O39" s="51"/>
      <c r="P39" s="6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</sheetData>
  <mergeCells count="2">
    <mergeCell ref="A31:L31"/>
    <mergeCell ref="O31:P31"/>
  </mergeCells>
  <conditionalFormatting sqref="C3:C30">
    <cfRule type="duplicateValues" dxfId="399" priority="10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5"/>
  <sheetViews>
    <sheetView topLeftCell="A173" workbookViewId="0">
      <selection activeCell="A3" sqref="A3:XFD17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3.25" customHeight="1" x14ac:dyDescent="0.2">
      <c r="A3" s="99">
        <v>402722</v>
      </c>
      <c r="B3" s="99" t="s">
        <v>4748</v>
      </c>
      <c r="C3" s="90" t="s">
        <v>4749</v>
      </c>
      <c r="D3" s="102" t="s">
        <v>57</v>
      </c>
      <c r="E3" s="91">
        <v>44554</v>
      </c>
      <c r="F3" s="102" t="s">
        <v>58</v>
      </c>
      <c r="G3" s="91">
        <v>44559</v>
      </c>
      <c r="H3" s="90" t="s">
        <v>4687</v>
      </c>
      <c r="I3" s="90">
        <v>100</v>
      </c>
      <c r="J3" s="90">
        <v>66</v>
      </c>
      <c r="K3" s="90">
        <v>26</v>
      </c>
      <c r="L3" s="90">
        <v>12</v>
      </c>
      <c r="M3" s="90">
        <v>42.9</v>
      </c>
      <c r="N3" s="104">
        <v>42.9</v>
      </c>
      <c r="O3" s="57">
        <v>7000</v>
      </c>
      <c r="P3" s="58">
        <f t="shared" ref="P3:P66" si="0">N3*O3</f>
        <v>300300</v>
      </c>
    </row>
    <row r="4" spans="1:16" ht="23.25" customHeight="1" x14ac:dyDescent="0.2">
      <c r="A4" s="100"/>
      <c r="B4" s="100"/>
      <c r="C4" s="90" t="s">
        <v>4750</v>
      </c>
      <c r="D4" s="102" t="s">
        <v>57</v>
      </c>
      <c r="E4" s="91">
        <v>44554</v>
      </c>
      <c r="F4" s="102" t="s">
        <v>58</v>
      </c>
      <c r="G4" s="91">
        <v>44559</v>
      </c>
      <c r="H4" s="90" t="s">
        <v>4687</v>
      </c>
      <c r="I4" s="90">
        <v>93</v>
      </c>
      <c r="J4" s="90">
        <v>57</v>
      </c>
      <c r="K4" s="90">
        <v>31</v>
      </c>
      <c r="L4" s="90">
        <v>35</v>
      </c>
      <c r="M4" s="90">
        <v>41.082749999999997</v>
      </c>
      <c r="N4" s="104">
        <v>41.082749999999997</v>
      </c>
      <c r="O4" s="57">
        <v>7000</v>
      </c>
      <c r="P4" s="58">
        <f t="shared" si="0"/>
        <v>287579.25</v>
      </c>
    </row>
    <row r="5" spans="1:16" ht="23.25" customHeight="1" x14ac:dyDescent="0.2">
      <c r="A5" s="100"/>
      <c r="B5" s="100"/>
      <c r="C5" s="65" t="s">
        <v>4751</v>
      </c>
      <c r="D5" s="70" t="s">
        <v>57</v>
      </c>
      <c r="E5" s="12">
        <v>44554</v>
      </c>
      <c r="F5" s="68" t="s">
        <v>58</v>
      </c>
      <c r="G5" s="12">
        <v>44559</v>
      </c>
      <c r="H5" s="69" t="s">
        <v>4687</v>
      </c>
      <c r="I5" s="15">
        <v>101</v>
      </c>
      <c r="J5" s="15">
        <v>59</v>
      </c>
      <c r="K5" s="15">
        <v>35</v>
      </c>
      <c r="L5" s="15">
        <v>22</v>
      </c>
      <c r="M5" s="73">
        <v>52.141249999999999</v>
      </c>
      <c r="N5" s="104">
        <v>52.141249999999999</v>
      </c>
      <c r="O5" s="57">
        <v>7000</v>
      </c>
      <c r="P5" s="58">
        <f t="shared" si="0"/>
        <v>364988.75</v>
      </c>
    </row>
    <row r="6" spans="1:16" ht="23.25" customHeight="1" x14ac:dyDescent="0.2">
      <c r="A6" s="100"/>
      <c r="B6" s="100"/>
      <c r="C6" s="65" t="s">
        <v>4752</v>
      </c>
      <c r="D6" s="70" t="s">
        <v>57</v>
      </c>
      <c r="E6" s="12">
        <v>44554</v>
      </c>
      <c r="F6" s="68" t="s">
        <v>58</v>
      </c>
      <c r="G6" s="12">
        <v>44559</v>
      </c>
      <c r="H6" s="69" t="s">
        <v>4687</v>
      </c>
      <c r="I6" s="15">
        <v>101</v>
      </c>
      <c r="J6" s="15">
        <v>64</v>
      </c>
      <c r="K6" s="15">
        <v>29</v>
      </c>
      <c r="L6" s="15">
        <v>26</v>
      </c>
      <c r="M6" s="73">
        <v>46.863999999999997</v>
      </c>
      <c r="N6" s="104">
        <v>46.863999999999997</v>
      </c>
      <c r="O6" s="57">
        <v>7000</v>
      </c>
      <c r="P6" s="58">
        <f t="shared" si="0"/>
        <v>328048</v>
      </c>
    </row>
    <row r="7" spans="1:16" ht="23.25" customHeight="1" x14ac:dyDescent="0.2">
      <c r="A7" s="100"/>
      <c r="B7" s="100"/>
      <c r="C7" s="65" t="s">
        <v>4753</v>
      </c>
      <c r="D7" s="70" t="s">
        <v>57</v>
      </c>
      <c r="E7" s="12">
        <v>44554</v>
      </c>
      <c r="F7" s="68" t="s">
        <v>58</v>
      </c>
      <c r="G7" s="12">
        <v>44559</v>
      </c>
      <c r="H7" s="69" t="s">
        <v>4687</v>
      </c>
      <c r="I7" s="15">
        <v>90</v>
      </c>
      <c r="J7" s="15">
        <v>55</v>
      </c>
      <c r="K7" s="15">
        <v>23</v>
      </c>
      <c r="L7" s="15">
        <v>21</v>
      </c>
      <c r="M7" s="73">
        <v>28.462499999999999</v>
      </c>
      <c r="N7" s="104">
        <v>29</v>
      </c>
      <c r="O7" s="57">
        <v>7000</v>
      </c>
      <c r="P7" s="58">
        <f t="shared" si="0"/>
        <v>203000</v>
      </c>
    </row>
    <row r="8" spans="1:16" ht="23.25" customHeight="1" x14ac:dyDescent="0.2">
      <c r="A8" s="100"/>
      <c r="B8" s="100"/>
      <c r="C8" s="65" t="s">
        <v>4754</v>
      </c>
      <c r="D8" s="70" t="s">
        <v>57</v>
      </c>
      <c r="E8" s="12">
        <v>44554</v>
      </c>
      <c r="F8" s="68" t="s">
        <v>58</v>
      </c>
      <c r="G8" s="12">
        <v>44559</v>
      </c>
      <c r="H8" s="69" t="s">
        <v>4687</v>
      </c>
      <c r="I8" s="15">
        <v>78</v>
      </c>
      <c r="J8" s="15">
        <v>66</v>
      </c>
      <c r="K8" s="15">
        <v>20</v>
      </c>
      <c r="L8" s="15">
        <v>11</v>
      </c>
      <c r="M8" s="73">
        <v>25.74</v>
      </c>
      <c r="N8" s="104">
        <v>25.74</v>
      </c>
      <c r="O8" s="57">
        <v>7000</v>
      </c>
      <c r="P8" s="58">
        <f t="shared" si="0"/>
        <v>180180</v>
      </c>
    </row>
    <row r="9" spans="1:16" ht="23.25" customHeight="1" x14ac:dyDescent="0.2">
      <c r="A9" s="100"/>
      <c r="B9" s="100"/>
      <c r="C9" s="65" t="s">
        <v>4755</v>
      </c>
      <c r="D9" s="70" t="s">
        <v>57</v>
      </c>
      <c r="E9" s="12">
        <v>44554</v>
      </c>
      <c r="F9" s="68" t="s">
        <v>58</v>
      </c>
      <c r="G9" s="12">
        <v>44559</v>
      </c>
      <c r="H9" s="69" t="s">
        <v>4687</v>
      </c>
      <c r="I9" s="15">
        <v>100</v>
      </c>
      <c r="J9" s="15">
        <v>65</v>
      </c>
      <c r="K9" s="15">
        <v>26</v>
      </c>
      <c r="L9" s="15">
        <v>21</v>
      </c>
      <c r="M9" s="73">
        <v>42.25</v>
      </c>
      <c r="N9" s="104">
        <v>42.25</v>
      </c>
      <c r="O9" s="57">
        <v>7000</v>
      </c>
      <c r="P9" s="58">
        <f t="shared" si="0"/>
        <v>295750</v>
      </c>
    </row>
    <row r="10" spans="1:16" ht="23.25" customHeight="1" x14ac:dyDescent="0.2">
      <c r="A10" s="100"/>
      <c r="B10" s="100"/>
      <c r="C10" s="65" t="s">
        <v>4756</v>
      </c>
      <c r="D10" s="70" t="s">
        <v>57</v>
      </c>
      <c r="E10" s="12">
        <v>44554</v>
      </c>
      <c r="F10" s="68" t="s">
        <v>58</v>
      </c>
      <c r="G10" s="12">
        <v>44559</v>
      </c>
      <c r="H10" s="69" t="s">
        <v>4687</v>
      </c>
      <c r="I10" s="15">
        <v>91</v>
      </c>
      <c r="J10" s="15">
        <v>75</v>
      </c>
      <c r="K10" s="15">
        <v>31</v>
      </c>
      <c r="L10" s="15">
        <v>20</v>
      </c>
      <c r="M10" s="73">
        <v>52.893749999999997</v>
      </c>
      <c r="N10" s="104">
        <v>52.893749999999997</v>
      </c>
      <c r="O10" s="57">
        <v>7000</v>
      </c>
      <c r="P10" s="58">
        <f t="shared" si="0"/>
        <v>370256.25</v>
      </c>
    </row>
    <row r="11" spans="1:16" ht="23.25" customHeight="1" x14ac:dyDescent="0.2">
      <c r="A11" s="100"/>
      <c r="B11" s="100"/>
      <c r="C11" s="65" t="s">
        <v>4757</v>
      </c>
      <c r="D11" s="70" t="s">
        <v>57</v>
      </c>
      <c r="E11" s="12">
        <v>44554</v>
      </c>
      <c r="F11" s="68" t="s">
        <v>58</v>
      </c>
      <c r="G11" s="12">
        <v>44559</v>
      </c>
      <c r="H11" s="69" t="s">
        <v>4687</v>
      </c>
      <c r="I11" s="15">
        <v>99</v>
      </c>
      <c r="J11" s="15">
        <v>64</v>
      </c>
      <c r="K11" s="15">
        <v>25</v>
      </c>
      <c r="L11" s="15">
        <v>25</v>
      </c>
      <c r="M11" s="73">
        <v>39.6</v>
      </c>
      <c r="N11" s="104">
        <v>39.6</v>
      </c>
      <c r="O11" s="57">
        <v>7000</v>
      </c>
      <c r="P11" s="58">
        <f t="shared" si="0"/>
        <v>277200</v>
      </c>
    </row>
    <row r="12" spans="1:16" ht="23.25" customHeight="1" x14ac:dyDescent="0.2">
      <c r="A12" s="100"/>
      <c r="B12" s="100"/>
      <c r="C12" s="65" t="s">
        <v>4758</v>
      </c>
      <c r="D12" s="70" t="s">
        <v>57</v>
      </c>
      <c r="E12" s="12">
        <v>44554</v>
      </c>
      <c r="F12" s="68" t="s">
        <v>58</v>
      </c>
      <c r="G12" s="12">
        <v>44559</v>
      </c>
      <c r="H12" s="69" t="s">
        <v>4687</v>
      </c>
      <c r="I12" s="15">
        <v>100</v>
      </c>
      <c r="J12" s="15">
        <v>60</v>
      </c>
      <c r="K12" s="15">
        <v>25</v>
      </c>
      <c r="L12" s="15">
        <v>20</v>
      </c>
      <c r="M12" s="73">
        <v>37.5</v>
      </c>
      <c r="N12" s="104">
        <v>39</v>
      </c>
      <c r="O12" s="57">
        <v>7000</v>
      </c>
      <c r="P12" s="58">
        <f t="shared" si="0"/>
        <v>273000</v>
      </c>
    </row>
    <row r="13" spans="1:16" ht="23.25" customHeight="1" x14ac:dyDescent="0.2">
      <c r="A13" s="100"/>
      <c r="B13" s="100"/>
      <c r="C13" s="65" t="s">
        <v>4759</v>
      </c>
      <c r="D13" s="70" t="s">
        <v>57</v>
      </c>
      <c r="E13" s="12">
        <v>44554</v>
      </c>
      <c r="F13" s="68" t="s">
        <v>58</v>
      </c>
      <c r="G13" s="12">
        <v>44559</v>
      </c>
      <c r="H13" s="69" t="s">
        <v>4687</v>
      </c>
      <c r="I13" s="15">
        <v>102</v>
      </c>
      <c r="J13" s="15">
        <v>62</v>
      </c>
      <c r="K13" s="15">
        <v>20</v>
      </c>
      <c r="L13" s="15">
        <v>21</v>
      </c>
      <c r="M13" s="73">
        <v>31.62</v>
      </c>
      <c r="N13" s="104">
        <v>31.62</v>
      </c>
      <c r="O13" s="57">
        <v>7000</v>
      </c>
      <c r="P13" s="58">
        <f t="shared" si="0"/>
        <v>221340</v>
      </c>
    </row>
    <row r="14" spans="1:16" ht="23.25" customHeight="1" x14ac:dyDescent="0.2">
      <c r="A14" s="100"/>
      <c r="B14" s="100"/>
      <c r="C14" s="65" t="s">
        <v>4760</v>
      </c>
      <c r="D14" s="70" t="s">
        <v>57</v>
      </c>
      <c r="E14" s="12">
        <v>44554</v>
      </c>
      <c r="F14" s="68" t="s">
        <v>58</v>
      </c>
      <c r="G14" s="12">
        <v>44559</v>
      </c>
      <c r="H14" s="69" t="s">
        <v>4687</v>
      </c>
      <c r="I14" s="15">
        <v>95</v>
      </c>
      <c r="J14" s="15">
        <v>55</v>
      </c>
      <c r="K14" s="15">
        <v>23</v>
      </c>
      <c r="L14" s="15">
        <v>14</v>
      </c>
      <c r="M14" s="73">
        <v>30.043749999999999</v>
      </c>
      <c r="N14" s="104">
        <v>30.043749999999999</v>
      </c>
      <c r="O14" s="57">
        <v>7000</v>
      </c>
      <c r="P14" s="58">
        <f t="shared" si="0"/>
        <v>210306.25</v>
      </c>
    </row>
    <row r="15" spans="1:16" ht="23.25" customHeight="1" x14ac:dyDescent="0.2">
      <c r="A15" s="100"/>
      <c r="B15" s="100"/>
      <c r="C15" s="65" t="s">
        <v>4761</v>
      </c>
      <c r="D15" s="70" t="s">
        <v>57</v>
      </c>
      <c r="E15" s="12">
        <v>44554</v>
      </c>
      <c r="F15" s="68" t="s">
        <v>58</v>
      </c>
      <c r="G15" s="12">
        <v>44559</v>
      </c>
      <c r="H15" s="69" t="s">
        <v>4687</v>
      </c>
      <c r="I15" s="15">
        <v>100</v>
      </c>
      <c r="J15" s="15">
        <v>50</v>
      </c>
      <c r="K15" s="15">
        <v>23</v>
      </c>
      <c r="L15" s="15">
        <v>13</v>
      </c>
      <c r="M15" s="73">
        <v>28.75</v>
      </c>
      <c r="N15" s="104">
        <v>28.75</v>
      </c>
      <c r="O15" s="57">
        <v>7000</v>
      </c>
      <c r="P15" s="58">
        <f t="shared" si="0"/>
        <v>201250</v>
      </c>
    </row>
    <row r="16" spans="1:16" ht="23.25" customHeight="1" x14ac:dyDescent="0.2">
      <c r="A16" s="100"/>
      <c r="B16" s="100"/>
      <c r="C16" s="65" t="s">
        <v>4762</v>
      </c>
      <c r="D16" s="70" t="s">
        <v>57</v>
      </c>
      <c r="E16" s="12">
        <v>44554</v>
      </c>
      <c r="F16" s="68" t="s">
        <v>58</v>
      </c>
      <c r="G16" s="12">
        <v>44559</v>
      </c>
      <c r="H16" s="69" t="s">
        <v>4687</v>
      </c>
      <c r="I16" s="15">
        <v>75</v>
      </c>
      <c r="J16" s="15">
        <v>54</v>
      </c>
      <c r="K16" s="15">
        <v>2</v>
      </c>
      <c r="L16" s="15">
        <v>5</v>
      </c>
      <c r="M16" s="73">
        <v>2.0249999999999999</v>
      </c>
      <c r="N16" s="104">
        <v>5</v>
      </c>
      <c r="O16" s="57">
        <v>7000</v>
      </c>
      <c r="P16" s="58">
        <f t="shared" si="0"/>
        <v>35000</v>
      </c>
    </row>
    <row r="17" spans="1:16" ht="23.25" customHeight="1" x14ac:dyDescent="0.2">
      <c r="A17" s="100"/>
      <c r="B17" s="100"/>
      <c r="C17" s="65" t="s">
        <v>4763</v>
      </c>
      <c r="D17" s="70" t="s">
        <v>57</v>
      </c>
      <c r="E17" s="12">
        <v>44554</v>
      </c>
      <c r="F17" s="68" t="s">
        <v>58</v>
      </c>
      <c r="G17" s="12">
        <v>44559</v>
      </c>
      <c r="H17" s="69" t="s">
        <v>4687</v>
      </c>
      <c r="I17" s="15">
        <v>91</v>
      </c>
      <c r="J17" s="15">
        <v>54</v>
      </c>
      <c r="K17" s="15">
        <v>25</v>
      </c>
      <c r="L17" s="15">
        <v>17</v>
      </c>
      <c r="M17" s="73">
        <v>30.712499999999999</v>
      </c>
      <c r="N17" s="104">
        <v>30.712499999999999</v>
      </c>
      <c r="O17" s="57">
        <v>7000</v>
      </c>
      <c r="P17" s="58">
        <f t="shared" si="0"/>
        <v>214987.5</v>
      </c>
    </row>
    <row r="18" spans="1:16" ht="23.25" customHeight="1" x14ac:dyDescent="0.2">
      <c r="A18" s="100"/>
      <c r="B18" s="100"/>
      <c r="C18" s="65" t="s">
        <v>4764</v>
      </c>
      <c r="D18" s="70" t="s">
        <v>57</v>
      </c>
      <c r="E18" s="12">
        <v>44554</v>
      </c>
      <c r="F18" s="68" t="s">
        <v>58</v>
      </c>
      <c r="G18" s="12">
        <v>44559</v>
      </c>
      <c r="H18" s="69" t="s">
        <v>4687</v>
      </c>
      <c r="I18" s="15">
        <v>100</v>
      </c>
      <c r="J18" s="15">
        <v>60</v>
      </c>
      <c r="K18" s="15">
        <v>35</v>
      </c>
      <c r="L18" s="15">
        <v>20</v>
      </c>
      <c r="M18" s="73">
        <v>52.5</v>
      </c>
      <c r="N18" s="104">
        <v>54</v>
      </c>
      <c r="O18" s="57">
        <v>7000</v>
      </c>
      <c r="P18" s="58">
        <f t="shared" si="0"/>
        <v>378000</v>
      </c>
    </row>
    <row r="19" spans="1:16" ht="23.25" customHeight="1" x14ac:dyDescent="0.2">
      <c r="A19" s="100"/>
      <c r="B19" s="100"/>
      <c r="C19" s="65" t="s">
        <v>4765</v>
      </c>
      <c r="D19" s="70" t="s">
        <v>57</v>
      </c>
      <c r="E19" s="12">
        <v>44554</v>
      </c>
      <c r="F19" s="68" t="s">
        <v>58</v>
      </c>
      <c r="G19" s="12">
        <v>44559</v>
      </c>
      <c r="H19" s="69" t="s">
        <v>4687</v>
      </c>
      <c r="I19" s="15">
        <v>54</v>
      </c>
      <c r="J19" s="15">
        <v>35</v>
      </c>
      <c r="K19" s="15">
        <v>25</v>
      </c>
      <c r="L19" s="15">
        <v>12</v>
      </c>
      <c r="M19" s="73">
        <v>11.8125</v>
      </c>
      <c r="N19" s="104">
        <v>12</v>
      </c>
      <c r="O19" s="57">
        <v>7000</v>
      </c>
      <c r="P19" s="58">
        <f t="shared" si="0"/>
        <v>84000</v>
      </c>
    </row>
    <row r="20" spans="1:16" ht="23.25" customHeight="1" x14ac:dyDescent="0.2">
      <c r="A20" s="100"/>
      <c r="B20" s="100"/>
      <c r="C20" s="65" t="s">
        <v>4766</v>
      </c>
      <c r="D20" s="70" t="s">
        <v>57</v>
      </c>
      <c r="E20" s="12">
        <v>44554</v>
      </c>
      <c r="F20" s="68" t="s">
        <v>58</v>
      </c>
      <c r="G20" s="12">
        <v>44559</v>
      </c>
      <c r="H20" s="69" t="s">
        <v>4687</v>
      </c>
      <c r="I20" s="15">
        <v>45</v>
      </c>
      <c r="J20" s="15">
        <v>36</v>
      </c>
      <c r="K20" s="15">
        <v>16</v>
      </c>
      <c r="L20" s="15">
        <v>2</v>
      </c>
      <c r="M20" s="73">
        <v>6.48</v>
      </c>
      <c r="N20" s="104">
        <v>7</v>
      </c>
      <c r="O20" s="57">
        <v>7000</v>
      </c>
      <c r="P20" s="58">
        <f t="shared" si="0"/>
        <v>49000</v>
      </c>
    </row>
    <row r="21" spans="1:16" ht="23.25" customHeight="1" x14ac:dyDescent="0.2">
      <c r="A21" s="100"/>
      <c r="B21" s="100"/>
      <c r="C21" s="65" t="s">
        <v>4767</v>
      </c>
      <c r="D21" s="70" t="s">
        <v>57</v>
      </c>
      <c r="E21" s="12">
        <v>44554</v>
      </c>
      <c r="F21" s="68" t="s">
        <v>58</v>
      </c>
      <c r="G21" s="12">
        <v>44559</v>
      </c>
      <c r="H21" s="69" t="s">
        <v>4687</v>
      </c>
      <c r="I21" s="15">
        <v>92</v>
      </c>
      <c r="J21" s="15">
        <v>55</v>
      </c>
      <c r="K21" s="15">
        <v>23</v>
      </c>
      <c r="L21" s="15">
        <v>9</v>
      </c>
      <c r="M21" s="73">
        <v>29.094999999999999</v>
      </c>
      <c r="N21" s="104">
        <v>29.094999999999999</v>
      </c>
      <c r="O21" s="57">
        <v>7000</v>
      </c>
      <c r="P21" s="58">
        <f t="shared" si="0"/>
        <v>203665</v>
      </c>
    </row>
    <row r="22" spans="1:16" ht="23.25" customHeight="1" x14ac:dyDescent="0.2">
      <c r="A22" s="100"/>
      <c r="B22" s="100"/>
      <c r="C22" s="65" t="s">
        <v>4768</v>
      </c>
      <c r="D22" s="70" t="s">
        <v>57</v>
      </c>
      <c r="E22" s="12">
        <v>44554</v>
      </c>
      <c r="F22" s="68" t="s">
        <v>58</v>
      </c>
      <c r="G22" s="12">
        <v>44559</v>
      </c>
      <c r="H22" s="69" t="s">
        <v>4687</v>
      </c>
      <c r="I22" s="15">
        <v>103</v>
      </c>
      <c r="J22" s="15">
        <v>63</v>
      </c>
      <c r="K22" s="15">
        <v>25</v>
      </c>
      <c r="L22" s="15">
        <v>17</v>
      </c>
      <c r="M22" s="73">
        <v>40.556249999999999</v>
      </c>
      <c r="N22" s="104">
        <v>40.556249999999999</v>
      </c>
      <c r="O22" s="57">
        <v>7000</v>
      </c>
      <c r="P22" s="58">
        <f t="shared" si="0"/>
        <v>283893.75</v>
      </c>
    </row>
    <row r="23" spans="1:16" ht="23.25" customHeight="1" x14ac:dyDescent="0.2">
      <c r="A23" s="100"/>
      <c r="B23" s="100"/>
      <c r="C23" s="65" t="s">
        <v>4769</v>
      </c>
      <c r="D23" s="70" t="s">
        <v>57</v>
      </c>
      <c r="E23" s="12">
        <v>44554</v>
      </c>
      <c r="F23" s="68" t="s">
        <v>58</v>
      </c>
      <c r="G23" s="12">
        <v>44559</v>
      </c>
      <c r="H23" s="69" t="s">
        <v>4687</v>
      </c>
      <c r="I23" s="15">
        <v>85</v>
      </c>
      <c r="J23" s="15">
        <v>58</v>
      </c>
      <c r="K23" s="15">
        <v>23</v>
      </c>
      <c r="L23" s="15">
        <v>14</v>
      </c>
      <c r="M23" s="73">
        <v>28.3475</v>
      </c>
      <c r="N23" s="104">
        <v>29</v>
      </c>
      <c r="O23" s="57">
        <v>7000</v>
      </c>
      <c r="P23" s="58">
        <f t="shared" si="0"/>
        <v>203000</v>
      </c>
    </row>
    <row r="24" spans="1:16" ht="23.25" customHeight="1" x14ac:dyDescent="0.2">
      <c r="A24" s="100"/>
      <c r="B24" s="100"/>
      <c r="C24" s="65" t="s">
        <v>4770</v>
      </c>
      <c r="D24" s="70" t="s">
        <v>57</v>
      </c>
      <c r="E24" s="12">
        <v>44554</v>
      </c>
      <c r="F24" s="68" t="s">
        <v>58</v>
      </c>
      <c r="G24" s="12">
        <v>44559</v>
      </c>
      <c r="H24" s="69" t="s">
        <v>4687</v>
      </c>
      <c r="I24" s="15">
        <v>83</v>
      </c>
      <c r="J24" s="15">
        <v>62</v>
      </c>
      <c r="K24" s="15">
        <v>23</v>
      </c>
      <c r="L24" s="15">
        <v>16</v>
      </c>
      <c r="M24" s="73">
        <v>29.589500000000001</v>
      </c>
      <c r="N24" s="104">
        <v>29.589500000000001</v>
      </c>
      <c r="O24" s="57">
        <v>7000</v>
      </c>
      <c r="P24" s="58">
        <f t="shared" si="0"/>
        <v>207126.5</v>
      </c>
    </row>
    <row r="25" spans="1:16" ht="23.25" customHeight="1" x14ac:dyDescent="0.2">
      <c r="A25" s="100"/>
      <c r="B25" s="100"/>
      <c r="C25" s="65" t="s">
        <v>4771</v>
      </c>
      <c r="D25" s="70" t="s">
        <v>57</v>
      </c>
      <c r="E25" s="12">
        <v>44554</v>
      </c>
      <c r="F25" s="68" t="s">
        <v>58</v>
      </c>
      <c r="G25" s="12">
        <v>44559</v>
      </c>
      <c r="H25" s="69" t="s">
        <v>4687</v>
      </c>
      <c r="I25" s="15">
        <v>51</v>
      </c>
      <c r="J25" s="15">
        <v>43</v>
      </c>
      <c r="K25" s="15">
        <v>15</v>
      </c>
      <c r="L25" s="15">
        <v>2</v>
      </c>
      <c r="M25" s="73">
        <v>8.2237500000000008</v>
      </c>
      <c r="N25" s="104">
        <v>8.2237500000000008</v>
      </c>
      <c r="O25" s="57">
        <v>7000</v>
      </c>
      <c r="P25" s="58">
        <f t="shared" si="0"/>
        <v>57566.250000000007</v>
      </c>
    </row>
    <row r="26" spans="1:16" ht="23.25" customHeight="1" x14ac:dyDescent="0.2">
      <c r="A26" s="100"/>
      <c r="B26" s="100"/>
      <c r="C26" s="65" t="s">
        <v>4772</v>
      </c>
      <c r="D26" s="70" t="s">
        <v>57</v>
      </c>
      <c r="E26" s="12">
        <v>44554</v>
      </c>
      <c r="F26" s="68" t="s">
        <v>58</v>
      </c>
      <c r="G26" s="12">
        <v>44559</v>
      </c>
      <c r="H26" s="69" t="s">
        <v>4687</v>
      </c>
      <c r="I26" s="15">
        <v>92</v>
      </c>
      <c r="J26" s="15">
        <v>60</v>
      </c>
      <c r="K26" s="15">
        <v>22</v>
      </c>
      <c r="L26" s="15">
        <v>6</v>
      </c>
      <c r="M26" s="73">
        <v>30.36</v>
      </c>
      <c r="N26" s="104">
        <v>31</v>
      </c>
      <c r="O26" s="57">
        <v>7000</v>
      </c>
      <c r="P26" s="58">
        <f t="shared" si="0"/>
        <v>217000</v>
      </c>
    </row>
    <row r="27" spans="1:16" ht="23.25" customHeight="1" x14ac:dyDescent="0.2">
      <c r="A27" s="100"/>
      <c r="B27" s="100"/>
      <c r="C27" s="65" t="s">
        <v>4773</v>
      </c>
      <c r="D27" s="70" t="s">
        <v>57</v>
      </c>
      <c r="E27" s="12">
        <v>44554</v>
      </c>
      <c r="F27" s="68" t="s">
        <v>58</v>
      </c>
      <c r="G27" s="12">
        <v>44559</v>
      </c>
      <c r="H27" s="69" t="s">
        <v>4687</v>
      </c>
      <c r="I27" s="15">
        <v>43</v>
      </c>
      <c r="J27" s="15">
        <v>37</v>
      </c>
      <c r="K27" s="15">
        <v>15</v>
      </c>
      <c r="L27" s="15">
        <v>2</v>
      </c>
      <c r="M27" s="73">
        <v>5.9662499999999996</v>
      </c>
      <c r="N27" s="104">
        <v>5.9662499999999996</v>
      </c>
      <c r="O27" s="57">
        <v>7000</v>
      </c>
      <c r="P27" s="58">
        <f t="shared" si="0"/>
        <v>41763.75</v>
      </c>
    </row>
    <row r="28" spans="1:16" ht="23.25" customHeight="1" x14ac:dyDescent="0.2">
      <c r="A28" s="100"/>
      <c r="B28" s="100"/>
      <c r="C28" s="65" t="s">
        <v>4774</v>
      </c>
      <c r="D28" s="70" t="s">
        <v>57</v>
      </c>
      <c r="E28" s="12">
        <v>44554</v>
      </c>
      <c r="F28" s="68" t="s">
        <v>58</v>
      </c>
      <c r="G28" s="12">
        <v>44559</v>
      </c>
      <c r="H28" s="69" t="s">
        <v>4687</v>
      </c>
      <c r="I28" s="15">
        <v>110</v>
      </c>
      <c r="J28" s="15">
        <v>65</v>
      </c>
      <c r="K28" s="15">
        <v>32</v>
      </c>
      <c r="L28" s="15">
        <v>22</v>
      </c>
      <c r="M28" s="73">
        <v>57.2</v>
      </c>
      <c r="N28" s="104">
        <v>57.2</v>
      </c>
      <c r="O28" s="57">
        <v>7000</v>
      </c>
      <c r="P28" s="58">
        <f t="shared" si="0"/>
        <v>400400</v>
      </c>
    </row>
    <row r="29" spans="1:16" ht="23.25" customHeight="1" x14ac:dyDescent="0.2">
      <c r="A29" s="100"/>
      <c r="B29" s="100"/>
      <c r="C29" s="65" t="s">
        <v>4775</v>
      </c>
      <c r="D29" s="70" t="s">
        <v>57</v>
      </c>
      <c r="E29" s="12">
        <v>44554</v>
      </c>
      <c r="F29" s="68" t="s">
        <v>58</v>
      </c>
      <c r="G29" s="12">
        <v>44559</v>
      </c>
      <c r="H29" s="69" t="s">
        <v>4687</v>
      </c>
      <c r="I29" s="15">
        <v>97</v>
      </c>
      <c r="J29" s="15">
        <v>41</v>
      </c>
      <c r="K29" s="15">
        <v>32</v>
      </c>
      <c r="L29" s="15">
        <v>19</v>
      </c>
      <c r="M29" s="73">
        <v>31.815999999999999</v>
      </c>
      <c r="N29" s="104">
        <v>31.815999999999999</v>
      </c>
      <c r="O29" s="57">
        <v>7000</v>
      </c>
      <c r="P29" s="58">
        <f t="shared" si="0"/>
        <v>222712</v>
      </c>
    </row>
    <row r="30" spans="1:16" ht="23.25" customHeight="1" x14ac:dyDescent="0.2">
      <c r="A30" s="100"/>
      <c r="B30" s="100"/>
      <c r="C30" s="65" t="s">
        <v>4776</v>
      </c>
      <c r="D30" s="70" t="s">
        <v>57</v>
      </c>
      <c r="E30" s="12">
        <v>44554</v>
      </c>
      <c r="F30" s="68" t="s">
        <v>58</v>
      </c>
      <c r="G30" s="12">
        <v>44559</v>
      </c>
      <c r="H30" s="69" t="s">
        <v>4687</v>
      </c>
      <c r="I30" s="15">
        <v>45</v>
      </c>
      <c r="J30" s="15">
        <v>28</v>
      </c>
      <c r="K30" s="15">
        <v>18</v>
      </c>
      <c r="L30" s="15">
        <v>32</v>
      </c>
      <c r="M30" s="73">
        <v>5.67</v>
      </c>
      <c r="N30" s="104">
        <v>32</v>
      </c>
      <c r="O30" s="57">
        <v>7000</v>
      </c>
      <c r="P30" s="58">
        <f t="shared" si="0"/>
        <v>224000</v>
      </c>
    </row>
    <row r="31" spans="1:16" ht="23.25" customHeight="1" x14ac:dyDescent="0.2">
      <c r="A31" s="100"/>
      <c r="B31" s="100"/>
      <c r="C31" s="65" t="s">
        <v>4777</v>
      </c>
      <c r="D31" s="70" t="s">
        <v>57</v>
      </c>
      <c r="E31" s="12">
        <v>44554</v>
      </c>
      <c r="F31" s="68" t="s">
        <v>58</v>
      </c>
      <c r="G31" s="12">
        <v>44559</v>
      </c>
      <c r="H31" s="69" t="s">
        <v>4687</v>
      </c>
      <c r="I31" s="15">
        <v>95</v>
      </c>
      <c r="J31" s="15">
        <v>58</v>
      </c>
      <c r="K31" s="15">
        <v>22</v>
      </c>
      <c r="L31" s="15">
        <v>16</v>
      </c>
      <c r="M31" s="73">
        <v>30.305</v>
      </c>
      <c r="N31" s="104">
        <v>32</v>
      </c>
      <c r="O31" s="57">
        <v>7000</v>
      </c>
      <c r="P31" s="58">
        <f t="shared" si="0"/>
        <v>224000</v>
      </c>
    </row>
    <row r="32" spans="1:16" ht="23.25" customHeight="1" x14ac:dyDescent="0.2">
      <c r="A32" s="100"/>
      <c r="B32" s="100"/>
      <c r="C32" s="65" t="s">
        <v>4778</v>
      </c>
      <c r="D32" s="70" t="s">
        <v>57</v>
      </c>
      <c r="E32" s="12">
        <v>44554</v>
      </c>
      <c r="F32" s="68" t="s">
        <v>58</v>
      </c>
      <c r="G32" s="12">
        <v>44559</v>
      </c>
      <c r="H32" s="69" t="s">
        <v>4687</v>
      </c>
      <c r="I32" s="15">
        <v>85</v>
      </c>
      <c r="J32" s="15">
        <v>54</v>
      </c>
      <c r="K32" s="15">
        <v>18</v>
      </c>
      <c r="L32" s="15">
        <v>11</v>
      </c>
      <c r="M32" s="73">
        <v>20.655000000000001</v>
      </c>
      <c r="N32" s="104">
        <v>20.655000000000001</v>
      </c>
      <c r="O32" s="57">
        <v>7000</v>
      </c>
      <c r="P32" s="58">
        <f t="shared" si="0"/>
        <v>144585</v>
      </c>
    </row>
    <row r="33" spans="1:16" ht="23.25" customHeight="1" x14ac:dyDescent="0.2">
      <c r="A33" s="100"/>
      <c r="B33" s="100"/>
      <c r="C33" s="65" t="s">
        <v>4779</v>
      </c>
      <c r="D33" s="70" t="s">
        <v>57</v>
      </c>
      <c r="E33" s="12">
        <v>44554</v>
      </c>
      <c r="F33" s="68" t="s">
        <v>58</v>
      </c>
      <c r="G33" s="12">
        <v>44559</v>
      </c>
      <c r="H33" s="69" t="s">
        <v>4687</v>
      </c>
      <c r="I33" s="15">
        <v>95</v>
      </c>
      <c r="J33" s="15">
        <v>56</v>
      </c>
      <c r="K33" s="15">
        <v>22</v>
      </c>
      <c r="L33" s="15">
        <v>13</v>
      </c>
      <c r="M33" s="73">
        <v>29.26</v>
      </c>
      <c r="N33" s="104">
        <v>29.26</v>
      </c>
      <c r="O33" s="57">
        <v>7000</v>
      </c>
      <c r="P33" s="58">
        <f t="shared" si="0"/>
        <v>204820</v>
      </c>
    </row>
    <row r="34" spans="1:16" ht="23.25" customHeight="1" x14ac:dyDescent="0.2">
      <c r="A34" s="100"/>
      <c r="B34" s="100"/>
      <c r="C34" s="65" t="s">
        <v>4780</v>
      </c>
      <c r="D34" s="70" t="s">
        <v>57</v>
      </c>
      <c r="E34" s="12">
        <v>44554</v>
      </c>
      <c r="F34" s="68" t="s">
        <v>58</v>
      </c>
      <c r="G34" s="12">
        <v>44559</v>
      </c>
      <c r="H34" s="69" t="s">
        <v>4687</v>
      </c>
      <c r="I34" s="15">
        <v>93</v>
      </c>
      <c r="J34" s="15">
        <v>57</v>
      </c>
      <c r="K34" s="15">
        <v>30</v>
      </c>
      <c r="L34" s="15">
        <v>29</v>
      </c>
      <c r="M34" s="73">
        <v>39.7575</v>
      </c>
      <c r="N34" s="104">
        <v>39.7575</v>
      </c>
      <c r="O34" s="57">
        <v>7000</v>
      </c>
      <c r="P34" s="58">
        <f t="shared" si="0"/>
        <v>278302.5</v>
      </c>
    </row>
    <row r="35" spans="1:16" ht="23.25" customHeight="1" x14ac:dyDescent="0.2">
      <c r="A35" s="100"/>
      <c r="B35" s="100"/>
      <c r="C35" s="65" t="s">
        <v>4781</v>
      </c>
      <c r="D35" s="70" t="s">
        <v>57</v>
      </c>
      <c r="E35" s="12">
        <v>44554</v>
      </c>
      <c r="F35" s="68" t="s">
        <v>58</v>
      </c>
      <c r="G35" s="12">
        <v>44559</v>
      </c>
      <c r="H35" s="69" t="s">
        <v>4687</v>
      </c>
      <c r="I35" s="15">
        <v>91</v>
      </c>
      <c r="J35" s="15">
        <v>60</v>
      </c>
      <c r="K35" s="15">
        <v>25</v>
      </c>
      <c r="L35" s="15">
        <v>26</v>
      </c>
      <c r="M35" s="73">
        <v>34.125</v>
      </c>
      <c r="N35" s="104">
        <v>34.125</v>
      </c>
      <c r="O35" s="57">
        <v>7000</v>
      </c>
      <c r="P35" s="58">
        <f t="shared" si="0"/>
        <v>238875</v>
      </c>
    </row>
    <row r="36" spans="1:16" ht="23.25" customHeight="1" x14ac:dyDescent="0.2">
      <c r="A36" s="100"/>
      <c r="B36" s="100"/>
      <c r="C36" s="65" t="s">
        <v>4782</v>
      </c>
      <c r="D36" s="70" t="s">
        <v>57</v>
      </c>
      <c r="E36" s="12">
        <v>44554</v>
      </c>
      <c r="F36" s="68" t="s">
        <v>58</v>
      </c>
      <c r="G36" s="12">
        <v>44559</v>
      </c>
      <c r="H36" s="69" t="s">
        <v>4687</v>
      </c>
      <c r="I36" s="15">
        <v>85</v>
      </c>
      <c r="J36" s="15">
        <v>55</v>
      </c>
      <c r="K36" s="15">
        <v>23</v>
      </c>
      <c r="L36" s="15">
        <v>8</v>
      </c>
      <c r="M36" s="73">
        <v>26.881250000000001</v>
      </c>
      <c r="N36" s="104">
        <v>26.881250000000001</v>
      </c>
      <c r="O36" s="57">
        <v>7000</v>
      </c>
      <c r="P36" s="58">
        <f t="shared" si="0"/>
        <v>188168.75</v>
      </c>
    </row>
    <row r="37" spans="1:16" ht="23.25" customHeight="1" x14ac:dyDescent="0.2">
      <c r="A37" s="100"/>
      <c r="B37" s="100"/>
      <c r="C37" s="65" t="s">
        <v>4783</v>
      </c>
      <c r="D37" s="70" t="s">
        <v>57</v>
      </c>
      <c r="E37" s="12">
        <v>44554</v>
      </c>
      <c r="F37" s="68" t="s">
        <v>58</v>
      </c>
      <c r="G37" s="12">
        <v>44559</v>
      </c>
      <c r="H37" s="69" t="s">
        <v>4687</v>
      </c>
      <c r="I37" s="15">
        <v>105</v>
      </c>
      <c r="J37" s="15">
        <v>55</v>
      </c>
      <c r="K37" s="15">
        <v>35</v>
      </c>
      <c r="L37" s="15">
        <v>21</v>
      </c>
      <c r="M37" s="73">
        <v>50.53125</v>
      </c>
      <c r="N37" s="104">
        <v>50.53125</v>
      </c>
      <c r="O37" s="57">
        <v>7000</v>
      </c>
      <c r="P37" s="58">
        <f t="shared" si="0"/>
        <v>353718.75</v>
      </c>
    </row>
    <row r="38" spans="1:16" ht="23.25" customHeight="1" x14ac:dyDescent="0.2">
      <c r="A38" s="100"/>
      <c r="B38" s="100"/>
      <c r="C38" s="65" t="s">
        <v>4784</v>
      </c>
      <c r="D38" s="70" t="s">
        <v>57</v>
      </c>
      <c r="E38" s="12">
        <v>44554</v>
      </c>
      <c r="F38" s="68" t="s">
        <v>58</v>
      </c>
      <c r="G38" s="12">
        <v>44559</v>
      </c>
      <c r="H38" s="69" t="s">
        <v>4687</v>
      </c>
      <c r="I38" s="15">
        <v>75</v>
      </c>
      <c r="J38" s="15">
        <v>25</v>
      </c>
      <c r="K38" s="15">
        <v>14</v>
      </c>
      <c r="L38" s="15">
        <v>2</v>
      </c>
      <c r="M38" s="73">
        <v>6.5625</v>
      </c>
      <c r="N38" s="104">
        <v>6.5625</v>
      </c>
      <c r="O38" s="57">
        <v>7000</v>
      </c>
      <c r="P38" s="58">
        <f t="shared" si="0"/>
        <v>45937.5</v>
      </c>
    </row>
    <row r="39" spans="1:16" ht="23.25" customHeight="1" x14ac:dyDescent="0.2">
      <c r="A39" s="100"/>
      <c r="B39" s="100"/>
      <c r="C39" s="65" t="s">
        <v>4785</v>
      </c>
      <c r="D39" s="70" t="s">
        <v>57</v>
      </c>
      <c r="E39" s="12">
        <v>44554</v>
      </c>
      <c r="F39" s="68" t="s">
        <v>58</v>
      </c>
      <c r="G39" s="12">
        <v>44559</v>
      </c>
      <c r="H39" s="69" t="s">
        <v>4687</v>
      </c>
      <c r="I39" s="15">
        <v>45</v>
      </c>
      <c r="J39" s="15">
        <v>25</v>
      </c>
      <c r="K39" s="15">
        <v>16</v>
      </c>
      <c r="L39" s="15">
        <v>5</v>
      </c>
      <c r="M39" s="73">
        <v>4.5</v>
      </c>
      <c r="N39" s="104">
        <v>6</v>
      </c>
      <c r="O39" s="57">
        <v>7000</v>
      </c>
      <c r="P39" s="58">
        <f t="shared" si="0"/>
        <v>42000</v>
      </c>
    </row>
    <row r="40" spans="1:16" ht="23.25" customHeight="1" x14ac:dyDescent="0.2">
      <c r="A40" s="100"/>
      <c r="B40" s="100"/>
      <c r="C40" s="65" t="s">
        <v>4786</v>
      </c>
      <c r="D40" s="70" t="s">
        <v>57</v>
      </c>
      <c r="E40" s="12">
        <v>44554</v>
      </c>
      <c r="F40" s="68" t="s">
        <v>58</v>
      </c>
      <c r="G40" s="12">
        <v>44559</v>
      </c>
      <c r="H40" s="69" t="s">
        <v>4687</v>
      </c>
      <c r="I40" s="15">
        <v>94</v>
      </c>
      <c r="J40" s="15">
        <v>40</v>
      </c>
      <c r="K40" s="15">
        <v>35</v>
      </c>
      <c r="L40" s="15">
        <v>14</v>
      </c>
      <c r="M40" s="73">
        <v>32.9</v>
      </c>
      <c r="N40" s="104">
        <v>32.9</v>
      </c>
      <c r="O40" s="57">
        <v>7000</v>
      </c>
      <c r="P40" s="58">
        <f t="shared" si="0"/>
        <v>230300</v>
      </c>
    </row>
    <row r="41" spans="1:16" ht="23.25" customHeight="1" x14ac:dyDescent="0.2">
      <c r="A41" s="100"/>
      <c r="B41" s="100"/>
      <c r="C41" s="65" t="s">
        <v>4787</v>
      </c>
      <c r="D41" s="70" t="s">
        <v>57</v>
      </c>
      <c r="E41" s="12">
        <v>44554</v>
      </c>
      <c r="F41" s="68" t="s">
        <v>58</v>
      </c>
      <c r="G41" s="12">
        <v>44559</v>
      </c>
      <c r="H41" s="69" t="s">
        <v>4687</v>
      </c>
      <c r="I41" s="15">
        <v>87</v>
      </c>
      <c r="J41" s="15">
        <v>61</v>
      </c>
      <c r="K41" s="15">
        <v>25</v>
      </c>
      <c r="L41" s="15">
        <v>16</v>
      </c>
      <c r="M41" s="73">
        <v>33.168750000000003</v>
      </c>
      <c r="N41" s="104">
        <v>33.168750000000003</v>
      </c>
      <c r="O41" s="57">
        <v>7000</v>
      </c>
      <c r="P41" s="58">
        <f t="shared" si="0"/>
        <v>232181.25000000003</v>
      </c>
    </row>
    <row r="42" spans="1:16" ht="23.25" customHeight="1" x14ac:dyDescent="0.2">
      <c r="A42" s="100"/>
      <c r="B42" s="100"/>
      <c r="C42" s="65" t="s">
        <v>4788</v>
      </c>
      <c r="D42" s="70" t="s">
        <v>57</v>
      </c>
      <c r="E42" s="12">
        <v>44554</v>
      </c>
      <c r="F42" s="68" t="s">
        <v>58</v>
      </c>
      <c r="G42" s="12">
        <v>44559</v>
      </c>
      <c r="H42" s="69" t="s">
        <v>4687</v>
      </c>
      <c r="I42" s="15">
        <v>40</v>
      </c>
      <c r="J42" s="15">
        <v>35</v>
      </c>
      <c r="K42" s="15">
        <v>15</v>
      </c>
      <c r="L42" s="15">
        <v>7</v>
      </c>
      <c r="M42" s="73">
        <v>5.25</v>
      </c>
      <c r="N42" s="104">
        <v>7</v>
      </c>
      <c r="O42" s="57">
        <v>7000</v>
      </c>
      <c r="P42" s="58">
        <f t="shared" si="0"/>
        <v>49000</v>
      </c>
    </row>
    <row r="43" spans="1:16" ht="23.25" customHeight="1" x14ac:dyDescent="0.2">
      <c r="A43" s="100"/>
      <c r="B43" s="100"/>
      <c r="C43" s="65" t="s">
        <v>4789</v>
      </c>
      <c r="D43" s="70" t="s">
        <v>57</v>
      </c>
      <c r="E43" s="12">
        <v>44554</v>
      </c>
      <c r="F43" s="68" t="s">
        <v>58</v>
      </c>
      <c r="G43" s="12">
        <v>44559</v>
      </c>
      <c r="H43" s="69" t="s">
        <v>4687</v>
      </c>
      <c r="I43" s="15">
        <v>42</v>
      </c>
      <c r="J43" s="15">
        <v>25</v>
      </c>
      <c r="K43" s="15">
        <v>41</v>
      </c>
      <c r="L43" s="15">
        <v>15</v>
      </c>
      <c r="M43" s="73">
        <v>10.762499999999999</v>
      </c>
      <c r="N43" s="104">
        <v>15</v>
      </c>
      <c r="O43" s="57">
        <v>7000</v>
      </c>
      <c r="P43" s="58">
        <f t="shared" si="0"/>
        <v>105000</v>
      </c>
    </row>
    <row r="44" spans="1:16" ht="23.25" customHeight="1" x14ac:dyDescent="0.2">
      <c r="A44" s="100"/>
      <c r="B44" s="100"/>
      <c r="C44" s="65" t="s">
        <v>4790</v>
      </c>
      <c r="D44" s="70" t="s">
        <v>57</v>
      </c>
      <c r="E44" s="12">
        <v>44554</v>
      </c>
      <c r="F44" s="68" t="s">
        <v>58</v>
      </c>
      <c r="G44" s="12">
        <v>44559</v>
      </c>
      <c r="H44" s="69" t="s">
        <v>4687</v>
      </c>
      <c r="I44" s="15">
        <v>97</v>
      </c>
      <c r="J44" s="15">
        <v>21</v>
      </c>
      <c r="K44" s="15">
        <v>10</v>
      </c>
      <c r="L44" s="15">
        <v>3</v>
      </c>
      <c r="M44" s="73">
        <v>5.0925000000000002</v>
      </c>
      <c r="N44" s="104">
        <v>5.0925000000000002</v>
      </c>
      <c r="O44" s="57">
        <v>7000</v>
      </c>
      <c r="P44" s="58">
        <f t="shared" si="0"/>
        <v>35647.5</v>
      </c>
    </row>
    <row r="45" spans="1:16" ht="23.25" customHeight="1" x14ac:dyDescent="0.2">
      <c r="A45" s="100"/>
      <c r="B45" s="100"/>
      <c r="C45" s="65" t="s">
        <v>4791</v>
      </c>
      <c r="D45" s="70" t="s">
        <v>57</v>
      </c>
      <c r="E45" s="12">
        <v>44554</v>
      </c>
      <c r="F45" s="68" t="s">
        <v>58</v>
      </c>
      <c r="G45" s="12">
        <v>44559</v>
      </c>
      <c r="H45" s="69" t="s">
        <v>4687</v>
      </c>
      <c r="I45" s="15">
        <v>56</v>
      </c>
      <c r="J45" s="15">
        <v>30</v>
      </c>
      <c r="K45" s="15">
        <v>24</v>
      </c>
      <c r="L45" s="15">
        <v>6</v>
      </c>
      <c r="M45" s="73">
        <v>10.08</v>
      </c>
      <c r="N45" s="104">
        <v>10.08</v>
      </c>
      <c r="O45" s="57">
        <v>7000</v>
      </c>
      <c r="P45" s="58">
        <f t="shared" si="0"/>
        <v>70560</v>
      </c>
    </row>
    <row r="46" spans="1:16" ht="23.25" customHeight="1" x14ac:dyDescent="0.2">
      <c r="A46" s="100"/>
      <c r="B46" s="100"/>
      <c r="C46" s="65" t="s">
        <v>4792</v>
      </c>
      <c r="D46" s="70" t="s">
        <v>57</v>
      </c>
      <c r="E46" s="12">
        <v>44554</v>
      </c>
      <c r="F46" s="68" t="s">
        <v>58</v>
      </c>
      <c r="G46" s="12">
        <v>44559</v>
      </c>
      <c r="H46" s="69" t="s">
        <v>4687</v>
      </c>
      <c r="I46" s="15">
        <v>41</v>
      </c>
      <c r="J46" s="15">
        <v>35</v>
      </c>
      <c r="K46" s="15">
        <v>41</v>
      </c>
      <c r="L46" s="15">
        <v>6</v>
      </c>
      <c r="M46" s="73">
        <v>14.70875</v>
      </c>
      <c r="N46" s="104">
        <v>14.70875</v>
      </c>
      <c r="O46" s="57">
        <v>7000</v>
      </c>
      <c r="P46" s="58">
        <f t="shared" si="0"/>
        <v>102961.25</v>
      </c>
    </row>
    <row r="47" spans="1:16" ht="23.25" customHeight="1" x14ac:dyDescent="0.2">
      <c r="A47" s="100"/>
      <c r="B47" s="100"/>
      <c r="C47" s="65" t="s">
        <v>4793</v>
      </c>
      <c r="D47" s="70" t="s">
        <v>57</v>
      </c>
      <c r="E47" s="12">
        <v>44554</v>
      </c>
      <c r="F47" s="68" t="s">
        <v>58</v>
      </c>
      <c r="G47" s="12">
        <v>44559</v>
      </c>
      <c r="H47" s="69" t="s">
        <v>4687</v>
      </c>
      <c r="I47" s="15">
        <v>50</v>
      </c>
      <c r="J47" s="15">
        <v>33</v>
      </c>
      <c r="K47" s="15">
        <v>31</v>
      </c>
      <c r="L47" s="15">
        <v>5</v>
      </c>
      <c r="M47" s="73">
        <v>12.7875</v>
      </c>
      <c r="N47" s="104">
        <v>12.7875</v>
      </c>
      <c r="O47" s="57">
        <v>7000</v>
      </c>
      <c r="P47" s="58">
        <f t="shared" si="0"/>
        <v>89512.5</v>
      </c>
    </row>
    <row r="48" spans="1:16" ht="23.25" customHeight="1" x14ac:dyDescent="0.2">
      <c r="A48" s="100"/>
      <c r="B48" s="100"/>
      <c r="C48" s="65" t="s">
        <v>4794</v>
      </c>
      <c r="D48" s="70" t="s">
        <v>57</v>
      </c>
      <c r="E48" s="12">
        <v>44554</v>
      </c>
      <c r="F48" s="68" t="s">
        <v>58</v>
      </c>
      <c r="G48" s="12">
        <v>44559</v>
      </c>
      <c r="H48" s="69" t="s">
        <v>4687</v>
      </c>
      <c r="I48" s="15">
        <v>65</v>
      </c>
      <c r="J48" s="15">
        <v>65</v>
      </c>
      <c r="K48" s="15">
        <v>21</v>
      </c>
      <c r="L48" s="15">
        <v>7</v>
      </c>
      <c r="M48" s="73">
        <v>22.181249999999999</v>
      </c>
      <c r="N48" s="104">
        <v>22.181249999999999</v>
      </c>
      <c r="O48" s="57">
        <v>7000</v>
      </c>
      <c r="P48" s="58">
        <f t="shared" si="0"/>
        <v>155268.75</v>
      </c>
    </row>
    <row r="49" spans="1:16" ht="23.25" customHeight="1" x14ac:dyDescent="0.2">
      <c r="A49" s="100"/>
      <c r="B49" s="100"/>
      <c r="C49" s="65" t="s">
        <v>4795</v>
      </c>
      <c r="D49" s="70" t="s">
        <v>57</v>
      </c>
      <c r="E49" s="12">
        <v>44554</v>
      </c>
      <c r="F49" s="68" t="s">
        <v>58</v>
      </c>
      <c r="G49" s="12">
        <v>44559</v>
      </c>
      <c r="H49" s="69" t="s">
        <v>4687</v>
      </c>
      <c r="I49" s="15">
        <v>37</v>
      </c>
      <c r="J49" s="15">
        <v>28</v>
      </c>
      <c r="K49" s="15">
        <v>22</v>
      </c>
      <c r="L49" s="15">
        <v>12</v>
      </c>
      <c r="M49" s="73">
        <v>5.6980000000000004</v>
      </c>
      <c r="N49" s="104">
        <v>12</v>
      </c>
      <c r="O49" s="57">
        <v>7000</v>
      </c>
      <c r="P49" s="58">
        <f t="shared" si="0"/>
        <v>84000</v>
      </c>
    </row>
    <row r="50" spans="1:16" ht="23.25" customHeight="1" x14ac:dyDescent="0.2">
      <c r="A50" s="100"/>
      <c r="B50" s="100"/>
      <c r="C50" s="65" t="s">
        <v>4796</v>
      </c>
      <c r="D50" s="70" t="s">
        <v>57</v>
      </c>
      <c r="E50" s="12">
        <v>44554</v>
      </c>
      <c r="F50" s="68" t="s">
        <v>58</v>
      </c>
      <c r="G50" s="12">
        <v>44559</v>
      </c>
      <c r="H50" s="69" t="s">
        <v>4687</v>
      </c>
      <c r="I50" s="15">
        <v>122</v>
      </c>
      <c r="J50" s="15">
        <v>36</v>
      </c>
      <c r="K50" s="15">
        <v>25</v>
      </c>
      <c r="L50" s="15">
        <v>20</v>
      </c>
      <c r="M50" s="73">
        <v>27.45</v>
      </c>
      <c r="N50" s="104">
        <v>28</v>
      </c>
      <c r="O50" s="57">
        <v>7000</v>
      </c>
      <c r="P50" s="58">
        <f t="shared" si="0"/>
        <v>196000</v>
      </c>
    </row>
    <row r="51" spans="1:16" ht="23.25" customHeight="1" x14ac:dyDescent="0.2">
      <c r="A51" s="100"/>
      <c r="B51" s="100"/>
      <c r="C51" s="65" t="s">
        <v>4797</v>
      </c>
      <c r="D51" s="70" t="s">
        <v>57</v>
      </c>
      <c r="E51" s="12">
        <v>44554</v>
      </c>
      <c r="F51" s="68" t="s">
        <v>58</v>
      </c>
      <c r="G51" s="12">
        <v>44559</v>
      </c>
      <c r="H51" s="69" t="s">
        <v>4687</v>
      </c>
      <c r="I51" s="15">
        <v>44</v>
      </c>
      <c r="J51" s="15">
        <v>28</v>
      </c>
      <c r="K51" s="15">
        <v>25</v>
      </c>
      <c r="L51" s="15">
        <v>9</v>
      </c>
      <c r="M51" s="73">
        <v>7.7</v>
      </c>
      <c r="N51" s="104">
        <v>9</v>
      </c>
      <c r="O51" s="57">
        <v>7000</v>
      </c>
      <c r="P51" s="58">
        <f t="shared" si="0"/>
        <v>63000</v>
      </c>
    </row>
    <row r="52" spans="1:16" ht="23.25" customHeight="1" x14ac:dyDescent="0.2">
      <c r="A52" s="100"/>
      <c r="B52" s="100"/>
      <c r="C52" s="65" t="s">
        <v>4798</v>
      </c>
      <c r="D52" s="70" t="s">
        <v>57</v>
      </c>
      <c r="E52" s="12">
        <v>44554</v>
      </c>
      <c r="F52" s="68" t="s">
        <v>58</v>
      </c>
      <c r="G52" s="12">
        <v>44559</v>
      </c>
      <c r="H52" s="69" t="s">
        <v>4687</v>
      </c>
      <c r="I52" s="15">
        <v>95</v>
      </c>
      <c r="J52" s="15">
        <v>65</v>
      </c>
      <c r="K52" s="15">
        <v>25</v>
      </c>
      <c r="L52" s="15">
        <v>14</v>
      </c>
      <c r="M52" s="73">
        <v>38.59375</v>
      </c>
      <c r="N52" s="104">
        <v>38.59375</v>
      </c>
      <c r="O52" s="57">
        <v>7000</v>
      </c>
      <c r="P52" s="58">
        <f t="shared" si="0"/>
        <v>270156.25</v>
      </c>
    </row>
    <row r="53" spans="1:16" ht="23.25" customHeight="1" x14ac:dyDescent="0.2">
      <c r="A53" s="100"/>
      <c r="B53" s="100"/>
      <c r="C53" s="65" t="s">
        <v>4799</v>
      </c>
      <c r="D53" s="70" t="s">
        <v>57</v>
      </c>
      <c r="E53" s="12">
        <v>44554</v>
      </c>
      <c r="F53" s="68" t="s">
        <v>58</v>
      </c>
      <c r="G53" s="12">
        <v>44559</v>
      </c>
      <c r="H53" s="69" t="s">
        <v>4687</v>
      </c>
      <c r="I53" s="15">
        <v>30</v>
      </c>
      <c r="J53" s="15">
        <v>25</v>
      </c>
      <c r="K53" s="15">
        <v>11</v>
      </c>
      <c r="L53" s="15">
        <v>1</v>
      </c>
      <c r="M53" s="73">
        <v>2.0625</v>
      </c>
      <c r="N53" s="104">
        <v>2.0625</v>
      </c>
      <c r="O53" s="57">
        <v>7000</v>
      </c>
      <c r="P53" s="58">
        <f t="shared" si="0"/>
        <v>14437.5</v>
      </c>
    </row>
    <row r="54" spans="1:16" ht="23.25" customHeight="1" x14ac:dyDescent="0.2">
      <c r="A54" s="100"/>
      <c r="B54" s="100"/>
      <c r="C54" s="65" t="s">
        <v>4800</v>
      </c>
      <c r="D54" s="70" t="s">
        <v>57</v>
      </c>
      <c r="E54" s="12">
        <v>44554</v>
      </c>
      <c r="F54" s="68" t="s">
        <v>58</v>
      </c>
      <c r="G54" s="12">
        <v>44559</v>
      </c>
      <c r="H54" s="69" t="s">
        <v>4687</v>
      </c>
      <c r="I54" s="15">
        <v>51</v>
      </c>
      <c r="J54" s="15">
        <v>35</v>
      </c>
      <c r="K54" s="15">
        <v>41</v>
      </c>
      <c r="L54" s="15">
        <v>15</v>
      </c>
      <c r="M54" s="73">
        <v>18.296250000000001</v>
      </c>
      <c r="N54" s="104">
        <v>19</v>
      </c>
      <c r="O54" s="57">
        <v>7000</v>
      </c>
      <c r="P54" s="58">
        <f t="shared" si="0"/>
        <v>133000</v>
      </c>
    </row>
    <row r="55" spans="1:16" ht="23.25" customHeight="1" x14ac:dyDescent="0.2">
      <c r="A55" s="100"/>
      <c r="B55" s="100"/>
      <c r="C55" s="65" t="s">
        <v>4801</v>
      </c>
      <c r="D55" s="70" t="s">
        <v>57</v>
      </c>
      <c r="E55" s="12">
        <v>44554</v>
      </c>
      <c r="F55" s="68" t="s">
        <v>58</v>
      </c>
      <c r="G55" s="12">
        <v>44559</v>
      </c>
      <c r="H55" s="69" t="s">
        <v>4687</v>
      </c>
      <c r="I55" s="15">
        <v>75</v>
      </c>
      <c r="J55" s="15">
        <v>73</v>
      </c>
      <c r="K55" s="15">
        <v>15</v>
      </c>
      <c r="L55" s="15">
        <v>1</v>
      </c>
      <c r="M55" s="73">
        <v>20.53125</v>
      </c>
      <c r="N55" s="104">
        <v>20.53125</v>
      </c>
      <c r="O55" s="57">
        <v>7000</v>
      </c>
      <c r="P55" s="58">
        <f t="shared" si="0"/>
        <v>143718.75</v>
      </c>
    </row>
    <row r="56" spans="1:16" ht="23.25" customHeight="1" x14ac:dyDescent="0.2">
      <c r="A56" s="100"/>
      <c r="B56" s="100"/>
      <c r="C56" s="65" t="s">
        <v>4802</v>
      </c>
      <c r="D56" s="70" t="s">
        <v>57</v>
      </c>
      <c r="E56" s="12">
        <v>44554</v>
      </c>
      <c r="F56" s="68" t="s">
        <v>58</v>
      </c>
      <c r="G56" s="12">
        <v>44559</v>
      </c>
      <c r="H56" s="69" t="s">
        <v>4687</v>
      </c>
      <c r="I56" s="15">
        <v>41</v>
      </c>
      <c r="J56" s="15">
        <v>21</v>
      </c>
      <c r="K56" s="15">
        <v>18</v>
      </c>
      <c r="L56" s="15">
        <v>8</v>
      </c>
      <c r="M56" s="73">
        <v>3.8744999999999998</v>
      </c>
      <c r="N56" s="104">
        <v>8</v>
      </c>
      <c r="O56" s="57">
        <v>7000</v>
      </c>
      <c r="P56" s="58">
        <f t="shared" si="0"/>
        <v>56000</v>
      </c>
    </row>
    <row r="57" spans="1:16" ht="23.25" customHeight="1" x14ac:dyDescent="0.2">
      <c r="A57" s="100"/>
      <c r="B57" s="100"/>
      <c r="C57" s="65" t="s">
        <v>4803</v>
      </c>
      <c r="D57" s="70" t="s">
        <v>57</v>
      </c>
      <c r="E57" s="12">
        <v>44554</v>
      </c>
      <c r="F57" s="68" t="s">
        <v>58</v>
      </c>
      <c r="G57" s="12">
        <v>44559</v>
      </c>
      <c r="H57" s="69" t="s">
        <v>4687</v>
      </c>
      <c r="I57" s="15">
        <v>55</v>
      </c>
      <c r="J57" s="15">
        <v>40</v>
      </c>
      <c r="K57" s="15">
        <v>21</v>
      </c>
      <c r="L57" s="15">
        <v>20</v>
      </c>
      <c r="M57" s="73">
        <v>11.55</v>
      </c>
      <c r="N57" s="104">
        <v>20</v>
      </c>
      <c r="O57" s="57">
        <v>7000</v>
      </c>
      <c r="P57" s="58">
        <f t="shared" si="0"/>
        <v>140000</v>
      </c>
    </row>
    <row r="58" spans="1:16" ht="23.25" customHeight="1" x14ac:dyDescent="0.2">
      <c r="A58" s="100"/>
      <c r="B58" s="100"/>
      <c r="C58" s="65" t="s">
        <v>4804</v>
      </c>
      <c r="D58" s="70" t="s">
        <v>57</v>
      </c>
      <c r="E58" s="12">
        <v>44554</v>
      </c>
      <c r="F58" s="68" t="s">
        <v>58</v>
      </c>
      <c r="G58" s="12">
        <v>44559</v>
      </c>
      <c r="H58" s="69" t="s">
        <v>4687</v>
      </c>
      <c r="I58" s="15">
        <v>40</v>
      </c>
      <c r="J58" s="15">
        <v>21</v>
      </c>
      <c r="K58" s="15">
        <v>21</v>
      </c>
      <c r="L58" s="15">
        <v>36</v>
      </c>
      <c r="M58" s="73">
        <v>4.41</v>
      </c>
      <c r="N58" s="104">
        <v>37</v>
      </c>
      <c r="O58" s="57">
        <v>7000</v>
      </c>
      <c r="P58" s="58">
        <f t="shared" si="0"/>
        <v>259000</v>
      </c>
    </row>
    <row r="59" spans="1:16" ht="23.25" customHeight="1" x14ac:dyDescent="0.2">
      <c r="A59" s="100"/>
      <c r="B59" s="100"/>
      <c r="C59" s="65" t="s">
        <v>4805</v>
      </c>
      <c r="D59" s="70" t="s">
        <v>57</v>
      </c>
      <c r="E59" s="12">
        <v>44554</v>
      </c>
      <c r="F59" s="68" t="s">
        <v>58</v>
      </c>
      <c r="G59" s="12">
        <v>44559</v>
      </c>
      <c r="H59" s="69" t="s">
        <v>4687</v>
      </c>
      <c r="I59" s="15">
        <v>82</v>
      </c>
      <c r="J59" s="15">
        <v>45</v>
      </c>
      <c r="K59" s="15">
        <v>16</v>
      </c>
      <c r="L59" s="15">
        <v>12</v>
      </c>
      <c r="M59" s="73">
        <v>14.76</v>
      </c>
      <c r="N59" s="104">
        <v>14.76</v>
      </c>
      <c r="O59" s="57">
        <v>7000</v>
      </c>
      <c r="P59" s="58">
        <f t="shared" si="0"/>
        <v>103320</v>
      </c>
    </row>
    <row r="60" spans="1:16" ht="23.25" customHeight="1" x14ac:dyDescent="0.2">
      <c r="A60" s="100"/>
      <c r="B60" s="100"/>
      <c r="C60" s="65" t="s">
        <v>4806</v>
      </c>
      <c r="D60" s="70" t="s">
        <v>57</v>
      </c>
      <c r="E60" s="12">
        <v>44554</v>
      </c>
      <c r="F60" s="68" t="s">
        <v>58</v>
      </c>
      <c r="G60" s="12">
        <v>44559</v>
      </c>
      <c r="H60" s="69" t="s">
        <v>4687</v>
      </c>
      <c r="I60" s="15">
        <v>67</v>
      </c>
      <c r="J60" s="15">
        <v>61</v>
      </c>
      <c r="K60" s="15">
        <v>13</v>
      </c>
      <c r="L60" s="15">
        <v>6</v>
      </c>
      <c r="M60" s="73">
        <v>13.28275</v>
      </c>
      <c r="N60" s="104">
        <v>13.28275</v>
      </c>
      <c r="O60" s="57">
        <v>7000</v>
      </c>
      <c r="P60" s="58">
        <f t="shared" si="0"/>
        <v>92979.25</v>
      </c>
    </row>
    <row r="61" spans="1:16" ht="23.25" customHeight="1" x14ac:dyDescent="0.2">
      <c r="A61" s="100"/>
      <c r="B61" s="100"/>
      <c r="C61" s="65" t="s">
        <v>4807</v>
      </c>
      <c r="D61" s="70" t="s">
        <v>57</v>
      </c>
      <c r="E61" s="12">
        <v>44554</v>
      </c>
      <c r="F61" s="68" t="s">
        <v>58</v>
      </c>
      <c r="G61" s="12">
        <v>44559</v>
      </c>
      <c r="H61" s="69" t="s">
        <v>4687</v>
      </c>
      <c r="I61" s="15">
        <v>40</v>
      </c>
      <c r="J61" s="15">
        <v>30</v>
      </c>
      <c r="K61" s="15">
        <v>12</v>
      </c>
      <c r="L61" s="15">
        <v>1</v>
      </c>
      <c r="M61" s="73">
        <v>3.6</v>
      </c>
      <c r="N61" s="104">
        <v>3.6</v>
      </c>
      <c r="O61" s="57">
        <v>7000</v>
      </c>
      <c r="P61" s="58">
        <f t="shared" si="0"/>
        <v>25200</v>
      </c>
    </row>
    <row r="62" spans="1:16" ht="23.25" customHeight="1" x14ac:dyDescent="0.2">
      <c r="A62" s="100"/>
      <c r="B62" s="100"/>
      <c r="C62" s="65" t="s">
        <v>4808</v>
      </c>
      <c r="D62" s="70" t="s">
        <v>57</v>
      </c>
      <c r="E62" s="12">
        <v>44554</v>
      </c>
      <c r="F62" s="68" t="s">
        <v>58</v>
      </c>
      <c r="G62" s="12">
        <v>44559</v>
      </c>
      <c r="H62" s="69" t="s">
        <v>4687</v>
      </c>
      <c r="I62" s="15">
        <v>75</v>
      </c>
      <c r="J62" s="15">
        <v>60</v>
      </c>
      <c r="K62" s="15">
        <v>23</v>
      </c>
      <c r="L62" s="15">
        <v>13</v>
      </c>
      <c r="M62" s="73">
        <v>25.875</v>
      </c>
      <c r="N62" s="104">
        <v>25.875</v>
      </c>
      <c r="O62" s="57">
        <v>7000</v>
      </c>
      <c r="P62" s="58">
        <f t="shared" si="0"/>
        <v>181125</v>
      </c>
    </row>
    <row r="63" spans="1:16" ht="23.25" customHeight="1" x14ac:dyDescent="0.2">
      <c r="A63" s="100"/>
      <c r="B63" s="100"/>
      <c r="C63" s="65" t="s">
        <v>4809</v>
      </c>
      <c r="D63" s="70" t="s">
        <v>57</v>
      </c>
      <c r="E63" s="12">
        <v>44554</v>
      </c>
      <c r="F63" s="68" t="s">
        <v>58</v>
      </c>
      <c r="G63" s="12">
        <v>44559</v>
      </c>
      <c r="H63" s="69" t="s">
        <v>4687</v>
      </c>
      <c r="I63" s="15">
        <v>72</v>
      </c>
      <c r="J63" s="15">
        <v>60</v>
      </c>
      <c r="K63" s="15">
        <v>20</v>
      </c>
      <c r="L63" s="15">
        <v>10</v>
      </c>
      <c r="M63" s="73">
        <v>21.6</v>
      </c>
      <c r="N63" s="104">
        <v>21.6</v>
      </c>
      <c r="O63" s="57">
        <v>7000</v>
      </c>
      <c r="P63" s="58">
        <f t="shared" si="0"/>
        <v>151200</v>
      </c>
    </row>
    <row r="64" spans="1:16" ht="23.25" customHeight="1" x14ac:dyDescent="0.2">
      <c r="A64" s="100"/>
      <c r="B64" s="100"/>
      <c r="C64" s="65" t="s">
        <v>4810</v>
      </c>
      <c r="D64" s="70" t="s">
        <v>57</v>
      </c>
      <c r="E64" s="12">
        <v>44554</v>
      </c>
      <c r="F64" s="68" t="s">
        <v>58</v>
      </c>
      <c r="G64" s="12">
        <v>44559</v>
      </c>
      <c r="H64" s="69" t="s">
        <v>4687</v>
      </c>
      <c r="I64" s="15">
        <v>100</v>
      </c>
      <c r="J64" s="15">
        <v>63</v>
      </c>
      <c r="K64" s="15">
        <v>36</v>
      </c>
      <c r="L64" s="15">
        <v>31</v>
      </c>
      <c r="M64" s="73">
        <v>56.7</v>
      </c>
      <c r="N64" s="104">
        <v>56.7</v>
      </c>
      <c r="O64" s="57">
        <v>7000</v>
      </c>
      <c r="P64" s="58">
        <f t="shared" si="0"/>
        <v>396900</v>
      </c>
    </row>
    <row r="65" spans="1:16" ht="23.25" customHeight="1" x14ac:dyDescent="0.2">
      <c r="A65" s="100"/>
      <c r="B65" s="100"/>
      <c r="C65" s="65" t="s">
        <v>4811</v>
      </c>
      <c r="D65" s="70" t="s">
        <v>57</v>
      </c>
      <c r="E65" s="12">
        <v>44554</v>
      </c>
      <c r="F65" s="68" t="s">
        <v>58</v>
      </c>
      <c r="G65" s="12">
        <v>44559</v>
      </c>
      <c r="H65" s="69" t="s">
        <v>4687</v>
      </c>
      <c r="I65" s="15">
        <v>102</v>
      </c>
      <c r="J65" s="15">
        <v>66</v>
      </c>
      <c r="K65" s="15">
        <v>33</v>
      </c>
      <c r="L65" s="15">
        <v>4</v>
      </c>
      <c r="M65" s="73">
        <v>55.539000000000001</v>
      </c>
      <c r="N65" s="104">
        <v>55.539000000000001</v>
      </c>
      <c r="O65" s="57">
        <v>7000</v>
      </c>
      <c r="P65" s="58">
        <f t="shared" si="0"/>
        <v>388773</v>
      </c>
    </row>
    <row r="66" spans="1:16" ht="23.25" customHeight="1" x14ac:dyDescent="0.2">
      <c r="A66" s="100"/>
      <c r="B66" s="100"/>
      <c r="C66" s="65" t="s">
        <v>4812</v>
      </c>
      <c r="D66" s="70" t="s">
        <v>57</v>
      </c>
      <c r="E66" s="12">
        <v>44554</v>
      </c>
      <c r="F66" s="68" t="s">
        <v>58</v>
      </c>
      <c r="G66" s="12">
        <v>44559</v>
      </c>
      <c r="H66" s="69" t="s">
        <v>4687</v>
      </c>
      <c r="I66" s="15">
        <v>47</v>
      </c>
      <c r="J66" s="15">
        <v>31</v>
      </c>
      <c r="K66" s="15">
        <v>16</v>
      </c>
      <c r="L66" s="15">
        <v>3</v>
      </c>
      <c r="M66" s="73">
        <v>5.8280000000000003</v>
      </c>
      <c r="N66" s="104">
        <v>5.8280000000000003</v>
      </c>
      <c r="O66" s="57">
        <v>7000</v>
      </c>
      <c r="P66" s="58">
        <f t="shared" si="0"/>
        <v>40796</v>
      </c>
    </row>
    <row r="67" spans="1:16" ht="23.25" customHeight="1" x14ac:dyDescent="0.2">
      <c r="A67" s="100"/>
      <c r="B67" s="100"/>
      <c r="C67" s="65" t="s">
        <v>4813</v>
      </c>
      <c r="D67" s="70" t="s">
        <v>57</v>
      </c>
      <c r="E67" s="12">
        <v>44554</v>
      </c>
      <c r="F67" s="68" t="s">
        <v>58</v>
      </c>
      <c r="G67" s="12">
        <v>44559</v>
      </c>
      <c r="H67" s="69" t="s">
        <v>4687</v>
      </c>
      <c r="I67" s="15">
        <v>64</v>
      </c>
      <c r="J67" s="15">
        <v>58</v>
      </c>
      <c r="K67" s="15">
        <v>13</v>
      </c>
      <c r="L67" s="15">
        <v>5</v>
      </c>
      <c r="M67" s="73">
        <v>12.064</v>
      </c>
      <c r="N67" s="104">
        <v>12.064</v>
      </c>
      <c r="O67" s="57">
        <v>7000</v>
      </c>
      <c r="P67" s="58">
        <f t="shared" ref="P67:P130" si="1">N67*O67</f>
        <v>84448</v>
      </c>
    </row>
    <row r="68" spans="1:16" ht="23.25" customHeight="1" x14ac:dyDescent="0.2">
      <c r="A68" s="100"/>
      <c r="B68" s="100"/>
      <c r="C68" s="65" t="s">
        <v>4814</v>
      </c>
      <c r="D68" s="70" t="s">
        <v>57</v>
      </c>
      <c r="E68" s="12">
        <v>44554</v>
      </c>
      <c r="F68" s="68" t="s">
        <v>58</v>
      </c>
      <c r="G68" s="12">
        <v>44559</v>
      </c>
      <c r="H68" s="69" t="s">
        <v>4687</v>
      </c>
      <c r="I68" s="15">
        <v>56</v>
      </c>
      <c r="J68" s="15">
        <v>40</v>
      </c>
      <c r="K68" s="15">
        <v>14</v>
      </c>
      <c r="L68" s="15">
        <v>3</v>
      </c>
      <c r="M68" s="73">
        <v>7.84</v>
      </c>
      <c r="N68" s="104">
        <v>7.84</v>
      </c>
      <c r="O68" s="57">
        <v>7000</v>
      </c>
      <c r="P68" s="58">
        <f t="shared" si="1"/>
        <v>54880</v>
      </c>
    </row>
    <row r="69" spans="1:16" ht="23.25" customHeight="1" x14ac:dyDescent="0.2">
      <c r="A69" s="100"/>
      <c r="B69" s="100"/>
      <c r="C69" s="65" t="s">
        <v>4815</v>
      </c>
      <c r="D69" s="70" t="s">
        <v>57</v>
      </c>
      <c r="E69" s="12">
        <v>44554</v>
      </c>
      <c r="F69" s="68" t="s">
        <v>58</v>
      </c>
      <c r="G69" s="12">
        <v>44559</v>
      </c>
      <c r="H69" s="69" t="s">
        <v>4687</v>
      </c>
      <c r="I69" s="15">
        <v>60</v>
      </c>
      <c r="J69" s="15">
        <v>50</v>
      </c>
      <c r="K69" s="15">
        <v>22</v>
      </c>
      <c r="L69" s="15">
        <v>7</v>
      </c>
      <c r="M69" s="73">
        <v>16.5</v>
      </c>
      <c r="N69" s="104">
        <v>18</v>
      </c>
      <c r="O69" s="57">
        <v>7000</v>
      </c>
      <c r="P69" s="58">
        <f t="shared" si="1"/>
        <v>126000</v>
      </c>
    </row>
    <row r="70" spans="1:16" ht="23.25" customHeight="1" x14ac:dyDescent="0.2">
      <c r="A70" s="100"/>
      <c r="B70" s="100"/>
      <c r="C70" s="65" t="s">
        <v>4816</v>
      </c>
      <c r="D70" s="70" t="s">
        <v>57</v>
      </c>
      <c r="E70" s="12">
        <v>44554</v>
      </c>
      <c r="F70" s="68" t="s">
        <v>58</v>
      </c>
      <c r="G70" s="12">
        <v>44559</v>
      </c>
      <c r="H70" s="69" t="s">
        <v>4687</v>
      </c>
      <c r="I70" s="15">
        <v>75</v>
      </c>
      <c r="J70" s="15">
        <v>60</v>
      </c>
      <c r="K70" s="15">
        <v>12</v>
      </c>
      <c r="L70" s="15">
        <v>6</v>
      </c>
      <c r="M70" s="73">
        <v>13.5</v>
      </c>
      <c r="N70" s="104">
        <v>15</v>
      </c>
      <c r="O70" s="57">
        <v>7000</v>
      </c>
      <c r="P70" s="58">
        <f t="shared" si="1"/>
        <v>105000</v>
      </c>
    </row>
    <row r="71" spans="1:16" ht="23.25" customHeight="1" x14ac:dyDescent="0.2">
      <c r="A71" s="100"/>
      <c r="B71" s="100"/>
      <c r="C71" s="65" t="s">
        <v>4817</v>
      </c>
      <c r="D71" s="70" t="s">
        <v>57</v>
      </c>
      <c r="E71" s="12">
        <v>44554</v>
      </c>
      <c r="F71" s="68" t="s">
        <v>58</v>
      </c>
      <c r="G71" s="12">
        <v>44559</v>
      </c>
      <c r="H71" s="69" t="s">
        <v>4687</v>
      </c>
      <c r="I71" s="15">
        <v>89</v>
      </c>
      <c r="J71" s="15">
        <v>62</v>
      </c>
      <c r="K71" s="15">
        <v>23</v>
      </c>
      <c r="L71" s="15">
        <v>16</v>
      </c>
      <c r="M71" s="73">
        <v>31.7285</v>
      </c>
      <c r="N71" s="104">
        <v>31.7285</v>
      </c>
      <c r="O71" s="57">
        <v>7000</v>
      </c>
      <c r="P71" s="58">
        <f t="shared" si="1"/>
        <v>222099.5</v>
      </c>
    </row>
    <row r="72" spans="1:16" ht="23.25" customHeight="1" x14ac:dyDescent="0.2">
      <c r="A72" s="100"/>
      <c r="B72" s="100"/>
      <c r="C72" s="65" t="s">
        <v>4818</v>
      </c>
      <c r="D72" s="70" t="s">
        <v>57</v>
      </c>
      <c r="E72" s="12">
        <v>44554</v>
      </c>
      <c r="F72" s="68" t="s">
        <v>58</v>
      </c>
      <c r="G72" s="12">
        <v>44559</v>
      </c>
      <c r="H72" s="69" t="s">
        <v>4687</v>
      </c>
      <c r="I72" s="15">
        <v>91</v>
      </c>
      <c r="J72" s="15">
        <v>61</v>
      </c>
      <c r="K72" s="15">
        <v>26</v>
      </c>
      <c r="L72" s="15">
        <v>17</v>
      </c>
      <c r="M72" s="73">
        <v>36.081499999999998</v>
      </c>
      <c r="N72" s="104">
        <v>36.081499999999998</v>
      </c>
      <c r="O72" s="57">
        <v>7000</v>
      </c>
      <c r="P72" s="58">
        <f t="shared" si="1"/>
        <v>252570.5</v>
      </c>
    </row>
    <row r="73" spans="1:16" ht="23.25" customHeight="1" x14ac:dyDescent="0.2">
      <c r="A73" s="100"/>
      <c r="B73" s="100"/>
      <c r="C73" s="65" t="s">
        <v>4819</v>
      </c>
      <c r="D73" s="70" t="s">
        <v>57</v>
      </c>
      <c r="E73" s="12">
        <v>44554</v>
      </c>
      <c r="F73" s="68" t="s">
        <v>58</v>
      </c>
      <c r="G73" s="12">
        <v>44559</v>
      </c>
      <c r="H73" s="69" t="s">
        <v>4687</v>
      </c>
      <c r="I73" s="15">
        <v>98</v>
      </c>
      <c r="J73" s="15">
        <v>58</v>
      </c>
      <c r="K73" s="15">
        <v>26</v>
      </c>
      <c r="L73" s="15">
        <v>18</v>
      </c>
      <c r="M73" s="73">
        <v>36.945999999999998</v>
      </c>
      <c r="N73" s="104">
        <v>36.945999999999998</v>
      </c>
      <c r="O73" s="57">
        <v>7000</v>
      </c>
      <c r="P73" s="58">
        <f t="shared" si="1"/>
        <v>258622</v>
      </c>
    </row>
    <row r="74" spans="1:16" ht="23.25" customHeight="1" x14ac:dyDescent="0.2">
      <c r="A74" s="100"/>
      <c r="B74" s="100"/>
      <c r="C74" s="65" t="s">
        <v>4820</v>
      </c>
      <c r="D74" s="70" t="s">
        <v>57</v>
      </c>
      <c r="E74" s="12">
        <v>44554</v>
      </c>
      <c r="F74" s="68" t="s">
        <v>58</v>
      </c>
      <c r="G74" s="12">
        <v>44559</v>
      </c>
      <c r="H74" s="69" t="s">
        <v>4687</v>
      </c>
      <c r="I74" s="15">
        <v>40</v>
      </c>
      <c r="J74" s="15">
        <v>34</v>
      </c>
      <c r="K74" s="15">
        <v>24</v>
      </c>
      <c r="L74" s="15">
        <v>6</v>
      </c>
      <c r="M74" s="73">
        <v>8.16</v>
      </c>
      <c r="N74" s="104">
        <v>8.16</v>
      </c>
      <c r="O74" s="57">
        <v>7000</v>
      </c>
      <c r="P74" s="58">
        <f t="shared" si="1"/>
        <v>57120</v>
      </c>
    </row>
    <row r="75" spans="1:16" ht="23.25" customHeight="1" x14ac:dyDescent="0.2">
      <c r="A75" s="100"/>
      <c r="B75" s="100"/>
      <c r="C75" s="65" t="s">
        <v>4821</v>
      </c>
      <c r="D75" s="70" t="s">
        <v>57</v>
      </c>
      <c r="E75" s="12">
        <v>44554</v>
      </c>
      <c r="F75" s="68" t="s">
        <v>58</v>
      </c>
      <c r="G75" s="12">
        <v>44559</v>
      </c>
      <c r="H75" s="69" t="s">
        <v>4687</v>
      </c>
      <c r="I75" s="15">
        <v>110</v>
      </c>
      <c r="J75" s="15">
        <v>65</v>
      </c>
      <c r="K75" s="15">
        <v>35</v>
      </c>
      <c r="L75" s="15">
        <v>29</v>
      </c>
      <c r="M75" s="73">
        <v>62.5625</v>
      </c>
      <c r="N75" s="104">
        <v>62.5625</v>
      </c>
      <c r="O75" s="57">
        <v>7000</v>
      </c>
      <c r="P75" s="58">
        <f t="shared" si="1"/>
        <v>437937.5</v>
      </c>
    </row>
    <row r="76" spans="1:16" ht="23.25" customHeight="1" x14ac:dyDescent="0.2">
      <c r="A76" s="100"/>
      <c r="B76" s="100"/>
      <c r="C76" s="65" t="s">
        <v>4822</v>
      </c>
      <c r="D76" s="70" t="s">
        <v>57</v>
      </c>
      <c r="E76" s="12">
        <v>44554</v>
      </c>
      <c r="F76" s="68" t="s">
        <v>58</v>
      </c>
      <c r="G76" s="12">
        <v>44559</v>
      </c>
      <c r="H76" s="69" t="s">
        <v>4687</v>
      </c>
      <c r="I76" s="15">
        <v>35</v>
      </c>
      <c r="J76" s="15">
        <v>31</v>
      </c>
      <c r="K76" s="15">
        <v>24</v>
      </c>
      <c r="L76" s="15">
        <v>18</v>
      </c>
      <c r="M76" s="73">
        <v>6.51</v>
      </c>
      <c r="N76" s="104">
        <v>18</v>
      </c>
      <c r="O76" s="57">
        <v>7000</v>
      </c>
      <c r="P76" s="58">
        <f t="shared" si="1"/>
        <v>126000</v>
      </c>
    </row>
    <row r="77" spans="1:16" ht="23.25" customHeight="1" x14ac:dyDescent="0.2">
      <c r="A77" s="100"/>
      <c r="B77" s="100"/>
      <c r="C77" s="65" t="s">
        <v>4823</v>
      </c>
      <c r="D77" s="70" t="s">
        <v>57</v>
      </c>
      <c r="E77" s="12">
        <v>44554</v>
      </c>
      <c r="F77" s="68" t="s">
        <v>58</v>
      </c>
      <c r="G77" s="12">
        <v>44559</v>
      </c>
      <c r="H77" s="69" t="s">
        <v>4687</v>
      </c>
      <c r="I77" s="15">
        <v>51</v>
      </c>
      <c r="J77" s="15">
        <v>37</v>
      </c>
      <c r="K77" s="15">
        <v>25</v>
      </c>
      <c r="L77" s="15">
        <v>10</v>
      </c>
      <c r="M77" s="73">
        <v>11.793749999999999</v>
      </c>
      <c r="N77" s="104">
        <v>11.793749999999999</v>
      </c>
      <c r="O77" s="57">
        <v>7000</v>
      </c>
      <c r="P77" s="58">
        <f t="shared" si="1"/>
        <v>82556.25</v>
      </c>
    </row>
    <row r="78" spans="1:16" ht="23.25" customHeight="1" x14ac:dyDescent="0.2">
      <c r="A78" s="100"/>
      <c r="B78" s="100"/>
      <c r="C78" s="65" t="s">
        <v>4824</v>
      </c>
      <c r="D78" s="70" t="s">
        <v>57</v>
      </c>
      <c r="E78" s="12">
        <v>44554</v>
      </c>
      <c r="F78" s="68" t="s">
        <v>58</v>
      </c>
      <c r="G78" s="12">
        <v>44559</v>
      </c>
      <c r="H78" s="69" t="s">
        <v>4687</v>
      </c>
      <c r="I78" s="15">
        <v>40</v>
      </c>
      <c r="J78" s="15">
        <v>31</v>
      </c>
      <c r="K78" s="15">
        <v>24</v>
      </c>
      <c r="L78" s="15">
        <v>9</v>
      </c>
      <c r="M78" s="73">
        <v>7.44</v>
      </c>
      <c r="N78" s="104">
        <v>10</v>
      </c>
      <c r="O78" s="57">
        <v>7000</v>
      </c>
      <c r="P78" s="58">
        <f t="shared" si="1"/>
        <v>70000</v>
      </c>
    </row>
    <row r="79" spans="1:16" ht="23.25" customHeight="1" x14ac:dyDescent="0.2">
      <c r="A79" s="100"/>
      <c r="B79" s="100"/>
      <c r="C79" s="65" t="s">
        <v>4825</v>
      </c>
      <c r="D79" s="70" t="s">
        <v>57</v>
      </c>
      <c r="E79" s="12">
        <v>44554</v>
      </c>
      <c r="F79" s="68" t="s">
        <v>58</v>
      </c>
      <c r="G79" s="12">
        <v>44559</v>
      </c>
      <c r="H79" s="69" t="s">
        <v>4687</v>
      </c>
      <c r="I79" s="15">
        <v>55</v>
      </c>
      <c r="J79" s="15">
        <v>47</v>
      </c>
      <c r="K79" s="15">
        <v>35</v>
      </c>
      <c r="L79" s="15">
        <v>31</v>
      </c>
      <c r="M79" s="73">
        <v>22.618749999999999</v>
      </c>
      <c r="N79" s="104">
        <v>31</v>
      </c>
      <c r="O79" s="57">
        <v>7000</v>
      </c>
      <c r="P79" s="58">
        <f t="shared" si="1"/>
        <v>217000</v>
      </c>
    </row>
    <row r="80" spans="1:16" ht="23.25" customHeight="1" x14ac:dyDescent="0.2">
      <c r="A80" s="100"/>
      <c r="B80" s="100"/>
      <c r="C80" s="65" t="s">
        <v>4826</v>
      </c>
      <c r="D80" s="70" t="s">
        <v>57</v>
      </c>
      <c r="E80" s="12">
        <v>44554</v>
      </c>
      <c r="F80" s="68" t="s">
        <v>58</v>
      </c>
      <c r="G80" s="12">
        <v>44559</v>
      </c>
      <c r="H80" s="69" t="s">
        <v>4687</v>
      </c>
      <c r="I80" s="15">
        <v>78</v>
      </c>
      <c r="J80" s="15">
        <v>65</v>
      </c>
      <c r="K80" s="15">
        <v>24</v>
      </c>
      <c r="L80" s="15">
        <v>9</v>
      </c>
      <c r="M80" s="73">
        <v>30.42</v>
      </c>
      <c r="N80" s="104">
        <v>31</v>
      </c>
      <c r="O80" s="57">
        <v>7000</v>
      </c>
      <c r="P80" s="58">
        <f t="shared" si="1"/>
        <v>217000</v>
      </c>
    </row>
    <row r="81" spans="1:16" ht="23.25" customHeight="1" x14ac:dyDescent="0.2">
      <c r="A81" s="100"/>
      <c r="B81" s="100"/>
      <c r="C81" s="65" t="s">
        <v>4827</v>
      </c>
      <c r="D81" s="70" t="s">
        <v>57</v>
      </c>
      <c r="E81" s="12">
        <v>44554</v>
      </c>
      <c r="F81" s="68" t="s">
        <v>58</v>
      </c>
      <c r="G81" s="12">
        <v>44559</v>
      </c>
      <c r="H81" s="69" t="s">
        <v>4687</v>
      </c>
      <c r="I81" s="15">
        <v>64</v>
      </c>
      <c r="J81" s="15">
        <v>60</v>
      </c>
      <c r="K81" s="15">
        <v>15</v>
      </c>
      <c r="L81" s="15">
        <v>6</v>
      </c>
      <c r="M81" s="73">
        <v>14.4</v>
      </c>
      <c r="N81" s="104">
        <v>15</v>
      </c>
      <c r="O81" s="57">
        <v>7000</v>
      </c>
      <c r="P81" s="58">
        <f t="shared" si="1"/>
        <v>105000</v>
      </c>
    </row>
    <row r="82" spans="1:16" ht="23.25" customHeight="1" x14ac:dyDescent="0.2">
      <c r="A82" s="100"/>
      <c r="B82" s="100"/>
      <c r="C82" s="65" t="s">
        <v>4828</v>
      </c>
      <c r="D82" s="70" t="s">
        <v>57</v>
      </c>
      <c r="E82" s="12">
        <v>44554</v>
      </c>
      <c r="F82" s="68" t="s">
        <v>58</v>
      </c>
      <c r="G82" s="12">
        <v>44559</v>
      </c>
      <c r="H82" s="69" t="s">
        <v>4687</v>
      </c>
      <c r="I82" s="15">
        <v>81</v>
      </c>
      <c r="J82" s="15">
        <v>62</v>
      </c>
      <c r="K82" s="15">
        <v>23</v>
      </c>
      <c r="L82" s="15">
        <v>16</v>
      </c>
      <c r="M82" s="73">
        <v>28.8765</v>
      </c>
      <c r="N82" s="104">
        <v>28.8765</v>
      </c>
      <c r="O82" s="57">
        <v>7000</v>
      </c>
      <c r="P82" s="58">
        <f t="shared" si="1"/>
        <v>202135.5</v>
      </c>
    </row>
    <row r="83" spans="1:16" ht="23.25" customHeight="1" x14ac:dyDescent="0.2">
      <c r="A83" s="100"/>
      <c r="B83" s="100"/>
      <c r="C83" s="65" t="s">
        <v>4829</v>
      </c>
      <c r="D83" s="70" t="s">
        <v>57</v>
      </c>
      <c r="E83" s="12">
        <v>44554</v>
      </c>
      <c r="F83" s="68" t="s">
        <v>58</v>
      </c>
      <c r="G83" s="12">
        <v>44559</v>
      </c>
      <c r="H83" s="69" t="s">
        <v>4687</v>
      </c>
      <c r="I83" s="15">
        <v>72</v>
      </c>
      <c r="J83" s="15">
        <v>40</v>
      </c>
      <c r="K83" s="15">
        <v>40</v>
      </c>
      <c r="L83" s="15">
        <v>12</v>
      </c>
      <c r="M83" s="73">
        <v>28.8</v>
      </c>
      <c r="N83" s="104">
        <v>28.8</v>
      </c>
      <c r="O83" s="57">
        <v>7000</v>
      </c>
      <c r="P83" s="58">
        <f t="shared" si="1"/>
        <v>201600</v>
      </c>
    </row>
    <row r="84" spans="1:16" ht="23.25" customHeight="1" x14ac:dyDescent="0.2">
      <c r="A84" s="100"/>
      <c r="B84" s="100"/>
      <c r="C84" s="65" t="s">
        <v>4831</v>
      </c>
      <c r="D84" s="70" t="s">
        <v>57</v>
      </c>
      <c r="E84" s="12">
        <v>44554</v>
      </c>
      <c r="F84" s="68" t="s">
        <v>58</v>
      </c>
      <c r="G84" s="12">
        <v>44559</v>
      </c>
      <c r="H84" s="69" t="s">
        <v>4687</v>
      </c>
      <c r="I84" s="15">
        <v>52</v>
      </c>
      <c r="J84" s="15">
        <v>25</v>
      </c>
      <c r="K84" s="15">
        <v>11</v>
      </c>
      <c r="L84" s="15">
        <v>1</v>
      </c>
      <c r="M84" s="73">
        <v>3.5750000000000002</v>
      </c>
      <c r="N84" s="104">
        <v>3.5750000000000002</v>
      </c>
      <c r="O84" s="57">
        <v>7000</v>
      </c>
      <c r="P84" s="58">
        <f t="shared" si="1"/>
        <v>25025</v>
      </c>
    </row>
    <row r="85" spans="1:16" ht="23.25" customHeight="1" x14ac:dyDescent="0.2">
      <c r="A85" s="100"/>
      <c r="B85" s="100"/>
      <c r="C85" s="65" t="s">
        <v>4832</v>
      </c>
      <c r="D85" s="70" t="s">
        <v>57</v>
      </c>
      <c r="E85" s="12">
        <v>44554</v>
      </c>
      <c r="F85" s="68" t="s">
        <v>58</v>
      </c>
      <c r="G85" s="12">
        <v>44559</v>
      </c>
      <c r="H85" s="69" t="s">
        <v>4687</v>
      </c>
      <c r="I85" s="15">
        <v>55</v>
      </c>
      <c r="J85" s="15">
        <v>35</v>
      </c>
      <c r="K85" s="15">
        <v>35</v>
      </c>
      <c r="L85" s="15">
        <v>4</v>
      </c>
      <c r="M85" s="73">
        <v>16.84375</v>
      </c>
      <c r="N85" s="104">
        <v>16.84375</v>
      </c>
      <c r="O85" s="57">
        <v>7000</v>
      </c>
      <c r="P85" s="58">
        <f t="shared" si="1"/>
        <v>117906.25</v>
      </c>
    </row>
    <row r="86" spans="1:16" ht="23.25" customHeight="1" x14ac:dyDescent="0.2">
      <c r="A86" s="100"/>
      <c r="B86" s="100"/>
      <c r="C86" s="65" t="s">
        <v>4833</v>
      </c>
      <c r="D86" s="70" t="s">
        <v>57</v>
      </c>
      <c r="E86" s="12">
        <v>44554</v>
      </c>
      <c r="F86" s="68" t="s">
        <v>58</v>
      </c>
      <c r="G86" s="12">
        <v>44559</v>
      </c>
      <c r="H86" s="69" t="s">
        <v>4687</v>
      </c>
      <c r="I86" s="15">
        <v>75</v>
      </c>
      <c r="J86" s="15">
        <v>61</v>
      </c>
      <c r="K86" s="15">
        <v>18</v>
      </c>
      <c r="L86" s="15">
        <v>8</v>
      </c>
      <c r="M86" s="73">
        <v>20.587499999999999</v>
      </c>
      <c r="N86" s="104">
        <v>20.587499999999999</v>
      </c>
      <c r="O86" s="57">
        <v>7000</v>
      </c>
      <c r="P86" s="58">
        <f t="shared" si="1"/>
        <v>144112.5</v>
      </c>
    </row>
    <row r="87" spans="1:16" ht="23.25" customHeight="1" x14ac:dyDescent="0.2">
      <c r="A87" s="100"/>
      <c r="B87" s="100"/>
      <c r="C87" s="65" t="s">
        <v>4834</v>
      </c>
      <c r="D87" s="70" t="s">
        <v>57</v>
      </c>
      <c r="E87" s="12">
        <v>44554</v>
      </c>
      <c r="F87" s="68" t="s">
        <v>58</v>
      </c>
      <c r="G87" s="12">
        <v>44559</v>
      </c>
      <c r="H87" s="69" t="s">
        <v>4687</v>
      </c>
      <c r="I87" s="15">
        <v>75</v>
      </c>
      <c r="J87" s="15">
        <v>16</v>
      </c>
      <c r="K87" s="15">
        <v>16</v>
      </c>
      <c r="L87" s="15">
        <v>4</v>
      </c>
      <c r="M87" s="73">
        <v>4.8</v>
      </c>
      <c r="N87" s="104">
        <v>4.8</v>
      </c>
      <c r="O87" s="57">
        <v>7000</v>
      </c>
      <c r="P87" s="58">
        <f t="shared" si="1"/>
        <v>33600</v>
      </c>
    </row>
    <row r="88" spans="1:16" ht="23.25" customHeight="1" x14ac:dyDescent="0.2">
      <c r="A88" s="100"/>
      <c r="B88" s="100"/>
      <c r="C88" s="65" t="s">
        <v>4835</v>
      </c>
      <c r="D88" s="70" t="s">
        <v>57</v>
      </c>
      <c r="E88" s="12">
        <v>44554</v>
      </c>
      <c r="F88" s="68" t="s">
        <v>58</v>
      </c>
      <c r="G88" s="12">
        <v>44559</v>
      </c>
      <c r="H88" s="69" t="s">
        <v>4687</v>
      </c>
      <c r="I88" s="15">
        <v>98</v>
      </c>
      <c r="J88" s="15">
        <v>60</v>
      </c>
      <c r="K88" s="15">
        <v>15</v>
      </c>
      <c r="L88" s="15">
        <v>12</v>
      </c>
      <c r="M88" s="73">
        <v>22.05</v>
      </c>
      <c r="N88" s="104">
        <v>22.05</v>
      </c>
      <c r="O88" s="57">
        <v>7000</v>
      </c>
      <c r="P88" s="58">
        <f t="shared" si="1"/>
        <v>154350</v>
      </c>
    </row>
    <row r="89" spans="1:16" ht="23.25" customHeight="1" x14ac:dyDescent="0.2">
      <c r="A89" s="100"/>
      <c r="B89" s="100"/>
      <c r="C89" s="65" t="s">
        <v>4836</v>
      </c>
      <c r="D89" s="70" t="s">
        <v>57</v>
      </c>
      <c r="E89" s="12">
        <v>44554</v>
      </c>
      <c r="F89" s="68" t="s">
        <v>58</v>
      </c>
      <c r="G89" s="12">
        <v>44559</v>
      </c>
      <c r="H89" s="69" t="s">
        <v>4687</v>
      </c>
      <c r="I89" s="15">
        <v>72</v>
      </c>
      <c r="J89" s="15">
        <v>59</v>
      </c>
      <c r="K89" s="15">
        <v>21</v>
      </c>
      <c r="L89" s="15">
        <v>5</v>
      </c>
      <c r="M89" s="73">
        <v>22.302</v>
      </c>
      <c r="N89" s="104">
        <v>23</v>
      </c>
      <c r="O89" s="57">
        <v>7000</v>
      </c>
      <c r="P89" s="58">
        <f t="shared" si="1"/>
        <v>161000</v>
      </c>
    </row>
    <row r="90" spans="1:16" ht="23.25" customHeight="1" x14ac:dyDescent="0.2">
      <c r="A90" s="100"/>
      <c r="B90" s="100"/>
      <c r="C90" s="65" t="s">
        <v>4837</v>
      </c>
      <c r="D90" s="70" t="s">
        <v>57</v>
      </c>
      <c r="E90" s="12">
        <v>44554</v>
      </c>
      <c r="F90" s="68" t="s">
        <v>58</v>
      </c>
      <c r="G90" s="12">
        <v>44559</v>
      </c>
      <c r="H90" s="69" t="s">
        <v>4687</v>
      </c>
      <c r="I90" s="15">
        <v>97</v>
      </c>
      <c r="J90" s="15">
        <v>49</v>
      </c>
      <c r="K90" s="15">
        <v>41</v>
      </c>
      <c r="L90" s="15">
        <v>32</v>
      </c>
      <c r="M90" s="73">
        <v>48.718249999999998</v>
      </c>
      <c r="N90" s="104">
        <v>48.718249999999998</v>
      </c>
      <c r="O90" s="57">
        <v>7000</v>
      </c>
      <c r="P90" s="58">
        <f t="shared" si="1"/>
        <v>341027.75</v>
      </c>
    </row>
    <row r="91" spans="1:16" ht="23.25" customHeight="1" x14ac:dyDescent="0.2">
      <c r="A91" s="100"/>
      <c r="B91" s="100"/>
      <c r="C91" s="65" t="s">
        <v>4838</v>
      </c>
      <c r="D91" s="70" t="s">
        <v>57</v>
      </c>
      <c r="E91" s="12">
        <v>44554</v>
      </c>
      <c r="F91" s="68" t="s">
        <v>58</v>
      </c>
      <c r="G91" s="12">
        <v>44559</v>
      </c>
      <c r="H91" s="69" t="s">
        <v>4687</v>
      </c>
      <c r="I91" s="15">
        <v>52</v>
      </c>
      <c r="J91" s="15">
        <v>30</v>
      </c>
      <c r="K91" s="15">
        <v>11</v>
      </c>
      <c r="L91" s="15">
        <v>9</v>
      </c>
      <c r="M91" s="73">
        <v>4.29</v>
      </c>
      <c r="N91" s="104">
        <v>9</v>
      </c>
      <c r="O91" s="57">
        <v>7000</v>
      </c>
      <c r="P91" s="58">
        <f t="shared" si="1"/>
        <v>63000</v>
      </c>
    </row>
    <row r="92" spans="1:16" ht="23.25" customHeight="1" x14ac:dyDescent="0.2">
      <c r="A92" s="100"/>
      <c r="B92" s="100"/>
      <c r="C92" s="65" t="s">
        <v>4839</v>
      </c>
      <c r="D92" s="70" t="s">
        <v>57</v>
      </c>
      <c r="E92" s="12">
        <v>44554</v>
      </c>
      <c r="F92" s="68" t="s">
        <v>58</v>
      </c>
      <c r="G92" s="12">
        <v>44559</v>
      </c>
      <c r="H92" s="69" t="s">
        <v>4687</v>
      </c>
      <c r="I92" s="15">
        <v>75</v>
      </c>
      <c r="J92" s="15">
        <v>11</v>
      </c>
      <c r="K92" s="15">
        <v>14</v>
      </c>
      <c r="L92" s="15">
        <v>1</v>
      </c>
      <c r="M92" s="73">
        <v>2.8875000000000002</v>
      </c>
      <c r="N92" s="104">
        <v>2.8875000000000002</v>
      </c>
      <c r="O92" s="57">
        <v>7000</v>
      </c>
      <c r="P92" s="58">
        <f t="shared" si="1"/>
        <v>20212.5</v>
      </c>
    </row>
    <row r="93" spans="1:16" ht="23.25" customHeight="1" x14ac:dyDescent="0.2">
      <c r="A93" s="100"/>
      <c r="B93" s="100"/>
      <c r="C93" s="65" t="s">
        <v>4840</v>
      </c>
      <c r="D93" s="70" t="s">
        <v>57</v>
      </c>
      <c r="E93" s="12">
        <v>44554</v>
      </c>
      <c r="F93" s="68" t="s">
        <v>58</v>
      </c>
      <c r="G93" s="12">
        <v>44559</v>
      </c>
      <c r="H93" s="69" t="s">
        <v>4687</v>
      </c>
      <c r="I93" s="15">
        <v>80</v>
      </c>
      <c r="J93" s="15">
        <v>63</v>
      </c>
      <c r="K93" s="15">
        <v>17</v>
      </c>
      <c r="L93" s="15">
        <v>6</v>
      </c>
      <c r="M93" s="73">
        <v>21.42</v>
      </c>
      <c r="N93" s="104">
        <v>22</v>
      </c>
      <c r="O93" s="57">
        <v>7000</v>
      </c>
      <c r="P93" s="58">
        <f t="shared" si="1"/>
        <v>154000</v>
      </c>
    </row>
    <row r="94" spans="1:16" ht="23.25" customHeight="1" x14ac:dyDescent="0.2">
      <c r="A94" s="100"/>
      <c r="B94" s="100"/>
      <c r="C94" s="65" t="s">
        <v>4841</v>
      </c>
      <c r="D94" s="70" t="s">
        <v>57</v>
      </c>
      <c r="E94" s="12">
        <v>44554</v>
      </c>
      <c r="F94" s="68" t="s">
        <v>58</v>
      </c>
      <c r="G94" s="12">
        <v>44559</v>
      </c>
      <c r="H94" s="69" t="s">
        <v>4687</v>
      </c>
      <c r="I94" s="15">
        <v>57</v>
      </c>
      <c r="J94" s="15">
        <v>42</v>
      </c>
      <c r="K94" s="15">
        <v>24</v>
      </c>
      <c r="L94" s="15">
        <v>3</v>
      </c>
      <c r="M94" s="73">
        <v>14.364000000000001</v>
      </c>
      <c r="N94" s="104">
        <v>15</v>
      </c>
      <c r="O94" s="57">
        <v>7000</v>
      </c>
      <c r="P94" s="58">
        <f t="shared" si="1"/>
        <v>105000</v>
      </c>
    </row>
    <row r="95" spans="1:16" ht="23.25" customHeight="1" x14ac:dyDescent="0.2">
      <c r="A95" s="100"/>
      <c r="B95" s="100"/>
      <c r="C95" s="65" t="s">
        <v>4842</v>
      </c>
      <c r="D95" s="70" t="s">
        <v>57</v>
      </c>
      <c r="E95" s="12">
        <v>44554</v>
      </c>
      <c r="F95" s="68" t="s">
        <v>58</v>
      </c>
      <c r="G95" s="12">
        <v>44559</v>
      </c>
      <c r="H95" s="69" t="s">
        <v>4687</v>
      </c>
      <c r="I95" s="15">
        <v>70</v>
      </c>
      <c r="J95" s="15">
        <v>65</v>
      </c>
      <c r="K95" s="15">
        <v>18</v>
      </c>
      <c r="L95" s="15">
        <v>6</v>
      </c>
      <c r="M95" s="73">
        <v>20.475000000000001</v>
      </c>
      <c r="N95" s="104">
        <v>21</v>
      </c>
      <c r="O95" s="57">
        <v>7000</v>
      </c>
      <c r="P95" s="58">
        <f t="shared" si="1"/>
        <v>147000</v>
      </c>
    </row>
    <row r="96" spans="1:16" ht="23.25" customHeight="1" x14ac:dyDescent="0.2">
      <c r="A96" s="100"/>
      <c r="B96" s="100"/>
      <c r="C96" s="65" t="s">
        <v>4843</v>
      </c>
      <c r="D96" s="70" t="s">
        <v>57</v>
      </c>
      <c r="E96" s="12">
        <v>44554</v>
      </c>
      <c r="F96" s="68" t="s">
        <v>58</v>
      </c>
      <c r="G96" s="12">
        <v>44559</v>
      </c>
      <c r="H96" s="69" t="s">
        <v>4687</v>
      </c>
      <c r="I96" s="15">
        <v>78</v>
      </c>
      <c r="J96" s="15">
        <v>10</v>
      </c>
      <c r="K96" s="15">
        <v>10</v>
      </c>
      <c r="L96" s="15">
        <v>1</v>
      </c>
      <c r="M96" s="73">
        <v>1.95</v>
      </c>
      <c r="N96" s="104">
        <v>1.95</v>
      </c>
      <c r="O96" s="57">
        <v>7000</v>
      </c>
      <c r="P96" s="58">
        <f t="shared" si="1"/>
        <v>13650</v>
      </c>
    </row>
    <row r="97" spans="1:16" ht="23.25" customHeight="1" x14ac:dyDescent="0.2">
      <c r="A97" s="100"/>
      <c r="B97" s="100"/>
      <c r="C97" s="65" t="s">
        <v>4844</v>
      </c>
      <c r="D97" s="70" t="s">
        <v>57</v>
      </c>
      <c r="E97" s="12">
        <v>44554</v>
      </c>
      <c r="F97" s="68" t="s">
        <v>58</v>
      </c>
      <c r="G97" s="12">
        <v>44559</v>
      </c>
      <c r="H97" s="69" t="s">
        <v>4687</v>
      </c>
      <c r="I97" s="15">
        <v>41</v>
      </c>
      <c r="J97" s="15">
        <v>31</v>
      </c>
      <c r="K97" s="15">
        <v>24</v>
      </c>
      <c r="L97" s="15">
        <v>4</v>
      </c>
      <c r="M97" s="73">
        <v>7.6260000000000003</v>
      </c>
      <c r="N97" s="104">
        <v>7.6260000000000003</v>
      </c>
      <c r="O97" s="57">
        <v>7000</v>
      </c>
      <c r="P97" s="58">
        <f t="shared" si="1"/>
        <v>53382</v>
      </c>
    </row>
    <row r="98" spans="1:16" ht="23.25" customHeight="1" x14ac:dyDescent="0.2">
      <c r="A98" s="100"/>
      <c r="B98" s="100"/>
      <c r="C98" s="65" t="s">
        <v>4845</v>
      </c>
      <c r="D98" s="70" t="s">
        <v>57</v>
      </c>
      <c r="E98" s="12">
        <v>44554</v>
      </c>
      <c r="F98" s="68" t="s">
        <v>58</v>
      </c>
      <c r="G98" s="12">
        <v>44559</v>
      </c>
      <c r="H98" s="69" t="s">
        <v>4687</v>
      </c>
      <c r="I98" s="15">
        <v>72</v>
      </c>
      <c r="J98" s="15">
        <v>72</v>
      </c>
      <c r="K98" s="15">
        <v>15</v>
      </c>
      <c r="L98" s="15">
        <v>1</v>
      </c>
      <c r="M98" s="73">
        <v>19.440000000000001</v>
      </c>
      <c r="N98" s="104">
        <v>20</v>
      </c>
      <c r="O98" s="57">
        <v>7000</v>
      </c>
      <c r="P98" s="58">
        <f t="shared" si="1"/>
        <v>140000</v>
      </c>
    </row>
    <row r="99" spans="1:16" ht="23.25" customHeight="1" x14ac:dyDescent="0.2">
      <c r="A99" s="100"/>
      <c r="B99" s="100"/>
      <c r="C99" s="65" t="s">
        <v>4846</v>
      </c>
      <c r="D99" s="70" t="s">
        <v>57</v>
      </c>
      <c r="E99" s="12">
        <v>44554</v>
      </c>
      <c r="F99" s="68" t="s">
        <v>58</v>
      </c>
      <c r="G99" s="12">
        <v>44559</v>
      </c>
      <c r="H99" s="69" t="s">
        <v>4687</v>
      </c>
      <c r="I99" s="15">
        <v>62</v>
      </c>
      <c r="J99" s="15">
        <v>51</v>
      </c>
      <c r="K99" s="15">
        <v>15</v>
      </c>
      <c r="L99" s="15">
        <v>5</v>
      </c>
      <c r="M99" s="73">
        <v>11.8575</v>
      </c>
      <c r="N99" s="104">
        <v>11.8575</v>
      </c>
      <c r="O99" s="57">
        <v>7000</v>
      </c>
      <c r="P99" s="58">
        <f t="shared" si="1"/>
        <v>83002.5</v>
      </c>
    </row>
    <row r="100" spans="1:16" ht="23.25" customHeight="1" x14ac:dyDescent="0.2">
      <c r="A100" s="100"/>
      <c r="B100" s="100"/>
      <c r="C100" s="65" t="s">
        <v>4847</v>
      </c>
      <c r="D100" s="70" t="s">
        <v>57</v>
      </c>
      <c r="E100" s="12">
        <v>44554</v>
      </c>
      <c r="F100" s="68" t="s">
        <v>58</v>
      </c>
      <c r="G100" s="12">
        <v>44559</v>
      </c>
      <c r="H100" s="69" t="s">
        <v>4687</v>
      </c>
      <c r="I100" s="15">
        <v>76</v>
      </c>
      <c r="J100" s="15">
        <v>66</v>
      </c>
      <c r="K100" s="15">
        <v>26</v>
      </c>
      <c r="L100" s="15">
        <v>8</v>
      </c>
      <c r="M100" s="73">
        <v>32.603999999999999</v>
      </c>
      <c r="N100" s="104">
        <v>32.603999999999999</v>
      </c>
      <c r="O100" s="57">
        <v>7000</v>
      </c>
      <c r="P100" s="58">
        <f t="shared" si="1"/>
        <v>228228</v>
      </c>
    </row>
    <row r="101" spans="1:16" ht="23.25" customHeight="1" x14ac:dyDescent="0.2">
      <c r="A101" s="100"/>
      <c r="B101" s="100"/>
      <c r="C101" s="65" t="s">
        <v>4848</v>
      </c>
      <c r="D101" s="70" t="s">
        <v>57</v>
      </c>
      <c r="E101" s="12">
        <v>44554</v>
      </c>
      <c r="F101" s="68" t="s">
        <v>58</v>
      </c>
      <c r="G101" s="12">
        <v>44559</v>
      </c>
      <c r="H101" s="69" t="s">
        <v>4687</v>
      </c>
      <c r="I101" s="15">
        <v>87</v>
      </c>
      <c r="J101" s="15">
        <v>56</v>
      </c>
      <c r="K101" s="15">
        <v>31</v>
      </c>
      <c r="L101" s="15">
        <v>11</v>
      </c>
      <c r="M101" s="73">
        <v>37.758000000000003</v>
      </c>
      <c r="N101" s="104">
        <v>37.758000000000003</v>
      </c>
      <c r="O101" s="57">
        <v>7000</v>
      </c>
      <c r="P101" s="58">
        <f t="shared" si="1"/>
        <v>264306</v>
      </c>
    </row>
    <row r="102" spans="1:16" ht="23.25" customHeight="1" x14ac:dyDescent="0.2">
      <c r="A102" s="100"/>
      <c r="B102" s="100"/>
      <c r="C102" s="65" t="s">
        <v>4849</v>
      </c>
      <c r="D102" s="70" t="s">
        <v>57</v>
      </c>
      <c r="E102" s="12">
        <v>44554</v>
      </c>
      <c r="F102" s="68" t="s">
        <v>58</v>
      </c>
      <c r="G102" s="12">
        <v>44559</v>
      </c>
      <c r="H102" s="69" t="s">
        <v>4687</v>
      </c>
      <c r="I102" s="15">
        <v>80</v>
      </c>
      <c r="J102" s="15">
        <v>62</v>
      </c>
      <c r="K102" s="15">
        <v>17</v>
      </c>
      <c r="L102" s="15">
        <v>9</v>
      </c>
      <c r="M102" s="73">
        <v>21.08</v>
      </c>
      <c r="N102" s="104">
        <v>21.08</v>
      </c>
      <c r="O102" s="57">
        <v>7000</v>
      </c>
      <c r="P102" s="58">
        <f t="shared" si="1"/>
        <v>147560</v>
      </c>
    </row>
    <row r="103" spans="1:16" ht="23.25" customHeight="1" x14ac:dyDescent="0.2">
      <c r="A103" s="100"/>
      <c r="B103" s="100"/>
      <c r="C103" s="65" t="s">
        <v>4850</v>
      </c>
      <c r="D103" s="70" t="s">
        <v>57</v>
      </c>
      <c r="E103" s="12">
        <v>44554</v>
      </c>
      <c r="F103" s="68" t="s">
        <v>58</v>
      </c>
      <c r="G103" s="12">
        <v>44559</v>
      </c>
      <c r="H103" s="69" t="s">
        <v>4687</v>
      </c>
      <c r="I103" s="15">
        <v>41</v>
      </c>
      <c r="J103" s="15">
        <v>35</v>
      </c>
      <c r="K103" s="15">
        <v>25</v>
      </c>
      <c r="L103" s="15">
        <v>6</v>
      </c>
      <c r="M103" s="73">
        <v>8.96875</v>
      </c>
      <c r="N103" s="104">
        <v>8.96875</v>
      </c>
      <c r="O103" s="57">
        <v>7000</v>
      </c>
      <c r="P103" s="58">
        <f t="shared" si="1"/>
        <v>62781.25</v>
      </c>
    </row>
    <row r="104" spans="1:16" ht="23.25" customHeight="1" x14ac:dyDescent="0.2">
      <c r="A104" s="100"/>
      <c r="B104" s="100"/>
      <c r="C104" s="65" t="s">
        <v>4851</v>
      </c>
      <c r="D104" s="70" t="s">
        <v>57</v>
      </c>
      <c r="E104" s="12">
        <v>44554</v>
      </c>
      <c r="F104" s="68" t="s">
        <v>58</v>
      </c>
      <c r="G104" s="12">
        <v>44559</v>
      </c>
      <c r="H104" s="69" t="s">
        <v>4687</v>
      </c>
      <c r="I104" s="15">
        <v>95</v>
      </c>
      <c r="J104" s="15">
        <v>45</v>
      </c>
      <c r="K104" s="15">
        <v>20</v>
      </c>
      <c r="L104" s="15">
        <v>15</v>
      </c>
      <c r="M104" s="73">
        <v>21.375</v>
      </c>
      <c r="N104" s="104">
        <v>22</v>
      </c>
      <c r="O104" s="57">
        <v>7000</v>
      </c>
      <c r="P104" s="58">
        <f t="shared" si="1"/>
        <v>154000</v>
      </c>
    </row>
    <row r="105" spans="1:16" ht="23.25" customHeight="1" x14ac:dyDescent="0.2">
      <c r="A105" s="100"/>
      <c r="B105" s="100"/>
      <c r="C105" s="65" t="s">
        <v>4852</v>
      </c>
      <c r="D105" s="70" t="s">
        <v>57</v>
      </c>
      <c r="E105" s="12">
        <v>44554</v>
      </c>
      <c r="F105" s="68" t="s">
        <v>58</v>
      </c>
      <c r="G105" s="12">
        <v>44559</v>
      </c>
      <c r="H105" s="69" t="s">
        <v>4687</v>
      </c>
      <c r="I105" s="15">
        <v>85</v>
      </c>
      <c r="J105" s="15">
        <v>58</v>
      </c>
      <c r="K105" s="15">
        <v>23</v>
      </c>
      <c r="L105" s="15">
        <v>14</v>
      </c>
      <c r="M105" s="73">
        <v>28.3475</v>
      </c>
      <c r="N105" s="104">
        <v>29</v>
      </c>
      <c r="O105" s="57">
        <v>7000</v>
      </c>
      <c r="P105" s="58">
        <f t="shared" si="1"/>
        <v>203000</v>
      </c>
    </row>
    <row r="106" spans="1:16" ht="23.25" customHeight="1" x14ac:dyDescent="0.2">
      <c r="A106" s="100"/>
      <c r="B106" s="100"/>
      <c r="C106" s="65" t="s">
        <v>4853</v>
      </c>
      <c r="D106" s="70" t="s">
        <v>57</v>
      </c>
      <c r="E106" s="12">
        <v>44554</v>
      </c>
      <c r="F106" s="68" t="s">
        <v>58</v>
      </c>
      <c r="G106" s="12">
        <v>44559</v>
      </c>
      <c r="H106" s="69" t="s">
        <v>4687</v>
      </c>
      <c r="I106" s="15">
        <v>102</v>
      </c>
      <c r="J106" s="15">
        <v>60</v>
      </c>
      <c r="K106" s="15">
        <v>25</v>
      </c>
      <c r="L106" s="15">
        <v>28</v>
      </c>
      <c r="M106" s="73">
        <v>38.25</v>
      </c>
      <c r="N106" s="104">
        <v>38.25</v>
      </c>
      <c r="O106" s="57">
        <v>7000</v>
      </c>
      <c r="P106" s="58">
        <f t="shared" si="1"/>
        <v>267750</v>
      </c>
    </row>
    <row r="107" spans="1:16" ht="23.25" customHeight="1" x14ac:dyDescent="0.2">
      <c r="A107" s="100"/>
      <c r="B107" s="100"/>
      <c r="C107" s="65" t="s">
        <v>4854</v>
      </c>
      <c r="D107" s="70" t="s">
        <v>57</v>
      </c>
      <c r="E107" s="12">
        <v>44554</v>
      </c>
      <c r="F107" s="68" t="s">
        <v>58</v>
      </c>
      <c r="G107" s="12">
        <v>44559</v>
      </c>
      <c r="H107" s="69" t="s">
        <v>4687</v>
      </c>
      <c r="I107" s="15">
        <v>90</v>
      </c>
      <c r="J107" s="15">
        <v>60</v>
      </c>
      <c r="K107" s="15">
        <v>11</v>
      </c>
      <c r="L107" s="15">
        <v>10</v>
      </c>
      <c r="M107" s="73">
        <v>14.85</v>
      </c>
      <c r="N107" s="104">
        <v>14.85</v>
      </c>
      <c r="O107" s="57">
        <v>7000</v>
      </c>
      <c r="P107" s="58">
        <f t="shared" si="1"/>
        <v>103950</v>
      </c>
    </row>
    <row r="108" spans="1:16" ht="23.25" customHeight="1" x14ac:dyDescent="0.2">
      <c r="A108" s="100"/>
      <c r="B108" s="100"/>
      <c r="C108" s="65" t="s">
        <v>4855</v>
      </c>
      <c r="D108" s="70" t="s">
        <v>57</v>
      </c>
      <c r="E108" s="12">
        <v>44554</v>
      </c>
      <c r="F108" s="68" t="s">
        <v>58</v>
      </c>
      <c r="G108" s="12">
        <v>44559</v>
      </c>
      <c r="H108" s="69" t="s">
        <v>4687</v>
      </c>
      <c r="I108" s="15">
        <v>241</v>
      </c>
      <c r="J108" s="15">
        <v>10</v>
      </c>
      <c r="K108" s="15">
        <v>10</v>
      </c>
      <c r="L108" s="15">
        <v>4</v>
      </c>
      <c r="M108" s="73">
        <v>6.0250000000000004</v>
      </c>
      <c r="N108" s="104">
        <v>6.0250000000000004</v>
      </c>
      <c r="O108" s="57">
        <v>7000</v>
      </c>
      <c r="P108" s="58">
        <f t="shared" si="1"/>
        <v>42175</v>
      </c>
    </row>
    <row r="109" spans="1:16" ht="23.25" customHeight="1" x14ac:dyDescent="0.2">
      <c r="A109" s="100"/>
      <c r="B109" s="100"/>
      <c r="C109" s="65" t="s">
        <v>4856</v>
      </c>
      <c r="D109" s="70" t="s">
        <v>57</v>
      </c>
      <c r="E109" s="12">
        <v>44554</v>
      </c>
      <c r="F109" s="68" t="s">
        <v>58</v>
      </c>
      <c r="G109" s="12">
        <v>44559</v>
      </c>
      <c r="H109" s="69" t="s">
        <v>4687</v>
      </c>
      <c r="I109" s="15">
        <v>62</v>
      </c>
      <c r="J109" s="15">
        <v>51</v>
      </c>
      <c r="K109" s="15">
        <v>14</v>
      </c>
      <c r="L109" s="15">
        <v>2</v>
      </c>
      <c r="M109" s="73">
        <v>11.067</v>
      </c>
      <c r="N109" s="104">
        <v>11.067</v>
      </c>
      <c r="O109" s="57">
        <v>7000</v>
      </c>
      <c r="P109" s="58">
        <f t="shared" si="1"/>
        <v>77469</v>
      </c>
    </row>
    <row r="110" spans="1:16" ht="23.25" customHeight="1" x14ac:dyDescent="0.2">
      <c r="A110" s="100"/>
      <c r="B110" s="100"/>
      <c r="C110" s="65" t="s">
        <v>4857</v>
      </c>
      <c r="D110" s="70" t="s">
        <v>57</v>
      </c>
      <c r="E110" s="12">
        <v>44554</v>
      </c>
      <c r="F110" s="68" t="s">
        <v>58</v>
      </c>
      <c r="G110" s="12">
        <v>44559</v>
      </c>
      <c r="H110" s="69" t="s">
        <v>4687</v>
      </c>
      <c r="I110" s="15">
        <v>78</v>
      </c>
      <c r="J110" s="15">
        <v>52</v>
      </c>
      <c r="K110" s="15">
        <v>6</v>
      </c>
      <c r="L110" s="15">
        <v>1</v>
      </c>
      <c r="M110" s="73">
        <v>6.0839999999999996</v>
      </c>
      <c r="N110" s="104">
        <v>6.0839999999999996</v>
      </c>
      <c r="O110" s="57">
        <v>7000</v>
      </c>
      <c r="P110" s="58">
        <f t="shared" si="1"/>
        <v>42588</v>
      </c>
    </row>
    <row r="111" spans="1:16" ht="23.25" customHeight="1" x14ac:dyDescent="0.2">
      <c r="A111" s="100"/>
      <c r="B111" s="100"/>
      <c r="C111" s="65" t="s">
        <v>4858</v>
      </c>
      <c r="D111" s="70" t="s">
        <v>57</v>
      </c>
      <c r="E111" s="12">
        <v>44554</v>
      </c>
      <c r="F111" s="68" t="s">
        <v>58</v>
      </c>
      <c r="G111" s="12">
        <v>44559</v>
      </c>
      <c r="H111" s="69" t="s">
        <v>4687</v>
      </c>
      <c r="I111" s="15">
        <v>62</v>
      </c>
      <c r="J111" s="15">
        <v>45</v>
      </c>
      <c r="K111" s="15">
        <v>15</v>
      </c>
      <c r="L111" s="15">
        <v>3</v>
      </c>
      <c r="M111" s="73">
        <v>10.4625</v>
      </c>
      <c r="N111" s="104">
        <v>11</v>
      </c>
      <c r="O111" s="57">
        <v>7000</v>
      </c>
      <c r="P111" s="58">
        <f t="shared" si="1"/>
        <v>77000</v>
      </c>
    </row>
    <row r="112" spans="1:16" ht="23.25" customHeight="1" x14ac:dyDescent="0.2">
      <c r="A112" s="100"/>
      <c r="B112" s="100"/>
      <c r="C112" s="65" t="s">
        <v>4859</v>
      </c>
      <c r="D112" s="70" t="s">
        <v>57</v>
      </c>
      <c r="E112" s="12">
        <v>44554</v>
      </c>
      <c r="F112" s="68" t="s">
        <v>58</v>
      </c>
      <c r="G112" s="12">
        <v>44559</v>
      </c>
      <c r="H112" s="69" t="s">
        <v>4687</v>
      </c>
      <c r="I112" s="15">
        <v>65</v>
      </c>
      <c r="J112" s="15">
        <v>50</v>
      </c>
      <c r="K112" s="15">
        <v>15</v>
      </c>
      <c r="L112" s="15">
        <v>8</v>
      </c>
      <c r="M112" s="73">
        <v>12.1875</v>
      </c>
      <c r="N112" s="104">
        <v>12.1875</v>
      </c>
      <c r="O112" s="57">
        <v>7000</v>
      </c>
      <c r="P112" s="58">
        <f t="shared" si="1"/>
        <v>85312.5</v>
      </c>
    </row>
    <row r="113" spans="1:16" ht="23.25" customHeight="1" x14ac:dyDescent="0.2">
      <c r="A113" s="100"/>
      <c r="B113" s="100"/>
      <c r="C113" s="65" t="s">
        <v>4860</v>
      </c>
      <c r="D113" s="70" t="s">
        <v>57</v>
      </c>
      <c r="E113" s="12">
        <v>44554</v>
      </c>
      <c r="F113" s="68" t="s">
        <v>58</v>
      </c>
      <c r="G113" s="12">
        <v>44559</v>
      </c>
      <c r="H113" s="69" t="s">
        <v>4687</v>
      </c>
      <c r="I113" s="15">
        <v>56</v>
      </c>
      <c r="J113" s="15">
        <v>42</v>
      </c>
      <c r="K113" s="15">
        <v>17</v>
      </c>
      <c r="L113" s="15">
        <v>1</v>
      </c>
      <c r="M113" s="73">
        <v>9.9960000000000004</v>
      </c>
      <c r="N113" s="104">
        <v>9.9960000000000004</v>
      </c>
      <c r="O113" s="57">
        <v>7000</v>
      </c>
      <c r="P113" s="58">
        <f t="shared" si="1"/>
        <v>69972</v>
      </c>
    </row>
    <row r="114" spans="1:16" ht="23.25" customHeight="1" x14ac:dyDescent="0.2">
      <c r="A114" s="100"/>
      <c r="B114" s="100"/>
      <c r="C114" s="65" t="s">
        <v>4861</v>
      </c>
      <c r="D114" s="70" t="s">
        <v>57</v>
      </c>
      <c r="E114" s="12">
        <v>44554</v>
      </c>
      <c r="F114" s="68" t="s">
        <v>58</v>
      </c>
      <c r="G114" s="12">
        <v>44559</v>
      </c>
      <c r="H114" s="69" t="s">
        <v>4687</v>
      </c>
      <c r="I114" s="15">
        <v>89</v>
      </c>
      <c r="J114" s="15">
        <v>53</v>
      </c>
      <c r="K114" s="15">
        <v>25</v>
      </c>
      <c r="L114" s="15">
        <v>16</v>
      </c>
      <c r="M114" s="73">
        <v>29.481249999999999</v>
      </c>
      <c r="N114" s="104">
        <v>30</v>
      </c>
      <c r="O114" s="57">
        <v>7000</v>
      </c>
      <c r="P114" s="58">
        <f t="shared" si="1"/>
        <v>210000</v>
      </c>
    </row>
    <row r="115" spans="1:16" ht="23.25" customHeight="1" x14ac:dyDescent="0.2">
      <c r="A115" s="100"/>
      <c r="B115" s="100"/>
      <c r="C115" s="65" t="s">
        <v>4862</v>
      </c>
      <c r="D115" s="70" t="s">
        <v>57</v>
      </c>
      <c r="E115" s="12">
        <v>44554</v>
      </c>
      <c r="F115" s="68" t="s">
        <v>58</v>
      </c>
      <c r="G115" s="12">
        <v>44559</v>
      </c>
      <c r="H115" s="69" t="s">
        <v>4687</v>
      </c>
      <c r="I115" s="15">
        <v>70</v>
      </c>
      <c r="J115" s="15">
        <v>51</v>
      </c>
      <c r="K115" s="15">
        <v>21</v>
      </c>
      <c r="L115" s="15">
        <v>6</v>
      </c>
      <c r="M115" s="73">
        <v>18.7425</v>
      </c>
      <c r="N115" s="104">
        <v>18.7425</v>
      </c>
      <c r="O115" s="57">
        <v>7000</v>
      </c>
      <c r="P115" s="58">
        <f t="shared" si="1"/>
        <v>131197.5</v>
      </c>
    </row>
    <row r="116" spans="1:16" ht="23.25" customHeight="1" x14ac:dyDescent="0.2">
      <c r="A116" s="100"/>
      <c r="B116" s="100"/>
      <c r="C116" s="65" t="s">
        <v>4863</v>
      </c>
      <c r="D116" s="70" t="s">
        <v>57</v>
      </c>
      <c r="E116" s="12">
        <v>44554</v>
      </c>
      <c r="F116" s="68" t="s">
        <v>58</v>
      </c>
      <c r="G116" s="12">
        <v>44559</v>
      </c>
      <c r="H116" s="69" t="s">
        <v>4687</v>
      </c>
      <c r="I116" s="15">
        <v>63</v>
      </c>
      <c r="J116" s="15">
        <v>52</v>
      </c>
      <c r="K116" s="15">
        <v>14</v>
      </c>
      <c r="L116" s="15">
        <v>6</v>
      </c>
      <c r="M116" s="73">
        <v>11.465999999999999</v>
      </c>
      <c r="N116" s="104">
        <v>12</v>
      </c>
      <c r="O116" s="57">
        <v>7000</v>
      </c>
      <c r="P116" s="58">
        <f t="shared" si="1"/>
        <v>84000</v>
      </c>
    </row>
    <row r="117" spans="1:16" ht="23.25" customHeight="1" x14ac:dyDescent="0.2">
      <c r="A117" s="100"/>
      <c r="B117" s="100"/>
      <c r="C117" s="65" t="s">
        <v>4864</v>
      </c>
      <c r="D117" s="70" t="s">
        <v>57</v>
      </c>
      <c r="E117" s="12">
        <v>44554</v>
      </c>
      <c r="F117" s="68" t="s">
        <v>58</v>
      </c>
      <c r="G117" s="12">
        <v>44559</v>
      </c>
      <c r="H117" s="69" t="s">
        <v>4687</v>
      </c>
      <c r="I117" s="15">
        <v>75</v>
      </c>
      <c r="J117" s="15">
        <v>43</v>
      </c>
      <c r="K117" s="15">
        <v>12</v>
      </c>
      <c r="L117" s="15">
        <v>2</v>
      </c>
      <c r="M117" s="73">
        <v>9.6750000000000007</v>
      </c>
      <c r="N117" s="104">
        <v>9.6750000000000007</v>
      </c>
      <c r="O117" s="57">
        <v>7000</v>
      </c>
      <c r="P117" s="58">
        <f t="shared" si="1"/>
        <v>67725</v>
      </c>
    </row>
    <row r="118" spans="1:16" ht="23.25" customHeight="1" x14ac:dyDescent="0.2">
      <c r="A118" s="100"/>
      <c r="B118" s="100"/>
      <c r="C118" s="65" t="s">
        <v>4865</v>
      </c>
      <c r="D118" s="70" t="s">
        <v>57</v>
      </c>
      <c r="E118" s="12">
        <v>44554</v>
      </c>
      <c r="F118" s="68" t="s">
        <v>58</v>
      </c>
      <c r="G118" s="12">
        <v>44559</v>
      </c>
      <c r="H118" s="69" t="s">
        <v>4687</v>
      </c>
      <c r="I118" s="15">
        <v>63</v>
      </c>
      <c r="J118" s="15">
        <v>41</v>
      </c>
      <c r="K118" s="15">
        <v>15</v>
      </c>
      <c r="L118" s="15">
        <v>5</v>
      </c>
      <c r="M118" s="73">
        <v>9.6862499999999994</v>
      </c>
      <c r="N118" s="104">
        <v>9.6862499999999994</v>
      </c>
      <c r="O118" s="57">
        <v>7000</v>
      </c>
      <c r="P118" s="58">
        <f t="shared" si="1"/>
        <v>67803.75</v>
      </c>
    </row>
    <row r="119" spans="1:16" ht="23.25" customHeight="1" x14ac:dyDescent="0.2">
      <c r="A119" s="100"/>
      <c r="B119" s="100"/>
      <c r="C119" s="65" t="s">
        <v>4866</v>
      </c>
      <c r="D119" s="70" t="s">
        <v>57</v>
      </c>
      <c r="E119" s="12">
        <v>44554</v>
      </c>
      <c r="F119" s="68" t="s">
        <v>58</v>
      </c>
      <c r="G119" s="12">
        <v>44559</v>
      </c>
      <c r="H119" s="69" t="s">
        <v>4687</v>
      </c>
      <c r="I119" s="15">
        <v>78</v>
      </c>
      <c r="J119" s="15">
        <v>56</v>
      </c>
      <c r="K119" s="15">
        <v>24</v>
      </c>
      <c r="L119" s="15">
        <v>6</v>
      </c>
      <c r="M119" s="73">
        <v>26.207999999999998</v>
      </c>
      <c r="N119" s="104">
        <v>26.207999999999998</v>
      </c>
      <c r="O119" s="57">
        <v>7000</v>
      </c>
      <c r="P119" s="58">
        <f t="shared" si="1"/>
        <v>183456</v>
      </c>
    </row>
    <row r="120" spans="1:16" ht="23.25" customHeight="1" x14ac:dyDescent="0.2">
      <c r="A120" s="100"/>
      <c r="B120" s="100"/>
      <c r="C120" s="65" t="s">
        <v>4867</v>
      </c>
      <c r="D120" s="70" t="s">
        <v>57</v>
      </c>
      <c r="E120" s="12">
        <v>44554</v>
      </c>
      <c r="F120" s="68" t="s">
        <v>58</v>
      </c>
      <c r="G120" s="12">
        <v>44559</v>
      </c>
      <c r="H120" s="69" t="s">
        <v>4687</v>
      </c>
      <c r="I120" s="15">
        <v>87</v>
      </c>
      <c r="J120" s="15">
        <v>56</v>
      </c>
      <c r="K120" s="15">
        <v>23</v>
      </c>
      <c r="L120" s="15">
        <v>5</v>
      </c>
      <c r="M120" s="73">
        <v>28.013999999999999</v>
      </c>
      <c r="N120" s="104">
        <v>28.013999999999999</v>
      </c>
      <c r="O120" s="57">
        <v>7000</v>
      </c>
      <c r="P120" s="58">
        <f t="shared" si="1"/>
        <v>196098</v>
      </c>
    </row>
    <row r="121" spans="1:16" ht="23.25" customHeight="1" x14ac:dyDescent="0.2">
      <c r="A121" s="100"/>
      <c r="B121" s="100"/>
      <c r="C121" s="65" t="s">
        <v>4868</v>
      </c>
      <c r="D121" s="70" t="s">
        <v>57</v>
      </c>
      <c r="E121" s="12">
        <v>44554</v>
      </c>
      <c r="F121" s="68" t="s">
        <v>58</v>
      </c>
      <c r="G121" s="12">
        <v>44559</v>
      </c>
      <c r="H121" s="69" t="s">
        <v>4687</v>
      </c>
      <c r="I121" s="15">
        <v>32</v>
      </c>
      <c r="J121" s="15">
        <v>32</v>
      </c>
      <c r="K121" s="15">
        <v>35</v>
      </c>
      <c r="L121" s="15">
        <v>5</v>
      </c>
      <c r="M121" s="73">
        <v>8.9600000000000009</v>
      </c>
      <c r="N121" s="104">
        <v>8.9600000000000009</v>
      </c>
      <c r="O121" s="57">
        <v>7000</v>
      </c>
      <c r="P121" s="58">
        <f t="shared" si="1"/>
        <v>62720.000000000007</v>
      </c>
    </row>
    <row r="122" spans="1:16" ht="23.25" customHeight="1" x14ac:dyDescent="0.2">
      <c r="A122" s="100"/>
      <c r="B122" s="100"/>
      <c r="C122" s="65" t="s">
        <v>4869</v>
      </c>
      <c r="D122" s="70" t="s">
        <v>57</v>
      </c>
      <c r="E122" s="12">
        <v>44554</v>
      </c>
      <c r="F122" s="68" t="s">
        <v>58</v>
      </c>
      <c r="G122" s="12">
        <v>44559</v>
      </c>
      <c r="H122" s="69" t="s">
        <v>4687</v>
      </c>
      <c r="I122" s="15">
        <v>105</v>
      </c>
      <c r="J122" s="15">
        <v>65</v>
      </c>
      <c r="K122" s="15">
        <v>32</v>
      </c>
      <c r="L122" s="15">
        <v>29</v>
      </c>
      <c r="M122" s="73">
        <v>54.6</v>
      </c>
      <c r="N122" s="104">
        <v>54.6</v>
      </c>
      <c r="O122" s="57">
        <v>7000</v>
      </c>
      <c r="P122" s="58">
        <f t="shared" si="1"/>
        <v>382200</v>
      </c>
    </row>
    <row r="123" spans="1:16" ht="23.25" customHeight="1" x14ac:dyDescent="0.2">
      <c r="A123" s="100"/>
      <c r="B123" s="100"/>
      <c r="C123" s="65" t="s">
        <v>4870</v>
      </c>
      <c r="D123" s="70" t="s">
        <v>57</v>
      </c>
      <c r="E123" s="12">
        <v>44554</v>
      </c>
      <c r="F123" s="68" t="s">
        <v>58</v>
      </c>
      <c r="G123" s="12">
        <v>44559</v>
      </c>
      <c r="H123" s="69" t="s">
        <v>4687</v>
      </c>
      <c r="I123" s="15">
        <v>35</v>
      </c>
      <c r="J123" s="15">
        <v>45</v>
      </c>
      <c r="K123" s="15">
        <v>32</v>
      </c>
      <c r="L123" s="15">
        <v>5</v>
      </c>
      <c r="M123" s="73">
        <v>12.6</v>
      </c>
      <c r="N123" s="104">
        <v>12.6</v>
      </c>
      <c r="O123" s="57">
        <v>7000</v>
      </c>
      <c r="P123" s="58">
        <f t="shared" si="1"/>
        <v>88200</v>
      </c>
    </row>
    <row r="124" spans="1:16" ht="23.25" customHeight="1" x14ac:dyDescent="0.2">
      <c r="A124" s="100"/>
      <c r="B124" s="100"/>
      <c r="C124" s="65" t="s">
        <v>4871</v>
      </c>
      <c r="D124" s="70" t="s">
        <v>57</v>
      </c>
      <c r="E124" s="12">
        <v>44554</v>
      </c>
      <c r="F124" s="68" t="s">
        <v>58</v>
      </c>
      <c r="G124" s="12">
        <v>44559</v>
      </c>
      <c r="H124" s="69" t="s">
        <v>4687</v>
      </c>
      <c r="I124" s="15">
        <v>70</v>
      </c>
      <c r="J124" s="15">
        <v>51</v>
      </c>
      <c r="K124" s="15">
        <v>14</v>
      </c>
      <c r="L124" s="15">
        <v>6</v>
      </c>
      <c r="M124" s="73">
        <v>12.494999999999999</v>
      </c>
      <c r="N124" s="104">
        <v>13</v>
      </c>
      <c r="O124" s="57">
        <v>7000</v>
      </c>
      <c r="P124" s="58">
        <f t="shared" si="1"/>
        <v>91000</v>
      </c>
    </row>
    <row r="125" spans="1:16" ht="23.25" customHeight="1" x14ac:dyDescent="0.2">
      <c r="A125" s="100"/>
      <c r="B125" s="100"/>
      <c r="C125" s="65" t="s">
        <v>4872</v>
      </c>
      <c r="D125" s="70" t="s">
        <v>57</v>
      </c>
      <c r="E125" s="12">
        <v>44554</v>
      </c>
      <c r="F125" s="68" t="s">
        <v>58</v>
      </c>
      <c r="G125" s="12">
        <v>44559</v>
      </c>
      <c r="H125" s="69" t="s">
        <v>4687</v>
      </c>
      <c r="I125" s="15">
        <v>90</v>
      </c>
      <c r="J125" s="15">
        <v>45</v>
      </c>
      <c r="K125" s="15">
        <v>14</v>
      </c>
      <c r="L125" s="15">
        <v>1</v>
      </c>
      <c r="M125" s="73">
        <v>14.175000000000001</v>
      </c>
      <c r="N125" s="104">
        <v>14.175000000000001</v>
      </c>
      <c r="O125" s="57">
        <v>7000</v>
      </c>
      <c r="P125" s="58">
        <f t="shared" si="1"/>
        <v>99225</v>
      </c>
    </row>
    <row r="126" spans="1:16" ht="23.25" customHeight="1" x14ac:dyDescent="0.2">
      <c r="A126" s="100"/>
      <c r="B126" s="100"/>
      <c r="C126" s="65" t="s">
        <v>4873</v>
      </c>
      <c r="D126" s="70" t="s">
        <v>57</v>
      </c>
      <c r="E126" s="12">
        <v>44554</v>
      </c>
      <c r="F126" s="68" t="s">
        <v>58</v>
      </c>
      <c r="G126" s="12">
        <v>44559</v>
      </c>
      <c r="H126" s="69" t="s">
        <v>4687</v>
      </c>
      <c r="I126" s="15">
        <v>35</v>
      </c>
      <c r="J126" s="15">
        <v>35</v>
      </c>
      <c r="K126" s="15">
        <v>32</v>
      </c>
      <c r="L126" s="15">
        <v>10</v>
      </c>
      <c r="M126" s="73">
        <v>9.8000000000000007</v>
      </c>
      <c r="N126" s="104">
        <v>10</v>
      </c>
      <c r="O126" s="57">
        <v>7000</v>
      </c>
      <c r="P126" s="58">
        <f t="shared" si="1"/>
        <v>70000</v>
      </c>
    </row>
    <row r="127" spans="1:16" ht="23.25" customHeight="1" x14ac:dyDescent="0.2">
      <c r="A127" s="100"/>
      <c r="B127" s="100"/>
      <c r="C127" s="65" t="s">
        <v>4874</v>
      </c>
      <c r="D127" s="70" t="s">
        <v>57</v>
      </c>
      <c r="E127" s="12">
        <v>44554</v>
      </c>
      <c r="F127" s="68" t="s">
        <v>58</v>
      </c>
      <c r="G127" s="12">
        <v>44559</v>
      </c>
      <c r="H127" s="69" t="s">
        <v>4687</v>
      </c>
      <c r="I127" s="15">
        <v>170</v>
      </c>
      <c r="J127" s="15">
        <v>10</v>
      </c>
      <c r="K127" s="15">
        <v>10</v>
      </c>
      <c r="L127" s="15">
        <v>5</v>
      </c>
      <c r="M127" s="73">
        <v>4.25</v>
      </c>
      <c r="N127" s="104">
        <v>5</v>
      </c>
      <c r="O127" s="57">
        <v>7000</v>
      </c>
      <c r="P127" s="58">
        <f t="shared" si="1"/>
        <v>35000</v>
      </c>
    </row>
    <row r="128" spans="1:16" ht="23.25" customHeight="1" x14ac:dyDescent="0.2">
      <c r="A128" s="100"/>
      <c r="B128" s="100"/>
      <c r="C128" s="65" t="s">
        <v>4875</v>
      </c>
      <c r="D128" s="70" t="s">
        <v>57</v>
      </c>
      <c r="E128" s="12">
        <v>44554</v>
      </c>
      <c r="F128" s="68" t="s">
        <v>58</v>
      </c>
      <c r="G128" s="12">
        <v>44559</v>
      </c>
      <c r="H128" s="69" t="s">
        <v>4687</v>
      </c>
      <c r="I128" s="15">
        <v>64</v>
      </c>
      <c r="J128" s="15">
        <v>40</v>
      </c>
      <c r="K128" s="15">
        <v>35</v>
      </c>
      <c r="L128" s="15">
        <v>16</v>
      </c>
      <c r="M128" s="73">
        <v>22.4</v>
      </c>
      <c r="N128" s="104">
        <v>23</v>
      </c>
      <c r="O128" s="57">
        <v>7000</v>
      </c>
      <c r="P128" s="58">
        <f t="shared" si="1"/>
        <v>161000</v>
      </c>
    </row>
    <row r="129" spans="1:16" ht="23.25" customHeight="1" x14ac:dyDescent="0.2">
      <c r="A129" s="100"/>
      <c r="B129" s="100"/>
      <c r="C129" s="65" t="s">
        <v>4876</v>
      </c>
      <c r="D129" s="70" t="s">
        <v>57</v>
      </c>
      <c r="E129" s="12">
        <v>44554</v>
      </c>
      <c r="F129" s="68" t="s">
        <v>58</v>
      </c>
      <c r="G129" s="12">
        <v>44559</v>
      </c>
      <c r="H129" s="69" t="s">
        <v>4687</v>
      </c>
      <c r="I129" s="15">
        <v>35</v>
      </c>
      <c r="J129" s="15">
        <v>35</v>
      </c>
      <c r="K129" s="15">
        <v>30</v>
      </c>
      <c r="L129" s="15">
        <v>6</v>
      </c>
      <c r="M129" s="73">
        <v>9.1875</v>
      </c>
      <c r="N129" s="104">
        <v>9.1875</v>
      </c>
      <c r="O129" s="57">
        <v>7000</v>
      </c>
      <c r="P129" s="58">
        <f t="shared" si="1"/>
        <v>64312.5</v>
      </c>
    </row>
    <row r="130" spans="1:16" ht="23.25" customHeight="1" x14ac:dyDescent="0.2">
      <c r="A130" s="100"/>
      <c r="B130" s="100"/>
      <c r="C130" s="65" t="s">
        <v>4877</v>
      </c>
      <c r="D130" s="70" t="s">
        <v>57</v>
      </c>
      <c r="E130" s="12">
        <v>44554</v>
      </c>
      <c r="F130" s="68" t="s">
        <v>58</v>
      </c>
      <c r="G130" s="12">
        <v>44559</v>
      </c>
      <c r="H130" s="69" t="s">
        <v>4687</v>
      </c>
      <c r="I130" s="15">
        <v>96</v>
      </c>
      <c r="J130" s="15">
        <v>65</v>
      </c>
      <c r="K130" s="15">
        <v>33</v>
      </c>
      <c r="L130" s="15">
        <v>20</v>
      </c>
      <c r="M130" s="73">
        <v>51.48</v>
      </c>
      <c r="N130" s="104">
        <v>52</v>
      </c>
      <c r="O130" s="57">
        <v>7000</v>
      </c>
      <c r="P130" s="58">
        <f t="shared" si="1"/>
        <v>364000</v>
      </c>
    </row>
    <row r="131" spans="1:16" ht="23.25" customHeight="1" x14ac:dyDescent="0.2">
      <c r="A131" s="100"/>
      <c r="B131" s="100"/>
      <c r="C131" s="65" t="s">
        <v>4878</v>
      </c>
      <c r="D131" s="70" t="s">
        <v>57</v>
      </c>
      <c r="E131" s="12">
        <v>44554</v>
      </c>
      <c r="F131" s="68" t="s">
        <v>58</v>
      </c>
      <c r="G131" s="12">
        <v>44559</v>
      </c>
      <c r="H131" s="69" t="s">
        <v>4687</v>
      </c>
      <c r="I131" s="15">
        <v>75</v>
      </c>
      <c r="J131" s="15">
        <v>75</v>
      </c>
      <c r="K131" s="15">
        <v>10</v>
      </c>
      <c r="L131" s="15">
        <v>40</v>
      </c>
      <c r="M131" s="73">
        <v>14.0625</v>
      </c>
      <c r="N131" s="104">
        <v>40</v>
      </c>
      <c r="O131" s="57">
        <v>7000</v>
      </c>
      <c r="P131" s="58">
        <f t="shared" ref="P131:P174" si="2">N131*O131</f>
        <v>280000</v>
      </c>
    </row>
    <row r="132" spans="1:16" ht="23.25" customHeight="1" x14ac:dyDescent="0.2">
      <c r="A132" s="100"/>
      <c r="B132" s="100"/>
      <c r="C132" s="65" t="s">
        <v>4879</v>
      </c>
      <c r="D132" s="70" t="s">
        <v>57</v>
      </c>
      <c r="E132" s="12">
        <v>44554</v>
      </c>
      <c r="F132" s="68" t="s">
        <v>58</v>
      </c>
      <c r="G132" s="12">
        <v>44559</v>
      </c>
      <c r="H132" s="69" t="s">
        <v>4687</v>
      </c>
      <c r="I132" s="15">
        <v>89</v>
      </c>
      <c r="J132" s="15">
        <v>55</v>
      </c>
      <c r="K132" s="15">
        <v>25</v>
      </c>
      <c r="L132" s="15">
        <v>9</v>
      </c>
      <c r="M132" s="73">
        <v>30.59375</v>
      </c>
      <c r="N132" s="104">
        <v>30.59375</v>
      </c>
      <c r="O132" s="57">
        <v>7000</v>
      </c>
      <c r="P132" s="58">
        <f t="shared" si="2"/>
        <v>214156.25</v>
      </c>
    </row>
    <row r="133" spans="1:16" ht="23.25" customHeight="1" x14ac:dyDescent="0.2">
      <c r="A133" s="100"/>
      <c r="B133" s="100"/>
      <c r="C133" s="65" t="s">
        <v>4880</v>
      </c>
      <c r="D133" s="70" t="s">
        <v>57</v>
      </c>
      <c r="E133" s="12">
        <v>44554</v>
      </c>
      <c r="F133" s="68" t="s">
        <v>58</v>
      </c>
      <c r="G133" s="12">
        <v>44559</v>
      </c>
      <c r="H133" s="69" t="s">
        <v>4687</v>
      </c>
      <c r="I133" s="15">
        <v>70</v>
      </c>
      <c r="J133" s="15">
        <v>60</v>
      </c>
      <c r="K133" s="15">
        <v>15</v>
      </c>
      <c r="L133" s="15">
        <v>8</v>
      </c>
      <c r="M133" s="73">
        <v>15.75</v>
      </c>
      <c r="N133" s="104">
        <v>15.75</v>
      </c>
      <c r="O133" s="57">
        <v>7000</v>
      </c>
      <c r="P133" s="58">
        <f t="shared" si="2"/>
        <v>110250</v>
      </c>
    </row>
    <row r="134" spans="1:16" ht="23.25" customHeight="1" x14ac:dyDescent="0.2">
      <c r="A134" s="100"/>
      <c r="B134" s="100"/>
      <c r="C134" s="65" t="s">
        <v>4881</v>
      </c>
      <c r="D134" s="70" t="s">
        <v>57</v>
      </c>
      <c r="E134" s="12">
        <v>44554</v>
      </c>
      <c r="F134" s="68" t="s">
        <v>58</v>
      </c>
      <c r="G134" s="12">
        <v>44559</v>
      </c>
      <c r="H134" s="69" t="s">
        <v>4687</v>
      </c>
      <c r="I134" s="15">
        <v>77</v>
      </c>
      <c r="J134" s="15">
        <v>56</v>
      </c>
      <c r="K134" s="15">
        <v>24</v>
      </c>
      <c r="L134" s="15">
        <v>10</v>
      </c>
      <c r="M134" s="73">
        <v>25.872</v>
      </c>
      <c r="N134" s="104">
        <v>25.872</v>
      </c>
      <c r="O134" s="57">
        <v>7000</v>
      </c>
      <c r="P134" s="58">
        <f t="shared" si="2"/>
        <v>181104</v>
      </c>
    </row>
    <row r="135" spans="1:16" ht="23.25" customHeight="1" x14ac:dyDescent="0.2">
      <c r="A135" s="100"/>
      <c r="B135" s="100"/>
      <c r="C135" s="65" t="s">
        <v>4882</v>
      </c>
      <c r="D135" s="70" t="s">
        <v>57</v>
      </c>
      <c r="E135" s="12">
        <v>44554</v>
      </c>
      <c r="F135" s="68" t="s">
        <v>58</v>
      </c>
      <c r="G135" s="12">
        <v>44559</v>
      </c>
      <c r="H135" s="69" t="s">
        <v>4687</v>
      </c>
      <c r="I135" s="15">
        <v>93</v>
      </c>
      <c r="J135" s="15">
        <v>60</v>
      </c>
      <c r="K135" s="15">
        <v>18</v>
      </c>
      <c r="L135" s="15">
        <v>16</v>
      </c>
      <c r="M135" s="73">
        <v>25.11</v>
      </c>
      <c r="N135" s="104">
        <v>25.11</v>
      </c>
      <c r="O135" s="57">
        <v>7000</v>
      </c>
      <c r="P135" s="58">
        <f t="shared" si="2"/>
        <v>175770</v>
      </c>
    </row>
    <row r="136" spans="1:16" ht="23.25" customHeight="1" x14ac:dyDescent="0.2">
      <c r="A136" s="100"/>
      <c r="B136" s="100"/>
      <c r="C136" s="65" t="s">
        <v>4883</v>
      </c>
      <c r="D136" s="70" t="s">
        <v>57</v>
      </c>
      <c r="E136" s="12">
        <v>44554</v>
      </c>
      <c r="F136" s="68" t="s">
        <v>58</v>
      </c>
      <c r="G136" s="12">
        <v>44559</v>
      </c>
      <c r="H136" s="69" t="s">
        <v>4687</v>
      </c>
      <c r="I136" s="15">
        <v>65</v>
      </c>
      <c r="J136" s="15">
        <v>15</v>
      </c>
      <c r="K136" s="15">
        <v>10</v>
      </c>
      <c r="L136" s="15">
        <v>2</v>
      </c>
      <c r="M136" s="73">
        <v>2.4375</v>
      </c>
      <c r="N136" s="104">
        <v>3</v>
      </c>
      <c r="O136" s="57">
        <v>7000</v>
      </c>
      <c r="P136" s="58">
        <f t="shared" si="2"/>
        <v>21000</v>
      </c>
    </row>
    <row r="137" spans="1:16" ht="23.25" customHeight="1" x14ac:dyDescent="0.2">
      <c r="A137" s="100"/>
      <c r="B137" s="100"/>
      <c r="C137" s="65" t="s">
        <v>4884</v>
      </c>
      <c r="D137" s="70" t="s">
        <v>57</v>
      </c>
      <c r="E137" s="12">
        <v>44554</v>
      </c>
      <c r="F137" s="68" t="s">
        <v>58</v>
      </c>
      <c r="G137" s="12">
        <v>44559</v>
      </c>
      <c r="H137" s="69" t="s">
        <v>4687</v>
      </c>
      <c r="I137" s="15">
        <v>87</v>
      </c>
      <c r="J137" s="15">
        <v>57</v>
      </c>
      <c r="K137" s="15">
        <v>15</v>
      </c>
      <c r="L137" s="15">
        <v>4</v>
      </c>
      <c r="M137" s="73">
        <v>18.596250000000001</v>
      </c>
      <c r="N137" s="104">
        <v>18.596250000000001</v>
      </c>
      <c r="O137" s="57">
        <v>7000</v>
      </c>
      <c r="P137" s="58">
        <f t="shared" si="2"/>
        <v>130173.75000000001</v>
      </c>
    </row>
    <row r="138" spans="1:16" ht="23.25" customHeight="1" x14ac:dyDescent="0.2">
      <c r="A138" s="100"/>
      <c r="B138" s="100"/>
      <c r="C138" s="65" t="s">
        <v>4885</v>
      </c>
      <c r="D138" s="70" t="s">
        <v>57</v>
      </c>
      <c r="E138" s="12">
        <v>44554</v>
      </c>
      <c r="F138" s="68" t="s">
        <v>58</v>
      </c>
      <c r="G138" s="12">
        <v>44559</v>
      </c>
      <c r="H138" s="69" t="s">
        <v>4687</v>
      </c>
      <c r="I138" s="15">
        <v>93</v>
      </c>
      <c r="J138" s="15">
        <v>33</v>
      </c>
      <c r="K138" s="15">
        <v>15</v>
      </c>
      <c r="L138" s="15">
        <v>3</v>
      </c>
      <c r="M138" s="73">
        <v>11.508749999999999</v>
      </c>
      <c r="N138" s="104">
        <v>11.508749999999999</v>
      </c>
      <c r="O138" s="57">
        <v>7000</v>
      </c>
      <c r="P138" s="58">
        <f t="shared" si="2"/>
        <v>80561.25</v>
      </c>
    </row>
    <row r="139" spans="1:16" ht="23.25" customHeight="1" x14ac:dyDescent="0.2">
      <c r="A139" s="100"/>
      <c r="B139" s="100"/>
      <c r="C139" s="65" t="s">
        <v>4886</v>
      </c>
      <c r="D139" s="70" t="s">
        <v>57</v>
      </c>
      <c r="E139" s="12">
        <v>44554</v>
      </c>
      <c r="F139" s="68" t="s">
        <v>58</v>
      </c>
      <c r="G139" s="12">
        <v>44559</v>
      </c>
      <c r="H139" s="69" t="s">
        <v>4687</v>
      </c>
      <c r="I139" s="15">
        <v>30</v>
      </c>
      <c r="J139" s="15">
        <v>30</v>
      </c>
      <c r="K139" s="15">
        <v>20</v>
      </c>
      <c r="L139" s="15">
        <v>2</v>
      </c>
      <c r="M139" s="73">
        <v>4.5</v>
      </c>
      <c r="N139" s="104">
        <v>6</v>
      </c>
      <c r="O139" s="57">
        <v>7000</v>
      </c>
      <c r="P139" s="58">
        <f t="shared" si="2"/>
        <v>42000</v>
      </c>
    </row>
    <row r="140" spans="1:16" ht="23.25" customHeight="1" x14ac:dyDescent="0.2">
      <c r="A140" s="100"/>
      <c r="B140" s="101"/>
      <c r="C140" s="65" t="s">
        <v>4887</v>
      </c>
      <c r="D140" s="70" t="s">
        <v>57</v>
      </c>
      <c r="E140" s="12">
        <v>44554</v>
      </c>
      <c r="F140" s="68" t="s">
        <v>58</v>
      </c>
      <c r="G140" s="12">
        <v>44559</v>
      </c>
      <c r="H140" s="69" t="s">
        <v>4687</v>
      </c>
      <c r="I140" s="15">
        <v>35</v>
      </c>
      <c r="J140" s="15">
        <v>25</v>
      </c>
      <c r="K140" s="15">
        <v>18</v>
      </c>
      <c r="L140" s="15">
        <v>3</v>
      </c>
      <c r="M140" s="73">
        <v>3.9375</v>
      </c>
      <c r="N140" s="104">
        <v>3.9375</v>
      </c>
      <c r="O140" s="57">
        <v>7000</v>
      </c>
      <c r="P140" s="58">
        <f t="shared" si="2"/>
        <v>27562.5</v>
      </c>
    </row>
    <row r="141" spans="1:16" ht="23.25" customHeight="1" x14ac:dyDescent="0.2">
      <c r="A141" s="100"/>
      <c r="B141" s="100" t="s">
        <v>4889</v>
      </c>
      <c r="C141" s="65" t="s">
        <v>4888</v>
      </c>
      <c r="D141" s="70" t="s">
        <v>57</v>
      </c>
      <c r="E141" s="12">
        <v>44554</v>
      </c>
      <c r="F141" s="68" t="s">
        <v>58</v>
      </c>
      <c r="G141" s="12">
        <v>44559</v>
      </c>
      <c r="H141" s="69" t="s">
        <v>4687</v>
      </c>
      <c r="I141" s="15">
        <v>71</v>
      </c>
      <c r="J141" s="15">
        <v>53</v>
      </c>
      <c r="K141" s="15">
        <v>18</v>
      </c>
      <c r="L141" s="15">
        <v>6</v>
      </c>
      <c r="M141" s="73">
        <v>16.933499999999999</v>
      </c>
      <c r="N141" s="104">
        <v>16.933499999999999</v>
      </c>
      <c r="O141" s="57">
        <v>7000</v>
      </c>
      <c r="P141" s="58">
        <f t="shared" si="2"/>
        <v>118534.49999999999</v>
      </c>
    </row>
    <row r="142" spans="1:16" ht="23.25" customHeight="1" x14ac:dyDescent="0.2">
      <c r="A142" s="100"/>
      <c r="B142" s="100"/>
      <c r="C142" s="65" t="s">
        <v>4890</v>
      </c>
      <c r="D142" s="70" t="s">
        <v>57</v>
      </c>
      <c r="E142" s="12">
        <v>44554</v>
      </c>
      <c r="F142" s="68" t="s">
        <v>58</v>
      </c>
      <c r="G142" s="12">
        <v>44559</v>
      </c>
      <c r="H142" s="69" t="s">
        <v>4687</v>
      </c>
      <c r="I142" s="15">
        <v>94</v>
      </c>
      <c r="J142" s="15">
        <v>34</v>
      </c>
      <c r="K142" s="15">
        <v>5</v>
      </c>
      <c r="L142" s="15">
        <v>1</v>
      </c>
      <c r="M142" s="73">
        <v>3.9950000000000001</v>
      </c>
      <c r="N142" s="104">
        <v>3.9950000000000001</v>
      </c>
      <c r="O142" s="57">
        <v>7000</v>
      </c>
      <c r="P142" s="58">
        <f t="shared" si="2"/>
        <v>27965</v>
      </c>
    </row>
    <row r="143" spans="1:16" ht="23.25" customHeight="1" x14ac:dyDescent="0.2">
      <c r="A143" s="100"/>
      <c r="B143" s="101"/>
      <c r="C143" s="65" t="s">
        <v>4830</v>
      </c>
      <c r="D143" s="70" t="s">
        <v>57</v>
      </c>
      <c r="E143" s="12">
        <v>44554</v>
      </c>
      <c r="F143" s="68" t="s">
        <v>58</v>
      </c>
      <c r="G143" s="12">
        <v>44559</v>
      </c>
      <c r="H143" s="69" t="s">
        <v>4687</v>
      </c>
      <c r="I143" s="15">
        <v>125</v>
      </c>
      <c r="J143" s="15">
        <v>10</v>
      </c>
      <c r="K143" s="15">
        <v>10</v>
      </c>
      <c r="L143" s="15">
        <v>1</v>
      </c>
      <c r="M143" s="73">
        <v>3.125</v>
      </c>
      <c r="N143" s="104">
        <v>3.125</v>
      </c>
      <c r="O143" s="57">
        <v>7000</v>
      </c>
      <c r="P143" s="58">
        <f t="shared" si="2"/>
        <v>21875</v>
      </c>
    </row>
    <row r="144" spans="1:16" ht="23.25" customHeight="1" x14ac:dyDescent="0.2">
      <c r="A144" s="100"/>
      <c r="B144" s="100" t="s">
        <v>4891</v>
      </c>
      <c r="C144" s="65" t="s">
        <v>4892</v>
      </c>
      <c r="D144" s="70" t="s">
        <v>57</v>
      </c>
      <c r="E144" s="12">
        <v>44554</v>
      </c>
      <c r="F144" s="68" t="s">
        <v>58</v>
      </c>
      <c r="G144" s="12">
        <v>44559</v>
      </c>
      <c r="H144" s="69" t="s">
        <v>4687</v>
      </c>
      <c r="I144" s="15">
        <v>65</v>
      </c>
      <c r="J144" s="15">
        <v>40</v>
      </c>
      <c r="K144" s="15">
        <v>22</v>
      </c>
      <c r="L144" s="15">
        <v>5</v>
      </c>
      <c r="M144" s="73">
        <v>14.3</v>
      </c>
      <c r="N144" s="104">
        <v>15</v>
      </c>
      <c r="O144" s="57">
        <v>7000</v>
      </c>
      <c r="P144" s="58">
        <f t="shared" si="2"/>
        <v>105000</v>
      </c>
    </row>
    <row r="145" spans="1:16" ht="23.25" customHeight="1" x14ac:dyDescent="0.2">
      <c r="A145" s="100"/>
      <c r="B145" s="100"/>
      <c r="C145" s="65" t="s">
        <v>4893</v>
      </c>
      <c r="D145" s="70" t="s">
        <v>57</v>
      </c>
      <c r="E145" s="12">
        <v>44554</v>
      </c>
      <c r="F145" s="68" t="s">
        <v>58</v>
      </c>
      <c r="G145" s="12">
        <v>44559</v>
      </c>
      <c r="H145" s="69" t="s">
        <v>4687</v>
      </c>
      <c r="I145" s="15">
        <v>45</v>
      </c>
      <c r="J145" s="15">
        <v>20</v>
      </c>
      <c r="K145" s="15">
        <v>24</v>
      </c>
      <c r="L145" s="15">
        <v>13</v>
      </c>
      <c r="M145" s="73">
        <v>5.4</v>
      </c>
      <c r="N145" s="104">
        <v>14</v>
      </c>
      <c r="O145" s="57">
        <v>7000</v>
      </c>
      <c r="P145" s="58">
        <f t="shared" si="2"/>
        <v>98000</v>
      </c>
    </row>
    <row r="146" spans="1:16" ht="23.25" customHeight="1" x14ac:dyDescent="0.2">
      <c r="A146" s="100"/>
      <c r="B146" s="100"/>
      <c r="C146" s="65" t="s">
        <v>4894</v>
      </c>
      <c r="D146" s="70" t="s">
        <v>57</v>
      </c>
      <c r="E146" s="12">
        <v>44554</v>
      </c>
      <c r="F146" s="68" t="s">
        <v>58</v>
      </c>
      <c r="G146" s="12">
        <v>44559</v>
      </c>
      <c r="H146" s="69" t="s">
        <v>4687</v>
      </c>
      <c r="I146" s="15">
        <v>53</v>
      </c>
      <c r="J146" s="15">
        <v>38</v>
      </c>
      <c r="K146" s="15">
        <v>26</v>
      </c>
      <c r="L146" s="15">
        <v>5</v>
      </c>
      <c r="M146" s="73">
        <v>13.090999999999999</v>
      </c>
      <c r="N146" s="104">
        <v>13.090999999999999</v>
      </c>
      <c r="O146" s="57">
        <v>7000</v>
      </c>
      <c r="P146" s="58">
        <f t="shared" si="2"/>
        <v>91637</v>
      </c>
    </row>
    <row r="147" spans="1:16" ht="23.25" customHeight="1" x14ac:dyDescent="0.2">
      <c r="A147" s="100"/>
      <c r="B147" s="100"/>
      <c r="C147" s="65" t="s">
        <v>4895</v>
      </c>
      <c r="D147" s="70" t="s">
        <v>57</v>
      </c>
      <c r="E147" s="12">
        <v>44554</v>
      </c>
      <c r="F147" s="68" t="s">
        <v>58</v>
      </c>
      <c r="G147" s="12">
        <v>44559</v>
      </c>
      <c r="H147" s="69" t="s">
        <v>4687</v>
      </c>
      <c r="I147" s="15">
        <v>66</v>
      </c>
      <c r="J147" s="15">
        <v>65</v>
      </c>
      <c r="K147" s="15">
        <v>20</v>
      </c>
      <c r="L147" s="15">
        <v>16</v>
      </c>
      <c r="M147" s="73">
        <v>21.45</v>
      </c>
      <c r="N147" s="104">
        <v>22</v>
      </c>
      <c r="O147" s="57">
        <v>7000</v>
      </c>
      <c r="P147" s="58">
        <f t="shared" si="2"/>
        <v>154000</v>
      </c>
    </row>
    <row r="148" spans="1:16" ht="23.25" customHeight="1" x14ac:dyDescent="0.2">
      <c r="A148" s="100"/>
      <c r="B148" s="100"/>
      <c r="C148" s="65" t="s">
        <v>4896</v>
      </c>
      <c r="D148" s="70" t="s">
        <v>57</v>
      </c>
      <c r="E148" s="12">
        <v>44554</v>
      </c>
      <c r="F148" s="68" t="s">
        <v>58</v>
      </c>
      <c r="G148" s="12">
        <v>44559</v>
      </c>
      <c r="H148" s="69" t="s">
        <v>4687</v>
      </c>
      <c r="I148" s="15">
        <v>77</v>
      </c>
      <c r="J148" s="15">
        <v>52</v>
      </c>
      <c r="K148" s="15">
        <v>20</v>
      </c>
      <c r="L148" s="15">
        <v>18</v>
      </c>
      <c r="M148" s="73">
        <v>20.02</v>
      </c>
      <c r="N148" s="104">
        <v>20.02</v>
      </c>
      <c r="O148" s="57">
        <v>7000</v>
      </c>
      <c r="P148" s="58">
        <f t="shared" si="2"/>
        <v>140140</v>
      </c>
    </row>
    <row r="149" spans="1:16" ht="23.25" customHeight="1" x14ac:dyDescent="0.2">
      <c r="A149" s="100"/>
      <c r="B149" s="100"/>
      <c r="C149" s="65" t="s">
        <v>4897</v>
      </c>
      <c r="D149" s="70" t="s">
        <v>57</v>
      </c>
      <c r="E149" s="12">
        <v>44554</v>
      </c>
      <c r="F149" s="68" t="s">
        <v>58</v>
      </c>
      <c r="G149" s="12">
        <v>44559</v>
      </c>
      <c r="H149" s="69" t="s">
        <v>4687</v>
      </c>
      <c r="I149" s="15">
        <v>56</v>
      </c>
      <c r="J149" s="15">
        <v>35</v>
      </c>
      <c r="K149" s="15">
        <v>12</v>
      </c>
      <c r="L149" s="15">
        <v>6</v>
      </c>
      <c r="M149" s="73">
        <v>5.88</v>
      </c>
      <c r="N149" s="104">
        <v>6</v>
      </c>
      <c r="O149" s="57">
        <v>7000</v>
      </c>
      <c r="P149" s="58">
        <f t="shared" si="2"/>
        <v>42000</v>
      </c>
    </row>
    <row r="150" spans="1:16" ht="23.25" customHeight="1" x14ac:dyDescent="0.2">
      <c r="A150" s="100"/>
      <c r="B150" s="100"/>
      <c r="C150" s="65" t="s">
        <v>4898</v>
      </c>
      <c r="D150" s="70" t="s">
        <v>57</v>
      </c>
      <c r="E150" s="12">
        <v>44554</v>
      </c>
      <c r="F150" s="68" t="s">
        <v>58</v>
      </c>
      <c r="G150" s="12">
        <v>44559</v>
      </c>
      <c r="H150" s="69" t="s">
        <v>4687</v>
      </c>
      <c r="I150" s="15">
        <v>25</v>
      </c>
      <c r="J150" s="15">
        <v>15</v>
      </c>
      <c r="K150" s="15">
        <v>8</v>
      </c>
      <c r="L150" s="15">
        <v>1</v>
      </c>
      <c r="M150" s="73">
        <v>0.75</v>
      </c>
      <c r="N150" s="104">
        <v>1</v>
      </c>
      <c r="O150" s="57">
        <v>7000</v>
      </c>
      <c r="P150" s="58">
        <f t="shared" si="2"/>
        <v>7000</v>
      </c>
    </row>
    <row r="151" spans="1:16" ht="23.25" customHeight="1" x14ac:dyDescent="0.2">
      <c r="A151" s="100"/>
      <c r="B151" s="100"/>
      <c r="C151" s="65" t="s">
        <v>4899</v>
      </c>
      <c r="D151" s="70" t="s">
        <v>57</v>
      </c>
      <c r="E151" s="12">
        <v>44554</v>
      </c>
      <c r="F151" s="68" t="s">
        <v>58</v>
      </c>
      <c r="G151" s="12">
        <v>44559</v>
      </c>
      <c r="H151" s="69" t="s">
        <v>4687</v>
      </c>
      <c r="I151" s="15">
        <v>25</v>
      </c>
      <c r="J151" s="15">
        <v>15</v>
      </c>
      <c r="K151" s="15">
        <v>10</v>
      </c>
      <c r="L151" s="15">
        <v>1</v>
      </c>
      <c r="M151" s="73">
        <v>0.9375</v>
      </c>
      <c r="N151" s="104">
        <v>1</v>
      </c>
      <c r="O151" s="57">
        <v>7000</v>
      </c>
      <c r="P151" s="58">
        <f t="shared" si="2"/>
        <v>7000</v>
      </c>
    </row>
    <row r="152" spans="1:16" ht="23.25" customHeight="1" x14ac:dyDescent="0.2">
      <c r="A152" s="100"/>
      <c r="B152" s="101"/>
      <c r="C152" s="65" t="s">
        <v>4900</v>
      </c>
      <c r="D152" s="70" t="s">
        <v>57</v>
      </c>
      <c r="E152" s="12">
        <v>44554</v>
      </c>
      <c r="F152" s="68" t="s">
        <v>58</v>
      </c>
      <c r="G152" s="12">
        <v>44559</v>
      </c>
      <c r="H152" s="69" t="s">
        <v>4687</v>
      </c>
      <c r="I152" s="15">
        <v>31</v>
      </c>
      <c r="J152" s="15">
        <v>20</v>
      </c>
      <c r="K152" s="15">
        <v>10</v>
      </c>
      <c r="L152" s="15">
        <v>1</v>
      </c>
      <c r="M152" s="73">
        <v>1.55</v>
      </c>
      <c r="N152" s="104">
        <v>1.55</v>
      </c>
      <c r="O152" s="57">
        <v>7000</v>
      </c>
      <c r="P152" s="58">
        <f t="shared" si="2"/>
        <v>10850</v>
      </c>
    </row>
    <row r="153" spans="1:16" ht="23.25" customHeight="1" x14ac:dyDescent="0.2">
      <c r="A153" s="100"/>
      <c r="B153" s="100" t="s">
        <v>4901</v>
      </c>
      <c r="C153" s="65" t="s">
        <v>4902</v>
      </c>
      <c r="D153" s="70" t="s">
        <v>57</v>
      </c>
      <c r="E153" s="12">
        <v>44554</v>
      </c>
      <c r="F153" s="68" t="s">
        <v>58</v>
      </c>
      <c r="G153" s="12">
        <v>44559</v>
      </c>
      <c r="H153" s="69" t="s">
        <v>4687</v>
      </c>
      <c r="I153" s="15">
        <v>150</v>
      </c>
      <c r="J153" s="15">
        <v>65</v>
      </c>
      <c r="K153" s="15">
        <v>12</v>
      </c>
      <c r="L153" s="15">
        <v>14</v>
      </c>
      <c r="M153" s="73">
        <v>29.25</v>
      </c>
      <c r="N153" s="104">
        <v>29.25</v>
      </c>
      <c r="O153" s="57">
        <v>7000</v>
      </c>
      <c r="P153" s="58">
        <f t="shared" si="2"/>
        <v>204750</v>
      </c>
    </row>
    <row r="154" spans="1:16" ht="23.25" customHeight="1" x14ac:dyDescent="0.2">
      <c r="A154" s="100"/>
      <c r="B154" s="100"/>
      <c r="C154" s="65" t="s">
        <v>4903</v>
      </c>
      <c r="D154" s="70" t="s">
        <v>57</v>
      </c>
      <c r="E154" s="12">
        <v>44554</v>
      </c>
      <c r="F154" s="68" t="s">
        <v>58</v>
      </c>
      <c r="G154" s="12">
        <v>44559</v>
      </c>
      <c r="H154" s="69" t="s">
        <v>4687</v>
      </c>
      <c r="I154" s="15">
        <v>77</v>
      </c>
      <c r="J154" s="15">
        <v>40</v>
      </c>
      <c r="K154" s="15">
        <v>41</v>
      </c>
      <c r="L154" s="15">
        <v>7</v>
      </c>
      <c r="M154" s="73">
        <v>31.57</v>
      </c>
      <c r="N154" s="104">
        <v>31.57</v>
      </c>
      <c r="O154" s="57">
        <v>7000</v>
      </c>
      <c r="P154" s="58">
        <f t="shared" si="2"/>
        <v>220990</v>
      </c>
    </row>
    <row r="155" spans="1:16" ht="23.25" customHeight="1" x14ac:dyDescent="0.2">
      <c r="A155" s="100"/>
      <c r="B155" s="100"/>
      <c r="C155" s="65" t="s">
        <v>4904</v>
      </c>
      <c r="D155" s="70" t="s">
        <v>57</v>
      </c>
      <c r="E155" s="12">
        <v>44554</v>
      </c>
      <c r="F155" s="68" t="s">
        <v>58</v>
      </c>
      <c r="G155" s="12">
        <v>44559</v>
      </c>
      <c r="H155" s="69" t="s">
        <v>4687</v>
      </c>
      <c r="I155" s="15">
        <v>150</v>
      </c>
      <c r="J155" s="15">
        <v>65</v>
      </c>
      <c r="K155" s="15">
        <v>12</v>
      </c>
      <c r="L155" s="15">
        <v>14</v>
      </c>
      <c r="M155" s="73">
        <v>29.25</v>
      </c>
      <c r="N155" s="104">
        <v>29.25</v>
      </c>
      <c r="O155" s="57">
        <v>7000</v>
      </c>
      <c r="P155" s="58">
        <f t="shared" si="2"/>
        <v>204750</v>
      </c>
    </row>
    <row r="156" spans="1:16" ht="23.25" customHeight="1" x14ac:dyDescent="0.2">
      <c r="A156" s="100"/>
      <c r="B156" s="100"/>
      <c r="C156" s="65" t="s">
        <v>4905</v>
      </c>
      <c r="D156" s="70" t="s">
        <v>57</v>
      </c>
      <c r="E156" s="12">
        <v>44554</v>
      </c>
      <c r="F156" s="68" t="s">
        <v>58</v>
      </c>
      <c r="G156" s="12">
        <v>44559</v>
      </c>
      <c r="H156" s="69" t="s">
        <v>4687</v>
      </c>
      <c r="I156" s="15">
        <v>150</v>
      </c>
      <c r="J156" s="15">
        <v>65</v>
      </c>
      <c r="K156" s="15">
        <v>12</v>
      </c>
      <c r="L156" s="15">
        <v>14</v>
      </c>
      <c r="M156" s="73">
        <v>29.25</v>
      </c>
      <c r="N156" s="104">
        <v>29.25</v>
      </c>
      <c r="O156" s="57">
        <v>7000</v>
      </c>
      <c r="P156" s="58">
        <f t="shared" si="2"/>
        <v>204750</v>
      </c>
    </row>
    <row r="157" spans="1:16" ht="23.25" customHeight="1" x14ac:dyDescent="0.2">
      <c r="A157" s="100"/>
      <c r="B157" s="100"/>
      <c r="C157" s="65" t="s">
        <v>4906</v>
      </c>
      <c r="D157" s="70" t="s">
        <v>57</v>
      </c>
      <c r="E157" s="12">
        <v>44554</v>
      </c>
      <c r="F157" s="68" t="s">
        <v>58</v>
      </c>
      <c r="G157" s="12">
        <v>44559</v>
      </c>
      <c r="H157" s="69" t="s">
        <v>4687</v>
      </c>
      <c r="I157" s="15">
        <v>44</v>
      </c>
      <c r="J157" s="15">
        <v>33</v>
      </c>
      <c r="K157" s="15">
        <v>35</v>
      </c>
      <c r="L157" s="15">
        <v>10</v>
      </c>
      <c r="M157" s="73">
        <v>12.705</v>
      </c>
      <c r="N157" s="104">
        <v>12.705</v>
      </c>
      <c r="O157" s="57">
        <v>7000</v>
      </c>
      <c r="P157" s="58">
        <f t="shared" si="2"/>
        <v>88935</v>
      </c>
    </row>
    <row r="158" spans="1:16" ht="23.25" customHeight="1" x14ac:dyDescent="0.2">
      <c r="A158" s="100"/>
      <c r="B158" s="100"/>
      <c r="C158" s="65" t="s">
        <v>4907</v>
      </c>
      <c r="D158" s="70" t="s">
        <v>57</v>
      </c>
      <c r="E158" s="12">
        <v>44554</v>
      </c>
      <c r="F158" s="68" t="s">
        <v>58</v>
      </c>
      <c r="G158" s="12">
        <v>44559</v>
      </c>
      <c r="H158" s="69" t="s">
        <v>4687</v>
      </c>
      <c r="I158" s="15">
        <v>37</v>
      </c>
      <c r="J158" s="15">
        <v>35</v>
      </c>
      <c r="K158" s="15">
        <v>20</v>
      </c>
      <c r="L158" s="15">
        <v>12</v>
      </c>
      <c r="M158" s="73">
        <v>6.4749999999999996</v>
      </c>
      <c r="N158" s="104">
        <v>13</v>
      </c>
      <c r="O158" s="57">
        <v>7000</v>
      </c>
      <c r="P158" s="58">
        <f t="shared" si="2"/>
        <v>91000</v>
      </c>
    </row>
    <row r="159" spans="1:16" ht="23.25" customHeight="1" x14ac:dyDescent="0.2">
      <c r="A159" s="100"/>
      <c r="B159" s="100"/>
      <c r="C159" s="65" t="s">
        <v>4908</v>
      </c>
      <c r="D159" s="70" t="s">
        <v>57</v>
      </c>
      <c r="E159" s="12">
        <v>44554</v>
      </c>
      <c r="F159" s="68" t="s">
        <v>58</v>
      </c>
      <c r="G159" s="12">
        <v>44559</v>
      </c>
      <c r="H159" s="69" t="s">
        <v>4687</v>
      </c>
      <c r="I159" s="15">
        <v>32</v>
      </c>
      <c r="J159" s="15">
        <v>22</v>
      </c>
      <c r="K159" s="15">
        <v>18</v>
      </c>
      <c r="L159" s="15">
        <v>7</v>
      </c>
      <c r="M159" s="73">
        <v>3.1680000000000001</v>
      </c>
      <c r="N159" s="104">
        <v>7</v>
      </c>
      <c r="O159" s="57">
        <v>7000</v>
      </c>
      <c r="P159" s="58">
        <f t="shared" si="2"/>
        <v>49000</v>
      </c>
    </row>
    <row r="160" spans="1:16" ht="23.25" customHeight="1" x14ac:dyDescent="0.2">
      <c r="A160" s="100"/>
      <c r="B160" s="100"/>
      <c r="C160" s="65" t="s">
        <v>4909</v>
      </c>
      <c r="D160" s="70" t="s">
        <v>57</v>
      </c>
      <c r="E160" s="12">
        <v>44554</v>
      </c>
      <c r="F160" s="68" t="s">
        <v>58</v>
      </c>
      <c r="G160" s="12">
        <v>44559</v>
      </c>
      <c r="H160" s="69" t="s">
        <v>4687</v>
      </c>
      <c r="I160" s="15">
        <v>32</v>
      </c>
      <c r="J160" s="15">
        <v>22</v>
      </c>
      <c r="K160" s="15">
        <v>18</v>
      </c>
      <c r="L160" s="15">
        <v>7</v>
      </c>
      <c r="M160" s="73">
        <v>3.1680000000000001</v>
      </c>
      <c r="N160" s="104">
        <v>7</v>
      </c>
      <c r="O160" s="57">
        <v>7000</v>
      </c>
      <c r="P160" s="58">
        <f t="shared" si="2"/>
        <v>49000</v>
      </c>
    </row>
    <row r="161" spans="1:16" ht="23.25" customHeight="1" x14ac:dyDescent="0.2">
      <c r="A161" s="100"/>
      <c r="B161" s="100"/>
      <c r="C161" s="65" t="s">
        <v>4910</v>
      </c>
      <c r="D161" s="70" t="s">
        <v>57</v>
      </c>
      <c r="E161" s="12">
        <v>44554</v>
      </c>
      <c r="F161" s="68" t="s">
        <v>58</v>
      </c>
      <c r="G161" s="12">
        <v>44559</v>
      </c>
      <c r="H161" s="69" t="s">
        <v>4687</v>
      </c>
      <c r="I161" s="15">
        <v>32</v>
      </c>
      <c r="J161" s="15">
        <v>22</v>
      </c>
      <c r="K161" s="15">
        <v>18</v>
      </c>
      <c r="L161" s="15">
        <v>7</v>
      </c>
      <c r="M161" s="73">
        <v>3.1680000000000001</v>
      </c>
      <c r="N161" s="104">
        <v>7</v>
      </c>
      <c r="O161" s="57">
        <v>7000</v>
      </c>
      <c r="P161" s="58">
        <f t="shared" si="2"/>
        <v>49000</v>
      </c>
    </row>
    <row r="162" spans="1:16" ht="23.25" customHeight="1" x14ac:dyDescent="0.2">
      <c r="A162" s="100"/>
      <c r="B162" s="100"/>
      <c r="C162" s="65" t="s">
        <v>4911</v>
      </c>
      <c r="D162" s="70" t="s">
        <v>57</v>
      </c>
      <c r="E162" s="12">
        <v>44554</v>
      </c>
      <c r="F162" s="68" t="s">
        <v>58</v>
      </c>
      <c r="G162" s="12">
        <v>44559</v>
      </c>
      <c r="H162" s="69" t="s">
        <v>4687</v>
      </c>
      <c r="I162" s="15">
        <v>32</v>
      </c>
      <c r="J162" s="15">
        <v>22</v>
      </c>
      <c r="K162" s="15">
        <v>18</v>
      </c>
      <c r="L162" s="15">
        <v>7</v>
      </c>
      <c r="M162" s="73">
        <v>3.1680000000000001</v>
      </c>
      <c r="N162" s="104">
        <v>7</v>
      </c>
      <c r="O162" s="57">
        <v>7000</v>
      </c>
      <c r="P162" s="58">
        <f t="shared" si="2"/>
        <v>49000</v>
      </c>
    </row>
    <row r="163" spans="1:16" ht="23.25" customHeight="1" x14ac:dyDescent="0.2">
      <c r="A163" s="100"/>
      <c r="B163" s="100"/>
      <c r="C163" s="65" t="s">
        <v>4912</v>
      </c>
      <c r="D163" s="70" t="s">
        <v>57</v>
      </c>
      <c r="E163" s="12">
        <v>44554</v>
      </c>
      <c r="F163" s="68" t="s">
        <v>58</v>
      </c>
      <c r="G163" s="12">
        <v>44559</v>
      </c>
      <c r="H163" s="69" t="s">
        <v>4687</v>
      </c>
      <c r="I163" s="15">
        <v>47</v>
      </c>
      <c r="J163" s="15">
        <v>28</v>
      </c>
      <c r="K163" s="15">
        <v>21</v>
      </c>
      <c r="L163" s="15">
        <v>11</v>
      </c>
      <c r="M163" s="73">
        <v>6.9089999999999998</v>
      </c>
      <c r="N163" s="104">
        <v>11</v>
      </c>
      <c r="O163" s="57">
        <v>7000</v>
      </c>
      <c r="P163" s="58">
        <f t="shared" si="2"/>
        <v>77000</v>
      </c>
    </row>
    <row r="164" spans="1:16" ht="23.25" customHeight="1" x14ac:dyDescent="0.2">
      <c r="A164" s="100"/>
      <c r="B164" s="100"/>
      <c r="C164" s="65" t="s">
        <v>4913</v>
      </c>
      <c r="D164" s="70" t="s">
        <v>57</v>
      </c>
      <c r="E164" s="12">
        <v>44554</v>
      </c>
      <c r="F164" s="68" t="s">
        <v>58</v>
      </c>
      <c r="G164" s="12">
        <v>44559</v>
      </c>
      <c r="H164" s="69" t="s">
        <v>4687</v>
      </c>
      <c r="I164" s="15">
        <v>55</v>
      </c>
      <c r="J164" s="15">
        <v>36</v>
      </c>
      <c r="K164" s="15">
        <v>7</v>
      </c>
      <c r="L164" s="15">
        <v>10</v>
      </c>
      <c r="M164" s="73">
        <v>3.4649999999999999</v>
      </c>
      <c r="N164" s="104">
        <v>11</v>
      </c>
      <c r="O164" s="57">
        <v>7000</v>
      </c>
      <c r="P164" s="58">
        <f t="shared" si="2"/>
        <v>77000</v>
      </c>
    </row>
    <row r="165" spans="1:16" ht="23.25" customHeight="1" x14ac:dyDescent="0.2">
      <c r="A165" s="100"/>
      <c r="B165" s="100"/>
      <c r="C165" s="65" t="s">
        <v>4914</v>
      </c>
      <c r="D165" s="70" t="s">
        <v>57</v>
      </c>
      <c r="E165" s="12">
        <v>44554</v>
      </c>
      <c r="F165" s="68" t="s">
        <v>58</v>
      </c>
      <c r="G165" s="12">
        <v>44559</v>
      </c>
      <c r="H165" s="69" t="s">
        <v>4687</v>
      </c>
      <c r="I165" s="15">
        <v>55</v>
      </c>
      <c r="J165" s="15">
        <v>36</v>
      </c>
      <c r="K165" s="15">
        <v>7</v>
      </c>
      <c r="L165" s="15">
        <v>10</v>
      </c>
      <c r="M165" s="73">
        <v>3.4649999999999999</v>
      </c>
      <c r="N165" s="104">
        <v>11</v>
      </c>
      <c r="O165" s="57">
        <v>7000</v>
      </c>
      <c r="P165" s="58">
        <f t="shared" si="2"/>
        <v>77000</v>
      </c>
    </row>
    <row r="166" spans="1:16" ht="23.25" customHeight="1" x14ac:dyDescent="0.2">
      <c r="A166" s="100"/>
      <c r="B166" s="100"/>
      <c r="C166" s="65" t="s">
        <v>4915</v>
      </c>
      <c r="D166" s="70" t="s">
        <v>57</v>
      </c>
      <c r="E166" s="12">
        <v>44554</v>
      </c>
      <c r="F166" s="68" t="s">
        <v>58</v>
      </c>
      <c r="G166" s="12">
        <v>44559</v>
      </c>
      <c r="H166" s="69" t="s">
        <v>4687</v>
      </c>
      <c r="I166" s="15">
        <v>55</v>
      </c>
      <c r="J166" s="15">
        <v>36</v>
      </c>
      <c r="K166" s="15">
        <v>7</v>
      </c>
      <c r="L166" s="15">
        <v>10</v>
      </c>
      <c r="M166" s="73">
        <v>3.4649999999999999</v>
      </c>
      <c r="N166" s="104">
        <v>11</v>
      </c>
      <c r="O166" s="57">
        <v>7000</v>
      </c>
      <c r="P166" s="58">
        <f t="shared" si="2"/>
        <v>77000</v>
      </c>
    </row>
    <row r="167" spans="1:16" ht="23.25" customHeight="1" x14ac:dyDescent="0.2">
      <c r="A167" s="100"/>
      <c r="B167" s="100"/>
      <c r="C167" s="65" t="s">
        <v>4916</v>
      </c>
      <c r="D167" s="70" t="s">
        <v>57</v>
      </c>
      <c r="E167" s="12">
        <v>44554</v>
      </c>
      <c r="F167" s="68" t="s">
        <v>58</v>
      </c>
      <c r="G167" s="12">
        <v>44559</v>
      </c>
      <c r="H167" s="69" t="s">
        <v>4687</v>
      </c>
      <c r="I167" s="15">
        <v>55</v>
      </c>
      <c r="J167" s="15">
        <v>36</v>
      </c>
      <c r="K167" s="15">
        <v>7</v>
      </c>
      <c r="L167" s="15">
        <v>10</v>
      </c>
      <c r="M167" s="73">
        <v>3.4649999999999999</v>
      </c>
      <c r="N167" s="104">
        <v>11</v>
      </c>
      <c r="O167" s="57">
        <v>7000</v>
      </c>
      <c r="P167" s="58">
        <f t="shared" si="2"/>
        <v>77000</v>
      </c>
    </row>
    <row r="168" spans="1:16" ht="23.25" customHeight="1" x14ac:dyDescent="0.2">
      <c r="A168" s="100"/>
      <c r="B168" s="100"/>
      <c r="C168" s="65" t="s">
        <v>4917</v>
      </c>
      <c r="D168" s="70" t="s">
        <v>57</v>
      </c>
      <c r="E168" s="12">
        <v>44554</v>
      </c>
      <c r="F168" s="68" t="s">
        <v>58</v>
      </c>
      <c r="G168" s="12">
        <v>44559</v>
      </c>
      <c r="H168" s="69" t="s">
        <v>4687</v>
      </c>
      <c r="I168" s="15">
        <v>55</v>
      </c>
      <c r="J168" s="15">
        <v>36</v>
      </c>
      <c r="K168" s="15">
        <v>7</v>
      </c>
      <c r="L168" s="15">
        <v>10</v>
      </c>
      <c r="M168" s="73">
        <v>3.4649999999999999</v>
      </c>
      <c r="N168" s="104">
        <v>11</v>
      </c>
      <c r="O168" s="57">
        <v>7000</v>
      </c>
      <c r="P168" s="58">
        <f t="shared" si="2"/>
        <v>77000</v>
      </c>
    </row>
    <row r="169" spans="1:16" ht="23.25" customHeight="1" x14ac:dyDescent="0.2">
      <c r="A169" s="100"/>
      <c r="B169" s="100"/>
      <c r="C169" s="65" t="s">
        <v>4918</v>
      </c>
      <c r="D169" s="70" t="s">
        <v>57</v>
      </c>
      <c r="E169" s="12">
        <v>44554</v>
      </c>
      <c r="F169" s="68" t="s">
        <v>58</v>
      </c>
      <c r="G169" s="12">
        <v>44559</v>
      </c>
      <c r="H169" s="69" t="s">
        <v>4687</v>
      </c>
      <c r="I169" s="15">
        <v>55</v>
      </c>
      <c r="J169" s="15">
        <v>36</v>
      </c>
      <c r="K169" s="15">
        <v>7</v>
      </c>
      <c r="L169" s="15">
        <v>10</v>
      </c>
      <c r="M169" s="73">
        <v>3.4649999999999999</v>
      </c>
      <c r="N169" s="104">
        <v>11</v>
      </c>
      <c r="O169" s="57">
        <v>7000</v>
      </c>
      <c r="P169" s="58">
        <f t="shared" si="2"/>
        <v>77000</v>
      </c>
    </row>
    <row r="170" spans="1:16" ht="23.25" customHeight="1" x14ac:dyDescent="0.2">
      <c r="A170" s="100"/>
      <c r="B170" s="100"/>
      <c r="C170" s="65" t="s">
        <v>4919</v>
      </c>
      <c r="D170" s="70" t="s">
        <v>57</v>
      </c>
      <c r="E170" s="12">
        <v>44554</v>
      </c>
      <c r="F170" s="68" t="s">
        <v>58</v>
      </c>
      <c r="G170" s="12">
        <v>44559</v>
      </c>
      <c r="H170" s="69" t="s">
        <v>4687</v>
      </c>
      <c r="I170" s="15">
        <v>55</v>
      </c>
      <c r="J170" s="15">
        <v>36</v>
      </c>
      <c r="K170" s="15">
        <v>7</v>
      </c>
      <c r="L170" s="15">
        <v>10</v>
      </c>
      <c r="M170" s="73">
        <v>3.4649999999999999</v>
      </c>
      <c r="N170" s="104">
        <v>11</v>
      </c>
      <c r="O170" s="57">
        <v>7000</v>
      </c>
      <c r="P170" s="58">
        <f t="shared" si="2"/>
        <v>77000</v>
      </c>
    </row>
    <row r="171" spans="1:16" ht="23.25" customHeight="1" x14ac:dyDescent="0.2">
      <c r="A171" s="100"/>
      <c r="B171" s="100"/>
      <c r="C171" s="65" t="s">
        <v>4920</v>
      </c>
      <c r="D171" s="70" t="s">
        <v>57</v>
      </c>
      <c r="E171" s="12">
        <v>44554</v>
      </c>
      <c r="F171" s="68" t="s">
        <v>58</v>
      </c>
      <c r="G171" s="12">
        <v>44559</v>
      </c>
      <c r="H171" s="69" t="s">
        <v>4687</v>
      </c>
      <c r="I171" s="15">
        <v>55</v>
      </c>
      <c r="J171" s="15">
        <v>36</v>
      </c>
      <c r="K171" s="15">
        <v>7</v>
      </c>
      <c r="L171" s="15">
        <v>10</v>
      </c>
      <c r="M171" s="73">
        <v>3.4649999999999999</v>
      </c>
      <c r="N171" s="104">
        <v>11</v>
      </c>
      <c r="O171" s="57">
        <v>7000</v>
      </c>
      <c r="P171" s="58">
        <f t="shared" si="2"/>
        <v>77000</v>
      </c>
    </row>
    <row r="172" spans="1:16" ht="23.25" customHeight="1" x14ac:dyDescent="0.2">
      <c r="A172" s="100"/>
      <c r="B172" s="100"/>
      <c r="C172" s="65" t="s">
        <v>4921</v>
      </c>
      <c r="D172" s="70" t="s">
        <v>57</v>
      </c>
      <c r="E172" s="12">
        <v>44554</v>
      </c>
      <c r="F172" s="68" t="s">
        <v>58</v>
      </c>
      <c r="G172" s="12">
        <v>44559</v>
      </c>
      <c r="H172" s="69" t="s">
        <v>4687</v>
      </c>
      <c r="I172" s="15">
        <v>55</v>
      </c>
      <c r="J172" s="15">
        <v>36</v>
      </c>
      <c r="K172" s="15">
        <v>7</v>
      </c>
      <c r="L172" s="15">
        <v>10</v>
      </c>
      <c r="M172" s="73">
        <v>3.4649999999999999</v>
      </c>
      <c r="N172" s="104">
        <v>11</v>
      </c>
      <c r="O172" s="57">
        <v>7000</v>
      </c>
      <c r="P172" s="58">
        <f t="shared" si="2"/>
        <v>77000</v>
      </c>
    </row>
    <row r="173" spans="1:16" ht="23.25" customHeight="1" x14ac:dyDescent="0.2">
      <c r="A173" s="100"/>
      <c r="B173" s="100"/>
      <c r="C173" s="90" t="s">
        <v>4922</v>
      </c>
      <c r="D173" s="102" t="s">
        <v>57</v>
      </c>
      <c r="E173" s="91">
        <v>44554</v>
      </c>
      <c r="F173" s="102" t="s">
        <v>58</v>
      </c>
      <c r="G173" s="91">
        <v>44559</v>
      </c>
      <c r="H173" s="90" t="s">
        <v>4687</v>
      </c>
      <c r="I173" s="90">
        <v>46</v>
      </c>
      <c r="J173" s="90">
        <v>37</v>
      </c>
      <c r="K173" s="90">
        <v>32</v>
      </c>
      <c r="L173" s="90">
        <v>10</v>
      </c>
      <c r="M173" s="90">
        <v>13.616</v>
      </c>
      <c r="N173" s="104">
        <v>13.616</v>
      </c>
      <c r="O173" s="57">
        <v>7000</v>
      </c>
      <c r="P173" s="58">
        <f t="shared" si="2"/>
        <v>95312</v>
      </c>
    </row>
    <row r="174" spans="1:16" ht="23.25" customHeight="1" x14ac:dyDescent="0.2">
      <c r="A174" s="100"/>
      <c r="B174" s="100"/>
      <c r="C174" s="90" t="s">
        <v>4923</v>
      </c>
      <c r="D174" s="102" t="s">
        <v>57</v>
      </c>
      <c r="E174" s="91">
        <v>44554</v>
      </c>
      <c r="F174" s="102" t="s">
        <v>58</v>
      </c>
      <c r="G174" s="91">
        <v>44559</v>
      </c>
      <c r="H174" s="90" t="s">
        <v>4687</v>
      </c>
      <c r="I174" s="90">
        <v>46</v>
      </c>
      <c r="J174" s="90">
        <v>37</v>
      </c>
      <c r="K174" s="90">
        <v>32</v>
      </c>
      <c r="L174" s="90">
        <v>10</v>
      </c>
      <c r="M174" s="90">
        <v>13.616</v>
      </c>
      <c r="N174" s="104">
        <v>13.616</v>
      </c>
      <c r="O174" s="57">
        <v>7000</v>
      </c>
      <c r="P174" s="58">
        <f t="shared" si="2"/>
        <v>95312</v>
      </c>
    </row>
    <row r="175" spans="1:16" ht="22.5" customHeight="1" x14ac:dyDescent="0.2">
      <c r="A175" s="159" t="s">
        <v>30</v>
      </c>
      <c r="B175" s="160"/>
      <c r="C175" s="160"/>
      <c r="D175" s="160"/>
      <c r="E175" s="160"/>
      <c r="F175" s="160"/>
      <c r="G175" s="160"/>
      <c r="H175" s="160"/>
      <c r="I175" s="160"/>
      <c r="J175" s="160"/>
      <c r="K175" s="160"/>
      <c r="L175" s="161"/>
      <c r="M175" s="71">
        <f>SUBTOTAL(109,Table224578910112345678910111213141516171819202122232425262728293031323334353738394041424344454647484950515253545556575859606162636465666768697071727374757677[KG VOLUME])</f>
        <v>3285.0640000000021</v>
      </c>
      <c r="N175" s="61">
        <f>SUM(N3:N174)</f>
        <v>3554.9147500000004</v>
      </c>
      <c r="O175" s="162">
        <f>SUM(P3:P174)</f>
        <v>24884403.25</v>
      </c>
      <c r="P175" s="163"/>
    </row>
    <row r="176" spans="1:16" ht="18" customHeight="1" x14ac:dyDescent="0.2">
      <c r="A176" s="78"/>
      <c r="B176" s="49" t="s">
        <v>42</v>
      </c>
      <c r="C176" s="48"/>
      <c r="D176" s="50" t="s">
        <v>43</v>
      </c>
      <c r="E176" s="78"/>
      <c r="F176" s="78"/>
      <c r="G176" s="78"/>
      <c r="H176" s="78"/>
      <c r="I176" s="78"/>
      <c r="J176" s="78"/>
      <c r="K176" s="78"/>
      <c r="L176" s="78"/>
      <c r="M176" s="79"/>
      <c r="N176" s="80" t="s">
        <v>52</v>
      </c>
      <c r="O176" s="81"/>
      <c r="P176" s="81">
        <v>0</v>
      </c>
    </row>
    <row r="177" spans="1:16" ht="18" customHeight="1" thickBot="1" x14ac:dyDescent="0.25">
      <c r="A177" s="78"/>
      <c r="B177" s="49"/>
      <c r="C177" s="48"/>
      <c r="D177" s="50"/>
      <c r="E177" s="78"/>
      <c r="F177" s="78"/>
      <c r="G177" s="78"/>
      <c r="H177" s="78"/>
      <c r="I177" s="78"/>
      <c r="J177" s="78"/>
      <c r="K177" s="78"/>
      <c r="L177" s="78"/>
      <c r="M177" s="79"/>
      <c r="N177" s="82" t="s">
        <v>53</v>
      </c>
      <c r="O177" s="83"/>
      <c r="P177" s="83">
        <f>O175-P176</f>
        <v>24884403.25</v>
      </c>
    </row>
    <row r="178" spans="1:16" ht="18" customHeight="1" x14ac:dyDescent="0.2">
      <c r="A178" s="10"/>
      <c r="H178" s="56"/>
      <c r="N178" s="55" t="s">
        <v>31</v>
      </c>
      <c r="P178" s="62">
        <f>P177*1%</f>
        <v>248844.0325</v>
      </c>
    </row>
    <row r="179" spans="1:16" ht="18" customHeight="1" thickBot="1" x14ac:dyDescent="0.25">
      <c r="A179" s="10"/>
      <c r="H179" s="56"/>
      <c r="N179" s="55" t="s">
        <v>54</v>
      </c>
      <c r="P179" s="64">
        <f>P177*2%</f>
        <v>497688.065</v>
      </c>
    </row>
    <row r="180" spans="1:16" ht="18" customHeight="1" x14ac:dyDescent="0.2">
      <c r="A180" s="10"/>
      <c r="H180" s="56"/>
      <c r="N180" s="59" t="s">
        <v>32</v>
      </c>
      <c r="O180" s="60"/>
      <c r="P180" s="63">
        <f>P177+P178-P179</f>
        <v>24635559.217499997</v>
      </c>
    </row>
    <row r="182" spans="1:16" x14ac:dyDescent="0.2">
      <c r="A182" s="10"/>
      <c r="H182" s="56"/>
      <c r="P182" s="64"/>
    </row>
    <row r="183" spans="1:16" x14ac:dyDescent="0.2">
      <c r="A183" s="10"/>
      <c r="H183" s="56"/>
      <c r="O183" s="51"/>
      <c r="P183" s="64"/>
    </row>
    <row r="184" spans="1:16" s="3" customFormat="1" x14ac:dyDescent="0.25">
      <c r="A184" s="10"/>
      <c r="B184" s="2"/>
      <c r="C184" s="2"/>
      <c r="E184" s="11"/>
      <c r="H184" s="56"/>
      <c r="N184" s="14"/>
      <c r="O184" s="14"/>
      <c r="P184" s="14"/>
    </row>
    <row r="185" spans="1:16" s="3" customFormat="1" x14ac:dyDescent="0.25">
      <c r="A185" s="10"/>
      <c r="B185" s="2"/>
      <c r="C185" s="2"/>
      <c r="E185" s="11"/>
      <c r="H185" s="56"/>
      <c r="N185" s="14"/>
      <c r="O185" s="14"/>
      <c r="P185" s="14"/>
    </row>
    <row r="186" spans="1:16" s="3" customFormat="1" x14ac:dyDescent="0.25">
      <c r="A186" s="10"/>
      <c r="B186" s="2"/>
      <c r="C186" s="2"/>
      <c r="E186" s="11"/>
      <c r="H186" s="56"/>
      <c r="N186" s="14"/>
      <c r="O186" s="14"/>
      <c r="P186" s="14"/>
    </row>
    <row r="187" spans="1:16" s="3" customFormat="1" x14ac:dyDescent="0.25">
      <c r="A187" s="10"/>
      <c r="B187" s="2"/>
      <c r="C187" s="2"/>
      <c r="E187" s="11"/>
      <c r="H187" s="56"/>
      <c r="N187" s="14"/>
      <c r="O187" s="14"/>
      <c r="P187" s="14"/>
    </row>
    <row r="188" spans="1:16" s="3" customFormat="1" x14ac:dyDescent="0.25">
      <c r="A188" s="10"/>
      <c r="B188" s="2"/>
      <c r="C188" s="2"/>
      <c r="E188" s="11"/>
      <c r="H188" s="56"/>
      <c r="N188" s="14"/>
      <c r="O188" s="14"/>
      <c r="P188" s="14"/>
    </row>
    <row r="189" spans="1:16" s="3" customFormat="1" x14ac:dyDescent="0.25">
      <c r="A189" s="10"/>
      <c r="B189" s="2"/>
      <c r="C189" s="2"/>
      <c r="E189" s="11"/>
      <c r="H189" s="56"/>
      <c r="N189" s="14"/>
      <c r="O189" s="14"/>
      <c r="P189" s="14"/>
    </row>
    <row r="190" spans="1:16" s="3" customFormat="1" x14ac:dyDescent="0.25">
      <c r="A190" s="10"/>
      <c r="B190" s="2"/>
      <c r="C190" s="2"/>
      <c r="E190" s="11"/>
      <c r="H190" s="56"/>
      <c r="N190" s="14"/>
      <c r="O190" s="14"/>
      <c r="P190" s="14"/>
    </row>
    <row r="191" spans="1:16" s="3" customFormat="1" x14ac:dyDescent="0.25">
      <c r="A191" s="10"/>
      <c r="B191" s="2"/>
      <c r="C191" s="2"/>
      <c r="E191" s="11"/>
      <c r="H191" s="56"/>
      <c r="N191" s="14"/>
      <c r="O191" s="14"/>
      <c r="P191" s="14"/>
    </row>
    <row r="192" spans="1:16" s="3" customFormat="1" x14ac:dyDescent="0.25">
      <c r="A192" s="10"/>
      <c r="B192" s="2"/>
      <c r="C192" s="2"/>
      <c r="E192" s="11"/>
      <c r="H192" s="56"/>
      <c r="N192" s="14"/>
      <c r="O192" s="14"/>
      <c r="P192" s="14"/>
    </row>
    <row r="193" spans="1:16" s="3" customFormat="1" x14ac:dyDescent="0.25">
      <c r="A193" s="10"/>
      <c r="B193" s="2"/>
      <c r="C193" s="2"/>
      <c r="E193" s="11"/>
      <c r="H193" s="56"/>
      <c r="N193" s="14"/>
      <c r="O193" s="14"/>
      <c r="P193" s="14"/>
    </row>
    <row r="194" spans="1:16" s="3" customFormat="1" x14ac:dyDescent="0.25">
      <c r="A194" s="10"/>
      <c r="B194" s="2"/>
      <c r="C194" s="2"/>
      <c r="E194" s="11"/>
      <c r="H194" s="56"/>
      <c r="N194" s="14"/>
      <c r="O194" s="14"/>
      <c r="P194" s="14"/>
    </row>
    <row r="195" spans="1:16" s="3" customFormat="1" x14ac:dyDescent="0.25">
      <c r="A195" s="10"/>
      <c r="B195" s="2"/>
      <c r="C195" s="2"/>
      <c r="E195" s="11"/>
      <c r="H195" s="56"/>
      <c r="N195" s="14"/>
      <c r="O195" s="14"/>
      <c r="P195" s="14"/>
    </row>
  </sheetData>
  <mergeCells count="2">
    <mergeCell ref="A175:L175"/>
    <mergeCell ref="O175:P175"/>
  </mergeCells>
  <conditionalFormatting sqref="C3:C174">
    <cfRule type="duplicateValues" dxfId="383" priority="10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topLeftCell="A24" workbookViewId="0">
      <selection activeCell="A3" sqref="A3:XFD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8.5" customHeight="1" x14ac:dyDescent="0.2">
      <c r="A3" s="99">
        <v>403989</v>
      </c>
      <c r="B3" s="99" t="s">
        <v>4924</v>
      </c>
      <c r="C3" s="90" t="s">
        <v>4925</v>
      </c>
      <c r="D3" s="102" t="s">
        <v>57</v>
      </c>
      <c r="E3" s="91">
        <v>44555</v>
      </c>
      <c r="F3" s="102" t="s">
        <v>58</v>
      </c>
      <c r="G3" s="91">
        <v>44559</v>
      </c>
      <c r="H3" s="90" t="s">
        <v>4687</v>
      </c>
      <c r="I3" s="90">
        <v>42</v>
      </c>
      <c r="J3" s="90">
        <v>32</v>
      </c>
      <c r="K3" s="90">
        <v>95</v>
      </c>
      <c r="L3" s="90">
        <v>20</v>
      </c>
      <c r="M3" s="90">
        <v>31.92</v>
      </c>
      <c r="N3" s="104">
        <v>31.92</v>
      </c>
      <c r="O3" s="57">
        <v>7000</v>
      </c>
      <c r="P3" s="58">
        <f t="shared" ref="P3:P27" si="0">N3*O3</f>
        <v>223440</v>
      </c>
    </row>
    <row r="4" spans="1:16" ht="28.5" customHeight="1" x14ac:dyDescent="0.2">
      <c r="A4" s="100"/>
      <c r="B4" s="100"/>
      <c r="C4" s="90" t="s">
        <v>4926</v>
      </c>
      <c r="D4" s="102" t="s">
        <v>57</v>
      </c>
      <c r="E4" s="91">
        <v>44555</v>
      </c>
      <c r="F4" s="102" t="s">
        <v>58</v>
      </c>
      <c r="G4" s="91">
        <v>44559</v>
      </c>
      <c r="H4" s="90" t="s">
        <v>4687</v>
      </c>
      <c r="I4" s="90">
        <v>42</v>
      </c>
      <c r="J4" s="90">
        <v>32</v>
      </c>
      <c r="K4" s="90">
        <v>95</v>
      </c>
      <c r="L4" s="90">
        <v>20</v>
      </c>
      <c r="M4" s="90">
        <v>31.92</v>
      </c>
      <c r="N4" s="104">
        <v>31.92</v>
      </c>
      <c r="O4" s="57">
        <v>7000</v>
      </c>
      <c r="P4" s="58">
        <f t="shared" si="0"/>
        <v>223440</v>
      </c>
    </row>
    <row r="5" spans="1:16" ht="28.5" customHeight="1" x14ac:dyDescent="0.2">
      <c r="A5" s="100"/>
      <c r="B5" s="100"/>
      <c r="C5" s="90" t="s">
        <v>4927</v>
      </c>
      <c r="D5" s="102" t="s">
        <v>57</v>
      </c>
      <c r="E5" s="91">
        <v>44555</v>
      </c>
      <c r="F5" s="102" t="s">
        <v>58</v>
      </c>
      <c r="G5" s="91">
        <v>44559</v>
      </c>
      <c r="H5" s="90" t="s">
        <v>4687</v>
      </c>
      <c r="I5" s="90">
        <v>67</v>
      </c>
      <c r="J5" s="90">
        <v>52</v>
      </c>
      <c r="K5" s="90">
        <v>22</v>
      </c>
      <c r="L5" s="90">
        <v>8</v>
      </c>
      <c r="M5" s="90">
        <v>19.161999999999999</v>
      </c>
      <c r="N5" s="104">
        <v>19.161999999999999</v>
      </c>
      <c r="O5" s="57">
        <v>7000</v>
      </c>
      <c r="P5" s="58">
        <f t="shared" si="0"/>
        <v>134134</v>
      </c>
    </row>
    <row r="6" spans="1:16" ht="28.5" customHeight="1" x14ac:dyDescent="0.2">
      <c r="A6" s="100"/>
      <c r="B6" s="100"/>
      <c r="C6" s="65" t="s">
        <v>4928</v>
      </c>
      <c r="D6" s="70" t="s">
        <v>57</v>
      </c>
      <c r="E6" s="12">
        <v>44555</v>
      </c>
      <c r="F6" s="68" t="s">
        <v>58</v>
      </c>
      <c r="G6" s="12">
        <v>44559</v>
      </c>
      <c r="H6" s="69" t="s">
        <v>4687</v>
      </c>
      <c r="I6" s="15">
        <v>78</v>
      </c>
      <c r="J6" s="15">
        <v>55</v>
      </c>
      <c r="K6" s="15">
        <v>28</v>
      </c>
      <c r="L6" s="15">
        <v>5</v>
      </c>
      <c r="M6" s="73">
        <v>30.03</v>
      </c>
      <c r="N6" s="104">
        <v>30.03</v>
      </c>
      <c r="O6" s="57">
        <v>7000</v>
      </c>
      <c r="P6" s="58">
        <f t="shared" si="0"/>
        <v>210210</v>
      </c>
    </row>
    <row r="7" spans="1:16" ht="28.5" customHeight="1" x14ac:dyDescent="0.2">
      <c r="A7" s="100"/>
      <c r="B7" s="100"/>
      <c r="C7" s="65" t="s">
        <v>4929</v>
      </c>
      <c r="D7" s="70" t="s">
        <v>57</v>
      </c>
      <c r="E7" s="12">
        <v>44555</v>
      </c>
      <c r="F7" s="68" t="s">
        <v>58</v>
      </c>
      <c r="G7" s="12">
        <v>44559</v>
      </c>
      <c r="H7" s="69" t="s">
        <v>4687</v>
      </c>
      <c r="I7" s="15">
        <v>52</v>
      </c>
      <c r="J7" s="15">
        <v>33</v>
      </c>
      <c r="K7" s="15">
        <v>13</v>
      </c>
      <c r="L7" s="15">
        <v>1</v>
      </c>
      <c r="M7" s="73">
        <v>5.577</v>
      </c>
      <c r="N7" s="104">
        <v>5.577</v>
      </c>
      <c r="O7" s="57">
        <v>7000</v>
      </c>
      <c r="P7" s="58">
        <f t="shared" si="0"/>
        <v>39039</v>
      </c>
    </row>
    <row r="8" spans="1:16" ht="28.5" customHeight="1" x14ac:dyDescent="0.2">
      <c r="A8" s="100"/>
      <c r="B8" s="100"/>
      <c r="C8" s="65" t="s">
        <v>4930</v>
      </c>
      <c r="D8" s="70" t="s">
        <v>57</v>
      </c>
      <c r="E8" s="12">
        <v>44555</v>
      </c>
      <c r="F8" s="68" t="s">
        <v>58</v>
      </c>
      <c r="G8" s="12">
        <v>44559</v>
      </c>
      <c r="H8" s="69" t="s">
        <v>4687</v>
      </c>
      <c r="I8" s="15">
        <v>82</v>
      </c>
      <c r="J8" s="15">
        <v>60</v>
      </c>
      <c r="K8" s="15">
        <v>15</v>
      </c>
      <c r="L8" s="15">
        <v>8</v>
      </c>
      <c r="M8" s="73">
        <v>18.45</v>
      </c>
      <c r="N8" s="104">
        <v>19</v>
      </c>
      <c r="O8" s="57">
        <v>7000</v>
      </c>
      <c r="P8" s="58">
        <f t="shared" si="0"/>
        <v>133000</v>
      </c>
    </row>
    <row r="9" spans="1:16" ht="28.5" customHeight="1" x14ac:dyDescent="0.2">
      <c r="A9" s="100"/>
      <c r="B9" s="100"/>
      <c r="C9" s="65" t="s">
        <v>4931</v>
      </c>
      <c r="D9" s="70" t="s">
        <v>57</v>
      </c>
      <c r="E9" s="12">
        <v>44555</v>
      </c>
      <c r="F9" s="68" t="s">
        <v>58</v>
      </c>
      <c r="G9" s="12">
        <v>44559</v>
      </c>
      <c r="H9" s="69" t="s">
        <v>4687</v>
      </c>
      <c r="I9" s="15">
        <v>38</v>
      </c>
      <c r="J9" s="15">
        <v>42</v>
      </c>
      <c r="K9" s="15">
        <v>10</v>
      </c>
      <c r="L9" s="15">
        <v>1</v>
      </c>
      <c r="M9" s="73">
        <v>3.99</v>
      </c>
      <c r="N9" s="104">
        <v>3.99</v>
      </c>
      <c r="O9" s="57">
        <v>7000</v>
      </c>
      <c r="P9" s="58">
        <f t="shared" si="0"/>
        <v>27930</v>
      </c>
    </row>
    <row r="10" spans="1:16" ht="28.5" customHeight="1" x14ac:dyDescent="0.2">
      <c r="A10" s="100"/>
      <c r="B10" s="100"/>
      <c r="C10" s="65" t="s">
        <v>4932</v>
      </c>
      <c r="D10" s="70" t="s">
        <v>57</v>
      </c>
      <c r="E10" s="12">
        <v>44555</v>
      </c>
      <c r="F10" s="68" t="s">
        <v>58</v>
      </c>
      <c r="G10" s="12">
        <v>44559</v>
      </c>
      <c r="H10" s="69" t="s">
        <v>4687</v>
      </c>
      <c r="I10" s="15">
        <v>36</v>
      </c>
      <c r="J10" s="15">
        <v>47</v>
      </c>
      <c r="K10" s="15">
        <v>10</v>
      </c>
      <c r="L10" s="15">
        <v>1</v>
      </c>
      <c r="M10" s="73">
        <v>4.2300000000000004</v>
      </c>
      <c r="N10" s="104">
        <v>4.2300000000000004</v>
      </c>
      <c r="O10" s="57">
        <v>7000</v>
      </c>
      <c r="P10" s="58">
        <f t="shared" si="0"/>
        <v>29610.000000000004</v>
      </c>
    </row>
    <row r="11" spans="1:16" ht="28.5" customHeight="1" x14ac:dyDescent="0.2">
      <c r="A11" s="100"/>
      <c r="B11" s="100"/>
      <c r="C11" s="65" t="s">
        <v>4933</v>
      </c>
      <c r="D11" s="70" t="s">
        <v>57</v>
      </c>
      <c r="E11" s="12">
        <v>44555</v>
      </c>
      <c r="F11" s="68" t="s">
        <v>58</v>
      </c>
      <c r="G11" s="12">
        <v>44559</v>
      </c>
      <c r="H11" s="69" t="s">
        <v>4687</v>
      </c>
      <c r="I11" s="15">
        <v>105</v>
      </c>
      <c r="J11" s="15">
        <v>90</v>
      </c>
      <c r="K11" s="15">
        <v>45</v>
      </c>
      <c r="L11" s="15">
        <v>24</v>
      </c>
      <c r="M11" s="73">
        <v>106.3125</v>
      </c>
      <c r="N11" s="104">
        <v>107</v>
      </c>
      <c r="O11" s="57">
        <v>7000</v>
      </c>
      <c r="P11" s="58">
        <f t="shared" si="0"/>
        <v>749000</v>
      </c>
    </row>
    <row r="12" spans="1:16" ht="28.5" customHeight="1" x14ac:dyDescent="0.2">
      <c r="A12" s="100"/>
      <c r="B12" s="100"/>
      <c r="C12" s="65" t="s">
        <v>4934</v>
      </c>
      <c r="D12" s="70" t="s">
        <v>57</v>
      </c>
      <c r="E12" s="12">
        <v>44555</v>
      </c>
      <c r="F12" s="68" t="s">
        <v>58</v>
      </c>
      <c r="G12" s="12">
        <v>44559</v>
      </c>
      <c r="H12" s="69" t="s">
        <v>4687</v>
      </c>
      <c r="I12" s="15">
        <v>55</v>
      </c>
      <c r="J12" s="15">
        <v>40</v>
      </c>
      <c r="K12" s="15">
        <v>10</v>
      </c>
      <c r="L12" s="15">
        <v>1</v>
      </c>
      <c r="M12" s="73">
        <v>5.5</v>
      </c>
      <c r="N12" s="104">
        <v>7</v>
      </c>
      <c r="O12" s="57">
        <v>7000</v>
      </c>
      <c r="P12" s="58">
        <f t="shared" si="0"/>
        <v>49000</v>
      </c>
    </row>
    <row r="13" spans="1:16" ht="28.5" customHeight="1" x14ac:dyDescent="0.2">
      <c r="A13" s="100"/>
      <c r="B13" s="100"/>
      <c r="C13" s="65" t="s">
        <v>4935</v>
      </c>
      <c r="D13" s="70" t="s">
        <v>57</v>
      </c>
      <c r="E13" s="12">
        <v>44555</v>
      </c>
      <c r="F13" s="68" t="s">
        <v>58</v>
      </c>
      <c r="G13" s="12">
        <v>44559</v>
      </c>
      <c r="H13" s="69" t="s">
        <v>4687</v>
      </c>
      <c r="I13" s="15">
        <v>49</v>
      </c>
      <c r="J13" s="15">
        <v>49</v>
      </c>
      <c r="K13" s="15">
        <v>17</v>
      </c>
      <c r="L13" s="15">
        <v>8</v>
      </c>
      <c r="M13" s="73">
        <v>10.20425</v>
      </c>
      <c r="N13" s="104">
        <v>10.20425</v>
      </c>
      <c r="O13" s="57">
        <v>7000</v>
      </c>
      <c r="P13" s="58">
        <f t="shared" si="0"/>
        <v>71429.75</v>
      </c>
    </row>
    <row r="14" spans="1:16" ht="28.5" customHeight="1" x14ac:dyDescent="0.2">
      <c r="A14" s="100"/>
      <c r="B14" s="100"/>
      <c r="C14" s="65" t="s">
        <v>4936</v>
      </c>
      <c r="D14" s="70" t="s">
        <v>57</v>
      </c>
      <c r="E14" s="12">
        <v>44555</v>
      </c>
      <c r="F14" s="68" t="s">
        <v>58</v>
      </c>
      <c r="G14" s="12">
        <v>44559</v>
      </c>
      <c r="H14" s="69" t="s">
        <v>4687</v>
      </c>
      <c r="I14" s="15">
        <v>52</v>
      </c>
      <c r="J14" s="15">
        <v>27</v>
      </c>
      <c r="K14" s="15">
        <v>13</v>
      </c>
      <c r="L14" s="15">
        <v>1</v>
      </c>
      <c r="M14" s="73">
        <v>4.5629999999999997</v>
      </c>
      <c r="N14" s="104">
        <v>4.5629999999999997</v>
      </c>
      <c r="O14" s="57">
        <v>7000</v>
      </c>
      <c r="P14" s="58">
        <f t="shared" si="0"/>
        <v>31940.999999999996</v>
      </c>
    </row>
    <row r="15" spans="1:16" ht="28.5" customHeight="1" x14ac:dyDescent="0.2">
      <c r="A15" s="100"/>
      <c r="B15" s="100"/>
      <c r="C15" s="65" t="s">
        <v>4937</v>
      </c>
      <c r="D15" s="70" t="s">
        <v>57</v>
      </c>
      <c r="E15" s="12">
        <v>44555</v>
      </c>
      <c r="F15" s="68" t="s">
        <v>58</v>
      </c>
      <c r="G15" s="12">
        <v>44559</v>
      </c>
      <c r="H15" s="69" t="s">
        <v>4687</v>
      </c>
      <c r="I15" s="15">
        <v>92</v>
      </c>
      <c r="J15" s="15">
        <v>65</v>
      </c>
      <c r="K15" s="15">
        <v>25</v>
      </c>
      <c r="L15" s="15">
        <v>13</v>
      </c>
      <c r="M15" s="73">
        <v>37.375</v>
      </c>
      <c r="N15" s="104">
        <v>38</v>
      </c>
      <c r="O15" s="57">
        <v>7000</v>
      </c>
      <c r="P15" s="58">
        <f t="shared" si="0"/>
        <v>266000</v>
      </c>
    </row>
    <row r="16" spans="1:16" ht="28.5" customHeight="1" x14ac:dyDescent="0.2">
      <c r="A16" s="100"/>
      <c r="B16" s="100"/>
      <c r="C16" s="65" t="s">
        <v>4938</v>
      </c>
      <c r="D16" s="70" t="s">
        <v>57</v>
      </c>
      <c r="E16" s="12">
        <v>44555</v>
      </c>
      <c r="F16" s="68" t="s">
        <v>58</v>
      </c>
      <c r="G16" s="12">
        <v>44559</v>
      </c>
      <c r="H16" s="69" t="s">
        <v>4687</v>
      </c>
      <c r="I16" s="15">
        <v>57</v>
      </c>
      <c r="J16" s="15">
        <v>33</v>
      </c>
      <c r="K16" s="15">
        <v>25</v>
      </c>
      <c r="L16" s="15">
        <v>2</v>
      </c>
      <c r="M16" s="73">
        <v>11.75625</v>
      </c>
      <c r="N16" s="104">
        <v>11.75625</v>
      </c>
      <c r="O16" s="57">
        <v>7000</v>
      </c>
      <c r="P16" s="58">
        <f t="shared" si="0"/>
        <v>82293.75</v>
      </c>
    </row>
    <row r="17" spans="1:16" ht="28.5" customHeight="1" x14ac:dyDescent="0.2">
      <c r="A17" s="100"/>
      <c r="B17" s="100"/>
      <c r="C17" s="65" t="s">
        <v>4939</v>
      </c>
      <c r="D17" s="70" t="s">
        <v>57</v>
      </c>
      <c r="E17" s="12">
        <v>44555</v>
      </c>
      <c r="F17" s="68" t="s">
        <v>58</v>
      </c>
      <c r="G17" s="12">
        <v>44559</v>
      </c>
      <c r="H17" s="69" t="s">
        <v>4687</v>
      </c>
      <c r="I17" s="15">
        <v>45</v>
      </c>
      <c r="J17" s="15">
        <v>35</v>
      </c>
      <c r="K17" s="15">
        <v>20</v>
      </c>
      <c r="L17" s="15">
        <v>12</v>
      </c>
      <c r="M17" s="73">
        <v>7.875</v>
      </c>
      <c r="N17" s="104">
        <v>12</v>
      </c>
      <c r="O17" s="57">
        <v>7000</v>
      </c>
      <c r="P17" s="58">
        <f t="shared" si="0"/>
        <v>84000</v>
      </c>
    </row>
    <row r="18" spans="1:16" ht="28.5" customHeight="1" x14ac:dyDescent="0.2">
      <c r="A18" s="100"/>
      <c r="B18" s="100"/>
      <c r="C18" s="65" t="s">
        <v>4940</v>
      </c>
      <c r="D18" s="70" t="s">
        <v>57</v>
      </c>
      <c r="E18" s="12">
        <v>44555</v>
      </c>
      <c r="F18" s="68" t="s">
        <v>58</v>
      </c>
      <c r="G18" s="12">
        <v>44559</v>
      </c>
      <c r="H18" s="69" t="s">
        <v>4687</v>
      </c>
      <c r="I18" s="15">
        <v>66</v>
      </c>
      <c r="J18" s="15">
        <v>36</v>
      </c>
      <c r="K18" s="15">
        <v>32</v>
      </c>
      <c r="L18" s="15">
        <v>10</v>
      </c>
      <c r="M18" s="73">
        <v>19.007999999999999</v>
      </c>
      <c r="N18" s="104">
        <v>19.007999999999999</v>
      </c>
      <c r="O18" s="57">
        <v>7000</v>
      </c>
      <c r="P18" s="58">
        <f t="shared" si="0"/>
        <v>133056</v>
      </c>
    </row>
    <row r="19" spans="1:16" ht="28.5" customHeight="1" x14ac:dyDescent="0.2">
      <c r="A19" s="100"/>
      <c r="B19" s="100"/>
      <c r="C19" s="65" t="s">
        <v>4941</v>
      </c>
      <c r="D19" s="70" t="s">
        <v>57</v>
      </c>
      <c r="E19" s="12">
        <v>44555</v>
      </c>
      <c r="F19" s="68" t="s">
        <v>58</v>
      </c>
      <c r="G19" s="12">
        <v>44559</v>
      </c>
      <c r="H19" s="69" t="s">
        <v>4687</v>
      </c>
      <c r="I19" s="15">
        <v>67</v>
      </c>
      <c r="J19" s="15">
        <v>47</v>
      </c>
      <c r="K19" s="15">
        <v>28</v>
      </c>
      <c r="L19" s="15">
        <v>8</v>
      </c>
      <c r="M19" s="73">
        <v>22.042999999999999</v>
      </c>
      <c r="N19" s="104">
        <v>22.042999999999999</v>
      </c>
      <c r="O19" s="57">
        <v>7000</v>
      </c>
      <c r="P19" s="58">
        <f t="shared" si="0"/>
        <v>154301</v>
      </c>
    </row>
    <row r="20" spans="1:16" ht="28.5" customHeight="1" x14ac:dyDescent="0.2">
      <c r="A20" s="100"/>
      <c r="B20" s="100"/>
      <c r="C20" s="65" t="s">
        <v>4942</v>
      </c>
      <c r="D20" s="70" t="s">
        <v>57</v>
      </c>
      <c r="E20" s="12">
        <v>44555</v>
      </c>
      <c r="F20" s="68" t="s">
        <v>58</v>
      </c>
      <c r="G20" s="12">
        <v>44559</v>
      </c>
      <c r="H20" s="69" t="s">
        <v>4687</v>
      </c>
      <c r="I20" s="15">
        <v>47</v>
      </c>
      <c r="J20" s="15">
        <v>40</v>
      </c>
      <c r="K20" s="15">
        <v>12</v>
      </c>
      <c r="L20" s="15">
        <v>1</v>
      </c>
      <c r="M20" s="73">
        <v>5.64</v>
      </c>
      <c r="N20" s="104">
        <v>5.64</v>
      </c>
      <c r="O20" s="57">
        <v>7000</v>
      </c>
      <c r="P20" s="58">
        <f t="shared" si="0"/>
        <v>39480</v>
      </c>
    </row>
    <row r="21" spans="1:16" ht="28.5" customHeight="1" x14ac:dyDescent="0.2">
      <c r="A21" s="100"/>
      <c r="B21" s="100"/>
      <c r="C21" s="65" t="s">
        <v>4943</v>
      </c>
      <c r="D21" s="70" t="s">
        <v>57</v>
      </c>
      <c r="E21" s="12">
        <v>44555</v>
      </c>
      <c r="F21" s="68" t="s">
        <v>58</v>
      </c>
      <c r="G21" s="12">
        <v>44559</v>
      </c>
      <c r="H21" s="69" t="s">
        <v>4687</v>
      </c>
      <c r="I21" s="15">
        <v>53</v>
      </c>
      <c r="J21" s="15">
        <v>34</v>
      </c>
      <c r="K21" s="15">
        <v>15</v>
      </c>
      <c r="L21" s="15">
        <v>4</v>
      </c>
      <c r="M21" s="73">
        <v>6.7575000000000003</v>
      </c>
      <c r="N21" s="104">
        <v>6.7575000000000003</v>
      </c>
      <c r="O21" s="57">
        <v>7000</v>
      </c>
      <c r="P21" s="58">
        <f t="shared" si="0"/>
        <v>47302.5</v>
      </c>
    </row>
    <row r="22" spans="1:16" ht="28.5" customHeight="1" x14ac:dyDescent="0.2">
      <c r="A22" s="100"/>
      <c r="B22" s="100"/>
      <c r="C22" s="65" t="s">
        <v>4944</v>
      </c>
      <c r="D22" s="70" t="s">
        <v>57</v>
      </c>
      <c r="E22" s="12">
        <v>44555</v>
      </c>
      <c r="F22" s="68" t="s">
        <v>58</v>
      </c>
      <c r="G22" s="12">
        <v>44559</v>
      </c>
      <c r="H22" s="69" t="s">
        <v>4687</v>
      </c>
      <c r="I22" s="15">
        <v>99</v>
      </c>
      <c r="J22" s="15">
        <v>62</v>
      </c>
      <c r="K22" s="15">
        <v>30</v>
      </c>
      <c r="L22" s="15">
        <v>8</v>
      </c>
      <c r="M22" s="73">
        <v>46.034999999999997</v>
      </c>
      <c r="N22" s="104">
        <v>46.034999999999997</v>
      </c>
      <c r="O22" s="57">
        <v>7000</v>
      </c>
      <c r="P22" s="58">
        <f t="shared" si="0"/>
        <v>322245</v>
      </c>
    </row>
    <row r="23" spans="1:16" ht="28.5" customHeight="1" x14ac:dyDescent="0.2">
      <c r="A23" s="100"/>
      <c r="B23" s="100"/>
      <c r="C23" s="65" t="s">
        <v>4945</v>
      </c>
      <c r="D23" s="70" t="s">
        <v>57</v>
      </c>
      <c r="E23" s="12">
        <v>44555</v>
      </c>
      <c r="F23" s="68" t="s">
        <v>58</v>
      </c>
      <c r="G23" s="12">
        <v>44559</v>
      </c>
      <c r="H23" s="69" t="s">
        <v>4687</v>
      </c>
      <c r="I23" s="15">
        <v>105</v>
      </c>
      <c r="J23" s="15">
        <v>65</v>
      </c>
      <c r="K23" s="15">
        <v>28</v>
      </c>
      <c r="L23" s="15">
        <v>27</v>
      </c>
      <c r="M23" s="73">
        <v>47.774999999999999</v>
      </c>
      <c r="N23" s="104">
        <v>47.774999999999999</v>
      </c>
      <c r="O23" s="57">
        <v>7000</v>
      </c>
      <c r="P23" s="58">
        <f t="shared" si="0"/>
        <v>334425</v>
      </c>
    </row>
    <row r="24" spans="1:16" ht="28.5" customHeight="1" x14ac:dyDescent="0.2">
      <c r="A24" s="100"/>
      <c r="B24" s="100"/>
      <c r="C24" s="65" t="s">
        <v>4946</v>
      </c>
      <c r="D24" s="70" t="s">
        <v>57</v>
      </c>
      <c r="E24" s="12">
        <v>44555</v>
      </c>
      <c r="F24" s="68" t="s">
        <v>58</v>
      </c>
      <c r="G24" s="12">
        <v>44559</v>
      </c>
      <c r="H24" s="69" t="s">
        <v>4687</v>
      </c>
      <c r="I24" s="15">
        <v>105</v>
      </c>
      <c r="J24" s="15">
        <v>62</v>
      </c>
      <c r="K24" s="15">
        <v>18</v>
      </c>
      <c r="L24" s="15">
        <v>22</v>
      </c>
      <c r="M24" s="73">
        <v>29.295000000000002</v>
      </c>
      <c r="N24" s="104">
        <v>30</v>
      </c>
      <c r="O24" s="57">
        <v>7000</v>
      </c>
      <c r="P24" s="58">
        <f t="shared" si="0"/>
        <v>210000</v>
      </c>
    </row>
    <row r="25" spans="1:16" ht="28.5" customHeight="1" x14ac:dyDescent="0.2">
      <c r="A25" s="100"/>
      <c r="B25" s="100"/>
      <c r="C25" s="65" t="s">
        <v>4947</v>
      </c>
      <c r="D25" s="70" t="s">
        <v>57</v>
      </c>
      <c r="E25" s="12">
        <v>44555</v>
      </c>
      <c r="F25" s="68" t="s">
        <v>58</v>
      </c>
      <c r="G25" s="12">
        <v>44559</v>
      </c>
      <c r="H25" s="69" t="s">
        <v>4687</v>
      </c>
      <c r="I25" s="15">
        <v>63</v>
      </c>
      <c r="J25" s="15">
        <v>55</v>
      </c>
      <c r="K25" s="15">
        <v>20</v>
      </c>
      <c r="L25" s="15">
        <v>6</v>
      </c>
      <c r="M25" s="73">
        <v>17.324999999999999</v>
      </c>
      <c r="N25" s="104">
        <v>18</v>
      </c>
      <c r="O25" s="57">
        <v>7000</v>
      </c>
      <c r="P25" s="58">
        <f t="shared" si="0"/>
        <v>126000</v>
      </c>
    </row>
    <row r="26" spans="1:16" ht="28.5" customHeight="1" x14ac:dyDescent="0.2">
      <c r="A26" s="100"/>
      <c r="B26" s="101"/>
      <c r="C26" s="65" t="s">
        <v>4948</v>
      </c>
      <c r="D26" s="70" t="s">
        <v>57</v>
      </c>
      <c r="E26" s="12">
        <v>44555</v>
      </c>
      <c r="F26" s="68" t="s">
        <v>58</v>
      </c>
      <c r="G26" s="12">
        <v>44559</v>
      </c>
      <c r="H26" s="69" t="s">
        <v>4687</v>
      </c>
      <c r="I26" s="15">
        <v>55</v>
      </c>
      <c r="J26" s="15">
        <v>52</v>
      </c>
      <c r="K26" s="15">
        <v>13</v>
      </c>
      <c r="L26" s="15">
        <v>2</v>
      </c>
      <c r="M26" s="73">
        <v>9.2949999999999999</v>
      </c>
      <c r="N26" s="104">
        <v>10</v>
      </c>
      <c r="O26" s="57">
        <v>7000</v>
      </c>
      <c r="P26" s="58">
        <f t="shared" si="0"/>
        <v>70000</v>
      </c>
    </row>
    <row r="27" spans="1:16" ht="28.5" customHeight="1" x14ac:dyDescent="0.2">
      <c r="A27" s="100"/>
      <c r="B27" s="100" t="s">
        <v>4949</v>
      </c>
      <c r="C27" s="65" t="s">
        <v>4950</v>
      </c>
      <c r="D27" s="70" t="s">
        <v>57</v>
      </c>
      <c r="E27" s="12">
        <v>44555</v>
      </c>
      <c r="F27" s="68" t="s">
        <v>58</v>
      </c>
      <c r="G27" s="12">
        <v>44559</v>
      </c>
      <c r="H27" s="69" t="s">
        <v>4687</v>
      </c>
      <c r="I27" s="15">
        <v>27</v>
      </c>
      <c r="J27" s="15">
        <v>40</v>
      </c>
      <c r="K27" s="15">
        <v>10</v>
      </c>
      <c r="L27" s="15">
        <v>2</v>
      </c>
      <c r="M27" s="73">
        <v>2.7</v>
      </c>
      <c r="N27" s="104">
        <v>2.7</v>
      </c>
      <c r="O27" s="57">
        <v>7000</v>
      </c>
      <c r="P27" s="58">
        <f t="shared" si="0"/>
        <v>18900</v>
      </c>
    </row>
    <row r="28" spans="1:16" ht="22.5" customHeight="1" x14ac:dyDescent="0.2">
      <c r="A28" s="159" t="s">
        <v>30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1"/>
      <c r="M28" s="71">
        <f>SUBTOTAL(109,Table22457891011234567891011121314151617181920212223242526272829303132333435373839404142434445464748495051525354555657585960616263646566676869707172737475767778[KG VOLUME])</f>
        <v>534.73849999999993</v>
      </c>
      <c r="N28" s="61">
        <f>SUM(N3:N27)</f>
        <v>544.31100000000004</v>
      </c>
      <c r="O28" s="162">
        <f>SUM(P3:P27)</f>
        <v>3810177</v>
      </c>
      <c r="P28" s="163"/>
    </row>
    <row r="29" spans="1:16" ht="18" customHeight="1" x14ac:dyDescent="0.2">
      <c r="A29" s="78"/>
      <c r="B29" s="49" t="s">
        <v>42</v>
      </c>
      <c r="C29" s="48"/>
      <c r="D29" s="50" t="s">
        <v>43</v>
      </c>
      <c r="E29" s="78"/>
      <c r="F29" s="78"/>
      <c r="G29" s="78"/>
      <c r="H29" s="78"/>
      <c r="I29" s="78"/>
      <c r="J29" s="78"/>
      <c r="K29" s="78"/>
      <c r="L29" s="78"/>
      <c r="M29" s="79"/>
      <c r="N29" s="80" t="s">
        <v>52</v>
      </c>
      <c r="O29" s="81"/>
      <c r="P29" s="81">
        <v>0</v>
      </c>
    </row>
    <row r="30" spans="1:16" ht="18" customHeight="1" thickBot="1" x14ac:dyDescent="0.25">
      <c r="A30" s="78"/>
      <c r="B30" s="49"/>
      <c r="C30" s="48"/>
      <c r="D30" s="50"/>
      <c r="E30" s="78"/>
      <c r="F30" s="78"/>
      <c r="G30" s="78"/>
      <c r="H30" s="78"/>
      <c r="I30" s="78"/>
      <c r="J30" s="78"/>
      <c r="K30" s="78"/>
      <c r="L30" s="78"/>
      <c r="M30" s="79"/>
      <c r="N30" s="82" t="s">
        <v>53</v>
      </c>
      <c r="O30" s="83"/>
      <c r="P30" s="83">
        <f>O28-P29</f>
        <v>3810177</v>
      </c>
    </row>
    <row r="31" spans="1:16" ht="18" customHeight="1" x14ac:dyDescent="0.2">
      <c r="A31" s="10"/>
      <c r="H31" s="56"/>
      <c r="N31" s="55" t="s">
        <v>31</v>
      </c>
      <c r="P31" s="62">
        <f>P30*1%</f>
        <v>38101.770000000004</v>
      </c>
    </row>
    <row r="32" spans="1:16" ht="18" customHeight="1" thickBot="1" x14ac:dyDescent="0.25">
      <c r="A32" s="10"/>
      <c r="H32" s="56"/>
      <c r="N32" s="55" t="s">
        <v>54</v>
      </c>
      <c r="P32" s="64">
        <f>P30*2%</f>
        <v>76203.540000000008</v>
      </c>
    </row>
    <row r="33" spans="1:16" ht="18" customHeight="1" x14ac:dyDescent="0.2">
      <c r="A33" s="10"/>
      <c r="H33" s="56"/>
      <c r="N33" s="59" t="s">
        <v>32</v>
      </c>
      <c r="O33" s="60"/>
      <c r="P33" s="63">
        <f>P30+P31-P32</f>
        <v>3772075.23</v>
      </c>
    </row>
    <row r="35" spans="1:16" x14ac:dyDescent="0.2">
      <c r="A35" s="10"/>
      <c r="H35" s="56"/>
      <c r="P35" s="64"/>
    </row>
    <row r="36" spans="1:16" x14ac:dyDescent="0.2">
      <c r="A36" s="10"/>
      <c r="H36" s="56"/>
      <c r="O36" s="51"/>
      <c r="P36" s="6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</sheetData>
  <mergeCells count="2">
    <mergeCell ref="A28:L28"/>
    <mergeCell ref="O28:P28"/>
  </mergeCells>
  <conditionalFormatting sqref="C3:C27">
    <cfRule type="duplicateValues" dxfId="367" priority="10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topLeftCell="A25" workbookViewId="0">
      <selection activeCell="H35" sqref="H3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403931</v>
      </c>
      <c r="B3" s="99" t="s">
        <v>4951</v>
      </c>
      <c r="C3" s="90" t="s">
        <v>4952</v>
      </c>
      <c r="D3" s="102" t="s">
        <v>57</v>
      </c>
      <c r="E3" s="91">
        <v>44555</v>
      </c>
      <c r="F3" s="102" t="s">
        <v>58</v>
      </c>
      <c r="G3" s="91">
        <v>44559</v>
      </c>
      <c r="H3" s="90" t="s">
        <v>4687</v>
      </c>
      <c r="I3" s="90">
        <v>63</v>
      </c>
      <c r="J3" s="90">
        <v>42</v>
      </c>
      <c r="K3" s="90">
        <v>22</v>
      </c>
      <c r="L3" s="90">
        <v>8</v>
      </c>
      <c r="M3" s="90">
        <v>14.553000000000001</v>
      </c>
      <c r="N3" s="104">
        <v>14.553000000000001</v>
      </c>
      <c r="O3" s="57">
        <v>7000</v>
      </c>
      <c r="P3" s="58">
        <f t="shared" ref="P3:P33" si="0">N3*O3</f>
        <v>101871</v>
      </c>
    </row>
    <row r="4" spans="1:16" ht="26.25" customHeight="1" x14ac:dyDescent="0.2">
      <c r="A4" s="100"/>
      <c r="B4" s="100"/>
      <c r="C4" s="90" t="s">
        <v>4953</v>
      </c>
      <c r="D4" s="102" t="s">
        <v>57</v>
      </c>
      <c r="E4" s="91">
        <v>44555</v>
      </c>
      <c r="F4" s="102" t="s">
        <v>58</v>
      </c>
      <c r="G4" s="91">
        <v>44559</v>
      </c>
      <c r="H4" s="90" t="s">
        <v>4687</v>
      </c>
      <c r="I4" s="90">
        <v>80</v>
      </c>
      <c r="J4" s="90">
        <v>40</v>
      </c>
      <c r="K4" s="90">
        <v>22</v>
      </c>
      <c r="L4" s="90">
        <v>9</v>
      </c>
      <c r="M4" s="90">
        <v>17.600000000000001</v>
      </c>
      <c r="N4" s="104">
        <v>17.600000000000001</v>
      </c>
      <c r="O4" s="57">
        <v>7000</v>
      </c>
      <c r="P4" s="58">
        <f t="shared" si="0"/>
        <v>123200.00000000001</v>
      </c>
    </row>
    <row r="5" spans="1:16" ht="26.25" customHeight="1" x14ac:dyDescent="0.2">
      <c r="A5" s="100"/>
      <c r="B5" s="100"/>
      <c r="C5" s="90" t="s">
        <v>4954</v>
      </c>
      <c r="D5" s="102" t="s">
        <v>57</v>
      </c>
      <c r="E5" s="91">
        <v>44555</v>
      </c>
      <c r="F5" s="102" t="s">
        <v>58</v>
      </c>
      <c r="G5" s="91">
        <v>44559</v>
      </c>
      <c r="H5" s="90" t="s">
        <v>4687</v>
      </c>
      <c r="I5" s="90">
        <v>30</v>
      </c>
      <c r="J5" s="90">
        <v>20</v>
      </c>
      <c r="K5" s="90">
        <v>10</v>
      </c>
      <c r="L5" s="90">
        <v>1</v>
      </c>
      <c r="M5" s="90">
        <v>1.5</v>
      </c>
      <c r="N5" s="104">
        <v>3</v>
      </c>
      <c r="O5" s="57">
        <v>7000</v>
      </c>
      <c r="P5" s="58">
        <f t="shared" si="0"/>
        <v>21000</v>
      </c>
    </row>
    <row r="6" spans="1:16" ht="26.25" customHeight="1" x14ac:dyDescent="0.2">
      <c r="A6" s="100"/>
      <c r="B6" s="100"/>
      <c r="C6" s="90" t="s">
        <v>4955</v>
      </c>
      <c r="D6" s="102" t="s">
        <v>57</v>
      </c>
      <c r="E6" s="91">
        <v>44555</v>
      </c>
      <c r="F6" s="102" t="s">
        <v>58</v>
      </c>
      <c r="G6" s="91">
        <v>44559</v>
      </c>
      <c r="H6" s="90" t="s">
        <v>4687</v>
      </c>
      <c r="I6" s="90">
        <v>90</v>
      </c>
      <c r="J6" s="90">
        <v>50</v>
      </c>
      <c r="K6" s="90">
        <v>32</v>
      </c>
      <c r="L6" s="90">
        <v>18</v>
      </c>
      <c r="M6" s="90">
        <v>36</v>
      </c>
      <c r="N6" s="104">
        <v>36</v>
      </c>
      <c r="O6" s="57">
        <v>7000</v>
      </c>
      <c r="P6" s="58">
        <f t="shared" si="0"/>
        <v>252000</v>
      </c>
    </row>
    <row r="7" spans="1:16" ht="26.25" customHeight="1" x14ac:dyDescent="0.2">
      <c r="A7" s="100"/>
      <c r="B7" s="100"/>
      <c r="C7" s="65" t="s">
        <v>4956</v>
      </c>
      <c r="D7" s="70" t="s">
        <v>57</v>
      </c>
      <c r="E7" s="12">
        <v>44555</v>
      </c>
      <c r="F7" s="68" t="s">
        <v>58</v>
      </c>
      <c r="G7" s="12">
        <v>44559</v>
      </c>
      <c r="H7" s="69" t="s">
        <v>4687</v>
      </c>
      <c r="I7" s="15">
        <v>42</v>
      </c>
      <c r="J7" s="15">
        <v>41</v>
      </c>
      <c r="K7" s="15">
        <v>23</v>
      </c>
      <c r="L7" s="15">
        <v>1</v>
      </c>
      <c r="M7" s="73">
        <v>9.9015000000000004</v>
      </c>
      <c r="N7" s="104">
        <v>9.9015000000000004</v>
      </c>
      <c r="O7" s="57">
        <v>7000</v>
      </c>
      <c r="P7" s="58">
        <f t="shared" si="0"/>
        <v>69310.5</v>
      </c>
    </row>
    <row r="8" spans="1:16" ht="26.25" customHeight="1" x14ac:dyDescent="0.2">
      <c r="A8" s="100"/>
      <c r="B8" s="100"/>
      <c r="C8" s="65" t="s">
        <v>4957</v>
      </c>
      <c r="D8" s="70" t="s">
        <v>57</v>
      </c>
      <c r="E8" s="12">
        <v>44555</v>
      </c>
      <c r="F8" s="68" t="s">
        <v>58</v>
      </c>
      <c r="G8" s="12">
        <v>44559</v>
      </c>
      <c r="H8" s="69" t="s">
        <v>4687</v>
      </c>
      <c r="I8" s="15">
        <v>20</v>
      </c>
      <c r="J8" s="15">
        <v>20</v>
      </c>
      <c r="K8" s="15">
        <v>5</v>
      </c>
      <c r="L8" s="15">
        <v>1</v>
      </c>
      <c r="M8" s="73">
        <v>0.5</v>
      </c>
      <c r="N8" s="104">
        <v>2</v>
      </c>
      <c r="O8" s="57">
        <v>7000</v>
      </c>
      <c r="P8" s="58">
        <f t="shared" si="0"/>
        <v>14000</v>
      </c>
    </row>
    <row r="9" spans="1:16" ht="26.25" customHeight="1" x14ac:dyDescent="0.2">
      <c r="A9" s="100"/>
      <c r="B9" s="100"/>
      <c r="C9" s="65" t="s">
        <v>4958</v>
      </c>
      <c r="D9" s="70" t="s">
        <v>57</v>
      </c>
      <c r="E9" s="12">
        <v>44555</v>
      </c>
      <c r="F9" s="68" t="s">
        <v>58</v>
      </c>
      <c r="G9" s="12">
        <v>44559</v>
      </c>
      <c r="H9" s="69" t="s">
        <v>4687</v>
      </c>
      <c r="I9" s="15">
        <v>30</v>
      </c>
      <c r="J9" s="15">
        <v>15</v>
      </c>
      <c r="K9" s="15">
        <v>11</v>
      </c>
      <c r="L9" s="15">
        <v>1</v>
      </c>
      <c r="M9" s="73">
        <v>1.2375</v>
      </c>
      <c r="N9" s="104">
        <v>1.2375</v>
      </c>
      <c r="O9" s="57">
        <v>7000</v>
      </c>
      <c r="P9" s="58">
        <f t="shared" si="0"/>
        <v>8662.5</v>
      </c>
    </row>
    <row r="10" spans="1:16" ht="26.25" customHeight="1" x14ac:dyDescent="0.2">
      <c r="A10" s="100"/>
      <c r="B10" s="100"/>
      <c r="C10" s="65" t="s">
        <v>4959</v>
      </c>
      <c r="D10" s="70" t="s">
        <v>57</v>
      </c>
      <c r="E10" s="12">
        <v>44555</v>
      </c>
      <c r="F10" s="68" t="s">
        <v>58</v>
      </c>
      <c r="G10" s="12">
        <v>44559</v>
      </c>
      <c r="H10" s="69" t="s">
        <v>4687</v>
      </c>
      <c r="I10" s="15">
        <v>50</v>
      </c>
      <c r="J10" s="15">
        <v>40</v>
      </c>
      <c r="K10" s="15">
        <v>12</v>
      </c>
      <c r="L10" s="15">
        <v>11</v>
      </c>
      <c r="M10" s="73">
        <v>6</v>
      </c>
      <c r="N10" s="104">
        <v>11</v>
      </c>
      <c r="O10" s="57">
        <v>7000</v>
      </c>
      <c r="P10" s="58">
        <f t="shared" si="0"/>
        <v>77000</v>
      </c>
    </row>
    <row r="11" spans="1:16" ht="26.25" customHeight="1" x14ac:dyDescent="0.2">
      <c r="A11" s="100"/>
      <c r="B11" s="100"/>
      <c r="C11" s="65" t="s">
        <v>4960</v>
      </c>
      <c r="D11" s="70" t="s">
        <v>57</v>
      </c>
      <c r="E11" s="12">
        <v>44555</v>
      </c>
      <c r="F11" s="68" t="s">
        <v>58</v>
      </c>
      <c r="G11" s="12">
        <v>44559</v>
      </c>
      <c r="H11" s="69" t="s">
        <v>4687</v>
      </c>
      <c r="I11" s="15">
        <v>32</v>
      </c>
      <c r="J11" s="15">
        <v>20</v>
      </c>
      <c r="K11" s="15">
        <v>10</v>
      </c>
      <c r="L11" s="15">
        <v>1</v>
      </c>
      <c r="M11" s="73">
        <v>1.6</v>
      </c>
      <c r="N11" s="104">
        <v>1.6</v>
      </c>
      <c r="O11" s="57">
        <v>7000</v>
      </c>
      <c r="P11" s="58">
        <f t="shared" si="0"/>
        <v>11200</v>
      </c>
    </row>
    <row r="12" spans="1:16" ht="26.25" customHeight="1" x14ac:dyDescent="0.2">
      <c r="A12" s="100"/>
      <c r="B12" s="100"/>
      <c r="C12" s="65" t="s">
        <v>4961</v>
      </c>
      <c r="D12" s="70" t="s">
        <v>57</v>
      </c>
      <c r="E12" s="12">
        <v>44555</v>
      </c>
      <c r="F12" s="68" t="s">
        <v>58</v>
      </c>
      <c r="G12" s="12">
        <v>44559</v>
      </c>
      <c r="H12" s="69" t="s">
        <v>4687</v>
      </c>
      <c r="I12" s="15">
        <v>40</v>
      </c>
      <c r="J12" s="15">
        <v>34</v>
      </c>
      <c r="K12" s="15">
        <v>10</v>
      </c>
      <c r="L12" s="15">
        <v>3</v>
      </c>
      <c r="M12" s="73">
        <v>3.4</v>
      </c>
      <c r="N12" s="104">
        <v>4</v>
      </c>
      <c r="O12" s="57">
        <v>7000</v>
      </c>
      <c r="P12" s="58">
        <f t="shared" si="0"/>
        <v>28000</v>
      </c>
    </row>
    <row r="13" spans="1:16" ht="26.25" customHeight="1" x14ac:dyDescent="0.2">
      <c r="A13" s="100"/>
      <c r="B13" s="100"/>
      <c r="C13" s="65" t="s">
        <v>4962</v>
      </c>
      <c r="D13" s="70" t="s">
        <v>57</v>
      </c>
      <c r="E13" s="12">
        <v>44555</v>
      </c>
      <c r="F13" s="68" t="s">
        <v>58</v>
      </c>
      <c r="G13" s="12">
        <v>44559</v>
      </c>
      <c r="H13" s="69" t="s">
        <v>4687</v>
      </c>
      <c r="I13" s="15">
        <v>50</v>
      </c>
      <c r="J13" s="15">
        <v>30</v>
      </c>
      <c r="K13" s="15">
        <v>11</v>
      </c>
      <c r="L13" s="15">
        <v>5</v>
      </c>
      <c r="M13" s="73">
        <v>4.125</v>
      </c>
      <c r="N13" s="104">
        <v>5</v>
      </c>
      <c r="O13" s="57">
        <v>7000</v>
      </c>
      <c r="P13" s="58">
        <f t="shared" si="0"/>
        <v>35000</v>
      </c>
    </row>
    <row r="14" spans="1:16" ht="26.25" customHeight="1" x14ac:dyDescent="0.2">
      <c r="A14" s="100"/>
      <c r="B14" s="100"/>
      <c r="C14" s="65" t="s">
        <v>4963</v>
      </c>
      <c r="D14" s="70" t="s">
        <v>57</v>
      </c>
      <c r="E14" s="12">
        <v>44555</v>
      </c>
      <c r="F14" s="68" t="s">
        <v>58</v>
      </c>
      <c r="G14" s="12">
        <v>44559</v>
      </c>
      <c r="H14" s="69" t="s">
        <v>4687</v>
      </c>
      <c r="I14" s="15">
        <v>51</v>
      </c>
      <c r="J14" s="15">
        <v>30</v>
      </c>
      <c r="K14" s="15">
        <v>10</v>
      </c>
      <c r="L14" s="15">
        <v>3</v>
      </c>
      <c r="M14" s="73">
        <v>3.8250000000000002</v>
      </c>
      <c r="N14" s="104">
        <v>3.8250000000000002</v>
      </c>
      <c r="O14" s="57">
        <v>7000</v>
      </c>
      <c r="P14" s="58">
        <f t="shared" si="0"/>
        <v>26775</v>
      </c>
    </row>
    <row r="15" spans="1:16" ht="26.25" customHeight="1" x14ac:dyDescent="0.2">
      <c r="A15" s="100"/>
      <c r="B15" s="100"/>
      <c r="C15" s="65" t="s">
        <v>4964</v>
      </c>
      <c r="D15" s="70" t="s">
        <v>57</v>
      </c>
      <c r="E15" s="12">
        <v>44555</v>
      </c>
      <c r="F15" s="68" t="s">
        <v>58</v>
      </c>
      <c r="G15" s="12">
        <v>44559</v>
      </c>
      <c r="H15" s="69" t="s">
        <v>4687</v>
      </c>
      <c r="I15" s="15">
        <v>91</v>
      </c>
      <c r="J15" s="15">
        <v>61</v>
      </c>
      <c r="K15" s="15">
        <v>40</v>
      </c>
      <c r="L15" s="15">
        <v>10</v>
      </c>
      <c r="M15" s="73">
        <v>55.51</v>
      </c>
      <c r="N15" s="104">
        <v>55.51</v>
      </c>
      <c r="O15" s="57">
        <v>7000</v>
      </c>
      <c r="P15" s="58">
        <f t="shared" si="0"/>
        <v>388570</v>
      </c>
    </row>
    <row r="16" spans="1:16" ht="26.25" customHeight="1" x14ac:dyDescent="0.2">
      <c r="A16" s="100"/>
      <c r="B16" s="100"/>
      <c r="C16" s="65" t="s">
        <v>4965</v>
      </c>
      <c r="D16" s="70" t="s">
        <v>57</v>
      </c>
      <c r="E16" s="12">
        <v>44555</v>
      </c>
      <c r="F16" s="68" t="s">
        <v>58</v>
      </c>
      <c r="G16" s="12">
        <v>44559</v>
      </c>
      <c r="H16" s="69" t="s">
        <v>4687</v>
      </c>
      <c r="I16" s="15">
        <v>36</v>
      </c>
      <c r="J16" s="15">
        <v>28</v>
      </c>
      <c r="K16" s="15">
        <v>22</v>
      </c>
      <c r="L16" s="15">
        <v>6</v>
      </c>
      <c r="M16" s="73">
        <v>5.5439999999999996</v>
      </c>
      <c r="N16" s="104">
        <v>6</v>
      </c>
      <c r="O16" s="57">
        <v>7000</v>
      </c>
      <c r="P16" s="58">
        <f t="shared" si="0"/>
        <v>42000</v>
      </c>
    </row>
    <row r="17" spans="1:16" ht="26.25" customHeight="1" x14ac:dyDescent="0.2">
      <c r="A17" s="100"/>
      <c r="B17" s="100"/>
      <c r="C17" s="65" t="s">
        <v>4966</v>
      </c>
      <c r="D17" s="70" t="s">
        <v>57</v>
      </c>
      <c r="E17" s="12">
        <v>44555</v>
      </c>
      <c r="F17" s="68" t="s">
        <v>58</v>
      </c>
      <c r="G17" s="12">
        <v>44559</v>
      </c>
      <c r="H17" s="69" t="s">
        <v>4687</v>
      </c>
      <c r="I17" s="15">
        <v>72</v>
      </c>
      <c r="J17" s="15">
        <v>53</v>
      </c>
      <c r="K17" s="15">
        <v>34</v>
      </c>
      <c r="L17" s="15">
        <v>12</v>
      </c>
      <c r="M17" s="73">
        <v>32.436</v>
      </c>
      <c r="N17" s="104">
        <v>33</v>
      </c>
      <c r="O17" s="57">
        <v>7000</v>
      </c>
      <c r="P17" s="58">
        <f t="shared" si="0"/>
        <v>231000</v>
      </c>
    </row>
    <row r="18" spans="1:16" ht="26.25" customHeight="1" x14ac:dyDescent="0.2">
      <c r="A18" s="100"/>
      <c r="B18" s="100"/>
      <c r="C18" s="65" t="s">
        <v>4967</v>
      </c>
      <c r="D18" s="70" t="s">
        <v>57</v>
      </c>
      <c r="E18" s="12">
        <v>44555</v>
      </c>
      <c r="F18" s="68" t="s">
        <v>58</v>
      </c>
      <c r="G18" s="12">
        <v>44559</v>
      </c>
      <c r="H18" s="69" t="s">
        <v>4687</v>
      </c>
      <c r="I18" s="15">
        <v>90</v>
      </c>
      <c r="J18" s="15">
        <v>33</v>
      </c>
      <c r="K18" s="15">
        <v>33</v>
      </c>
      <c r="L18" s="15">
        <v>10</v>
      </c>
      <c r="M18" s="73">
        <v>24.502500000000001</v>
      </c>
      <c r="N18" s="104">
        <v>26</v>
      </c>
      <c r="O18" s="57">
        <v>7000</v>
      </c>
      <c r="P18" s="58">
        <f t="shared" si="0"/>
        <v>182000</v>
      </c>
    </row>
    <row r="19" spans="1:16" ht="26.25" customHeight="1" x14ac:dyDescent="0.2">
      <c r="A19" s="100"/>
      <c r="B19" s="100"/>
      <c r="C19" s="65" t="s">
        <v>4968</v>
      </c>
      <c r="D19" s="70" t="s">
        <v>57</v>
      </c>
      <c r="E19" s="12">
        <v>44555</v>
      </c>
      <c r="F19" s="68" t="s">
        <v>58</v>
      </c>
      <c r="G19" s="12">
        <v>44559</v>
      </c>
      <c r="H19" s="69" t="s">
        <v>4687</v>
      </c>
      <c r="I19" s="15">
        <v>30</v>
      </c>
      <c r="J19" s="15">
        <v>20</v>
      </c>
      <c r="K19" s="15">
        <v>10</v>
      </c>
      <c r="L19" s="15">
        <v>4</v>
      </c>
      <c r="M19" s="73">
        <v>1.5</v>
      </c>
      <c r="N19" s="104">
        <v>5</v>
      </c>
      <c r="O19" s="57">
        <v>7000</v>
      </c>
      <c r="P19" s="58">
        <f t="shared" si="0"/>
        <v>35000</v>
      </c>
    </row>
    <row r="20" spans="1:16" ht="26.25" customHeight="1" x14ac:dyDescent="0.2">
      <c r="A20" s="100"/>
      <c r="B20" s="100"/>
      <c r="C20" s="65" t="s">
        <v>4969</v>
      </c>
      <c r="D20" s="70" t="s">
        <v>57</v>
      </c>
      <c r="E20" s="12">
        <v>44555</v>
      </c>
      <c r="F20" s="68" t="s">
        <v>58</v>
      </c>
      <c r="G20" s="12">
        <v>44559</v>
      </c>
      <c r="H20" s="69" t="s">
        <v>4687</v>
      </c>
      <c r="I20" s="15">
        <v>132</v>
      </c>
      <c r="J20" s="15">
        <v>23</v>
      </c>
      <c r="K20" s="15">
        <v>6</v>
      </c>
      <c r="L20" s="15">
        <v>3</v>
      </c>
      <c r="M20" s="73">
        <v>4.5540000000000003</v>
      </c>
      <c r="N20" s="104">
        <v>4.5540000000000003</v>
      </c>
      <c r="O20" s="57">
        <v>7000</v>
      </c>
      <c r="P20" s="58">
        <f t="shared" si="0"/>
        <v>31878.000000000004</v>
      </c>
    </row>
    <row r="21" spans="1:16" ht="26.25" customHeight="1" x14ac:dyDescent="0.2">
      <c r="A21" s="100"/>
      <c r="B21" s="100"/>
      <c r="C21" s="65" t="s">
        <v>4970</v>
      </c>
      <c r="D21" s="70" t="s">
        <v>57</v>
      </c>
      <c r="E21" s="12">
        <v>44555</v>
      </c>
      <c r="F21" s="68" t="s">
        <v>58</v>
      </c>
      <c r="G21" s="12">
        <v>44559</v>
      </c>
      <c r="H21" s="69" t="s">
        <v>4687</v>
      </c>
      <c r="I21" s="15">
        <v>132</v>
      </c>
      <c r="J21" s="15">
        <v>23</v>
      </c>
      <c r="K21" s="15">
        <v>6</v>
      </c>
      <c r="L21" s="15">
        <v>3</v>
      </c>
      <c r="M21" s="73">
        <v>4.5540000000000003</v>
      </c>
      <c r="N21" s="104">
        <v>4.5540000000000003</v>
      </c>
      <c r="O21" s="57">
        <v>7000</v>
      </c>
      <c r="P21" s="58">
        <f t="shared" si="0"/>
        <v>31878.000000000004</v>
      </c>
    </row>
    <row r="22" spans="1:16" ht="26.25" customHeight="1" x14ac:dyDescent="0.2">
      <c r="A22" s="100"/>
      <c r="B22" s="100"/>
      <c r="C22" s="65" t="s">
        <v>4971</v>
      </c>
      <c r="D22" s="70" t="s">
        <v>57</v>
      </c>
      <c r="E22" s="12">
        <v>44555</v>
      </c>
      <c r="F22" s="68" t="s">
        <v>58</v>
      </c>
      <c r="G22" s="12">
        <v>44559</v>
      </c>
      <c r="H22" s="69" t="s">
        <v>4687</v>
      </c>
      <c r="I22" s="15">
        <v>63</v>
      </c>
      <c r="J22" s="15">
        <v>61</v>
      </c>
      <c r="K22" s="15">
        <v>30</v>
      </c>
      <c r="L22" s="15">
        <v>12</v>
      </c>
      <c r="M22" s="73">
        <v>28.822500000000002</v>
      </c>
      <c r="N22" s="104">
        <v>28.822500000000002</v>
      </c>
      <c r="O22" s="57">
        <v>7000</v>
      </c>
      <c r="P22" s="58">
        <f t="shared" si="0"/>
        <v>201757.5</v>
      </c>
    </row>
    <row r="23" spans="1:16" ht="26.25" customHeight="1" x14ac:dyDescent="0.2">
      <c r="A23" s="100"/>
      <c r="B23" s="100"/>
      <c r="C23" s="65" t="s">
        <v>4972</v>
      </c>
      <c r="D23" s="70" t="s">
        <v>57</v>
      </c>
      <c r="E23" s="12">
        <v>44555</v>
      </c>
      <c r="F23" s="68" t="s">
        <v>58</v>
      </c>
      <c r="G23" s="12">
        <v>44559</v>
      </c>
      <c r="H23" s="69" t="s">
        <v>4687</v>
      </c>
      <c r="I23" s="15">
        <v>185</v>
      </c>
      <c r="J23" s="15">
        <v>10</v>
      </c>
      <c r="K23" s="15">
        <v>5</v>
      </c>
      <c r="L23" s="15">
        <v>5</v>
      </c>
      <c r="M23" s="73">
        <v>2.3125</v>
      </c>
      <c r="N23" s="104">
        <v>6</v>
      </c>
      <c r="O23" s="57">
        <v>7000</v>
      </c>
      <c r="P23" s="58">
        <f t="shared" si="0"/>
        <v>42000</v>
      </c>
    </row>
    <row r="24" spans="1:16" ht="26.25" customHeight="1" x14ac:dyDescent="0.2">
      <c r="A24" s="100"/>
      <c r="B24" s="100"/>
      <c r="C24" s="65" t="s">
        <v>4973</v>
      </c>
      <c r="D24" s="70" t="s">
        <v>57</v>
      </c>
      <c r="E24" s="12">
        <v>44555</v>
      </c>
      <c r="F24" s="68" t="s">
        <v>58</v>
      </c>
      <c r="G24" s="12">
        <v>44559</v>
      </c>
      <c r="H24" s="69" t="s">
        <v>4687</v>
      </c>
      <c r="I24" s="15">
        <v>50</v>
      </c>
      <c r="J24" s="15">
        <v>30</v>
      </c>
      <c r="K24" s="15">
        <v>11</v>
      </c>
      <c r="L24" s="15">
        <v>2</v>
      </c>
      <c r="M24" s="73">
        <v>4.125</v>
      </c>
      <c r="N24" s="104">
        <v>4.125</v>
      </c>
      <c r="O24" s="57">
        <v>7000</v>
      </c>
      <c r="P24" s="58">
        <f t="shared" si="0"/>
        <v>28875</v>
      </c>
    </row>
    <row r="25" spans="1:16" ht="26.25" customHeight="1" x14ac:dyDescent="0.2">
      <c r="A25" s="100"/>
      <c r="B25" s="100"/>
      <c r="C25" s="65" t="s">
        <v>4974</v>
      </c>
      <c r="D25" s="70" t="s">
        <v>57</v>
      </c>
      <c r="E25" s="12">
        <v>44555</v>
      </c>
      <c r="F25" s="68" t="s">
        <v>58</v>
      </c>
      <c r="G25" s="12">
        <v>44559</v>
      </c>
      <c r="H25" s="69" t="s">
        <v>4687</v>
      </c>
      <c r="I25" s="15">
        <v>50</v>
      </c>
      <c r="J25" s="15">
        <v>50</v>
      </c>
      <c r="K25" s="15">
        <v>11</v>
      </c>
      <c r="L25" s="15">
        <v>1</v>
      </c>
      <c r="M25" s="73">
        <v>6.875</v>
      </c>
      <c r="N25" s="104">
        <v>6.875</v>
      </c>
      <c r="O25" s="57">
        <v>7000</v>
      </c>
      <c r="P25" s="58">
        <f t="shared" si="0"/>
        <v>48125</v>
      </c>
    </row>
    <row r="26" spans="1:16" ht="26.25" customHeight="1" x14ac:dyDescent="0.2">
      <c r="A26" s="100"/>
      <c r="B26" s="100"/>
      <c r="C26" s="65" t="s">
        <v>4975</v>
      </c>
      <c r="D26" s="70" t="s">
        <v>57</v>
      </c>
      <c r="E26" s="12">
        <v>44555</v>
      </c>
      <c r="F26" s="68" t="s">
        <v>58</v>
      </c>
      <c r="G26" s="12">
        <v>44559</v>
      </c>
      <c r="H26" s="69" t="s">
        <v>4687</v>
      </c>
      <c r="I26" s="15">
        <v>115</v>
      </c>
      <c r="J26" s="15">
        <v>34</v>
      </c>
      <c r="K26" s="15">
        <v>6</v>
      </c>
      <c r="L26" s="15">
        <v>3</v>
      </c>
      <c r="M26" s="73">
        <v>5.8650000000000002</v>
      </c>
      <c r="N26" s="104">
        <v>5.8650000000000002</v>
      </c>
      <c r="O26" s="57">
        <v>7000</v>
      </c>
      <c r="P26" s="58">
        <f t="shared" si="0"/>
        <v>41055</v>
      </c>
    </row>
    <row r="27" spans="1:16" ht="26.25" customHeight="1" x14ac:dyDescent="0.2">
      <c r="A27" s="100"/>
      <c r="B27" s="100"/>
      <c r="C27" s="65" t="s">
        <v>4976</v>
      </c>
      <c r="D27" s="70" t="s">
        <v>57</v>
      </c>
      <c r="E27" s="12">
        <v>44555</v>
      </c>
      <c r="F27" s="68" t="s">
        <v>58</v>
      </c>
      <c r="G27" s="12">
        <v>44559</v>
      </c>
      <c r="H27" s="69" t="s">
        <v>4687</v>
      </c>
      <c r="I27" s="15">
        <v>92</v>
      </c>
      <c r="J27" s="15">
        <v>61</v>
      </c>
      <c r="K27" s="15">
        <v>22</v>
      </c>
      <c r="L27" s="15">
        <v>7</v>
      </c>
      <c r="M27" s="73">
        <v>30.866</v>
      </c>
      <c r="N27" s="104">
        <v>30.866</v>
      </c>
      <c r="O27" s="57">
        <v>7000</v>
      </c>
      <c r="P27" s="58">
        <f t="shared" si="0"/>
        <v>216062</v>
      </c>
    </row>
    <row r="28" spans="1:16" ht="26.25" customHeight="1" x14ac:dyDescent="0.2">
      <c r="A28" s="100"/>
      <c r="B28" s="100"/>
      <c r="C28" s="65" t="s">
        <v>4977</v>
      </c>
      <c r="D28" s="70" t="s">
        <v>57</v>
      </c>
      <c r="E28" s="12">
        <v>44555</v>
      </c>
      <c r="F28" s="68" t="s">
        <v>58</v>
      </c>
      <c r="G28" s="12">
        <v>44559</v>
      </c>
      <c r="H28" s="69" t="s">
        <v>4687</v>
      </c>
      <c r="I28" s="15">
        <v>50</v>
      </c>
      <c r="J28" s="15">
        <v>50</v>
      </c>
      <c r="K28" s="15">
        <v>32</v>
      </c>
      <c r="L28" s="15">
        <v>10</v>
      </c>
      <c r="M28" s="73">
        <v>20</v>
      </c>
      <c r="N28" s="104">
        <v>20</v>
      </c>
      <c r="O28" s="57">
        <v>7000</v>
      </c>
      <c r="P28" s="58">
        <f t="shared" si="0"/>
        <v>140000</v>
      </c>
    </row>
    <row r="29" spans="1:16" ht="26.25" customHeight="1" x14ac:dyDescent="0.2">
      <c r="A29" s="100"/>
      <c r="B29" s="100"/>
      <c r="C29" s="65" t="s">
        <v>4978</v>
      </c>
      <c r="D29" s="70" t="s">
        <v>57</v>
      </c>
      <c r="E29" s="12">
        <v>44555</v>
      </c>
      <c r="F29" s="68" t="s">
        <v>58</v>
      </c>
      <c r="G29" s="12">
        <v>44559</v>
      </c>
      <c r="H29" s="69" t="s">
        <v>4687</v>
      </c>
      <c r="I29" s="15">
        <v>42</v>
      </c>
      <c r="J29" s="15">
        <v>31</v>
      </c>
      <c r="K29" s="15">
        <v>25</v>
      </c>
      <c r="L29" s="15">
        <v>6</v>
      </c>
      <c r="M29" s="73">
        <v>8.1374999999999993</v>
      </c>
      <c r="N29" s="104">
        <v>8.1374999999999993</v>
      </c>
      <c r="O29" s="57">
        <v>7000</v>
      </c>
      <c r="P29" s="58">
        <f t="shared" si="0"/>
        <v>56962.499999999993</v>
      </c>
    </row>
    <row r="30" spans="1:16" ht="26.25" customHeight="1" x14ac:dyDescent="0.2">
      <c r="A30" s="100"/>
      <c r="B30" s="101"/>
      <c r="C30" s="65" t="s">
        <v>4979</v>
      </c>
      <c r="D30" s="70" t="s">
        <v>57</v>
      </c>
      <c r="E30" s="12">
        <v>44555</v>
      </c>
      <c r="F30" s="68" t="s">
        <v>58</v>
      </c>
      <c r="G30" s="12">
        <v>44559</v>
      </c>
      <c r="H30" s="69" t="s">
        <v>4687</v>
      </c>
      <c r="I30" s="15">
        <v>45</v>
      </c>
      <c r="J30" s="15">
        <v>34</v>
      </c>
      <c r="K30" s="15">
        <v>21</v>
      </c>
      <c r="L30" s="15">
        <v>9</v>
      </c>
      <c r="M30" s="73">
        <v>8.0325000000000006</v>
      </c>
      <c r="N30" s="104">
        <v>9</v>
      </c>
      <c r="O30" s="57">
        <v>7000</v>
      </c>
      <c r="P30" s="58">
        <f t="shared" si="0"/>
        <v>63000</v>
      </c>
    </row>
    <row r="31" spans="1:16" ht="26.25" customHeight="1" x14ac:dyDescent="0.2">
      <c r="A31" s="100"/>
      <c r="B31" s="100" t="s">
        <v>4980</v>
      </c>
      <c r="C31" s="65" t="s">
        <v>4981</v>
      </c>
      <c r="D31" s="70" t="s">
        <v>57</v>
      </c>
      <c r="E31" s="12">
        <v>44555</v>
      </c>
      <c r="F31" s="68" t="s">
        <v>58</v>
      </c>
      <c r="G31" s="12">
        <v>44559</v>
      </c>
      <c r="H31" s="69" t="s">
        <v>4687</v>
      </c>
      <c r="I31" s="15">
        <v>10</v>
      </c>
      <c r="J31" s="15">
        <v>10</v>
      </c>
      <c r="K31" s="15">
        <v>3</v>
      </c>
      <c r="L31" s="15">
        <v>1</v>
      </c>
      <c r="M31" s="73">
        <v>7.4999999999999997E-2</v>
      </c>
      <c r="N31" s="104">
        <v>1</v>
      </c>
      <c r="O31" s="57">
        <v>7000</v>
      </c>
      <c r="P31" s="58">
        <f t="shared" si="0"/>
        <v>7000</v>
      </c>
    </row>
    <row r="32" spans="1:16" ht="26.25" customHeight="1" x14ac:dyDescent="0.2">
      <c r="A32" s="100"/>
      <c r="B32" s="100"/>
      <c r="C32" s="65" t="s">
        <v>4982</v>
      </c>
      <c r="D32" s="70" t="s">
        <v>57</v>
      </c>
      <c r="E32" s="12">
        <v>44555</v>
      </c>
      <c r="F32" s="68" t="s">
        <v>58</v>
      </c>
      <c r="G32" s="12">
        <v>44559</v>
      </c>
      <c r="H32" s="69" t="s">
        <v>4687</v>
      </c>
      <c r="I32" s="15">
        <v>82</v>
      </c>
      <c r="J32" s="15">
        <v>50</v>
      </c>
      <c r="K32" s="15">
        <v>40</v>
      </c>
      <c r="L32" s="15">
        <v>25</v>
      </c>
      <c r="M32" s="73">
        <v>41</v>
      </c>
      <c r="N32" s="104">
        <v>41</v>
      </c>
      <c r="O32" s="57">
        <v>7000</v>
      </c>
      <c r="P32" s="58">
        <f t="shared" si="0"/>
        <v>287000</v>
      </c>
    </row>
    <row r="33" spans="1:16" ht="26.25" customHeight="1" x14ac:dyDescent="0.2">
      <c r="A33" s="100"/>
      <c r="B33" s="100"/>
      <c r="C33" s="65" t="s">
        <v>4983</v>
      </c>
      <c r="D33" s="70" t="s">
        <v>57</v>
      </c>
      <c r="E33" s="12">
        <v>44555</v>
      </c>
      <c r="F33" s="68" t="s">
        <v>58</v>
      </c>
      <c r="G33" s="12">
        <v>44559</v>
      </c>
      <c r="H33" s="69" t="s">
        <v>4687</v>
      </c>
      <c r="I33" s="15">
        <v>115</v>
      </c>
      <c r="J33" s="15">
        <v>22</v>
      </c>
      <c r="K33" s="15">
        <v>68</v>
      </c>
      <c r="L33" s="15">
        <v>28</v>
      </c>
      <c r="M33" s="73">
        <v>43.01</v>
      </c>
      <c r="N33" s="104">
        <v>43.01</v>
      </c>
      <c r="O33" s="57">
        <v>7000</v>
      </c>
      <c r="P33" s="58">
        <f t="shared" si="0"/>
        <v>301070</v>
      </c>
    </row>
    <row r="34" spans="1:16" ht="22.5" customHeight="1" x14ac:dyDescent="0.2">
      <c r="A34" s="159" t="s">
        <v>30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1"/>
      <c r="M34" s="71">
        <f>SUBTOTAL(109,Table2245789101123456789101112131415161718192021222324252627282930313233343537383940414243444546474849505152535455565758596061626364656667686970717273747576777879[KG VOLUME])</f>
        <v>427.96350000000001</v>
      </c>
      <c r="N34" s="61">
        <f>SUM(N3:N33)</f>
        <v>449.036</v>
      </c>
      <c r="O34" s="162">
        <f>SUM(P3:P33)</f>
        <v>3143252</v>
      </c>
      <c r="P34" s="163"/>
    </row>
    <row r="35" spans="1:16" ht="18" customHeight="1" x14ac:dyDescent="0.2">
      <c r="A35" s="78"/>
      <c r="B35" s="49" t="s">
        <v>42</v>
      </c>
      <c r="C35" s="48"/>
      <c r="D35" s="50" t="s">
        <v>43</v>
      </c>
      <c r="E35" s="78"/>
      <c r="F35" s="78"/>
      <c r="G35" s="78"/>
      <c r="H35" s="78"/>
      <c r="I35" s="78"/>
      <c r="J35" s="78"/>
      <c r="K35" s="78"/>
      <c r="L35" s="78"/>
      <c r="M35" s="79"/>
      <c r="N35" s="80" t="s">
        <v>52</v>
      </c>
      <c r="O35" s="81"/>
      <c r="P35" s="81">
        <v>0</v>
      </c>
    </row>
    <row r="36" spans="1:16" ht="18" customHeight="1" thickBot="1" x14ac:dyDescent="0.25">
      <c r="A36" s="78"/>
      <c r="B36" s="49"/>
      <c r="C36" s="48"/>
      <c r="D36" s="50"/>
      <c r="E36" s="78"/>
      <c r="F36" s="78"/>
      <c r="G36" s="78"/>
      <c r="H36" s="78"/>
      <c r="I36" s="78"/>
      <c r="J36" s="78"/>
      <c r="K36" s="78"/>
      <c r="L36" s="78"/>
      <c r="M36" s="79"/>
      <c r="N36" s="82" t="s">
        <v>53</v>
      </c>
      <c r="O36" s="83"/>
      <c r="P36" s="83">
        <f>O34-P35</f>
        <v>3143252</v>
      </c>
    </row>
    <row r="37" spans="1:16" ht="18" customHeight="1" x14ac:dyDescent="0.2">
      <c r="A37" s="10"/>
      <c r="H37" s="56"/>
      <c r="N37" s="55" t="s">
        <v>31</v>
      </c>
      <c r="P37" s="62">
        <f>P36*1%</f>
        <v>31432.52</v>
      </c>
    </row>
    <row r="38" spans="1:16" ht="18" customHeight="1" thickBot="1" x14ac:dyDescent="0.25">
      <c r="A38" s="10"/>
      <c r="H38" s="56"/>
      <c r="N38" s="55" t="s">
        <v>54</v>
      </c>
      <c r="P38" s="64">
        <f>P36*2%</f>
        <v>62865.04</v>
      </c>
    </row>
    <row r="39" spans="1:16" ht="18" customHeight="1" x14ac:dyDescent="0.2">
      <c r="A39" s="10"/>
      <c r="H39" s="56"/>
      <c r="N39" s="59" t="s">
        <v>32</v>
      </c>
      <c r="O39" s="60"/>
      <c r="P39" s="63">
        <f>P36+P37-P38</f>
        <v>3111819.48</v>
      </c>
    </row>
    <row r="41" spans="1:16" x14ac:dyDescent="0.2">
      <c r="A41" s="10"/>
      <c r="H41" s="56"/>
      <c r="P41" s="64"/>
    </row>
    <row r="42" spans="1:16" x14ac:dyDescent="0.2">
      <c r="A42" s="10"/>
      <c r="H42" s="56"/>
      <c r="O42" s="51"/>
      <c r="P42" s="6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</sheetData>
  <mergeCells count="2">
    <mergeCell ref="A34:L34"/>
    <mergeCell ref="O34:P34"/>
  </mergeCells>
  <conditionalFormatting sqref="C3:C33">
    <cfRule type="duplicateValues" dxfId="351" priority="10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4"/>
  <sheetViews>
    <sheetView zoomScale="110" zoomScaleNormal="110" workbookViewId="0">
      <pane xSplit="3" ySplit="2" topLeftCell="D3" activePane="bottomRight" state="frozen"/>
      <selection activeCell="H12" sqref="H12"/>
      <selection pane="topRight" activeCell="H12" sqref="H12"/>
      <selection pane="bottomLeft" activeCell="H12" sqref="H12"/>
      <selection pane="bottomRight"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109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108">
        <v>405801</v>
      </c>
      <c r="B3" s="66" t="s">
        <v>300</v>
      </c>
      <c r="C3" s="8" t="s">
        <v>301</v>
      </c>
      <c r="D3" s="68" t="s">
        <v>57</v>
      </c>
      <c r="E3" s="12">
        <v>44533</v>
      </c>
      <c r="F3" s="68" t="s">
        <v>71</v>
      </c>
      <c r="G3" s="12">
        <v>44538</v>
      </c>
      <c r="H3" s="9" t="s">
        <v>299</v>
      </c>
      <c r="I3" s="1">
        <v>120</v>
      </c>
      <c r="J3" s="1">
        <v>70</v>
      </c>
      <c r="K3" s="1">
        <v>12</v>
      </c>
      <c r="L3" s="1">
        <v>10</v>
      </c>
      <c r="M3" s="72">
        <v>25.2</v>
      </c>
      <c r="N3" s="88">
        <v>25.2</v>
      </c>
      <c r="O3" s="57">
        <v>7000</v>
      </c>
      <c r="P3" s="58">
        <f t="shared" ref="P3:P66" si="0">N3*O3</f>
        <v>176400</v>
      </c>
    </row>
    <row r="4" spans="1:16" ht="26.25" customHeight="1" x14ac:dyDescent="0.2">
      <c r="A4" s="13"/>
      <c r="B4" s="67"/>
      <c r="C4" s="8" t="s">
        <v>302</v>
      </c>
      <c r="D4" s="68" t="s">
        <v>57</v>
      </c>
      <c r="E4" s="12">
        <v>44533</v>
      </c>
      <c r="F4" s="68" t="s">
        <v>71</v>
      </c>
      <c r="G4" s="12">
        <v>44538</v>
      </c>
      <c r="H4" s="9" t="s">
        <v>299</v>
      </c>
      <c r="I4" s="1">
        <v>60</v>
      </c>
      <c r="J4" s="1">
        <v>59</v>
      </c>
      <c r="K4" s="1">
        <v>20</v>
      </c>
      <c r="L4" s="1">
        <v>5</v>
      </c>
      <c r="M4" s="72">
        <v>17.7</v>
      </c>
      <c r="N4" s="88">
        <v>17.7</v>
      </c>
      <c r="O4" s="57">
        <v>7000</v>
      </c>
      <c r="P4" s="58">
        <f t="shared" si="0"/>
        <v>123900</v>
      </c>
    </row>
    <row r="5" spans="1:16" ht="26.25" customHeight="1" x14ac:dyDescent="0.2">
      <c r="A5" s="13"/>
      <c r="B5" s="67"/>
      <c r="C5" s="65" t="s">
        <v>303</v>
      </c>
      <c r="D5" s="70" t="s">
        <v>57</v>
      </c>
      <c r="E5" s="12">
        <v>44533</v>
      </c>
      <c r="F5" s="68" t="s">
        <v>71</v>
      </c>
      <c r="G5" s="12">
        <v>44538</v>
      </c>
      <c r="H5" s="69" t="s">
        <v>299</v>
      </c>
      <c r="I5" s="15">
        <v>70</v>
      </c>
      <c r="J5" s="15">
        <v>57</v>
      </c>
      <c r="K5" s="15">
        <v>23</v>
      </c>
      <c r="L5" s="15">
        <v>6</v>
      </c>
      <c r="M5" s="73">
        <v>22.942499999999999</v>
      </c>
      <c r="N5" s="88">
        <v>22.942499999999999</v>
      </c>
      <c r="O5" s="57">
        <v>7000</v>
      </c>
      <c r="P5" s="58">
        <f t="shared" si="0"/>
        <v>160597.5</v>
      </c>
    </row>
    <row r="6" spans="1:16" ht="26.25" customHeight="1" x14ac:dyDescent="0.2">
      <c r="A6" s="13"/>
      <c r="B6" s="67"/>
      <c r="C6" s="65" t="s">
        <v>304</v>
      </c>
      <c r="D6" s="70" t="s">
        <v>57</v>
      </c>
      <c r="E6" s="12">
        <v>44533</v>
      </c>
      <c r="F6" s="68" t="s">
        <v>71</v>
      </c>
      <c r="G6" s="12">
        <v>44538</v>
      </c>
      <c r="H6" s="69" t="s">
        <v>299</v>
      </c>
      <c r="I6" s="15">
        <v>56</v>
      </c>
      <c r="J6" s="15">
        <v>21</v>
      </c>
      <c r="K6" s="15">
        <v>15</v>
      </c>
      <c r="L6" s="15">
        <v>4</v>
      </c>
      <c r="M6" s="73">
        <v>4.41</v>
      </c>
      <c r="N6" s="88">
        <v>5</v>
      </c>
      <c r="O6" s="57">
        <v>7000</v>
      </c>
      <c r="P6" s="58">
        <f t="shared" si="0"/>
        <v>35000</v>
      </c>
    </row>
    <row r="7" spans="1:16" ht="26.25" customHeight="1" x14ac:dyDescent="0.2">
      <c r="A7" s="13"/>
      <c r="B7" s="67"/>
      <c r="C7" s="65" t="s">
        <v>305</v>
      </c>
      <c r="D7" s="70" t="s">
        <v>57</v>
      </c>
      <c r="E7" s="12">
        <v>44533</v>
      </c>
      <c r="F7" s="68" t="s">
        <v>71</v>
      </c>
      <c r="G7" s="12">
        <v>44538</v>
      </c>
      <c r="H7" s="69" t="s">
        <v>299</v>
      </c>
      <c r="I7" s="15">
        <v>112</v>
      </c>
      <c r="J7" s="15">
        <v>29</v>
      </c>
      <c r="K7" s="15">
        <v>21</v>
      </c>
      <c r="L7" s="15">
        <v>6</v>
      </c>
      <c r="M7" s="73">
        <v>17.052</v>
      </c>
      <c r="N7" s="88">
        <v>17.052</v>
      </c>
      <c r="O7" s="57">
        <v>7000</v>
      </c>
      <c r="P7" s="58">
        <f t="shared" si="0"/>
        <v>119364</v>
      </c>
    </row>
    <row r="8" spans="1:16" ht="26.25" customHeight="1" x14ac:dyDescent="0.2">
      <c r="A8" s="13"/>
      <c r="B8" s="67"/>
      <c r="C8" s="65" t="s">
        <v>306</v>
      </c>
      <c r="D8" s="70" t="s">
        <v>57</v>
      </c>
      <c r="E8" s="12">
        <v>44533</v>
      </c>
      <c r="F8" s="68" t="s">
        <v>71</v>
      </c>
      <c r="G8" s="12">
        <v>44538</v>
      </c>
      <c r="H8" s="69" t="s">
        <v>299</v>
      </c>
      <c r="I8" s="15">
        <v>102</v>
      </c>
      <c r="J8" s="15">
        <v>64</v>
      </c>
      <c r="K8" s="15">
        <v>45</v>
      </c>
      <c r="L8" s="15">
        <v>26</v>
      </c>
      <c r="M8" s="73">
        <v>73.44</v>
      </c>
      <c r="N8" s="88">
        <v>74</v>
      </c>
      <c r="O8" s="57">
        <v>7000</v>
      </c>
      <c r="P8" s="58">
        <f t="shared" si="0"/>
        <v>518000</v>
      </c>
    </row>
    <row r="9" spans="1:16" ht="26.25" customHeight="1" x14ac:dyDescent="0.2">
      <c r="A9" s="13"/>
      <c r="B9" s="67"/>
      <c r="C9" s="65" t="s">
        <v>307</v>
      </c>
      <c r="D9" s="70" t="s">
        <v>57</v>
      </c>
      <c r="E9" s="12">
        <v>44533</v>
      </c>
      <c r="F9" s="68" t="s">
        <v>71</v>
      </c>
      <c r="G9" s="12">
        <v>44538</v>
      </c>
      <c r="H9" s="69" t="s">
        <v>299</v>
      </c>
      <c r="I9" s="15">
        <v>65</v>
      </c>
      <c r="J9" s="15">
        <v>42</v>
      </c>
      <c r="K9" s="15">
        <v>33</v>
      </c>
      <c r="L9" s="15">
        <v>14</v>
      </c>
      <c r="M9" s="73">
        <v>22.522500000000001</v>
      </c>
      <c r="N9" s="88">
        <v>22.522500000000001</v>
      </c>
      <c r="O9" s="57">
        <v>7000</v>
      </c>
      <c r="P9" s="58">
        <f t="shared" si="0"/>
        <v>157657.5</v>
      </c>
    </row>
    <row r="10" spans="1:16" ht="26.25" customHeight="1" x14ac:dyDescent="0.2">
      <c r="A10" s="13"/>
      <c r="B10" s="67"/>
      <c r="C10" s="65" t="s">
        <v>308</v>
      </c>
      <c r="D10" s="70" t="s">
        <v>57</v>
      </c>
      <c r="E10" s="12">
        <v>44533</v>
      </c>
      <c r="F10" s="68" t="s">
        <v>71</v>
      </c>
      <c r="G10" s="12">
        <v>44538</v>
      </c>
      <c r="H10" s="69" t="s">
        <v>299</v>
      </c>
      <c r="I10" s="15">
        <v>46</v>
      </c>
      <c r="J10" s="15">
        <v>43</v>
      </c>
      <c r="K10" s="15">
        <v>32</v>
      </c>
      <c r="L10" s="15">
        <v>10</v>
      </c>
      <c r="M10" s="73">
        <v>15.824</v>
      </c>
      <c r="N10" s="88">
        <v>15.824</v>
      </c>
      <c r="O10" s="57">
        <v>7000</v>
      </c>
      <c r="P10" s="58">
        <f t="shared" si="0"/>
        <v>110768</v>
      </c>
    </row>
    <row r="11" spans="1:16" ht="26.25" customHeight="1" x14ac:dyDescent="0.2">
      <c r="A11" s="13"/>
      <c r="B11" s="67"/>
      <c r="C11" s="65" t="s">
        <v>309</v>
      </c>
      <c r="D11" s="70" t="s">
        <v>57</v>
      </c>
      <c r="E11" s="12">
        <v>44533</v>
      </c>
      <c r="F11" s="68" t="s">
        <v>71</v>
      </c>
      <c r="G11" s="12">
        <v>44538</v>
      </c>
      <c r="H11" s="69" t="s">
        <v>299</v>
      </c>
      <c r="I11" s="15">
        <v>51</v>
      </c>
      <c r="J11" s="15">
        <v>30</v>
      </c>
      <c r="K11" s="15">
        <v>30</v>
      </c>
      <c r="L11" s="15">
        <v>2</v>
      </c>
      <c r="M11" s="73">
        <v>11.475</v>
      </c>
      <c r="N11" s="88">
        <v>12</v>
      </c>
      <c r="O11" s="57">
        <v>7000</v>
      </c>
      <c r="P11" s="58">
        <f t="shared" si="0"/>
        <v>84000</v>
      </c>
    </row>
    <row r="12" spans="1:16" ht="26.25" customHeight="1" x14ac:dyDescent="0.2">
      <c r="A12" s="13"/>
      <c r="B12" s="67"/>
      <c r="C12" s="65" t="s">
        <v>310</v>
      </c>
      <c r="D12" s="70" t="s">
        <v>57</v>
      </c>
      <c r="E12" s="12">
        <v>44533</v>
      </c>
      <c r="F12" s="68" t="s">
        <v>71</v>
      </c>
      <c r="G12" s="12">
        <v>44538</v>
      </c>
      <c r="H12" s="69" t="s">
        <v>299</v>
      </c>
      <c r="I12" s="15">
        <v>72</v>
      </c>
      <c r="J12" s="15">
        <v>40</v>
      </c>
      <c r="K12" s="15">
        <v>33</v>
      </c>
      <c r="L12" s="15">
        <v>16</v>
      </c>
      <c r="M12" s="73">
        <v>23.76</v>
      </c>
      <c r="N12" s="88">
        <v>23.76</v>
      </c>
      <c r="O12" s="57">
        <v>7000</v>
      </c>
      <c r="P12" s="58">
        <f t="shared" si="0"/>
        <v>166320</v>
      </c>
    </row>
    <row r="13" spans="1:16" ht="26.25" customHeight="1" x14ac:dyDescent="0.2">
      <c r="A13" s="13"/>
      <c r="B13" s="67"/>
      <c r="C13" s="65" t="s">
        <v>311</v>
      </c>
      <c r="D13" s="70" t="s">
        <v>57</v>
      </c>
      <c r="E13" s="12">
        <v>44533</v>
      </c>
      <c r="F13" s="68" t="s">
        <v>71</v>
      </c>
      <c r="G13" s="12">
        <v>44538</v>
      </c>
      <c r="H13" s="69" t="s">
        <v>299</v>
      </c>
      <c r="I13" s="15">
        <v>91</v>
      </c>
      <c r="J13" s="15">
        <v>55</v>
      </c>
      <c r="K13" s="15">
        <v>30</v>
      </c>
      <c r="L13" s="15">
        <v>8</v>
      </c>
      <c r="M13" s="73">
        <v>37.537500000000001</v>
      </c>
      <c r="N13" s="88">
        <v>37.537500000000001</v>
      </c>
      <c r="O13" s="57">
        <v>7000</v>
      </c>
      <c r="P13" s="58">
        <f t="shared" si="0"/>
        <v>262762.5</v>
      </c>
    </row>
    <row r="14" spans="1:16" ht="26.25" customHeight="1" x14ac:dyDescent="0.2">
      <c r="A14" s="13"/>
      <c r="B14" s="67"/>
      <c r="C14" s="65" t="s">
        <v>312</v>
      </c>
      <c r="D14" s="70" t="s">
        <v>57</v>
      </c>
      <c r="E14" s="12">
        <v>44533</v>
      </c>
      <c r="F14" s="68" t="s">
        <v>71</v>
      </c>
      <c r="G14" s="12">
        <v>44538</v>
      </c>
      <c r="H14" s="69" t="s">
        <v>299</v>
      </c>
      <c r="I14" s="15">
        <v>49</v>
      </c>
      <c r="J14" s="15">
        <v>31</v>
      </c>
      <c r="K14" s="15">
        <v>20</v>
      </c>
      <c r="L14" s="15">
        <v>5</v>
      </c>
      <c r="M14" s="73">
        <v>7.5949999999999998</v>
      </c>
      <c r="N14" s="88">
        <v>7.5949999999999998</v>
      </c>
      <c r="O14" s="57">
        <v>7000</v>
      </c>
      <c r="P14" s="58">
        <f t="shared" si="0"/>
        <v>53165</v>
      </c>
    </row>
    <row r="15" spans="1:16" ht="26.25" customHeight="1" x14ac:dyDescent="0.2">
      <c r="A15" s="13"/>
      <c r="B15" s="67"/>
      <c r="C15" s="65" t="s">
        <v>313</v>
      </c>
      <c r="D15" s="70" t="s">
        <v>57</v>
      </c>
      <c r="E15" s="12">
        <v>44533</v>
      </c>
      <c r="F15" s="68" t="s">
        <v>71</v>
      </c>
      <c r="G15" s="12">
        <v>44538</v>
      </c>
      <c r="H15" s="69" t="s">
        <v>299</v>
      </c>
      <c r="I15" s="15">
        <v>31</v>
      </c>
      <c r="J15" s="15">
        <v>31</v>
      </c>
      <c r="K15" s="15">
        <v>26</v>
      </c>
      <c r="L15" s="15">
        <v>9</v>
      </c>
      <c r="M15" s="73">
        <v>6.2465000000000002</v>
      </c>
      <c r="N15" s="88">
        <v>9</v>
      </c>
      <c r="O15" s="57">
        <v>7000</v>
      </c>
      <c r="P15" s="58">
        <f t="shared" si="0"/>
        <v>63000</v>
      </c>
    </row>
    <row r="16" spans="1:16" ht="26.25" customHeight="1" x14ac:dyDescent="0.2">
      <c r="A16" s="13"/>
      <c r="B16" s="67"/>
      <c r="C16" s="65" t="s">
        <v>314</v>
      </c>
      <c r="D16" s="70" t="s">
        <v>57</v>
      </c>
      <c r="E16" s="12">
        <v>44533</v>
      </c>
      <c r="F16" s="68" t="s">
        <v>71</v>
      </c>
      <c r="G16" s="12">
        <v>44538</v>
      </c>
      <c r="H16" s="69" t="s">
        <v>299</v>
      </c>
      <c r="I16" s="15">
        <v>62</v>
      </c>
      <c r="J16" s="15">
        <v>50</v>
      </c>
      <c r="K16" s="15">
        <v>23</v>
      </c>
      <c r="L16" s="15">
        <v>16</v>
      </c>
      <c r="M16" s="73">
        <v>17.824999999999999</v>
      </c>
      <c r="N16" s="88">
        <v>17.824999999999999</v>
      </c>
      <c r="O16" s="57">
        <v>7000</v>
      </c>
      <c r="P16" s="58">
        <f t="shared" si="0"/>
        <v>124775</v>
      </c>
    </row>
    <row r="17" spans="1:16" ht="26.25" customHeight="1" x14ac:dyDescent="0.2">
      <c r="A17" s="13"/>
      <c r="B17" s="67"/>
      <c r="C17" s="65" t="s">
        <v>315</v>
      </c>
      <c r="D17" s="70" t="s">
        <v>57</v>
      </c>
      <c r="E17" s="12">
        <v>44533</v>
      </c>
      <c r="F17" s="68" t="s">
        <v>71</v>
      </c>
      <c r="G17" s="12">
        <v>44538</v>
      </c>
      <c r="H17" s="69" t="s">
        <v>299</v>
      </c>
      <c r="I17" s="15">
        <v>80</v>
      </c>
      <c r="J17" s="15">
        <v>13</v>
      </c>
      <c r="K17" s="15">
        <v>10</v>
      </c>
      <c r="L17" s="15">
        <v>1</v>
      </c>
      <c r="M17" s="73">
        <v>2.6</v>
      </c>
      <c r="N17" s="88">
        <v>2.6</v>
      </c>
      <c r="O17" s="57">
        <v>7000</v>
      </c>
      <c r="P17" s="58">
        <f t="shared" si="0"/>
        <v>18200</v>
      </c>
    </row>
    <row r="18" spans="1:16" ht="26.25" customHeight="1" x14ac:dyDescent="0.2">
      <c r="A18" s="13"/>
      <c r="B18" s="67"/>
      <c r="C18" s="65" t="s">
        <v>316</v>
      </c>
      <c r="D18" s="70" t="s">
        <v>57</v>
      </c>
      <c r="E18" s="12">
        <v>44533</v>
      </c>
      <c r="F18" s="68" t="s">
        <v>71</v>
      </c>
      <c r="G18" s="12">
        <v>44538</v>
      </c>
      <c r="H18" s="69" t="s">
        <v>299</v>
      </c>
      <c r="I18" s="15">
        <v>97</v>
      </c>
      <c r="J18" s="15">
        <v>55</v>
      </c>
      <c r="K18" s="15">
        <v>31</v>
      </c>
      <c r="L18" s="15">
        <v>26</v>
      </c>
      <c r="M18" s="73">
        <v>41.346249999999998</v>
      </c>
      <c r="N18" s="88">
        <v>42</v>
      </c>
      <c r="O18" s="57">
        <v>7000</v>
      </c>
      <c r="P18" s="58">
        <f t="shared" si="0"/>
        <v>294000</v>
      </c>
    </row>
    <row r="19" spans="1:16" ht="26.25" customHeight="1" x14ac:dyDescent="0.2">
      <c r="A19" s="13"/>
      <c r="B19" s="67"/>
      <c r="C19" s="65" t="s">
        <v>317</v>
      </c>
      <c r="D19" s="70" t="s">
        <v>57</v>
      </c>
      <c r="E19" s="12">
        <v>44533</v>
      </c>
      <c r="F19" s="68" t="s">
        <v>71</v>
      </c>
      <c r="G19" s="12">
        <v>44538</v>
      </c>
      <c r="H19" s="69" t="s">
        <v>299</v>
      </c>
      <c r="I19" s="15">
        <v>104</v>
      </c>
      <c r="J19" s="15">
        <v>28</v>
      </c>
      <c r="K19" s="15">
        <v>28</v>
      </c>
      <c r="L19" s="15">
        <v>6</v>
      </c>
      <c r="M19" s="73">
        <v>20.384</v>
      </c>
      <c r="N19" s="88">
        <v>21</v>
      </c>
      <c r="O19" s="57">
        <v>7000</v>
      </c>
      <c r="P19" s="58">
        <f t="shared" si="0"/>
        <v>147000</v>
      </c>
    </row>
    <row r="20" spans="1:16" ht="26.25" customHeight="1" x14ac:dyDescent="0.2">
      <c r="A20" s="13"/>
      <c r="B20" s="67"/>
      <c r="C20" s="65" t="s">
        <v>318</v>
      </c>
      <c r="D20" s="70" t="s">
        <v>57</v>
      </c>
      <c r="E20" s="12">
        <v>44533</v>
      </c>
      <c r="F20" s="68" t="s">
        <v>71</v>
      </c>
      <c r="G20" s="12">
        <v>44538</v>
      </c>
      <c r="H20" s="69" t="s">
        <v>299</v>
      </c>
      <c r="I20" s="15">
        <v>84</v>
      </c>
      <c r="J20" s="15">
        <v>59</v>
      </c>
      <c r="K20" s="15">
        <v>33</v>
      </c>
      <c r="L20" s="15">
        <v>6</v>
      </c>
      <c r="M20" s="73">
        <v>40.887</v>
      </c>
      <c r="N20" s="88">
        <v>40.887</v>
      </c>
      <c r="O20" s="57">
        <v>7000</v>
      </c>
      <c r="P20" s="58">
        <f t="shared" si="0"/>
        <v>286209</v>
      </c>
    </row>
    <row r="21" spans="1:16" ht="26.25" customHeight="1" x14ac:dyDescent="0.2">
      <c r="A21" s="13"/>
      <c r="B21" s="67"/>
      <c r="C21" s="65" t="s">
        <v>319</v>
      </c>
      <c r="D21" s="70" t="s">
        <v>57</v>
      </c>
      <c r="E21" s="12">
        <v>44533</v>
      </c>
      <c r="F21" s="68" t="s">
        <v>71</v>
      </c>
      <c r="G21" s="12">
        <v>44538</v>
      </c>
      <c r="H21" s="69" t="s">
        <v>299</v>
      </c>
      <c r="I21" s="15">
        <v>54</v>
      </c>
      <c r="J21" s="15">
        <v>39</v>
      </c>
      <c r="K21" s="15">
        <v>12</v>
      </c>
      <c r="L21" s="15">
        <v>2</v>
      </c>
      <c r="M21" s="73">
        <v>6.3179999999999996</v>
      </c>
      <c r="N21" s="88">
        <v>7</v>
      </c>
      <c r="O21" s="57">
        <v>7000</v>
      </c>
      <c r="P21" s="58">
        <f t="shared" si="0"/>
        <v>49000</v>
      </c>
    </row>
    <row r="22" spans="1:16" ht="26.25" customHeight="1" x14ac:dyDescent="0.2">
      <c r="A22" s="13"/>
      <c r="B22" s="67"/>
      <c r="C22" s="65" t="s">
        <v>320</v>
      </c>
      <c r="D22" s="70" t="s">
        <v>57</v>
      </c>
      <c r="E22" s="12">
        <v>44533</v>
      </c>
      <c r="F22" s="68" t="s">
        <v>71</v>
      </c>
      <c r="G22" s="12">
        <v>44538</v>
      </c>
      <c r="H22" s="69" t="s">
        <v>299</v>
      </c>
      <c r="I22" s="15">
        <v>30</v>
      </c>
      <c r="J22" s="15">
        <v>23</v>
      </c>
      <c r="K22" s="15">
        <v>31</v>
      </c>
      <c r="L22" s="15">
        <v>4</v>
      </c>
      <c r="M22" s="73">
        <v>5.3475000000000001</v>
      </c>
      <c r="N22" s="88">
        <v>6</v>
      </c>
      <c r="O22" s="57">
        <v>7000</v>
      </c>
      <c r="P22" s="58">
        <f t="shared" si="0"/>
        <v>42000</v>
      </c>
    </row>
    <row r="23" spans="1:16" ht="26.25" customHeight="1" x14ac:dyDescent="0.2">
      <c r="A23" s="13"/>
      <c r="B23" s="67"/>
      <c r="C23" s="65" t="s">
        <v>321</v>
      </c>
      <c r="D23" s="70" t="s">
        <v>57</v>
      </c>
      <c r="E23" s="12">
        <v>44533</v>
      </c>
      <c r="F23" s="68" t="s">
        <v>71</v>
      </c>
      <c r="G23" s="12">
        <v>44538</v>
      </c>
      <c r="H23" s="69" t="s">
        <v>299</v>
      </c>
      <c r="I23" s="15">
        <v>65</v>
      </c>
      <c r="J23" s="15">
        <v>30</v>
      </c>
      <c r="K23" s="15">
        <v>23</v>
      </c>
      <c r="L23" s="15">
        <v>7</v>
      </c>
      <c r="M23" s="73">
        <v>11.2125</v>
      </c>
      <c r="N23" s="88">
        <v>11.2125</v>
      </c>
      <c r="O23" s="57">
        <v>7000</v>
      </c>
      <c r="P23" s="58">
        <f t="shared" si="0"/>
        <v>78487.5</v>
      </c>
    </row>
    <row r="24" spans="1:16" ht="26.25" customHeight="1" x14ac:dyDescent="0.2">
      <c r="A24" s="13"/>
      <c r="B24" s="67"/>
      <c r="C24" s="65" t="s">
        <v>322</v>
      </c>
      <c r="D24" s="70" t="s">
        <v>57</v>
      </c>
      <c r="E24" s="12">
        <v>44533</v>
      </c>
      <c r="F24" s="68" t="s">
        <v>71</v>
      </c>
      <c r="G24" s="12">
        <v>44538</v>
      </c>
      <c r="H24" s="69" t="s">
        <v>299</v>
      </c>
      <c r="I24" s="15">
        <v>65</v>
      </c>
      <c r="J24" s="15">
        <v>58</v>
      </c>
      <c r="K24" s="15">
        <v>21</v>
      </c>
      <c r="L24" s="15">
        <v>9</v>
      </c>
      <c r="M24" s="73">
        <v>19.7925</v>
      </c>
      <c r="N24" s="88">
        <v>19.7925</v>
      </c>
      <c r="O24" s="57">
        <v>7000</v>
      </c>
      <c r="P24" s="58">
        <f t="shared" si="0"/>
        <v>138547.5</v>
      </c>
    </row>
    <row r="25" spans="1:16" ht="26.25" customHeight="1" x14ac:dyDescent="0.2">
      <c r="A25" s="13"/>
      <c r="B25" s="67"/>
      <c r="C25" s="65" t="s">
        <v>323</v>
      </c>
      <c r="D25" s="70" t="s">
        <v>57</v>
      </c>
      <c r="E25" s="12">
        <v>44533</v>
      </c>
      <c r="F25" s="68" t="s">
        <v>71</v>
      </c>
      <c r="G25" s="12">
        <v>44538</v>
      </c>
      <c r="H25" s="69" t="s">
        <v>299</v>
      </c>
      <c r="I25" s="15">
        <v>47</v>
      </c>
      <c r="J25" s="15">
        <v>32</v>
      </c>
      <c r="K25" s="15">
        <v>23</v>
      </c>
      <c r="L25" s="15">
        <v>5</v>
      </c>
      <c r="M25" s="73">
        <v>8.6479999999999997</v>
      </c>
      <c r="N25" s="88">
        <v>8.6479999999999997</v>
      </c>
      <c r="O25" s="57">
        <v>7000</v>
      </c>
      <c r="P25" s="58">
        <f t="shared" si="0"/>
        <v>60536</v>
      </c>
    </row>
    <row r="26" spans="1:16" ht="26.25" customHeight="1" x14ac:dyDescent="0.2">
      <c r="A26" s="13"/>
      <c r="B26" s="67"/>
      <c r="C26" s="65" t="s">
        <v>324</v>
      </c>
      <c r="D26" s="70" t="s">
        <v>57</v>
      </c>
      <c r="E26" s="12">
        <v>44533</v>
      </c>
      <c r="F26" s="68" t="s">
        <v>71</v>
      </c>
      <c r="G26" s="12">
        <v>44538</v>
      </c>
      <c r="H26" s="69" t="s">
        <v>299</v>
      </c>
      <c r="I26" s="15">
        <v>20</v>
      </c>
      <c r="J26" s="15">
        <v>29</v>
      </c>
      <c r="K26" s="15">
        <v>10</v>
      </c>
      <c r="L26" s="15">
        <v>1</v>
      </c>
      <c r="M26" s="73">
        <v>1.45</v>
      </c>
      <c r="N26" s="88">
        <v>2</v>
      </c>
      <c r="O26" s="57">
        <v>7000</v>
      </c>
      <c r="P26" s="58">
        <f t="shared" si="0"/>
        <v>14000</v>
      </c>
    </row>
    <row r="27" spans="1:16" ht="26.25" customHeight="1" x14ac:dyDescent="0.2">
      <c r="A27" s="13"/>
      <c r="B27" s="67"/>
      <c r="C27" s="65" t="s">
        <v>325</v>
      </c>
      <c r="D27" s="70" t="s">
        <v>57</v>
      </c>
      <c r="E27" s="12">
        <v>44533</v>
      </c>
      <c r="F27" s="68" t="s">
        <v>71</v>
      </c>
      <c r="G27" s="12">
        <v>44538</v>
      </c>
      <c r="H27" s="69" t="s">
        <v>299</v>
      </c>
      <c r="I27" s="15">
        <v>82</v>
      </c>
      <c r="J27" s="15">
        <v>60</v>
      </c>
      <c r="K27" s="15">
        <v>30</v>
      </c>
      <c r="L27" s="15">
        <v>14</v>
      </c>
      <c r="M27" s="73">
        <v>36.9</v>
      </c>
      <c r="N27" s="88">
        <v>36.9</v>
      </c>
      <c r="O27" s="57">
        <v>7000</v>
      </c>
      <c r="P27" s="58">
        <f t="shared" si="0"/>
        <v>258300</v>
      </c>
    </row>
    <row r="28" spans="1:16" ht="26.25" customHeight="1" x14ac:dyDescent="0.2">
      <c r="A28" s="13"/>
      <c r="B28" s="67"/>
      <c r="C28" s="65" t="s">
        <v>326</v>
      </c>
      <c r="D28" s="70" t="s">
        <v>57</v>
      </c>
      <c r="E28" s="12">
        <v>44533</v>
      </c>
      <c r="F28" s="68" t="s">
        <v>71</v>
      </c>
      <c r="G28" s="12">
        <v>44538</v>
      </c>
      <c r="H28" s="69" t="s">
        <v>299</v>
      </c>
      <c r="I28" s="15">
        <v>90</v>
      </c>
      <c r="J28" s="15">
        <v>45</v>
      </c>
      <c r="K28" s="15">
        <v>15</v>
      </c>
      <c r="L28" s="15">
        <v>1</v>
      </c>
      <c r="M28" s="73">
        <v>15.1875</v>
      </c>
      <c r="N28" s="88">
        <v>15.1875</v>
      </c>
      <c r="O28" s="57">
        <v>7000</v>
      </c>
      <c r="P28" s="58">
        <f t="shared" si="0"/>
        <v>106312.5</v>
      </c>
    </row>
    <row r="29" spans="1:16" ht="26.25" customHeight="1" x14ac:dyDescent="0.2">
      <c r="A29" s="13"/>
      <c r="B29" s="67"/>
      <c r="C29" s="65" t="s">
        <v>327</v>
      </c>
      <c r="D29" s="70" t="s">
        <v>57</v>
      </c>
      <c r="E29" s="12">
        <v>44533</v>
      </c>
      <c r="F29" s="68" t="s">
        <v>71</v>
      </c>
      <c r="G29" s="12">
        <v>44538</v>
      </c>
      <c r="H29" s="69" t="s">
        <v>299</v>
      </c>
      <c r="I29" s="15">
        <v>92</v>
      </c>
      <c r="J29" s="15">
        <v>63</v>
      </c>
      <c r="K29" s="15">
        <v>9</v>
      </c>
      <c r="L29" s="15">
        <v>7</v>
      </c>
      <c r="M29" s="73">
        <v>13.041</v>
      </c>
      <c r="N29" s="88">
        <v>13.041</v>
      </c>
      <c r="O29" s="57">
        <v>7000</v>
      </c>
      <c r="P29" s="58">
        <f t="shared" si="0"/>
        <v>91287</v>
      </c>
    </row>
    <row r="30" spans="1:16" ht="26.25" customHeight="1" x14ac:dyDescent="0.2">
      <c r="A30" s="13"/>
      <c r="B30" s="67"/>
      <c r="C30" s="65" t="s">
        <v>328</v>
      </c>
      <c r="D30" s="70" t="s">
        <v>57</v>
      </c>
      <c r="E30" s="12">
        <v>44533</v>
      </c>
      <c r="F30" s="68" t="s">
        <v>71</v>
      </c>
      <c r="G30" s="12">
        <v>44538</v>
      </c>
      <c r="H30" s="69" t="s">
        <v>299</v>
      </c>
      <c r="I30" s="15">
        <v>55</v>
      </c>
      <c r="J30" s="15">
        <v>60</v>
      </c>
      <c r="K30" s="15">
        <v>12</v>
      </c>
      <c r="L30" s="15">
        <v>4</v>
      </c>
      <c r="M30" s="73">
        <v>9.9</v>
      </c>
      <c r="N30" s="88">
        <v>9.9</v>
      </c>
      <c r="O30" s="57">
        <v>7000</v>
      </c>
      <c r="P30" s="58">
        <f t="shared" si="0"/>
        <v>69300</v>
      </c>
    </row>
    <row r="31" spans="1:16" ht="26.25" customHeight="1" x14ac:dyDescent="0.2">
      <c r="A31" s="13"/>
      <c r="B31" s="67"/>
      <c r="C31" s="65" t="s">
        <v>329</v>
      </c>
      <c r="D31" s="70" t="s">
        <v>57</v>
      </c>
      <c r="E31" s="12">
        <v>44533</v>
      </c>
      <c r="F31" s="68" t="s">
        <v>71</v>
      </c>
      <c r="G31" s="12">
        <v>44538</v>
      </c>
      <c r="H31" s="69" t="s">
        <v>299</v>
      </c>
      <c r="I31" s="15">
        <v>72</v>
      </c>
      <c r="J31" s="15">
        <v>55</v>
      </c>
      <c r="K31" s="15">
        <v>31</v>
      </c>
      <c r="L31" s="15">
        <v>8</v>
      </c>
      <c r="M31" s="73">
        <v>30.69</v>
      </c>
      <c r="N31" s="88">
        <v>30.69</v>
      </c>
      <c r="O31" s="57">
        <v>7000</v>
      </c>
      <c r="P31" s="58">
        <f t="shared" si="0"/>
        <v>214830</v>
      </c>
    </row>
    <row r="32" spans="1:16" ht="26.25" customHeight="1" x14ac:dyDescent="0.2">
      <c r="A32" s="13"/>
      <c r="B32" s="67"/>
      <c r="C32" s="65" t="s">
        <v>330</v>
      </c>
      <c r="D32" s="70" t="s">
        <v>57</v>
      </c>
      <c r="E32" s="12">
        <v>44533</v>
      </c>
      <c r="F32" s="68" t="s">
        <v>71</v>
      </c>
      <c r="G32" s="12">
        <v>44538</v>
      </c>
      <c r="H32" s="69" t="s">
        <v>299</v>
      </c>
      <c r="I32" s="15">
        <v>77</v>
      </c>
      <c r="J32" s="15">
        <v>23</v>
      </c>
      <c r="K32" s="15">
        <v>15</v>
      </c>
      <c r="L32" s="15">
        <v>5</v>
      </c>
      <c r="M32" s="73">
        <v>6.6412500000000003</v>
      </c>
      <c r="N32" s="88">
        <v>6.6412500000000003</v>
      </c>
      <c r="O32" s="57">
        <v>7000</v>
      </c>
      <c r="P32" s="58">
        <f t="shared" si="0"/>
        <v>46488.75</v>
      </c>
    </row>
    <row r="33" spans="1:16" ht="26.25" customHeight="1" x14ac:dyDescent="0.2">
      <c r="A33" s="13"/>
      <c r="B33" s="67"/>
      <c r="C33" s="65" t="s">
        <v>331</v>
      </c>
      <c r="D33" s="70" t="s">
        <v>57</v>
      </c>
      <c r="E33" s="12">
        <v>44533</v>
      </c>
      <c r="F33" s="68" t="s">
        <v>71</v>
      </c>
      <c r="G33" s="12">
        <v>44538</v>
      </c>
      <c r="H33" s="69" t="s">
        <v>299</v>
      </c>
      <c r="I33" s="15">
        <v>50</v>
      </c>
      <c r="J33" s="15">
        <v>27</v>
      </c>
      <c r="K33" s="15">
        <v>27</v>
      </c>
      <c r="L33" s="15">
        <v>10</v>
      </c>
      <c r="M33" s="73">
        <v>9.1125000000000007</v>
      </c>
      <c r="N33" s="88">
        <v>10</v>
      </c>
      <c r="O33" s="57">
        <v>7000</v>
      </c>
      <c r="P33" s="58">
        <f t="shared" si="0"/>
        <v>70000</v>
      </c>
    </row>
    <row r="34" spans="1:16" ht="26.25" customHeight="1" x14ac:dyDescent="0.2">
      <c r="A34" s="13"/>
      <c r="B34" s="67"/>
      <c r="C34" s="65" t="s">
        <v>332</v>
      </c>
      <c r="D34" s="70" t="s">
        <v>57</v>
      </c>
      <c r="E34" s="12">
        <v>44533</v>
      </c>
      <c r="F34" s="68" t="s">
        <v>71</v>
      </c>
      <c r="G34" s="12">
        <v>44538</v>
      </c>
      <c r="H34" s="69" t="s">
        <v>299</v>
      </c>
      <c r="I34" s="15">
        <v>40</v>
      </c>
      <c r="J34" s="15">
        <v>30</v>
      </c>
      <c r="K34" s="15">
        <v>30</v>
      </c>
      <c r="L34" s="15">
        <v>8</v>
      </c>
      <c r="M34" s="73">
        <v>9</v>
      </c>
      <c r="N34" s="88">
        <v>9</v>
      </c>
      <c r="O34" s="57">
        <v>7000</v>
      </c>
      <c r="P34" s="58">
        <f t="shared" si="0"/>
        <v>63000</v>
      </c>
    </row>
    <row r="35" spans="1:16" ht="26.25" customHeight="1" x14ac:dyDescent="0.2">
      <c r="A35" s="13"/>
      <c r="B35" s="67"/>
      <c r="C35" s="65" t="s">
        <v>333</v>
      </c>
      <c r="D35" s="70" t="s">
        <v>57</v>
      </c>
      <c r="E35" s="12">
        <v>44533</v>
      </c>
      <c r="F35" s="68" t="s">
        <v>71</v>
      </c>
      <c r="G35" s="12">
        <v>44538</v>
      </c>
      <c r="H35" s="69" t="s">
        <v>299</v>
      </c>
      <c r="I35" s="15">
        <v>94</v>
      </c>
      <c r="J35" s="15">
        <v>25</v>
      </c>
      <c r="K35" s="15">
        <v>90</v>
      </c>
      <c r="L35" s="15">
        <v>26</v>
      </c>
      <c r="M35" s="73">
        <v>52.875</v>
      </c>
      <c r="N35" s="88">
        <v>52.875</v>
      </c>
      <c r="O35" s="57">
        <v>7000</v>
      </c>
      <c r="P35" s="58">
        <f t="shared" si="0"/>
        <v>370125</v>
      </c>
    </row>
    <row r="36" spans="1:16" ht="26.25" customHeight="1" x14ac:dyDescent="0.2">
      <c r="A36" s="13"/>
      <c r="B36" s="67"/>
      <c r="C36" s="65" t="s">
        <v>334</v>
      </c>
      <c r="D36" s="70" t="s">
        <v>57</v>
      </c>
      <c r="E36" s="12">
        <v>44533</v>
      </c>
      <c r="F36" s="68" t="s">
        <v>71</v>
      </c>
      <c r="G36" s="12">
        <v>44538</v>
      </c>
      <c r="H36" s="69" t="s">
        <v>299</v>
      </c>
      <c r="I36" s="15">
        <v>100</v>
      </c>
      <c r="J36" s="15">
        <v>55</v>
      </c>
      <c r="K36" s="15">
        <v>17</v>
      </c>
      <c r="L36" s="15">
        <v>7</v>
      </c>
      <c r="M36" s="73">
        <v>23.375</v>
      </c>
      <c r="N36" s="88">
        <v>24</v>
      </c>
      <c r="O36" s="57">
        <v>7000</v>
      </c>
      <c r="P36" s="58">
        <f t="shared" si="0"/>
        <v>168000</v>
      </c>
    </row>
    <row r="37" spans="1:16" ht="26.25" customHeight="1" x14ac:dyDescent="0.2">
      <c r="A37" s="13"/>
      <c r="B37" s="67"/>
      <c r="C37" s="65" t="s">
        <v>335</v>
      </c>
      <c r="D37" s="70" t="s">
        <v>57</v>
      </c>
      <c r="E37" s="12">
        <v>44533</v>
      </c>
      <c r="F37" s="68" t="s">
        <v>71</v>
      </c>
      <c r="G37" s="12">
        <v>44538</v>
      </c>
      <c r="H37" s="69" t="s">
        <v>299</v>
      </c>
      <c r="I37" s="15">
        <v>75</v>
      </c>
      <c r="J37" s="15">
        <v>56</v>
      </c>
      <c r="K37" s="15">
        <v>22</v>
      </c>
      <c r="L37" s="15">
        <v>10</v>
      </c>
      <c r="M37" s="73">
        <v>23.1</v>
      </c>
      <c r="N37" s="88">
        <v>23.1</v>
      </c>
      <c r="O37" s="57">
        <v>7000</v>
      </c>
      <c r="P37" s="58">
        <f t="shared" si="0"/>
        <v>161700</v>
      </c>
    </row>
    <row r="38" spans="1:16" ht="26.25" customHeight="1" x14ac:dyDescent="0.2">
      <c r="A38" s="13"/>
      <c r="B38" s="67"/>
      <c r="C38" s="65" t="s">
        <v>336</v>
      </c>
      <c r="D38" s="70" t="s">
        <v>57</v>
      </c>
      <c r="E38" s="12">
        <v>44533</v>
      </c>
      <c r="F38" s="68" t="s">
        <v>71</v>
      </c>
      <c r="G38" s="12">
        <v>44538</v>
      </c>
      <c r="H38" s="69" t="s">
        <v>299</v>
      </c>
      <c r="I38" s="15">
        <v>70</v>
      </c>
      <c r="J38" s="15">
        <v>55</v>
      </c>
      <c r="K38" s="15">
        <v>23</v>
      </c>
      <c r="L38" s="15">
        <v>20</v>
      </c>
      <c r="M38" s="73">
        <v>22.137499999999999</v>
      </c>
      <c r="N38" s="88">
        <v>22.137499999999999</v>
      </c>
      <c r="O38" s="57">
        <v>7000</v>
      </c>
      <c r="P38" s="58">
        <f t="shared" si="0"/>
        <v>154962.5</v>
      </c>
    </row>
    <row r="39" spans="1:16" ht="26.25" customHeight="1" x14ac:dyDescent="0.2">
      <c r="A39" s="13"/>
      <c r="B39" s="67"/>
      <c r="C39" s="65" t="s">
        <v>337</v>
      </c>
      <c r="D39" s="70" t="s">
        <v>57</v>
      </c>
      <c r="E39" s="12">
        <v>44533</v>
      </c>
      <c r="F39" s="68" t="s">
        <v>71</v>
      </c>
      <c r="G39" s="12">
        <v>44538</v>
      </c>
      <c r="H39" s="69" t="s">
        <v>299</v>
      </c>
      <c r="I39" s="15">
        <v>85</v>
      </c>
      <c r="J39" s="15">
        <v>42</v>
      </c>
      <c r="K39" s="15">
        <v>22</v>
      </c>
      <c r="L39" s="15">
        <v>20</v>
      </c>
      <c r="M39" s="73">
        <v>19.635000000000002</v>
      </c>
      <c r="N39" s="88">
        <v>20</v>
      </c>
      <c r="O39" s="57">
        <v>7000</v>
      </c>
      <c r="P39" s="58">
        <f t="shared" si="0"/>
        <v>140000</v>
      </c>
    </row>
    <row r="40" spans="1:16" ht="26.25" customHeight="1" x14ac:dyDescent="0.2">
      <c r="A40" s="13"/>
      <c r="B40" s="67"/>
      <c r="C40" s="65" t="s">
        <v>338</v>
      </c>
      <c r="D40" s="70" t="s">
        <v>57</v>
      </c>
      <c r="E40" s="12">
        <v>44533</v>
      </c>
      <c r="F40" s="68" t="s">
        <v>71</v>
      </c>
      <c r="G40" s="12">
        <v>44538</v>
      </c>
      <c r="H40" s="69" t="s">
        <v>299</v>
      </c>
      <c r="I40" s="15">
        <v>91</v>
      </c>
      <c r="J40" s="15">
        <v>62</v>
      </c>
      <c r="K40" s="15">
        <v>33</v>
      </c>
      <c r="L40" s="15">
        <v>28</v>
      </c>
      <c r="M40" s="73">
        <v>46.546500000000002</v>
      </c>
      <c r="N40" s="88">
        <v>46.546500000000002</v>
      </c>
      <c r="O40" s="57">
        <v>7000</v>
      </c>
      <c r="P40" s="58">
        <f t="shared" si="0"/>
        <v>325825.5</v>
      </c>
    </row>
    <row r="41" spans="1:16" ht="26.25" customHeight="1" x14ac:dyDescent="0.2">
      <c r="A41" s="13"/>
      <c r="B41" s="67"/>
      <c r="C41" s="65" t="s">
        <v>339</v>
      </c>
      <c r="D41" s="70" t="s">
        <v>57</v>
      </c>
      <c r="E41" s="12">
        <v>44533</v>
      </c>
      <c r="F41" s="68" t="s">
        <v>71</v>
      </c>
      <c r="G41" s="12">
        <v>44538</v>
      </c>
      <c r="H41" s="69" t="s">
        <v>299</v>
      </c>
      <c r="I41" s="15">
        <v>51</v>
      </c>
      <c r="J41" s="15">
        <v>49</v>
      </c>
      <c r="K41" s="15">
        <v>25</v>
      </c>
      <c r="L41" s="15">
        <v>8</v>
      </c>
      <c r="M41" s="73">
        <v>15.61875</v>
      </c>
      <c r="N41" s="88">
        <v>15.61875</v>
      </c>
      <c r="O41" s="57">
        <v>7000</v>
      </c>
      <c r="P41" s="58">
        <f t="shared" si="0"/>
        <v>109331.25</v>
      </c>
    </row>
    <row r="42" spans="1:16" ht="26.25" customHeight="1" x14ac:dyDescent="0.2">
      <c r="A42" s="13"/>
      <c r="B42" s="67"/>
      <c r="C42" s="65" t="s">
        <v>340</v>
      </c>
      <c r="D42" s="70" t="s">
        <v>57</v>
      </c>
      <c r="E42" s="12">
        <v>44533</v>
      </c>
      <c r="F42" s="68" t="s">
        <v>71</v>
      </c>
      <c r="G42" s="12">
        <v>44538</v>
      </c>
      <c r="H42" s="69" t="s">
        <v>299</v>
      </c>
      <c r="I42" s="15">
        <v>94</v>
      </c>
      <c r="J42" s="15">
        <v>55</v>
      </c>
      <c r="K42" s="15">
        <v>28</v>
      </c>
      <c r="L42" s="15">
        <v>20</v>
      </c>
      <c r="M42" s="73">
        <v>36.19</v>
      </c>
      <c r="N42" s="88">
        <v>36.19</v>
      </c>
      <c r="O42" s="57">
        <v>7000</v>
      </c>
      <c r="P42" s="58">
        <f t="shared" si="0"/>
        <v>253329.99999999997</v>
      </c>
    </row>
    <row r="43" spans="1:16" ht="26.25" customHeight="1" x14ac:dyDescent="0.2">
      <c r="A43" s="13"/>
      <c r="B43" s="67"/>
      <c r="C43" s="65" t="s">
        <v>341</v>
      </c>
      <c r="D43" s="70" t="s">
        <v>57</v>
      </c>
      <c r="E43" s="12">
        <v>44533</v>
      </c>
      <c r="F43" s="68" t="s">
        <v>71</v>
      </c>
      <c r="G43" s="12">
        <v>44538</v>
      </c>
      <c r="H43" s="69" t="s">
        <v>299</v>
      </c>
      <c r="I43" s="15">
        <v>33</v>
      </c>
      <c r="J43" s="15">
        <v>20</v>
      </c>
      <c r="K43" s="15">
        <v>8</v>
      </c>
      <c r="L43" s="15">
        <v>2</v>
      </c>
      <c r="M43" s="73">
        <v>1.32</v>
      </c>
      <c r="N43" s="88">
        <v>3</v>
      </c>
      <c r="O43" s="57">
        <v>7000</v>
      </c>
      <c r="P43" s="58">
        <f t="shared" si="0"/>
        <v>21000</v>
      </c>
    </row>
    <row r="44" spans="1:16" ht="26.25" customHeight="1" x14ac:dyDescent="0.2">
      <c r="A44" s="13"/>
      <c r="B44" s="67"/>
      <c r="C44" s="65" t="s">
        <v>342</v>
      </c>
      <c r="D44" s="70" t="s">
        <v>57</v>
      </c>
      <c r="E44" s="12">
        <v>44533</v>
      </c>
      <c r="F44" s="68" t="s">
        <v>71</v>
      </c>
      <c r="G44" s="12">
        <v>44538</v>
      </c>
      <c r="H44" s="69" t="s">
        <v>299</v>
      </c>
      <c r="I44" s="15">
        <v>60</v>
      </c>
      <c r="J44" s="15">
        <v>50</v>
      </c>
      <c r="K44" s="15">
        <v>25</v>
      </c>
      <c r="L44" s="15">
        <v>6</v>
      </c>
      <c r="M44" s="73">
        <v>18.75</v>
      </c>
      <c r="N44" s="88">
        <v>18.75</v>
      </c>
      <c r="O44" s="57">
        <v>7000</v>
      </c>
      <c r="P44" s="58">
        <f t="shared" si="0"/>
        <v>131250</v>
      </c>
    </row>
    <row r="45" spans="1:16" ht="26.25" customHeight="1" x14ac:dyDescent="0.2">
      <c r="A45" s="13"/>
      <c r="B45" s="67"/>
      <c r="C45" s="65" t="s">
        <v>343</v>
      </c>
      <c r="D45" s="70" t="s">
        <v>57</v>
      </c>
      <c r="E45" s="12">
        <v>44533</v>
      </c>
      <c r="F45" s="68" t="s">
        <v>71</v>
      </c>
      <c r="G45" s="12">
        <v>44538</v>
      </c>
      <c r="H45" s="69" t="s">
        <v>299</v>
      </c>
      <c r="I45" s="15">
        <v>65</v>
      </c>
      <c r="J45" s="15">
        <v>45</v>
      </c>
      <c r="K45" s="15">
        <v>21</v>
      </c>
      <c r="L45" s="15">
        <v>6</v>
      </c>
      <c r="M45" s="73">
        <v>15.356249999999999</v>
      </c>
      <c r="N45" s="88">
        <v>16</v>
      </c>
      <c r="O45" s="57">
        <v>7000</v>
      </c>
      <c r="P45" s="58">
        <f t="shared" si="0"/>
        <v>112000</v>
      </c>
    </row>
    <row r="46" spans="1:16" ht="26.25" customHeight="1" x14ac:dyDescent="0.2">
      <c r="A46" s="13"/>
      <c r="B46" s="67"/>
      <c r="C46" s="65" t="s">
        <v>344</v>
      </c>
      <c r="D46" s="70" t="s">
        <v>57</v>
      </c>
      <c r="E46" s="12">
        <v>44533</v>
      </c>
      <c r="F46" s="68" t="s">
        <v>71</v>
      </c>
      <c r="G46" s="12">
        <v>44538</v>
      </c>
      <c r="H46" s="69" t="s">
        <v>299</v>
      </c>
      <c r="I46" s="15">
        <v>29</v>
      </c>
      <c r="J46" s="15">
        <v>22</v>
      </c>
      <c r="K46" s="15">
        <v>8</v>
      </c>
      <c r="L46" s="15">
        <v>1</v>
      </c>
      <c r="M46" s="73">
        <v>1.276</v>
      </c>
      <c r="N46" s="88">
        <v>1.276</v>
      </c>
      <c r="O46" s="57">
        <v>7000</v>
      </c>
      <c r="P46" s="58">
        <f t="shared" si="0"/>
        <v>8932</v>
      </c>
    </row>
    <row r="47" spans="1:16" ht="26.25" customHeight="1" x14ac:dyDescent="0.2">
      <c r="A47" s="13"/>
      <c r="B47" s="67"/>
      <c r="C47" s="65" t="s">
        <v>345</v>
      </c>
      <c r="D47" s="70" t="s">
        <v>57</v>
      </c>
      <c r="E47" s="12">
        <v>44533</v>
      </c>
      <c r="F47" s="68" t="s">
        <v>71</v>
      </c>
      <c r="G47" s="12">
        <v>44538</v>
      </c>
      <c r="H47" s="69" t="s">
        <v>299</v>
      </c>
      <c r="I47" s="15">
        <v>57</v>
      </c>
      <c r="J47" s="15">
        <v>30</v>
      </c>
      <c r="K47" s="15">
        <v>20</v>
      </c>
      <c r="L47" s="15">
        <v>6</v>
      </c>
      <c r="M47" s="73">
        <v>8.5500000000000007</v>
      </c>
      <c r="N47" s="88">
        <v>8.5500000000000007</v>
      </c>
      <c r="O47" s="57">
        <v>7000</v>
      </c>
      <c r="P47" s="58">
        <f t="shared" si="0"/>
        <v>59850.000000000007</v>
      </c>
    </row>
    <row r="48" spans="1:16" ht="26.25" customHeight="1" x14ac:dyDescent="0.2">
      <c r="A48" s="13"/>
      <c r="B48" s="67"/>
      <c r="C48" s="65" t="s">
        <v>346</v>
      </c>
      <c r="D48" s="70" t="s">
        <v>57</v>
      </c>
      <c r="E48" s="12">
        <v>44533</v>
      </c>
      <c r="F48" s="68" t="s">
        <v>71</v>
      </c>
      <c r="G48" s="12">
        <v>44538</v>
      </c>
      <c r="H48" s="69" t="s">
        <v>299</v>
      </c>
      <c r="I48" s="15">
        <v>51</v>
      </c>
      <c r="J48" s="15">
        <v>34</v>
      </c>
      <c r="K48" s="15">
        <v>12</v>
      </c>
      <c r="L48" s="15">
        <v>2</v>
      </c>
      <c r="M48" s="73">
        <v>5.202</v>
      </c>
      <c r="N48" s="88">
        <v>5.202</v>
      </c>
      <c r="O48" s="57">
        <v>7000</v>
      </c>
      <c r="P48" s="58">
        <f t="shared" si="0"/>
        <v>36414</v>
      </c>
    </row>
    <row r="49" spans="1:16" ht="26.25" customHeight="1" x14ac:dyDescent="0.2">
      <c r="A49" s="13"/>
      <c r="B49" s="67"/>
      <c r="C49" s="65" t="s">
        <v>347</v>
      </c>
      <c r="D49" s="70" t="s">
        <v>57</v>
      </c>
      <c r="E49" s="12">
        <v>44533</v>
      </c>
      <c r="F49" s="68" t="s">
        <v>71</v>
      </c>
      <c r="G49" s="12">
        <v>44538</v>
      </c>
      <c r="H49" s="69" t="s">
        <v>299</v>
      </c>
      <c r="I49" s="15">
        <v>62</v>
      </c>
      <c r="J49" s="15">
        <v>41</v>
      </c>
      <c r="K49" s="15">
        <v>31</v>
      </c>
      <c r="L49" s="15">
        <v>5</v>
      </c>
      <c r="M49" s="73">
        <v>19.700500000000002</v>
      </c>
      <c r="N49" s="88">
        <v>19.700500000000002</v>
      </c>
      <c r="O49" s="57">
        <v>7000</v>
      </c>
      <c r="P49" s="58">
        <f t="shared" si="0"/>
        <v>137903.5</v>
      </c>
    </row>
    <row r="50" spans="1:16" ht="26.25" customHeight="1" x14ac:dyDescent="0.2">
      <c r="A50" s="13"/>
      <c r="B50" s="67"/>
      <c r="C50" s="65" t="s">
        <v>348</v>
      </c>
      <c r="D50" s="70" t="s">
        <v>57</v>
      </c>
      <c r="E50" s="12">
        <v>44533</v>
      </c>
      <c r="F50" s="68" t="s">
        <v>71</v>
      </c>
      <c r="G50" s="12">
        <v>44538</v>
      </c>
      <c r="H50" s="69" t="s">
        <v>299</v>
      </c>
      <c r="I50" s="15">
        <v>60</v>
      </c>
      <c r="J50" s="15">
        <v>45</v>
      </c>
      <c r="K50" s="15">
        <v>22</v>
      </c>
      <c r="L50" s="15">
        <v>4</v>
      </c>
      <c r="M50" s="73">
        <v>14.85</v>
      </c>
      <c r="N50" s="88">
        <v>14.85</v>
      </c>
      <c r="O50" s="57">
        <v>7000</v>
      </c>
      <c r="P50" s="58">
        <f t="shared" si="0"/>
        <v>103950</v>
      </c>
    </row>
    <row r="51" spans="1:16" ht="26.25" customHeight="1" x14ac:dyDescent="0.2">
      <c r="A51" s="13"/>
      <c r="B51" s="67"/>
      <c r="C51" s="65" t="s">
        <v>349</v>
      </c>
      <c r="D51" s="70" t="s">
        <v>57</v>
      </c>
      <c r="E51" s="12">
        <v>44533</v>
      </c>
      <c r="F51" s="68" t="s">
        <v>71</v>
      </c>
      <c r="G51" s="12">
        <v>44538</v>
      </c>
      <c r="H51" s="69" t="s">
        <v>299</v>
      </c>
      <c r="I51" s="15">
        <v>36</v>
      </c>
      <c r="J51" s="15">
        <v>30</v>
      </c>
      <c r="K51" s="15">
        <v>18</v>
      </c>
      <c r="L51" s="15">
        <v>5</v>
      </c>
      <c r="M51" s="73">
        <v>4.8600000000000003</v>
      </c>
      <c r="N51" s="88">
        <v>5</v>
      </c>
      <c r="O51" s="57">
        <v>7000</v>
      </c>
      <c r="P51" s="58">
        <f t="shared" si="0"/>
        <v>35000</v>
      </c>
    </row>
    <row r="52" spans="1:16" ht="26.25" customHeight="1" x14ac:dyDescent="0.2">
      <c r="A52" s="13"/>
      <c r="B52" s="67"/>
      <c r="C52" s="65" t="s">
        <v>350</v>
      </c>
      <c r="D52" s="70" t="s">
        <v>57</v>
      </c>
      <c r="E52" s="12">
        <v>44533</v>
      </c>
      <c r="F52" s="68" t="s">
        <v>71</v>
      </c>
      <c r="G52" s="12">
        <v>44538</v>
      </c>
      <c r="H52" s="69" t="s">
        <v>299</v>
      </c>
      <c r="I52" s="15">
        <v>32</v>
      </c>
      <c r="J52" s="15">
        <v>28</v>
      </c>
      <c r="K52" s="15">
        <v>15</v>
      </c>
      <c r="L52" s="15">
        <v>1</v>
      </c>
      <c r="M52" s="73">
        <v>3.36</v>
      </c>
      <c r="N52" s="88">
        <v>4</v>
      </c>
      <c r="O52" s="57">
        <v>7000</v>
      </c>
      <c r="P52" s="58">
        <f t="shared" si="0"/>
        <v>28000</v>
      </c>
    </row>
    <row r="53" spans="1:16" ht="26.25" customHeight="1" x14ac:dyDescent="0.2">
      <c r="A53" s="13"/>
      <c r="B53" s="67"/>
      <c r="C53" s="65" t="s">
        <v>351</v>
      </c>
      <c r="D53" s="70" t="s">
        <v>57</v>
      </c>
      <c r="E53" s="12">
        <v>44533</v>
      </c>
      <c r="F53" s="68" t="s">
        <v>71</v>
      </c>
      <c r="G53" s="12">
        <v>44538</v>
      </c>
      <c r="H53" s="69" t="s">
        <v>299</v>
      </c>
      <c r="I53" s="15">
        <v>50</v>
      </c>
      <c r="J53" s="15">
        <v>46</v>
      </c>
      <c r="K53" s="15">
        <v>17</v>
      </c>
      <c r="L53" s="15">
        <v>5</v>
      </c>
      <c r="M53" s="73">
        <v>9.7750000000000004</v>
      </c>
      <c r="N53" s="88">
        <v>9.7750000000000004</v>
      </c>
      <c r="O53" s="57">
        <v>7000</v>
      </c>
      <c r="P53" s="58">
        <f t="shared" si="0"/>
        <v>68425</v>
      </c>
    </row>
    <row r="54" spans="1:16" ht="26.25" customHeight="1" x14ac:dyDescent="0.2">
      <c r="A54" s="13"/>
      <c r="B54" s="67"/>
      <c r="C54" s="65" t="s">
        <v>352</v>
      </c>
      <c r="D54" s="70" t="s">
        <v>57</v>
      </c>
      <c r="E54" s="12">
        <v>44533</v>
      </c>
      <c r="F54" s="68" t="s">
        <v>71</v>
      </c>
      <c r="G54" s="12">
        <v>44538</v>
      </c>
      <c r="H54" s="69" t="s">
        <v>299</v>
      </c>
      <c r="I54" s="15">
        <v>54</v>
      </c>
      <c r="J54" s="15">
        <v>20</v>
      </c>
      <c r="K54" s="15">
        <v>19</v>
      </c>
      <c r="L54" s="15">
        <v>1</v>
      </c>
      <c r="M54" s="73">
        <v>5.13</v>
      </c>
      <c r="N54" s="88">
        <v>5.13</v>
      </c>
      <c r="O54" s="57">
        <v>7000</v>
      </c>
      <c r="P54" s="58">
        <f t="shared" si="0"/>
        <v>35910</v>
      </c>
    </row>
    <row r="55" spans="1:16" ht="26.25" customHeight="1" x14ac:dyDescent="0.2">
      <c r="A55" s="13"/>
      <c r="B55" s="67"/>
      <c r="C55" s="65" t="s">
        <v>353</v>
      </c>
      <c r="D55" s="70" t="s">
        <v>57</v>
      </c>
      <c r="E55" s="12">
        <v>44533</v>
      </c>
      <c r="F55" s="68" t="s">
        <v>71</v>
      </c>
      <c r="G55" s="12">
        <v>44538</v>
      </c>
      <c r="H55" s="69" t="s">
        <v>299</v>
      </c>
      <c r="I55" s="15">
        <v>40</v>
      </c>
      <c r="J55" s="15">
        <v>30</v>
      </c>
      <c r="K55" s="15">
        <v>26</v>
      </c>
      <c r="L55" s="15">
        <v>2</v>
      </c>
      <c r="M55" s="73">
        <v>7.8</v>
      </c>
      <c r="N55" s="88">
        <v>7.8</v>
      </c>
      <c r="O55" s="57">
        <v>7000</v>
      </c>
      <c r="P55" s="58">
        <f t="shared" si="0"/>
        <v>54600</v>
      </c>
    </row>
    <row r="56" spans="1:16" ht="26.25" customHeight="1" x14ac:dyDescent="0.2">
      <c r="A56" s="13"/>
      <c r="B56" s="67"/>
      <c r="C56" s="65" t="s">
        <v>354</v>
      </c>
      <c r="D56" s="70" t="s">
        <v>57</v>
      </c>
      <c r="E56" s="12">
        <v>44533</v>
      </c>
      <c r="F56" s="68" t="s">
        <v>71</v>
      </c>
      <c r="G56" s="12">
        <v>44538</v>
      </c>
      <c r="H56" s="69" t="s">
        <v>299</v>
      </c>
      <c r="I56" s="15">
        <v>29</v>
      </c>
      <c r="J56" s="15">
        <v>18</v>
      </c>
      <c r="K56" s="15">
        <v>10</v>
      </c>
      <c r="L56" s="15">
        <v>1</v>
      </c>
      <c r="M56" s="73">
        <v>1.3049999999999999</v>
      </c>
      <c r="N56" s="88">
        <v>2</v>
      </c>
      <c r="O56" s="57">
        <v>7000</v>
      </c>
      <c r="P56" s="58">
        <f t="shared" si="0"/>
        <v>14000</v>
      </c>
    </row>
    <row r="57" spans="1:16" ht="26.25" customHeight="1" x14ac:dyDescent="0.2">
      <c r="A57" s="13"/>
      <c r="B57" s="67"/>
      <c r="C57" s="65" t="s">
        <v>355</v>
      </c>
      <c r="D57" s="70" t="s">
        <v>57</v>
      </c>
      <c r="E57" s="12">
        <v>44533</v>
      </c>
      <c r="F57" s="68" t="s">
        <v>71</v>
      </c>
      <c r="G57" s="12">
        <v>44538</v>
      </c>
      <c r="H57" s="69" t="s">
        <v>299</v>
      </c>
      <c r="I57" s="15">
        <v>52</v>
      </c>
      <c r="J57" s="15">
        <v>45</v>
      </c>
      <c r="K57" s="15">
        <v>23</v>
      </c>
      <c r="L57" s="15">
        <v>3</v>
      </c>
      <c r="M57" s="73">
        <v>13.455</v>
      </c>
      <c r="N57" s="88">
        <v>14</v>
      </c>
      <c r="O57" s="57">
        <v>7000</v>
      </c>
      <c r="P57" s="58">
        <f t="shared" si="0"/>
        <v>98000</v>
      </c>
    </row>
    <row r="58" spans="1:16" ht="26.25" customHeight="1" x14ac:dyDescent="0.2">
      <c r="A58" s="13"/>
      <c r="B58" s="67"/>
      <c r="C58" s="65" t="s">
        <v>356</v>
      </c>
      <c r="D58" s="70" t="s">
        <v>57</v>
      </c>
      <c r="E58" s="12">
        <v>44533</v>
      </c>
      <c r="F58" s="68" t="s">
        <v>71</v>
      </c>
      <c r="G58" s="12">
        <v>44538</v>
      </c>
      <c r="H58" s="69" t="s">
        <v>299</v>
      </c>
      <c r="I58" s="15">
        <v>28</v>
      </c>
      <c r="J58" s="15">
        <v>15</v>
      </c>
      <c r="K58" s="15">
        <v>11</v>
      </c>
      <c r="L58" s="15">
        <v>1</v>
      </c>
      <c r="M58" s="73">
        <v>1.155</v>
      </c>
      <c r="N58" s="88">
        <v>1.155</v>
      </c>
      <c r="O58" s="57">
        <v>7000</v>
      </c>
      <c r="P58" s="58">
        <f t="shared" si="0"/>
        <v>8085</v>
      </c>
    </row>
    <row r="59" spans="1:16" ht="26.25" customHeight="1" x14ac:dyDescent="0.2">
      <c r="A59" s="13"/>
      <c r="B59" s="67"/>
      <c r="C59" s="65" t="s">
        <v>357</v>
      </c>
      <c r="D59" s="70" t="s">
        <v>57</v>
      </c>
      <c r="E59" s="12">
        <v>44533</v>
      </c>
      <c r="F59" s="68" t="s">
        <v>71</v>
      </c>
      <c r="G59" s="12">
        <v>44538</v>
      </c>
      <c r="H59" s="69" t="s">
        <v>299</v>
      </c>
      <c r="I59" s="15">
        <v>95</v>
      </c>
      <c r="J59" s="15">
        <v>51</v>
      </c>
      <c r="K59" s="15">
        <v>38</v>
      </c>
      <c r="L59" s="15">
        <v>24</v>
      </c>
      <c r="M59" s="73">
        <v>46.027500000000003</v>
      </c>
      <c r="N59" s="88">
        <v>46.027500000000003</v>
      </c>
      <c r="O59" s="57">
        <v>7000</v>
      </c>
      <c r="P59" s="58">
        <f t="shared" si="0"/>
        <v>322192.5</v>
      </c>
    </row>
    <row r="60" spans="1:16" ht="26.25" customHeight="1" x14ac:dyDescent="0.2">
      <c r="A60" s="13"/>
      <c r="B60" s="67"/>
      <c r="C60" s="65" t="s">
        <v>358</v>
      </c>
      <c r="D60" s="70" t="s">
        <v>57</v>
      </c>
      <c r="E60" s="12">
        <v>44533</v>
      </c>
      <c r="F60" s="68" t="s">
        <v>71</v>
      </c>
      <c r="G60" s="12">
        <v>44538</v>
      </c>
      <c r="H60" s="69" t="s">
        <v>299</v>
      </c>
      <c r="I60" s="15">
        <v>60</v>
      </c>
      <c r="J60" s="15">
        <v>55</v>
      </c>
      <c r="K60" s="15">
        <v>23</v>
      </c>
      <c r="L60" s="15">
        <v>6</v>
      </c>
      <c r="M60" s="73">
        <v>18.975000000000001</v>
      </c>
      <c r="N60" s="88">
        <v>18.975000000000001</v>
      </c>
      <c r="O60" s="57">
        <v>7000</v>
      </c>
      <c r="P60" s="58">
        <f t="shared" si="0"/>
        <v>132825</v>
      </c>
    </row>
    <row r="61" spans="1:16" ht="26.25" customHeight="1" x14ac:dyDescent="0.2">
      <c r="A61" s="13"/>
      <c r="B61" s="67"/>
      <c r="C61" s="65" t="s">
        <v>359</v>
      </c>
      <c r="D61" s="70" t="s">
        <v>57</v>
      </c>
      <c r="E61" s="12">
        <v>44533</v>
      </c>
      <c r="F61" s="68" t="s">
        <v>71</v>
      </c>
      <c r="G61" s="12">
        <v>44538</v>
      </c>
      <c r="H61" s="69" t="s">
        <v>299</v>
      </c>
      <c r="I61" s="15">
        <v>80</v>
      </c>
      <c r="J61" s="15">
        <v>50</v>
      </c>
      <c r="K61" s="15">
        <v>18</v>
      </c>
      <c r="L61" s="15">
        <v>7</v>
      </c>
      <c r="M61" s="73">
        <v>18</v>
      </c>
      <c r="N61" s="88">
        <v>18</v>
      </c>
      <c r="O61" s="57">
        <v>7000</v>
      </c>
      <c r="P61" s="58">
        <f t="shared" si="0"/>
        <v>126000</v>
      </c>
    </row>
    <row r="62" spans="1:16" ht="26.25" customHeight="1" x14ac:dyDescent="0.2">
      <c r="A62" s="13"/>
      <c r="B62" s="67"/>
      <c r="C62" s="65" t="s">
        <v>360</v>
      </c>
      <c r="D62" s="70" t="s">
        <v>57</v>
      </c>
      <c r="E62" s="12">
        <v>44533</v>
      </c>
      <c r="F62" s="68" t="s">
        <v>71</v>
      </c>
      <c r="G62" s="12">
        <v>44538</v>
      </c>
      <c r="H62" s="69" t="s">
        <v>299</v>
      </c>
      <c r="I62" s="15">
        <v>82</v>
      </c>
      <c r="J62" s="15">
        <v>60</v>
      </c>
      <c r="K62" s="15">
        <v>38</v>
      </c>
      <c r="L62" s="15">
        <v>19</v>
      </c>
      <c r="M62" s="73">
        <v>46.74</v>
      </c>
      <c r="N62" s="88">
        <v>46.74</v>
      </c>
      <c r="O62" s="57">
        <v>7000</v>
      </c>
      <c r="P62" s="58">
        <f t="shared" si="0"/>
        <v>327180</v>
      </c>
    </row>
    <row r="63" spans="1:16" ht="26.25" customHeight="1" x14ac:dyDescent="0.2">
      <c r="A63" s="13"/>
      <c r="B63" s="67"/>
      <c r="C63" s="65" t="s">
        <v>361</v>
      </c>
      <c r="D63" s="70" t="s">
        <v>57</v>
      </c>
      <c r="E63" s="12">
        <v>44533</v>
      </c>
      <c r="F63" s="68" t="s">
        <v>71</v>
      </c>
      <c r="G63" s="12">
        <v>44538</v>
      </c>
      <c r="H63" s="69" t="s">
        <v>299</v>
      </c>
      <c r="I63" s="15">
        <v>60</v>
      </c>
      <c r="J63" s="15">
        <v>41</v>
      </c>
      <c r="K63" s="15">
        <v>11</v>
      </c>
      <c r="L63" s="15">
        <v>3</v>
      </c>
      <c r="M63" s="73">
        <v>6.7649999999999997</v>
      </c>
      <c r="N63" s="88">
        <v>6.7649999999999997</v>
      </c>
      <c r="O63" s="57">
        <v>7000</v>
      </c>
      <c r="P63" s="58">
        <f t="shared" si="0"/>
        <v>47355</v>
      </c>
    </row>
    <row r="64" spans="1:16" ht="26.25" customHeight="1" x14ac:dyDescent="0.2">
      <c r="A64" s="13"/>
      <c r="B64" s="67"/>
      <c r="C64" s="65" t="s">
        <v>362</v>
      </c>
      <c r="D64" s="70" t="s">
        <v>57</v>
      </c>
      <c r="E64" s="12">
        <v>44533</v>
      </c>
      <c r="F64" s="68" t="s">
        <v>71</v>
      </c>
      <c r="G64" s="12">
        <v>44538</v>
      </c>
      <c r="H64" s="69" t="s">
        <v>299</v>
      </c>
      <c r="I64" s="15">
        <v>81</v>
      </c>
      <c r="J64" s="15">
        <v>60</v>
      </c>
      <c r="K64" s="15">
        <v>26</v>
      </c>
      <c r="L64" s="15">
        <v>16</v>
      </c>
      <c r="M64" s="73">
        <v>31.59</v>
      </c>
      <c r="N64" s="88">
        <v>31.59</v>
      </c>
      <c r="O64" s="57">
        <v>7000</v>
      </c>
      <c r="P64" s="58">
        <f t="shared" si="0"/>
        <v>221130</v>
      </c>
    </row>
    <row r="65" spans="1:16" ht="26.25" customHeight="1" x14ac:dyDescent="0.2">
      <c r="A65" s="13"/>
      <c r="B65" s="67"/>
      <c r="C65" s="65" t="s">
        <v>363</v>
      </c>
      <c r="D65" s="70" t="s">
        <v>57</v>
      </c>
      <c r="E65" s="12">
        <v>44533</v>
      </c>
      <c r="F65" s="68" t="s">
        <v>71</v>
      </c>
      <c r="G65" s="12">
        <v>44538</v>
      </c>
      <c r="H65" s="69" t="s">
        <v>299</v>
      </c>
      <c r="I65" s="15">
        <v>60</v>
      </c>
      <c r="J65" s="15">
        <v>55</v>
      </c>
      <c r="K65" s="15">
        <v>24</v>
      </c>
      <c r="L65" s="15">
        <v>7</v>
      </c>
      <c r="M65" s="73">
        <v>19.8</v>
      </c>
      <c r="N65" s="88">
        <v>19.8</v>
      </c>
      <c r="O65" s="57">
        <v>7000</v>
      </c>
      <c r="P65" s="58">
        <f t="shared" si="0"/>
        <v>138600</v>
      </c>
    </row>
    <row r="66" spans="1:16" ht="26.25" customHeight="1" x14ac:dyDescent="0.2">
      <c r="A66" s="13"/>
      <c r="B66" s="67"/>
      <c r="C66" s="65" t="s">
        <v>364</v>
      </c>
      <c r="D66" s="70" t="s">
        <v>57</v>
      </c>
      <c r="E66" s="12">
        <v>44533</v>
      </c>
      <c r="F66" s="68" t="s">
        <v>71</v>
      </c>
      <c r="G66" s="12">
        <v>44538</v>
      </c>
      <c r="H66" s="69" t="s">
        <v>299</v>
      </c>
      <c r="I66" s="15">
        <v>57</v>
      </c>
      <c r="J66" s="15">
        <v>50</v>
      </c>
      <c r="K66" s="15">
        <v>20</v>
      </c>
      <c r="L66" s="15">
        <v>4</v>
      </c>
      <c r="M66" s="73">
        <v>14.25</v>
      </c>
      <c r="N66" s="88">
        <v>14.25</v>
      </c>
      <c r="O66" s="57">
        <v>7000</v>
      </c>
      <c r="P66" s="58">
        <f t="shared" si="0"/>
        <v>99750</v>
      </c>
    </row>
    <row r="67" spans="1:16" ht="26.25" customHeight="1" x14ac:dyDescent="0.2">
      <c r="A67" s="13"/>
      <c r="B67" s="67"/>
      <c r="C67" s="65" t="s">
        <v>365</v>
      </c>
      <c r="D67" s="70" t="s">
        <v>57</v>
      </c>
      <c r="E67" s="12">
        <v>44533</v>
      </c>
      <c r="F67" s="68" t="s">
        <v>71</v>
      </c>
      <c r="G67" s="12">
        <v>44538</v>
      </c>
      <c r="H67" s="69" t="s">
        <v>299</v>
      </c>
      <c r="I67" s="15">
        <v>78</v>
      </c>
      <c r="J67" s="15">
        <v>62</v>
      </c>
      <c r="K67" s="15">
        <v>26</v>
      </c>
      <c r="L67" s="15">
        <v>10</v>
      </c>
      <c r="M67" s="73">
        <v>31.434000000000001</v>
      </c>
      <c r="N67" s="88">
        <v>32</v>
      </c>
      <c r="O67" s="57">
        <v>7000</v>
      </c>
      <c r="P67" s="58">
        <f t="shared" ref="P67:P123" si="1">N67*O67</f>
        <v>224000</v>
      </c>
    </row>
    <row r="68" spans="1:16" ht="26.25" customHeight="1" x14ac:dyDescent="0.2">
      <c r="A68" s="13"/>
      <c r="B68" s="67"/>
      <c r="C68" s="65" t="s">
        <v>366</v>
      </c>
      <c r="D68" s="70" t="s">
        <v>57</v>
      </c>
      <c r="E68" s="12">
        <v>44533</v>
      </c>
      <c r="F68" s="68" t="s">
        <v>71</v>
      </c>
      <c r="G68" s="12">
        <v>44538</v>
      </c>
      <c r="H68" s="69" t="s">
        <v>299</v>
      </c>
      <c r="I68" s="15">
        <v>50</v>
      </c>
      <c r="J68" s="15">
        <v>24</v>
      </c>
      <c r="K68" s="15">
        <v>12</v>
      </c>
      <c r="L68" s="15">
        <v>1</v>
      </c>
      <c r="M68" s="73">
        <v>3.6</v>
      </c>
      <c r="N68" s="88">
        <v>3.6</v>
      </c>
      <c r="O68" s="57">
        <v>7000</v>
      </c>
      <c r="P68" s="58">
        <f t="shared" si="1"/>
        <v>25200</v>
      </c>
    </row>
    <row r="69" spans="1:16" ht="26.25" customHeight="1" x14ac:dyDescent="0.2">
      <c r="A69" s="13"/>
      <c r="B69" s="67"/>
      <c r="C69" s="65" t="s">
        <v>367</v>
      </c>
      <c r="D69" s="70" t="s">
        <v>57</v>
      </c>
      <c r="E69" s="12">
        <v>44533</v>
      </c>
      <c r="F69" s="68" t="s">
        <v>71</v>
      </c>
      <c r="G69" s="12">
        <v>44538</v>
      </c>
      <c r="H69" s="69" t="s">
        <v>299</v>
      </c>
      <c r="I69" s="15">
        <v>10</v>
      </c>
      <c r="J69" s="15">
        <v>8</v>
      </c>
      <c r="K69" s="15">
        <v>6</v>
      </c>
      <c r="L69" s="15">
        <v>1</v>
      </c>
      <c r="M69" s="73">
        <v>0.12</v>
      </c>
      <c r="N69" s="88">
        <v>1</v>
      </c>
      <c r="O69" s="57">
        <v>7000</v>
      </c>
      <c r="P69" s="58">
        <f t="shared" si="1"/>
        <v>7000</v>
      </c>
    </row>
    <row r="70" spans="1:16" ht="26.25" customHeight="1" x14ac:dyDescent="0.2">
      <c r="A70" s="13"/>
      <c r="B70" s="67"/>
      <c r="C70" s="65" t="s">
        <v>368</v>
      </c>
      <c r="D70" s="70" t="s">
        <v>57</v>
      </c>
      <c r="E70" s="12">
        <v>44533</v>
      </c>
      <c r="F70" s="68" t="s">
        <v>71</v>
      </c>
      <c r="G70" s="12">
        <v>44538</v>
      </c>
      <c r="H70" s="69" t="s">
        <v>299</v>
      </c>
      <c r="I70" s="15">
        <v>70</v>
      </c>
      <c r="J70" s="15">
        <v>62</v>
      </c>
      <c r="K70" s="15">
        <v>22</v>
      </c>
      <c r="L70" s="15">
        <v>14</v>
      </c>
      <c r="M70" s="73">
        <v>23.87</v>
      </c>
      <c r="N70" s="88">
        <v>23.87</v>
      </c>
      <c r="O70" s="57">
        <v>7000</v>
      </c>
      <c r="P70" s="58">
        <f t="shared" si="1"/>
        <v>167090</v>
      </c>
    </row>
    <row r="71" spans="1:16" ht="26.25" customHeight="1" x14ac:dyDescent="0.2">
      <c r="A71" s="13"/>
      <c r="B71" s="67"/>
      <c r="C71" s="65" t="s">
        <v>369</v>
      </c>
      <c r="D71" s="70" t="s">
        <v>57</v>
      </c>
      <c r="E71" s="12">
        <v>44533</v>
      </c>
      <c r="F71" s="68" t="s">
        <v>71</v>
      </c>
      <c r="G71" s="12">
        <v>44538</v>
      </c>
      <c r="H71" s="69" t="s">
        <v>299</v>
      </c>
      <c r="I71" s="15">
        <v>100</v>
      </c>
      <c r="J71" s="15">
        <v>58</v>
      </c>
      <c r="K71" s="15">
        <v>36</v>
      </c>
      <c r="L71" s="15">
        <v>8</v>
      </c>
      <c r="M71" s="73">
        <v>52.2</v>
      </c>
      <c r="N71" s="88">
        <v>52.2</v>
      </c>
      <c r="O71" s="57">
        <v>7000</v>
      </c>
      <c r="P71" s="58">
        <f t="shared" si="1"/>
        <v>365400</v>
      </c>
    </row>
    <row r="72" spans="1:16" ht="26.25" customHeight="1" x14ac:dyDescent="0.2">
      <c r="A72" s="13"/>
      <c r="B72" s="67"/>
      <c r="C72" s="65" t="s">
        <v>370</v>
      </c>
      <c r="D72" s="70" t="s">
        <v>57</v>
      </c>
      <c r="E72" s="12">
        <v>44533</v>
      </c>
      <c r="F72" s="68" t="s">
        <v>71</v>
      </c>
      <c r="G72" s="12">
        <v>44538</v>
      </c>
      <c r="H72" s="69" t="s">
        <v>299</v>
      </c>
      <c r="I72" s="15">
        <v>70</v>
      </c>
      <c r="J72" s="15">
        <v>54</v>
      </c>
      <c r="K72" s="15">
        <v>24</v>
      </c>
      <c r="L72" s="15">
        <v>5</v>
      </c>
      <c r="M72" s="73">
        <v>22.68</v>
      </c>
      <c r="N72" s="88">
        <v>22.68</v>
      </c>
      <c r="O72" s="57">
        <v>7000</v>
      </c>
      <c r="P72" s="58">
        <f t="shared" si="1"/>
        <v>158760</v>
      </c>
    </row>
    <row r="73" spans="1:16" ht="26.25" customHeight="1" x14ac:dyDescent="0.2">
      <c r="A73" s="13"/>
      <c r="B73" s="67"/>
      <c r="C73" s="65" t="s">
        <v>371</v>
      </c>
      <c r="D73" s="70" t="s">
        <v>57</v>
      </c>
      <c r="E73" s="12">
        <v>44533</v>
      </c>
      <c r="F73" s="68" t="s">
        <v>71</v>
      </c>
      <c r="G73" s="12">
        <v>44538</v>
      </c>
      <c r="H73" s="69" t="s">
        <v>299</v>
      </c>
      <c r="I73" s="15">
        <v>62</v>
      </c>
      <c r="J73" s="15">
        <v>22</v>
      </c>
      <c r="K73" s="15">
        <v>45</v>
      </c>
      <c r="L73" s="15">
        <v>19</v>
      </c>
      <c r="M73" s="73">
        <v>15.345000000000001</v>
      </c>
      <c r="N73" s="88">
        <v>20</v>
      </c>
      <c r="O73" s="57">
        <v>7000</v>
      </c>
      <c r="P73" s="58">
        <f t="shared" si="1"/>
        <v>140000</v>
      </c>
    </row>
    <row r="74" spans="1:16" ht="26.25" customHeight="1" x14ac:dyDescent="0.2">
      <c r="A74" s="13"/>
      <c r="B74" s="67"/>
      <c r="C74" s="65" t="s">
        <v>372</v>
      </c>
      <c r="D74" s="70" t="s">
        <v>57</v>
      </c>
      <c r="E74" s="12">
        <v>44533</v>
      </c>
      <c r="F74" s="68" t="s">
        <v>71</v>
      </c>
      <c r="G74" s="12">
        <v>44538</v>
      </c>
      <c r="H74" s="69" t="s">
        <v>299</v>
      </c>
      <c r="I74" s="15">
        <v>44</v>
      </c>
      <c r="J74" s="15">
        <v>28</v>
      </c>
      <c r="K74" s="15">
        <v>25</v>
      </c>
      <c r="L74" s="15">
        <v>7</v>
      </c>
      <c r="M74" s="73">
        <v>7.7</v>
      </c>
      <c r="N74" s="88">
        <v>7.7</v>
      </c>
      <c r="O74" s="57">
        <v>7000</v>
      </c>
      <c r="P74" s="58">
        <f t="shared" si="1"/>
        <v>53900</v>
      </c>
    </row>
    <row r="75" spans="1:16" ht="26.25" customHeight="1" x14ac:dyDescent="0.2">
      <c r="A75" s="13"/>
      <c r="B75" s="67"/>
      <c r="C75" s="65" t="s">
        <v>373</v>
      </c>
      <c r="D75" s="70" t="s">
        <v>57</v>
      </c>
      <c r="E75" s="12">
        <v>44533</v>
      </c>
      <c r="F75" s="68" t="s">
        <v>71</v>
      </c>
      <c r="G75" s="12">
        <v>44538</v>
      </c>
      <c r="H75" s="69" t="s">
        <v>299</v>
      </c>
      <c r="I75" s="15">
        <v>79</v>
      </c>
      <c r="J75" s="15">
        <v>67</v>
      </c>
      <c r="K75" s="15">
        <v>2</v>
      </c>
      <c r="L75" s="15">
        <v>1</v>
      </c>
      <c r="M75" s="73">
        <v>2.6465000000000001</v>
      </c>
      <c r="N75" s="88">
        <v>2.6465000000000001</v>
      </c>
      <c r="O75" s="57">
        <v>7000</v>
      </c>
      <c r="P75" s="58">
        <f t="shared" si="1"/>
        <v>18525.5</v>
      </c>
    </row>
    <row r="76" spans="1:16" ht="26.25" customHeight="1" x14ac:dyDescent="0.2">
      <c r="A76" s="13"/>
      <c r="B76" s="67"/>
      <c r="C76" s="65" t="s">
        <v>374</v>
      </c>
      <c r="D76" s="70" t="s">
        <v>57</v>
      </c>
      <c r="E76" s="12">
        <v>44533</v>
      </c>
      <c r="F76" s="68" t="s">
        <v>71</v>
      </c>
      <c r="G76" s="12">
        <v>44538</v>
      </c>
      <c r="H76" s="69" t="s">
        <v>299</v>
      </c>
      <c r="I76" s="15">
        <v>64</v>
      </c>
      <c r="J76" s="15">
        <v>60</v>
      </c>
      <c r="K76" s="15">
        <v>23</v>
      </c>
      <c r="L76" s="15">
        <v>11</v>
      </c>
      <c r="M76" s="73">
        <v>22.08</v>
      </c>
      <c r="N76" s="88">
        <v>22.08</v>
      </c>
      <c r="O76" s="57">
        <v>7000</v>
      </c>
      <c r="P76" s="58">
        <f t="shared" si="1"/>
        <v>154560</v>
      </c>
    </row>
    <row r="77" spans="1:16" ht="26.25" customHeight="1" x14ac:dyDescent="0.2">
      <c r="A77" s="13"/>
      <c r="B77" s="67"/>
      <c r="C77" s="65" t="s">
        <v>375</v>
      </c>
      <c r="D77" s="70" t="s">
        <v>57</v>
      </c>
      <c r="E77" s="12">
        <v>44533</v>
      </c>
      <c r="F77" s="68" t="s">
        <v>71</v>
      </c>
      <c r="G77" s="12">
        <v>44538</v>
      </c>
      <c r="H77" s="69" t="s">
        <v>299</v>
      </c>
      <c r="I77" s="15">
        <v>55</v>
      </c>
      <c r="J77" s="15">
        <v>47</v>
      </c>
      <c r="K77" s="15">
        <v>31</v>
      </c>
      <c r="L77" s="15">
        <v>10</v>
      </c>
      <c r="M77" s="73">
        <v>20.033750000000001</v>
      </c>
      <c r="N77" s="88">
        <v>20.033750000000001</v>
      </c>
      <c r="O77" s="57">
        <v>7000</v>
      </c>
      <c r="P77" s="58">
        <f t="shared" si="1"/>
        <v>140236.25</v>
      </c>
    </row>
    <row r="78" spans="1:16" ht="26.25" customHeight="1" x14ac:dyDescent="0.2">
      <c r="A78" s="13"/>
      <c r="B78" s="67"/>
      <c r="C78" s="65" t="s">
        <v>376</v>
      </c>
      <c r="D78" s="70" t="s">
        <v>57</v>
      </c>
      <c r="E78" s="12">
        <v>44533</v>
      </c>
      <c r="F78" s="68" t="s">
        <v>71</v>
      </c>
      <c r="G78" s="12">
        <v>44538</v>
      </c>
      <c r="H78" s="69" t="s">
        <v>299</v>
      </c>
      <c r="I78" s="15">
        <v>60</v>
      </c>
      <c r="J78" s="15">
        <v>46</v>
      </c>
      <c r="K78" s="15">
        <v>22</v>
      </c>
      <c r="L78" s="15">
        <v>2</v>
      </c>
      <c r="M78" s="73">
        <v>15.18</v>
      </c>
      <c r="N78" s="88">
        <v>15.18</v>
      </c>
      <c r="O78" s="57">
        <v>7000</v>
      </c>
      <c r="P78" s="58">
        <f t="shared" si="1"/>
        <v>106260</v>
      </c>
    </row>
    <row r="79" spans="1:16" ht="26.25" customHeight="1" x14ac:dyDescent="0.2">
      <c r="A79" s="13"/>
      <c r="B79" s="67"/>
      <c r="C79" s="65" t="s">
        <v>377</v>
      </c>
      <c r="D79" s="70" t="s">
        <v>57</v>
      </c>
      <c r="E79" s="12">
        <v>44533</v>
      </c>
      <c r="F79" s="68" t="s">
        <v>71</v>
      </c>
      <c r="G79" s="12">
        <v>44538</v>
      </c>
      <c r="H79" s="69" t="s">
        <v>299</v>
      </c>
      <c r="I79" s="15">
        <v>55</v>
      </c>
      <c r="J79" s="15">
        <v>34</v>
      </c>
      <c r="K79" s="15">
        <v>23</v>
      </c>
      <c r="L79" s="15">
        <v>2</v>
      </c>
      <c r="M79" s="73">
        <v>10.7525</v>
      </c>
      <c r="N79" s="88">
        <v>10.7525</v>
      </c>
      <c r="O79" s="57">
        <v>7000</v>
      </c>
      <c r="P79" s="58">
        <f t="shared" si="1"/>
        <v>75267.5</v>
      </c>
    </row>
    <row r="80" spans="1:16" ht="26.25" customHeight="1" x14ac:dyDescent="0.2">
      <c r="A80" s="13"/>
      <c r="B80" s="67"/>
      <c r="C80" s="65" t="s">
        <v>378</v>
      </c>
      <c r="D80" s="70" t="s">
        <v>57</v>
      </c>
      <c r="E80" s="12">
        <v>44533</v>
      </c>
      <c r="F80" s="68" t="s">
        <v>71</v>
      </c>
      <c r="G80" s="12">
        <v>44538</v>
      </c>
      <c r="H80" s="69" t="s">
        <v>299</v>
      </c>
      <c r="I80" s="15">
        <v>80</v>
      </c>
      <c r="J80" s="15">
        <v>65</v>
      </c>
      <c r="K80" s="15">
        <v>18</v>
      </c>
      <c r="L80" s="15">
        <v>8</v>
      </c>
      <c r="M80" s="73">
        <v>23.4</v>
      </c>
      <c r="N80" s="88">
        <v>24</v>
      </c>
      <c r="O80" s="57">
        <v>7000</v>
      </c>
      <c r="P80" s="58">
        <f t="shared" si="1"/>
        <v>168000</v>
      </c>
    </row>
    <row r="81" spans="1:16" ht="26.25" customHeight="1" x14ac:dyDescent="0.2">
      <c r="A81" s="13"/>
      <c r="B81" s="67"/>
      <c r="C81" s="65" t="s">
        <v>379</v>
      </c>
      <c r="D81" s="70" t="s">
        <v>57</v>
      </c>
      <c r="E81" s="12">
        <v>44533</v>
      </c>
      <c r="F81" s="68" t="s">
        <v>71</v>
      </c>
      <c r="G81" s="12">
        <v>44538</v>
      </c>
      <c r="H81" s="69" t="s">
        <v>299</v>
      </c>
      <c r="I81" s="15">
        <v>62</v>
      </c>
      <c r="J81" s="15">
        <v>70</v>
      </c>
      <c r="K81" s="15">
        <v>20</v>
      </c>
      <c r="L81" s="15">
        <v>9</v>
      </c>
      <c r="M81" s="73">
        <v>21.7</v>
      </c>
      <c r="N81" s="88">
        <v>21.7</v>
      </c>
      <c r="O81" s="57">
        <v>7000</v>
      </c>
      <c r="P81" s="58">
        <f t="shared" si="1"/>
        <v>151900</v>
      </c>
    </row>
    <row r="82" spans="1:16" ht="26.25" customHeight="1" x14ac:dyDescent="0.2">
      <c r="A82" s="13"/>
      <c r="B82" s="67"/>
      <c r="C82" s="65" t="s">
        <v>380</v>
      </c>
      <c r="D82" s="70" t="s">
        <v>57</v>
      </c>
      <c r="E82" s="12">
        <v>44533</v>
      </c>
      <c r="F82" s="68" t="s">
        <v>71</v>
      </c>
      <c r="G82" s="12">
        <v>44538</v>
      </c>
      <c r="H82" s="69" t="s">
        <v>299</v>
      </c>
      <c r="I82" s="15">
        <v>37</v>
      </c>
      <c r="J82" s="15">
        <v>28</v>
      </c>
      <c r="K82" s="15">
        <v>26</v>
      </c>
      <c r="L82" s="15">
        <v>14</v>
      </c>
      <c r="M82" s="73">
        <v>6.734</v>
      </c>
      <c r="N82" s="88">
        <v>14</v>
      </c>
      <c r="O82" s="57">
        <v>7000</v>
      </c>
      <c r="P82" s="58">
        <f t="shared" si="1"/>
        <v>98000</v>
      </c>
    </row>
    <row r="83" spans="1:16" ht="26.25" customHeight="1" x14ac:dyDescent="0.2">
      <c r="A83" s="13"/>
      <c r="B83" s="67"/>
      <c r="C83" s="65" t="s">
        <v>381</v>
      </c>
      <c r="D83" s="70" t="s">
        <v>57</v>
      </c>
      <c r="E83" s="12">
        <v>44533</v>
      </c>
      <c r="F83" s="68" t="s">
        <v>71</v>
      </c>
      <c r="G83" s="12">
        <v>44538</v>
      </c>
      <c r="H83" s="69" t="s">
        <v>299</v>
      </c>
      <c r="I83" s="15">
        <v>40</v>
      </c>
      <c r="J83" s="15">
        <v>30</v>
      </c>
      <c r="K83" s="15">
        <v>20</v>
      </c>
      <c r="L83" s="15">
        <v>1</v>
      </c>
      <c r="M83" s="73">
        <v>6</v>
      </c>
      <c r="N83" s="88">
        <v>6</v>
      </c>
      <c r="O83" s="57">
        <v>7000</v>
      </c>
      <c r="P83" s="58">
        <f t="shared" si="1"/>
        <v>42000</v>
      </c>
    </row>
    <row r="84" spans="1:16" ht="26.25" customHeight="1" x14ac:dyDescent="0.2">
      <c r="A84" s="13"/>
      <c r="B84" s="67"/>
      <c r="C84" s="65" t="s">
        <v>382</v>
      </c>
      <c r="D84" s="70" t="s">
        <v>57</v>
      </c>
      <c r="E84" s="12">
        <v>44533</v>
      </c>
      <c r="F84" s="68" t="s">
        <v>71</v>
      </c>
      <c r="G84" s="12">
        <v>44538</v>
      </c>
      <c r="H84" s="69" t="s">
        <v>299</v>
      </c>
      <c r="I84" s="15">
        <v>40</v>
      </c>
      <c r="J84" s="15">
        <v>32</v>
      </c>
      <c r="K84" s="15">
        <v>27</v>
      </c>
      <c r="L84" s="15">
        <v>1</v>
      </c>
      <c r="M84" s="73">
        <v>8.64</v>
      </c>
      <c r="N84" s="88">
        <v>8.64</v>
      </c>
      <c r="O84" s="57">
        <v>7000</v>
      </c>
      <c r="P84" s="58">
        <f t="shared" si="1"/>
        <v>60480.000000000007</v>
      </c>
    </row>
    <row r="85" spans="1:16" ht="26.25" customHeight="1" x14ac:dyDescent="0.2">
      <c r="A85" s="13"/>
      <c r="B85" s="67"/>
      <c r="C85" s="65" t="s">
        <v>383</v>
      </c>
      <c r="D85" s="70" t="s">
        <v>57</v>
      </c>
      <c r="E85" s="12">
        <v>44533</v>
      </c>
      <c r="F85" s="68" t="s">
        <v>71</v>
      </c>
      <c r="G85" s="12">
        <v>44538</v>
      </c>
      <c r="H85" s="69" t="s">
        <v>299</v>
      </c>
      <c r="I85" s="15">
        <v>30</v>
      </c>
      <c r="J85" s="15">
        <v>30</v>
      </c>
      <c r="K85" s="15">
        <v>23</v>
      </c>
      <c r="L85" s="15">
        <v>3</v>
      </c>
      <c r="M85" s="73">
        <v>5.1749999999999998</v>
      </c>
      <c r="N85" s="88">
        <v>5.1749999999999998</v>
      </c>
      <c r="O85" s="57">
        <v>7000</v>
      </c>
      <c r="P85" s="58">
        <f t="shared" si="1"/>
        <v>36225</v>
      </c>
    </row>
    <row r="86" spans="1:16" ht="26.25" customHeight="1" x14ac:dyDescent="0.2">
      <c r="A86" s="13"/>
      <c r="B86" s="67"/>
      <c r="C86" s="65" t="s">
        <v>384</v>
      </c>
      <c r="D86" s="70" t="s">
        <v>57</v>
      </c>
      <c r="E86" s="12">
        <v>44533</v>
      </c>
      <c r="F86" s="68" t="s">
        <v>71</v>
      </c>
      <c r="G86" s="12">
        <v>44538</v>
      </c>
      <c r="H86" s="69" t="s">
        <v>299</v>
      </c>
      <c r="I86" s="15">
        <v>52</v>
      </c>
      <c r="J86" s="15">
        <v>36</v>
      </c>
      <c r="K86" s="15">
        <v>14</v>
      </c>
      <c r="L86" s="15">
        <v>9</v>
      </c>
      <c r="M86" s="73">
        <v>6.5519999999999996</v>
      </c>
      <c r="N86" s="88">
        <v>9</v>
      </c>
      <c r="O86" s="57">
        <v>7000</v>
      </c>
      <c r="P86" s="58">
        <f t="shared" si="1"/>
        <v>63000</v>
      </c>
    </row>
    <row r="87" spans="1:16" ht="26.25" customHeight="1" x14ac:dyDescent="0.2">
      <c r="A87" s="13"/>
      <c r="B87" s="67"/>
      <c r="C87" s="65" t="s">
        <v>385</v>
      </c>
      <c r="D87" s="70" t="s">
        <v>57</v>
      </c>
      <c r="E87" s="12">
        <v>44533</v>
      </c>
      <c r="F87" s="68" t="s">
        <v>71</v>
      </c>
      <c r="G87" s="12">
        <v>44538</v>
      </c>
      <c r="H87" s="69" t="s">
        <v>299</v>
      </c>
      <c r="I87" s="15">
        <v>30</v>
      </c>
      <c r="J87" s="15">
        <v>30</v>
      </c>
      <c r="K87" s="15">
        <v>42</v>
      </c>
      <c r="L87" s="15">
        <v>14</v>
      </c>
      <c r="M87" s="73">
        <v>9.4499999999999993</v>
      </c>
      <c r="N87" s="88">
        <v>15</v>
      </c>
      <c r="O87" s="57">
        <v>7000</v>
      </c>
      <c r="P87" s="58">
        <f t="shared" si="1"/>
        <v>105000</v>
      </c>
    </row>
    <row r="88" spans="1:16" ht="26.25" customHeight="1" x14ac:dyDescent="0.2">
      <c r="A88" s="13"/>
      <c r="B88" s="67"/>
      <c r="C88" s="65" t="s">
        <v>386</v>
      </c>
      <c r="D88" s="70" t="s">
        <v>57</v>
      </c>
      <c r="E88" s="12">
        <v>44533</v>
      </c>
      <c r="F88" s="68" t="s">
        <v>71</v>
      </c>
      <c r="G88" s="12">
        <v>44538</v>
      </c>
      <c r="H88" s="69" t="s">
        <v>299</v>
      </c>
      <c r="I88" s="15">
        <v>70</v>
      </c>
      <c r="J88" s="15">
        <v>40</v>
      </c>
      <c r="K88" s="15">
        <v>31</v>
      </c>
      <c r="L88" s="15">
        <v>24</v>
      </c>
      <c r="M88" s="73">
        <v>21.7</v>
      </c>
      <c r="N88" s="88">
        <v>24</v>
      </c>
      <c r="O88" s="57">
        <v>7000</v>
      </c>
      <c r="P88" s="58">
        <f t="shared" si="1"/>
        <v>168000</v>
      </c>
    </row>
    <row r="89" spans="1:16" ht="26.25" customHeight="1" x14ac:dyDescent="0.2">
      <c r="A89" s="13"/>
      <c r="B89" s="67"/>
      <c r="C89" s="65" t="s">
        <v>387</v>
      </c>
      <c r="D89" s="70" t="s">
        <v>57</v>
      </c>
      <c r="E89" s="12">
        <v>44533</v>
      </c>
      <c r="F89" s="68" t="s">
        <v>71</v>
      </c>
      <c r="G89" s="12">
        <v>44538</v>
      </c>
      <c r="H89" s="69" t="s">
        <v>299</v>
      </c>
      <c r="I89" s="15">
        <v>60</v>
      </c>
      <c r="J89" s="15">
        <v>43</v>
      </c>
      <c r="K89" s="15">
        <v>30</v>
      </c>
      <c r="L89" s="15">
        <v>12</v>
      </c>
      <c r="M89" s="73">
        <v>19.350000000000001</v>
      </c>
      <c r="N89" s="88">
        <v>20</v>
      </c>
      <c r="O89" s="57">
        <v>7000</v>
      </c>
      <c r="P89" s="58">
        <f t="shared" si="1"/>
        <v>140000</v>
      </c>
    </row>
    <row r="90" spans="1:16" ht="26.25" customHeight="1" x14ac:dyDescent="0.2">
      <c r="A90" s="13"/>
      <c r="B90" s="67"/>
      <c r="C90" s="65" t="s">
        <v>388</v>
      </c>
      <c r="D90" s="70" t="s">
        <v>57</v>
      </c>
      <c r="E90" s="12">
        <v>44533</v>
      </c>
      <c r="F90" s="68" t="s">
        <v>71</v>
      </c>
      <c r="G90" s="12">
        <v>44538</v>
      </c>
      <c r="H90" s="69" t="s">
        <v>299</v>
      </c>
      <c r="I90" s="15">
        <v>40</v>
      </c>
      <c r="J90" s="15">
        <v>36</v>
      </c>
      <c r="K90" s="15">
        <v>26</v>
      </c>
      <c r="L90" s="15">
        <v>8</v>
      </c>
      <c r="M90" s="73">
        <v>9.36</v>
      </c>
      <c r="N90" s="88">
        <v>10</v>
      </c>
      <c r="O90" s="57">
        <v>7000</v>
      </c>
      <c r="P90" s="58">
        <f t="shared" si="1"/>
        <v>70000</v>
      </c>
    </row>
    <row r="91" spans="1:16" ht="26.25" customHeight="1" x14ac:dyDescent="0.2">
      <c r="A91" s="13"/>
      <c r="B91" s="67"/>
      <c r="C91" s="65" t="s">
        <v>389</v>
      </c>
      <c r="D91" s="70" t="s">
        <v>57</v>
      </c>
      <c r="E91" s="12">
        <v>44533</v>
      </c>
      <c r="F91" s="68" t="s">
        <v>71</v>
      </c>
      <c r="G91" s="12">
        <v>44538</v>
      </c>
      <c r="H91" s="69" t="s">
        <v>299</v>
      </c>
      <c r="I91" s="15">
        <v>80</v>
      </c>
      <c r="J91" s="15">
        <v>65</v>
      </c>
      <c r="K91" s="15">
        <v>2</v>
      </c>
      <c r="L91" s="15">
        <v>1</v>
      </c>
      <c r="M91" s="73">
        <v>2.6</v>
      </c>
      <c r="N91" s="88">
        <v>2.6</v>
      </c>
      <c r="O91" s="57">
        <v>7000</v>
      </c>
      <c r="P91" s="58">
        <f t="shared" si="1"/>
        <v>18200</v>
      </c>
    </row>
    <row r="92" spans="1:16" ht="26.25" customHeight="1" x14ac:dyDescent="0.2">
      <c r="A92" s="13"/>
      <c r="B92" s="67"/>
      <c r="C92" s="65" t="s">
        <v>390</v>
      </c>
      <c r="D92" s="70" t="s">
        <v>57</v>
      </c>
      <c r="E92" s="12">
        <v>44533</v>
      </c>
      <c r="F92" s="68" t="s">
        <v>71</v>
      </c>
      <c r="G92" s="12">
        <v>44538</v>
      </c>
      <c r="H92" s="69" t="s">
        <v>299</v>
      </c>
      <c r="I92" s="15">
        <v>80</v>
      </c>
      <c r="J92" s="15">
        <v>67</v>
      </c>
      <c r="K92" s="15">
        <v>32</v>
      </c>
      <c r="L92" s="15">
        <v>27</v>
      </c>
      <c r="M92" s="73">
        <v>42.88</v>
      </c>
      <c r="N92" s="88">
        <v>42.88</v>
      </c>
      <c r="O92" s="57">
        <v>7000</v>
      </c>
      <c r="P92" s="58">
        <f t="shared" si="1"/>
        <v>300160</v>
      </c>
    </row>
    <row r="93" spans="1:16" ht="26.25" customHeight="1" x14ac:dyDescent="0.2">
      <c r="A93" s="13"/>
      <c r="B93" s="67"/>
      <c r="C93" s="65" t="s">
        <v>391</v>
      </c>
      <c r="D93" s="70" t="s">
        <v>57</v>
      </c>
      <c r="E93" s="12">
        <v>44533</v>
      </c>
      <c r="F93" s="68" t="s">
        <v>71</v>
      </c>
      <c r="G93" s="12">
        <v>44538</v>
      </c>
      <c r="H93" s="69" t="s">
        <v>299</v>
      </c>
      <c r="I93" s="15">
        <v>44</v>
      </c>
      <c r="J93" s="15">
        <v>30</v>
      </c>
      <c r="K93" s="15">
        <v>15</v>
      </c>
      <c r="L93" s="15">
        <v>20</v>
      </c>
      <c r="M93" s="73">
        <v>4.95</v>
      </c>
      <c r="N93" s="88">
        <v>20</v>
      </c>
      <c r="O93" s="57">
        <v>7000</v>
      </c>
      <c r="P93" s="58">
        <f t="shared" si="1"/>
        <v>140000</v>
      </c>
    </row>
    <row r="94" spans="1:16" ht="26.25" customHeight="1" x14ac:dyDescent="0.2">
      <c r="A94" s="13"/>
      <c r="B94" s="67"/>
      <c r="C94" s="65" t="s">
        <v>392</v>
      </c>
      <c r="D94" s="70" t="s">
        <v>57</v>
      </c>
      <c r="E94" s="12">
        <v>44533</v>
      </c>
      <c r="F94" s="68" t="s">
        <v>71</v>
      </c>
      <c r="G94" s="12">
        <v>44538</v>
      </c>
      <c r="H94" s="69" t="s">
        <v>299</v>
      </c>
      <c r="I94" s="15">
        <v>91</v>
      </c>
      <c r="J94" s="15">
        <v>52</v>
      </c>
      <c r="K94" s="15">
        <v>32</v>
      </c>
      <c r="L94" s="15">
        <v>16</v>
      </c>
      <c r="M94" s="73">
        <v>37.856000000000002</v>
      </c>
      <c r="N94" s="88">
        <v>37.856000000000002</v>
      </c>
      <c r="O94" s="57">
        <v>7000</v>
      </c>
      <c r="P94" s="58">
        <f t="shared" si="1"/>
        <v>264992</v>
      </c>
    </row>
    <row r="95" spans="1:16" ht="26.25" customHeight="1" x14ac:dyDescent="0.2">
      <c r="A95" s="13"/>
      <c r="B95" s="67"/>
      <c r="C95" s="65" t="s">
        <v>393</v>
      </c>
      <c r="D95" s="70" t="s">
        <v>57</v>
      </c>
      <c r="E95" s="12">
        <v>44533</v>
      </c>
      <c r="F95" s="68" t="s">
        <v>71</v>
      </c>
      <c r="G95" s="12">
        <v>44538</v>
      </c>
      <c r="H95" s="69" t="s">
        <v>299</v>
      </c>
      <c r="I95" s="15">
        <v>85</v>
      </c>
      <c r="J95" s="15">
        <v>62</v>
      </c>
      <c r="K95" s="15">
        <v>31</v>
      </c>
      <c r="L95" s="15">
        <v>20</v>
      </c>
      <c r="M95" s="73">
        <v>40.842500000000001</v>
      </c>
      <c r="N95" s="88">
        <v>40.842500000000001</v>
      </c>
      <c r="O95" s="57">
        <v>7000</v>
      </c>
      <c r="P95" s="58">
        <f t="shared" si="1"/>
        <v>285897.5</v>
      </c>
    </row>
    <row r="96" spans="1:16" ht="26.25" customHeight="1" x14ac:dyDescent="0.2">
      <c r="A96" s="13"/>
      <c r="B96" s="67"/>
      <c r="C96" s="65" t="s">
        <v>394</v>
      </c>
      <c r="D96" s="70" t="s">
        <v>57</v>
      </c>
      <c r="E96" s="12">
        <v>44533</v>
      </c>
      <c r="F96" s="68" t="s">
        <v>71</v>
      </c>
      <c r="G96" s="12">
        <v>44538</v>
      </c>
      <c r="H96" s="69" t="s">
        <v>299</v>
      </c>
      <c r="I96" s="15">
        <v>70</v>
      </c>
      <c r="J96" s="15">
        <v>60</v>
      </c>
      <c r="K96" s="15">
        <v>27</v>
      </c>
      <c r="L96" s="15">
        <v>13</v>
      </c>
      <c r="M96" s="73">
        <v>28.35</v>
      </c>
      <c r="N96" s="88">
        <v>29</v>
      </c>
      <c r="O96" s="57">
        <v>7000</v>
      </c>
      <c r="P96" s="58">
        <f t="shared" si="1"/>
        <v>203000</v>
      </c>
    </row>
    <row r="97" spans="1:16" ht="26.25" customHeight="1" x14ac:dyDescent="0.2">
      <c r="A97" s="13"/>
      <c r="B97" s="67"/>
      <c r="C97" s="65" t="s">
        <v>395</v>
      </c>
      <c r="D97" s="70" t="s">
        <v>57</v>
      </c>
      <c r="E97" s="12">
        <v>44533</v>
      </c>
      <c r="F97" s="68" t="s">
        <v>71</v>
      </c>
      <c r="G97" s="12">
        <v>44538</v>
      </c>
      <c r="H97" s="69" t="s">
        <v>299</v>
      </c>
      <c r="I97" s="15">
        <v>94</v>
      </c>
      <c r="J97" s="15">
        <v>58</v>
      </c>
      <c r="K97" s="15">
        <v>33</v>
      </c>
      <c r="L97" s="15">
        <v>14</v>
      </c>
      <c r="M97" s="73">
        <v>44.978999999999999</v>
      </c>
      <c r="N97" s="88">
        <v>44.978999999999999</v>
      </c>
      <c r="O97" s="57">
        <v>7000</v>
      </c>
      <c r="P97" s="58">
        <f t="shared" si="1"/>
        <v>314853</v>
      </c>
    </row>
    <row r="98" spans="1:16" ht="26.25" customHeight="1" x14ac:dyDescent="0.2">
      <c r="A98" s="13"/>
      <c r="B98" s="67"/>
      <c r="C98" s="65" t="s">
        <v>396</v>
      </c>
      <c r="D98" s="70" t="s">
        <v>57</v>
      </c>
      <c r="E98" s="12">
        <v>44533</v>
      </c>
      <c r="F98" s="68" t="s">
        <v>71</v>
      </c>
      <c r="G98" s="12">
        <v>44538</v>
      </c>
      <c r="H98" s="69" t="s">
        <v>299</v>
      </c>
      <c r="I98" s="15">
        <v>96</v>
      </c>
      <c r="J98" s="15">
        <v>60</v>
      </c>
      <c r="K98" s="15">
        <v>37</v>
      </c>
      <c r="L98" s="15">
        <v>25</v>
      </c>
      <c r="M98" s="73">
        <v>53.28</v>
      </c>
      <c r="N98" s="88">
        <v>53.28</v>
      </c>
      <c r="O98" s="57">
        <v>7000</v>
      </c>
      <c r="P98" s="58">
        <f t="shared" si="1"/>
        <v>372960</v>
      </c>
    </row>
    <row r="99" spans="1:16" ht="26.25" customHeight="1" x14ac:dyDescent="0.2">
      <c r="A99" s="13"/>
      <c r="B99" s="67"/>
      <c r="C99" s="65" t="s">
        <v>397</v>
      </c>
      <c r="D99" s="70" t="s">
        <v>57</v>
      </c>
      <c r="E99" s="12">
        <v>44533</v>
      </c>
      <c r="F99" s="68" t="s">
        <v>71</v>
      </c>
      <c r="G99" s="12">
        <v>44538</v>
      </c>
      <c r="H99" s="69" t="s">
        <v>299</v>
      </c>
      <c r="I99" s="15">
        <v>48</v>
      </c>
      <c r="J99" s="15">
        <v>36</v>
      </c>
      <c r="K99" s="15">
        <v>12</v>
      </c>
      <c r="L99" s="15">
        <v>4</v>
      </c>
      <c r="M99" s="73">
        <v>5.1840000000000002</v>
      </c>
      <c r="N99" s="88">
        <v>5.1840000000000002</v>
      </c>
      <c r="O99" s="57">
        <v>7000</v>
      </c>
      <c r="P99" s="58">
        <f t="shared" si="1"/>
        <v>36288</v>
      </c>
    </row>
    <row r="100" spans="1:16" ht="26.25" customHeight="1" x14ac:dyDescent="0.2">
      <c r="A100" s="13"/>
      <c r="B100" s="67"/>
      <c r="C100" s="65" t="s">
        <v>398</v>
      </c>
      <c r="D100" s="70" t="s">
        <v>57</v>
      </c>
      <c r="E100" s="12">
        <v>44533</v>
      </c>
      <c r="F100" s="68" t="s">
        <v>71</v>
      </c>
      <c r="G100" s="12">
        <v>44538</v>
      </c>
      <c r="H100" s="69" t="s">
        <v>299</v>
      </c>
      <c r="I100" s="15">
        <v>36</v>
      </c>
      <c r="J100" s="15">
        <v>27</v>
      </c>
      <c r="K100" s="15">
        <v>30</v>
      </c>
      <c r="L100" s="15">
        <v>12</v>
      </c>
      <c r="M100" s="73">
        <v>7.29</v>
      </c>
      <c r="N100" s="88">
        <v>12</v>
      </c>
      <c r="O100" s="57">
        <v>7000</v>
      </c>
      <c r="P100" s="58">
        <f t="shared" si="1"/>
        <v>84000</v>
      </c>
    </row>
    <row r="101" spans="1:16" ht="26.25" customHeight="1" x14ac:dyDescent="0.2">
      <c r="A101" s="13"/>
      <c r="B101" s="67"/>
      <c r="C101" s="65" t="s">
        <v>399</v>
      </c>
      <c r="D101" s="70" t="s">
        <v>57</v>
      </c>
      <c r="E101" s="12">
        <v>44533</v>
      </c>
      <c r="F101" s="68" t="s">
        <v>71</v>
      </c>
      <c r="G101" s="12">
        <v>44538</v>
      </c>
      <c r="H101" s="69" t="s">
        <v>299</v>
      </c>
      <c r="I101" s="15">
        <v>70</v>
      </c>
      <c r="J101" s="15">
        <v>44</v>
      </c>
      <c r="K101" s="15">
        <v>150</v>
      </c>
      <c r="L101" s="15">
        <v>23</v>
      </c>
      <c r="M101" s="73">
        <v>115.5</v>
      </c>
      <c r="N101" s="88">
        <v>117</v>
      </c>
      <c r="O101" s="57">
        <v>7000</v>
      </c>
      <c r="P101" s="58">
        <f t="shared" si="1"/>
        <v>819000</v>
      </c>
    </row>
    <row r="102" spans="1:16" ht="26.25" customHeight="1" x14ac:dyDescent="0.2">
      <c r="A102" s="13"/>
      <c r="B102" s="67"/>
      <c r="C102" s="65" t="s">
        <v>400</v>
      </c>
      <c r="D102" s="70" t="s">
        <v>57</v>
      </c>
      <c r="E102" s="12">
        <v>44533</v>
      </c>
      <c r="F102" s="68" t="s">
        <v>71</v>
      </c>
      <c r="G102" s="12">
        <v>44538</v>
      </c>
      <c r="H102" s="69" t="s">
        <v>299</v>
      </c>
      <c r="I102" s="15">
        <v>50</v>
      </c>
      <c r="J102" s="15">
        <v>34</v>
      </c>
      <c r="K102" s="15">
        <v>21</v>
      </c>
      <c r="L102" s="15">
        <v>4</v>
      </c>
      <c r="M102" s="73">
        <v>8.9250000000000007</v>
      </c>
      <c r="N102" s="88">
        <v>8.9250000000000007</v>
      </c>
      <c r="O102" s="57">
        <v>7000</v>
      </c>
      <c r="P102" s="58">
        <f t="shared" si="1"/>
        <v>62475.000000000007</v>
      </c>
    </row>
    <row r="103" spans="1:16" ht="26.25" customHeight="1" x14ac:dyDescent="0.2">
      <c r="A103" s="13"/>
      <c r="B103" s="67"/>
      <c r="C103" s="65" t="s">
        <v>401</v>
      </c>
      <c r="D103" s="70" t="s">
        <v>57</v>
      </c>
      <c r="E103" s="12">
        <v>44533</v>
      </c>
      <c r="F103" s="68" t="s">
        <v>71</v>
      </c>
      <c r="G103" s="12">
        <v>44538</v>
      </c>
      <c r="H103" s="69" t="s">
        <v>299</v>
      </c>
      <c r="I103" s="15">
        <v>51</v>
      </c>
      <c r="J103" s="15">
        <v>51</v>
      </c>
      <c r="K103" s="15">
        <v>46</v>
      </c>
      <c r="L103" s="15">
        <v>12</v>
      </c>
      <c r="M103" s="73">
        <v>29.9115</v>
      </c>
      <c r="N103" s="88">
        <v>29.9115</v>
      </c>
      <c r="O103" s="57">
        <v>7000</v>
      </c>
      <c r="P103" s="58">
        <f t="shared" si="1"/>
        <v>209380.5</v>
      </c>
    </row>
    <row r="104" spans="1:16" ht="26.25" customHeight="1" x14ac:dyDescent="0.2">
      <c r="A104" s="13"/>
      <c r="B104" s="67"/>
      <c r="C104" s="65" t="s">
        <v>402</v>
      </c>
      <c r="D104" s="70" t="s">
        <v>57</v>
      </c>
      <c r="E104" s="12">
        <v>44533</v>
      </c>
      <c r="F104" s="68" t="s">
        <v>71</v>
      </c>
      <c r="G104" s="12">
        <v>44538</v>
      </c>
      <c r="H104" s="69" t="s">
        <v>299</v>
      </c>
      <c r="I104" s="15">
        <v>41</v>
      </c>
      <c r="J104" s="15">
        <v>29</v>
      </c>
      <c r="K104" s="15">
        <v>40</v>
      </c>
      <c r="L104" s="15">
        <v>13</v>
      </c>
      <c r="M104" s="73">
        <v>11.89</v>
      </c>
      <c r="N104" s="88">
        <v>13</v>
      </c>
      <c r="O104" s="57">
        <v>7000</v>
      </c>
      <c r="P104" s="58">
        <f t="shared" si="1"/>
        <v>91000</v>
      </c>
    </row>
    <row r="105" spans="1:16" ht="26.25" customHeight="1" x14ac:dyDescent="0.2">
      <c r="A105" s="13"/>
      <c r="B105" s="67"/>
      <c r="C105" s="65" t="s">
        <v>403</v>
      </c>
      <c r="D105" s="70" t="s">
        <v>57</v>
      </c>
      <c r="E105" s="12">
        <v>44533</v>
      </c>
      <c r="F105" s="68" t="s">
        <v>71</v>
      </c>
      <c r="G105" s="12">
        <v>44538</v>
      </c>
      <c r="H105" s="69" t="s">
        <v>299</v>
      </c>
      <c r="I105" s="15">
        <v>46</v>
      </c>
      <c r="J105" s="15">
        <v>39</v>
      </c>
      <c r="K105" s="15">
        <v>22</v>
      </c>
      <c r="L105" s="15">
        <v>12</v>
      </c>
      <c r="M105" s="73">
        <v>9.8670000000000009</v>
      </c>
      <c r="N105" s="88">
        <v>12</v>
      </c>
      <c r="O105" s="57">
        <v>7000</v>
      </c>
      <c r="P105" s="58">
        <f t="shared" si="1"/>
        <v>84000</v>
      </c>
    </row>
    <row r="106" spans="1:16" ht="26.25" customHeight="1" x14ac:dyDescent="0.2">
      <c r="A106" s="13"/>
      <c r="B106" s="67"/>
      <c r="C106" s="65" t="s">
        <v>404</v>
      </c>
      <c r="D106" s="70" t="s">
        <v>57</v>
      </c>
      <c r="E106" s="12">
        <v>44533</v>
      </c>
      <c r="F106" s="68" t="s">
        <v>71</v>
      </c>
      <c r="G106" s="12">
        <v>44538</v>
      </c>
      <c r="H106" s="69" t="s">
        <v>299</v>
      </c>
      <c r="I106" s="15">
        <v>41</v>
      </c>
      <c r="J106" s="15">
        <v>39</v>
      </c>
      <c r="K106" s="15">
        <v>16</v>
      </c>
      <c r="L106" s="15">
        <v>11</v>
      </c>
      <c r="M106" s="73">
        <v>6.3959999999999999</v>
      </c>
      <c r="N106" s="88">
        <v>12</v>
      </c>
      <c r="O106" s="57">
        <v>7000</v>
      </c>
      <c r="P106" s="58">
        <f t="shared" si="1"/>
        <v>84000</v>
      </c>
    </row>
    <row r="107" spans="1:16" ht="26.25" customHeight="1" x14ac:dyDescent="0.2">
      <c r="A107" s="13"/>
      <c r="B107" s="67"/>
      <c r="C107" s="65" t="s">
        <v>405</v>
      </c>
      <c r="D107" s="70" t="s">
        <v>57</v>
      </c>
      <c r="E107" s="12">
        <v>44533</v>
      </c>
      <c r="F107" s="68" t="s">
        <v>71</v>
      </c>
      <c r="G107" s="12">
        <v>44538</v>
      </c>
      <c r="H107" s="69" t="s">
        <v>299</v>
      </c>
      <c r="I107" s="15">
        <v>95</v>
      </c>
      <c r="J107" s="15">
        <v>58</v>
      </c>
      <c r="K107" s="15">
        <v>36</v>
      </c>
      <c r="L107" s="15">
        <v>30</v>
      </c>
      <c r="M107" s="73">
        <v>49.59</v>
      </c>
      <c r="N107" s="88">
        <v>49.59</v>
      </c>
      <c r="O107" s="57">
        <v>7000</v>
      </c>
      <c r="P107" s="58">
        <f t="shared" si="1"/>
        <v>347130</v>
      </c>
    </row>
    <row r="108" spans="1:16" ht="26.25" customHeight="1" x14ac:dyDescent="0.2">
      <c r="A108" s="13"/>
      <c r="B108" s="67"/>
      <c r="C108" s="65" t="s">
        <v>406</v>
      </c>
      <c r="D108" s="70" t="s">
        <v>57</v>
      </c>
      <c r="E108" s="12">
        <v>44533</v>
      </c>
      <c r="F108" s="68" t="s">
        <v>71</v>
      </c>
      <c r="G108" s="12">
        <v>44538</v>
      </c>
      <c r="H108" s="69" t="s">
        <v>299</v>
      </c>
      <c r="I108" s="15">
        <v>95</v>
      </c>
      <c r="J108" s="15">
        <v>57</v>
      </c>
      <c r="K108" s="15">
        <v>47</v>
      </c>
      <c r="L108" s="15">
        <v>26</v>
      </c>
      <c r="M108" s="73">
        <v>63.626249999999999</v>
      </c>
      <c r="N108" s="88">
        <v>63.626249999999999</v>
      </c>
      <c r="O108" s="57">
        <v>7000</v>
      </c>
      <c r="P108" s="58">
        <f t="shared" si="1"/>
        <v>445383.75</v>
      </c>
    </row>
    <row r="109" spans="1:16" ht="26.25" customHeight="1" x14ac:dyDescent="0.2">
      <c r="A109" s="13"/>
      <c r="B109" s="67"/>
      <c r="C109" s="65" t="s">
        <v>407</v>
      </c>
      <c r="D109" s="70" t="s">
        <v>57</v>
      </c>
      <c r="E109" s="12">
        <v>44533</v>
      </c>
      <c r="F109" s="68" t="s">
        <v>71</v>
      </c>
      <c r="G109" s="12">
        <v>44538</v>
      </c>
      <c r="H109" s="69" t="s">
        <v>299</v>
      </c>
      <c r="I109" s="15">
        <v>50</v>
      </c>
      <c r="J109" s="15">
        <v>46</v>
      </c>
      <c r="K109" s="15">
        <v>35</v>
      </c>
      <c r="L109" s="15">
        <v>23</v>
      </c>
      <c r="M109" s="73">
        <v>20.125</v>
      </c>
      <c r="N109" s="88">
        <v>23</v>
      </c>
      <c r="O109" s="57">
        <v>7000</v>
      </c>
      <c r="P109" s="58">
        <f t="shared" si="1"/>
        <v>161000</v>
      </c>
    </row>
    <row r="110" spans="1:16" ht="26.25" customHeight="1" x14ac:dyDescent="0.2">
      <c r="A110" s="13"/>
      <c r="B110" s="67"/>
      <c r="C110" s="65" t="s">
        <v>408</v>
      </c>
      <c r="D110" s="70" t="s">
        <v>57</v>
      </c>
      <c r="E110" s="12">
        <v>44533</v>
      </c>
      <c r="F110" s="68" t="s">
        <v>71</v>
      </c>
      <c r="G110" s="12">
        <v>44538</v>
      </c>
      <c r="H110" s="69" t="s">
        <v>299</v>
      </c>
      <c r="I110" s="15">
        <v>39</v>
      </c>
      <c r="J110" s="15">
        <v>24</v>
      </c>
      <c r="K110" s="15">
        <v>14</v>
      </c>
      <c r="L110" s="15">
        <v>6</v>
      </c>
      <c r="M110" s="73">
        <v>3.2759999999999998</v>
      </c>
      <c r="N110" s="88">
        <v>6</v>
      </c>
      <c r="O110" s="57">
        <v>7000</v>
      </c>
      <c r="P110" s="58">
        <f t="shared" si="1"/>
        <v>42000</v>
      </c>
    </row>
    <row r="111" spans="1:16" ht="26.25" customHeight="1" x14ac:dyDescent="0.2">
      <c r="A111" s="13"/>
      <c r="B111" s="123"/>
      <c r="C111" s="65" t="s">
        <v>409</v>
      </c>
      <c r="D111" s="70" t="s">
        <v>57</v>
      </c>
      <c r="E111" s="12">
        <v>44533</v>
      </c>
      <c r="F111" s="68" t="s">
        <v>71</v>
      </c>
      <c r="G111" s="12">
        <v>44538</v>
      </c>
      <c r="H111" s="69" t="s">
        <v>299</v>
      </c>
      <c r="I111" s="15">
        <v>107</v>
      </c>
      <c r="J111" s="15">
        <v>30</v>
      </c>
      <c r="K111" s="15">
        <v>12</v>
      </c>
      <c r="L111" s="15">
        <v>1</v>
      </c>
      <c r="M111" s="73">
        <v>9.6300000000000008</v>
      </c>
      <c r="N111" s="88">
        <v>9.6300000000000008</v>
      </c>
      <c r="O111" s="57">
        <v>7000</v>
      </c>
      <c r="P111" s="58">
        <f t="shared" si="1"/>
        <v>67410</v>
      </c>
    </row>
    <row r="112" spans="1:16" ht="26.25" customHeight="1" x14ac:dyDescent="0.2">
      <c r="A112" s="13"/>
      <c r="B112" s="67" t="s">
        <v>410</v>
      </c>
      <c r="C112" s="65" t="s">
        <v>411</v>
      </c>
      <c r="D112" s="70" t="s">
        <v>57</v>
      </c>
      <c r="E112" s="12">
        <v>44533</v>
      </c>
      <c r="F112" s="68" t="s">
        <v>71</v>
      </c>
      <c r="G112" s="12">
        <v>44538</v>
      </c>
      <c r="H112" s="69" t="s">
        <v>299</v>
      </c>
      <c r="I112" s="15">
        <v>30</v>
      </c>
      <c r="J112" s="15">
        <v>20</v>
      </c>
      <c r="K112" s="15">
        <v>12</v>
      </c>
      <c r="L112" s="15">
        <v>2</v>
      </c>
      <c r="M112" s="73">
        <v>1.8</v>
      </c>
      <c r="N112" s="88">
        <v>2</v>
      </c>
      <c r="O112" s="57">
        <v>7000</v>
      </c>
      <c r="P112" s="58">
        <f t="shared" si="1"/>
        <v>14000</v>
      </c>
    </row>
    <row r="113" spans="1:16" ht="26.25" customHeight="1" x14ac:dyDescent="0.2">
      <c r="A113" s="13"/>
      <c r="B113" s="67"/>
      <c r="C113" s="65" t="s">
        <v>412</v>
      </c>
      <c r="D113" s="70" t="s">
        <v>57</v>
      </c>
      <c r="E113" s="12">
        <v>44533</v>
      </c>
      <c r="F113" s="68" t="s">
        <v>71</v>
      </c>
      <c r="G113" s="12">
        <v>44538</v>
      </c>
      <c r="H113" s="69" t="s">
        <v>299</v>
      </c>
      <c r="I113" s="15">
        <v>20</v>
      </c>
      <c r="J113" s="15">
        <v>10</v>
      </c>
      <c r="K113" s="15">
        <v>8</v>
      </c>
      <c r="L113" s="15">
        <v>1</v>
      </c>
      <c r="M113" s="73">
        <v>0.4</v>
      </c>
      <c r="N113" s="88">
        <v>2</v>
      </c>
      <c r="O113" s="57">
        <v>7000</v>
      </c>
      <c r="P113" s="58">
        <f t="shared" si="1"/>
        <v>14000</v>
      </c>
    </row>
    <row r="114" spans="1:16" ht="26.25" customHeight="1" x14ac:dyDescent="0.2">
      <c r="A114" s="13"/>
      <c r="B114" s="67"/>
      <c r="C114" s="65" t="s">
        <v>413</v>
      </c>
      <c r="D114" s="70" t="s">
        <v>57</v>
      </c>
      <c r="E114" s="12">
        <v>44533</v>
      </c>
      <c r="F114" s="68" t="s">
        <v>71</v>
      </c>
      <c r="G114" s="12">
        <v>44538</v>
      </c>
      <c r="H114" s="69" t="s">
        <v>299</v>
      </c>
      <c r="I114" s="15">
        <v>40</v>
      </c>
      <c r="J114" s="15">
        <v>40</v>
      </c>
      <c r="K114" s="15">
        <v>27</v>
      </c>
      <c r="L114" s="15">
        <v>2</v>
      </c>
      <c r="M114" s="73">
        <v>10.8</v>
      </c>
      <c r="N114" s="88">
        <v>10.8</v>
      </c>
      <c r="O114" s="57">
        <v>7000</v>
      </c>
      <c r="P114" s="58">
        <f t="shared" si="1"/>
        <v>75600</v>
      </c>
    </row>
    <row r="115" spans="1:16" ht="26.25" customHeight="1" x14ac:dyDescent="0.2">
      <c r="A115" s="13"/>
      <c r="B115" s="67"/>
      <c r="C115" s="65" t="s">
        <v>414</v>
      </c>
      <c r="D115" s="70" t="s">
        <v>57</v>
      </c>
      <c r="E115" s="12">
        <v>44533</v>
      </c>
      <c r="F115" s="68" t="s">
        <v>71</v>
      </c>
      <c r="G115" s="12">
        <v>44538</v>
      </c>
      <c r="H115" s="69" t="s">
        <v>299</v>
      </c>
      <c r="I115" s="15">
        <v>52</v>
      </c>
      <c r="J115" s="15">
        <v>44</v>
      </c>
      <c r="K115" s="15">
        <v>8</v>
      </c>
      <c r="L115" s="15">
        <v>2</v>
      </c>
      <c r="M115" s="73">
        <v>4.5759999999999996</v>
      </c>
      <c r="N115" s="88">
        <v>4.5759999999999996</v>
      </c>
      <c r="O115" s="57">
        <v>7000</v>
      </c>
      <c r="P115" s="58">
        <f t="shared" si="1"/>
        <v>32031.999999999996</v>
      </c>
    </row>
    <row r="116" spans="1:16" ht="26.25" customHeight="1" x14ac:dyDescent="0.2">
      <c r="A116" s="13"/>
      <c r="B116" s="67"/>
      <c r="C116" s="65" t="s">
        <v>415</v>
      </c>
      <c r="D116" s="70" t="s">
        <v>57</v>
      </c>
      <c r="E116" s="12">
        <v>44533</v>
      </c>
      <c r="F116" s="68" t="s">
        <v>71</v>
      </c>
      <c r="G116" s="12">
        <v>44538</v>
      </c>
      <c r="H116" s="69" t="s">
        <v>299</v>
      </c>
      <c r="I116" s="15">
        <v>48</v>
      </c>
      <c r="J116" s="15">
        <v>31</v>
      </c>
      <c r="K116" s="15">
        <v>21</v>
      </c>
      <c r="L116" s="15">
        <v>8</v>
      </c>
      <c r="M116" s="73">
        <v>7.8120000000000003</v>
      </c>
      <c r="N116" s="88">
        <v>8</v>
      </c>
      <c r="O116" s="57">
        <v>7000</v>
      </c>
      <c r="P116" s="58">
        <f t="shared" si="1"/>
        <v>56000</v>
      </c>
    </row>
    <row r="117" spans="1:16" ht="26.25" customHeight="1" x14ac:dyDescent="0.2">
      <c r="A117" s="13"/>
      <c r="B117" s="67"/>
      <c r="C117" s="65" t="s">
        <v>416</v>
      </c>
      <c r="D117" s="70" t="s">
        <v>57</v>
      </c>
      <c r="E117" s="12">
        <v>44533</v>
      </c>
      <c r="F117" s="68" t="s">
        <v>71</v>
      </c>
      <c r="G117" s="12">
        <v>44538</v>
      </c>
      <c r="H117" s="69" t="s">
        <v>299</v>
      </c>
      <c r="I117" s="15">
        <v>46</v>
      </c>
      <c r="J117" s="15">
        <v>42</v>
      </c>
      <c r="K117" s="15">
        <v>21</v>
      </c>
      <c r="L117" s="15">
        <v>10</v>
      </c>
      <c r="M117" s="73">
        <v>10.143000000000001</v>
      </c>
      <c r="N117" s="88">
        <v>10.143000000000001</v>
      </c>
      <c r="O117" s="57">
        <v>7000</v>
      </c>
      <c r="P117" s="58">
        <f t="shared" si="1"/>
        <v>71001</v>
      </c>
    </row>
    <row r="118" spans="1:16" ht="26.25" customHeight="1" x14ac:dyDescent="0.2">
      <c r="A118" s="13"/>
      <c r="B118" s="67"/>
      <c r="C118" s="65" t="s">
        <v>417</v>
      </c>
      <c r="D118" s="70" t="s">
        <v>57</v>
      </c>
      <c r="E118" s="12">
        <v>44533</v>
      </c>
      <c r="F118" s="68" t="s">
        <v>71</v>
      </c>
      <c r="G118" s="12">
        <v>44538</v>
      </c>
      <c r="H118" s="69" t="s">
        <v>299</v>
      </c>
      <c r="I118" s="15">
        <v>20</v>
      </c>
      <c r="J118" s="15">
        <v>18</v>
      </c>
      <c r="K118" s="15">
        <v>6</v>
      </c>
      <c r="L118" s="15">
        <v>1</v>
      </c>
      <c r="M118" s="73">
        <v>0.54</v>
      </c>
      <c r="N118" s="88">
        <v>1</v>
      </c>
      <c r="O118" s="57">
        <v>7000</v>
      </c>
      <c r="P118" s="58">
        <f t="shared" si="1"/>
        <v>7000</v>
      </c>
    </row>
    <row r="119" spans="1:16" ht="26.25" customHeight="1" x14ac:dyDescent="0.2">
      <c r="A119" s="13"/>
      <c r="B119" s="67"/>
      <c r="C119" s="65" t="s">
        <v>418</v>
      </c>
      <c r="D119" s="70" t="s">
        <v>57</v>
      </c>
      <c r="E119" s="12">
        <v>44533</v>
      </c>
      <c r="F119" s="68" t="s">
        <v>71</v>
      </c>
      <c r="G119" s="12">
        <v>44538</v>
      </c>
      <c r="H119" s="69" t="s">
        <v>299</v>
      </c>
      <c r="I119" s="15">
        <v>104</v>
      </c>
      <c r="J119" s="15">
        <v>68</v>
      </c>
      <c r="K119" s="15">
        <v>21</v>
      </c>
      <c r="L119" s="15">
        <v>15</v>
      </c>
      <c r="M119" s="73">
        <v>37.128</v>
      </c>
      <c r="N119" s="88">
        <v>37.128</v>
      </c>
      <c r="O119" s="57">
        <v>7000</v>
      </c>
      <c r="P119" s="58">
        <f t="shared" si="1"/>
        <v>259896</v>
      </c>
    </row>
    <row r="120" spans="1:16" ht="26.25" customHeight="1" x14ac:dyDescent="0.2">
      <c r="A120" s="13"/>
      <c r="B120" s="67"/>
      <c r="C120" s="65" t="s">
        <v>419</v>
      </c>
      <c r="D120" s="70" t="s">
        <v>57</v>
      </c>
      <c r="E120" s="12">
        <v>44533</v>
      </c>
      <c r="F120" s="68" t="s">
        <v>71</v>
      </c>
      <c r="G120" s="12">
        <v>44538</v>
      </c>
      <c r="H120" s="69" t="s">
        <v>299</v>
      </c>
      <c r="I120" s="15">
        <v>53</v>
      </c>
      <c r="J120" s="15">
        <v>38</v>
      </c>
      <c r="K120" s="15">
        <v>13</v>
      </c>
      <c r="L120" s="15">
        <v>9</v>
      </c>
      <c r="M120" s="73">
        <v>6.5454999999999997</v>
      </c>
      <c r="N120" s="88">
        <v>9</v>
      </c>
      <c r="O120" s="57">
        <v>7000</v>
      </c>
      <c r="P120" s="58">
        <f t="shared" si="1"/>
        <v>63000</v>
      </c>
    </row>
    <row r="121" spans="1:16" ht="26.25" customHeight="1" x14ac:dyDescent="0.2">
      <c r="A121" s="13"/>
      <c r="B121" s="67"/>
      <c r="C121" s="65" t="s">
        <v>420</v>
      </c>
      <c r="D121" s="70" t="s">
        <v>57</v>
      </c>
      <c r="E121" s="12">
        <v>44533</v>
      </c>
      <c r="F121" s="68" t="s">
        <v>71</v>
      </c>
      <c r="G121" s="12">
        <v>44538</v>
      </c>
      <c r="H121" s="69" t="s">
        <v>299</v>
      </c>
      <c r="I121" s="15">
        <v>65</v>
      </c>
      <c r="J121" s="15">
        <v>57</v>
      </c>
      <c r="K121" s="15">
        <v>25</v>
      </c>
      <c r="L121" s="15">
        <v>15</v>
      </c>
      <c r="M121" s="73">
        <v>23.15625</v>
      </c>
      <c r="N121" s="88">
        <v>23.15625</v>
      </c>
      <c r="O121" s="57">
        <v>7000</v>
      </c>
      <c r="P121" s="58">
        <f t="shared" si="1"/>
        <v>162093.75</v>
      </c>
    </row>
    <row r="122" spans="1:16" ht="26.25" customHeight="1" x14ac:dyDescent="0.2">
      <c r="A122" s="13"/>
      <c r="B122" s="67"/>
      <c r="C122" s="65" t="s">
        <v>421</v>
      </c>
      <c r="D122" s="70" t="s">
        <v>57</v>
      </c>
      <c r="E122" s="12">
        <v>44533</v>
      </c>
      <c r="F122" s="68" t="s">
        <v>71</v>
      </c>
      <c r="G122" s="12">
        <v>44538</v>
      </c>
      <c r="H122" s="69" t="s">
        <v>299</v>
      </c>
      <c r="I122" s="15">
        <v>33</v>
      </c>
      <c r="J122" s="15">
        <v>26</v>
      </c>
      <c r="K122" s="15">
        <v>17</v>
      </c>
      <c r="L122" s="15">
        <v>3</v>
      </c>
      <c r="M122" s="73">
        <v>3.6465000000000001</v>
      </c>
      <c r="N122" s="88">
        <v>3.6465000000000001</v>
      </c>
      <c r="O122" s="57">
        <v>7000</v>
      </c>
      <c r="P122" s="58">
        <f t="shared" si="1"/>
        <v>25525.5</v>
      </c>
    </row>
    <row r="123" spans="1:16" ht="26.25" customHeight="1" x14ac:dyDescent="0.2">
      <c r="A123" s="13"/>
      <c r="B123" s="67"/>
      <c r="C123" s="65" t="s">
        <v>422</v>
      </c>
      <c r="D123" s="70" t="s">
        <v>57</v>
      </c>
      <c r="E123" s="12">
        <v>44533</v>
      </c>
      <c r="F123" s="68" t="s">
        <v>71</v>
      </c>
      <c r="G123" s="12">
        <v>44538</v>
      </c>
      <c r="H123" s="69" t="s">
        <v>299</v>
      </c>
      <c r="I123" s="15">
        <v>33</v>
      </c>
      <c r="J123" s="15">
        <v>19</v>
      </c>
      <c r="K123" s="15">
        <v>22</v>
      </c>
      <c r="L123" s="15">
        <v>7</v>
      </c>
      <c r="M123" s="73">
        <v>3.4485000000000001</v>
      </c>
      <c r="N123" s="88">
        <v>8</v>
      </c>
      <c r="O123" s="57">
        <v>7000</v>
      </c>
      <c r="P123" s="58">
        <f t="shared" si="1"/>
        <v>56000</v>
      </c>
    </row>
    <row r="124" spans="1:16" ht="22.5" customHeight="1" x14ac:dyDescent="0.2">
      <c r="A124" s="159" t="s">
        <v>30</v>
      </c>
      <c r="B124" s="160"/>
      <c r="C124" s="160"/>
      <c r="D124" s="160"/>
      <c r="E124" s="160"/>
      <c r="F124" s="160"/>
      <c r="G124" s="160"/>
      <c r="H124" s="160"/>
      <c r="I124" s="160"/>
      <c r="J124" s="160"/>
      <c r="K124" s="160"/>
      <c r="L124" s="161"/>
      <c r="M124" s="71">
        <f>SUBTOTAL(109,Table224578910112345678[KG VOLUME])</f>
        <v>2238.1047500000004</v>
      </c>
      <c r="N124" s="61">
        <f>SUM(N3:N123)</f>
        <v>2323.2737500000003</v>
      </c>
      <c r="O124" s="162">
        <f>SUM(P3:P123)</f>
        <v>16262916.25</v>
      </c>
      <c r="P124" s="163"/>
    </row>
    <row r="125" spans="1:16" ht="18" customHeight="1" x14ac:dyDescent="0.2">
      <c r="A125" s="78"/>
      <c r="B125" s="49" t="s">
        <v>42</v>
      </c>
      <c r="C125" s="48"/>
      <c r="D125" s="50" t="s">
        <v>43</v>
      </c>
      <c r="E125" s="78"/>
      <c r="F125" s="78"/>
      <c r="G125" s="78"/>
      <c r="H125" s="78"/>
      <c r="I125" s="78"/>
      <c r="J125" s="78"/>
      <c r="K125" s="78"/>
      <c r="L125" s="78"/>
      <c r="M125" s="79"/>
      <c r="N125" s="80" t="s">
        <v>52</v>
      </c>
      <c r="O125" s="81"/>
      <c r="P125" s="81">
        <v>0</v>
      </c>
    </row>
    <row r="126" spans="1:16" ht="18" customHeight="1" thickBot="1" x14ac:dyDescent="0.25">
      <c r="A126" s="78"/>
      <c r="B126" s="49"/>
      <c r="C126" s="48"/>
      <c r="D126" s="50"/>
      <c r="E126" s="78"/>
      <c r="F126" s="78"/>
      <c r="G126" s="78"/>
      <c r="H126" s="78"/>
      <c r="I126" s="78"/>
      <c r="J126" s="78"/>
      <c r="K126" s="78"/>
      <c r="L126" s="78"/>
      <c r="M126" s="79"/>
      <c r="N126" s="82" t="s">
        <v>53</v>
      </c>
      <c r="O126" s="83"/>
      <c r="P126" s="83">
        <f>O124-P125</f>
        <v>16262916.25</v>
      </c>
    </row>
    <row r="127" spans="1:16" ht="18" customHeight="1" x14ac:dyDescent="0.2">
      <c r="A127" s="10"/>
      <c r="H127" s="56"/>
      <c r="N127" s="55" t="s">
        <v>31</v>
      </c>
      <c r="P127" s="62">
        <f>P126*1%</f>
        <v>162629.16250000001</v>
      </c>
    </row>
    <row r="128" spans="1:16" ht="18" customHeight="1" thickBot="1" x14ac:dyDescent="0.25">
      <c r="A128" s="10"/>
      <c r="H128" s="56"/>
      <c r="N128" s="55" t="s">
        <v>54</v>
      </c>
      <c r="P128" s="64">
        <f>P126*2%</f>
        <v>325258.32500000001</v>
      </c>
    </row>
    <row r="129" spans="1:16" ht="18" customHeight="1" x14ac:dyDescent="0.2">
      <c r="A129" s="10"/>
      <c r="H129" s="56"/>
      <c r="N129" s="59" t="s">
        <v>32</v>
      </c>
      <c r="O129" s="60"/>
      <c r="P129" s="63">
        <f>P126+P127-P128</f>
        <v>16100287.0875</v>
      </c>
    </row>
    <row r="131" spans="1:16" x14ac:dyDescent="0.2">
      <c r="A131" s="10"/>
      <c r="H131" s="56"/>
      <c r="P131" s="64"/>
    </row>
    <row r="132" spans="1:16" x14ac:dyDescent="0.2">
      <c r="A132" s="10"/>
      <c r="H132" s="56"/>
      <c r="O132" s="51"/>
      <c r="P132" s="64"/>
    </row>
    <row r="133" spans="1:16" s="3" customFormat="1" x14ac:dyDescent="0.25">
      <c r="A133" s="10"/>
      <c r="B133" s="2"/>
      <c r="C133" s="2"/>
      <c r="E133" s="11"/>
      <c r="H133" s="56"/>
      <c r="N133" s="14"/>
      <c r="O133" s="14"/>
      <c r="P133" s="14"/>
    </row>
    <row r="134" spans="1:16" s="3" customFormat="1" x14ac:dyDescent="0.25">
      <c r="A134" s="10"/>
      <c r="B134" s="2"/>
      <c r="C134" s="2"/>
      <c r="E134" s="11"/>
      <c r="H134" s="56"/>
      <c r="N134" s="14"/>
      <c r="O134" s="14"/>
      <c r="P134" s="14"/>
    </row>
    <row r="135" spans="1:16" s="3" customFormat="1" x14ac:dyDescent="0.25">
      <c r="A135" s="10"/>
      <c r="B135" s="2"/>
      <c r="C135" s="2"/>
      <c r="E135" s="11"/>
      <c r="H135" s="56"/>
      <c r="N135" s="14"/>
      <c r="O135" s="14"/>
      <c r="P135" s="14"/>
    </row>
    <row r="136" spans="1:16" s="3" customFormat="1" x14ac:dyDescent="0.25">
      <c r="A136" s="10"/>
      <c r="B136" s="2"/>
      <c r="C136" s="2"/>
      <c r="E136" s="11"/>
      <c r="H136" s="56"/>
      <c r="N136" s="14"/>
      <c r="O136" s="14"/>
      <c r="P136" s="14"/>
    </row>
    <row r="137" spans="1:16" s="3" customFormat="1" x14ac:dyDescent="0.25">
      <c r="A137" s="10"/>
      <c r="B137" s="2"/>
      <c r="C137" s="2"/>
      <c r="E137" s="11"/>
      <c r="H137" s="56"/>
      <c r="N137" s="14"/>
      <c r="O137" s="14"/>
      <c r="P137" s="14"/>
    </row>
    <row r="138" spans="1:16" s="3" customFormat="1" x14ac:dyDescent="0.25">
      <c r="A138" s="10"/>
      <c r="B138" s="2"/>
      <c r="C138" s="2"/>
      <c r="E138" s="11"/>
      <c r="H138" s="56"/>
      <c r="N138" s="14"/>
      <c r="O138" s="14"/>
      <c r="P138" s="14"/>
    </row>
    <row r="139" spans="1:16" s="3" customFormat="1" x14ac:dyDescent="0.25">
      <c r="A139" s="10"/>
      <c r="B139" s="2"/>
      <c r="C139" s="2"/>
      <c r="E139" s="11"/>
      <c r="H139" s="56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6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6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56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56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56"/>
      <c r="N144" s="14"/>
      <c r="O144" s="14"/>
      <c r="P144" s="14"/>
    </row>
  </sheetData>
  <mergeCells count="2">
    <mergeCell ref="A124:L124"/>
    <mergeCell ref="O124:P124"/>
  </mergeCells>
  <conditionalFormatting sqref="B3">
    <cfRule type="duplicateValues" dxfId="1496" priority="2"/>
  </conditionalFormatting>
  <conditionalFormatting sqref="B4:B123">
    <cfRule type="duplicateValues" dxfId="1495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9"/>
  <sheetViews>
    <sheetView workbookViewId="0">
      <selection activeCell="H11" sqref="H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402731</v>
      </c>
      <c r="B3" s="99" t="s">
        <v>4984</v>
      </c>
      <c r="C3" s="90" t="s">
        <v>4985</v>
      </c>
      <c r="D3" s="102" t="s">
        <v>57</v>
      </c>
      <c r="E3" s="91">
        <v>44555</v>
      </c>
      <c r="F3" s="102" t="s">
        <v>59</v>
      </c>
      <c r="G3" s="91">
        <v>44559</v>
      </c>
      <c r="H3" s="90" t="s">
        <v>4687</v>
      </c>
      <c r="I3" s="90">
        <v>93</v>
      </c>
      <c r="J3" s="90">
        <v>16</v>
      </c>
      <c r="K3" s="90">
        <v>6</v>
      </c>
      <c r="L3" s="90">
        <v>1</v>
      </c>
      <c r="M3" s="90">
        <v>2.2320000000000002</v>
      </c>
      <c r="N3" s="104">
        <v>2.2320000000000002</v>
      </c>
      <c r="O3" s="57">
        <v>7000</v>
      </c>
      <c r="P3" s="58">
        <f t="shared" ref="P3:P66" si="0">N3*O3</f>
        <v>15624.000000000002</v>
      </c>
    </row>
    <row r="4" spans="1:16" ht="26.25" customHeight="1" x14ac:dyDescent="0.2">
      <c r="A4" s="100"/>
      <c r="B4" s="100"/>
      <c r="C4" s="90" t="s">
        <v>4986</v>
      </c>
      <c r="D4" s="102" t="s">
        <v>57</v>
      </c>
      <c r="E4" s="91">
        <v>44555</v>
      </c>
      <c r="F4" s="102" t="s">
        <v>59</v>
      </c>
      <c r="G4" s="91">
        <v>44559</v>
      </c>
      <c r="H4" s="90" t="s">
        <v>4687</v>
      </c>
      <c r="I4" s="90">
        <v>98</v>
      </c>
      <c r="J4" s="90">
        <v>65</v>
      </c>
      <c r="K4" s="90">
        <v>33</v>
      </c>
      <c r="L4" s="90">
        <v>21</v>
      </c>
      <c r="M4" s="90">
        <v>52.552500000000002</v>
      </c>
      <c r="N4" s="104">
        <v>52.552500000000002</v>
      </c>
      <c r="O4" s="57">
        <v>7000</v>
      </c>
      <c r="P4" s="58">
        <f t="shared" si="0"/>
        <v>367867.5</v>
      </c>
    </row>
    <row r="5" spans="1:16" ht="26.25" customHeight="1" x14ac:dyDescent="0.2">
      <c r="A5" s="100"/>
      <c r="B5" s="100"/>
      <c r="C5" s="65" t="s">
        <v>4987</v>
      </c>
      <c r="D5" s="70" t="s">
        <v>57</v>
      </c>
      <c r="E5" s="12">
        <v>44555</v>
      </c>
      <c r="F5" s="68" t="s">
        <v>59</v>
      </c>
      <c r="G5" s="12">
        <v>44559</v>
      </c>
      <c r="H5" s="69" t="s">
        <v>4687</v>
      </c>
      <c r="I5" s="15">
        <v>30</v>
      </c>
      <c r="J5" s="15">
        <v>23</v>
      </c>
      <c r="K5" s="15">
        <v>17</v>
      </c>
      <c r="L5" s="15">
        <v>7</v>
      </c>
      <c r="M5" s="73">
        <v>2.9325000000000001</v>
      </c>
      <c r="N5" s="104">
        <v>7</v>
      </c>
      <c r="O5" s="57">
        <v>7000</v>
      </c>
      <c r="P5" s="58">
        <f t="shared" si="0"/>
        <v>49000</v>
      </c>
    </row>
    <row r="6" spans="1:16" ht="26.25" customHeight="1" x14ac:dyDescent="0.2">
      <c r="A6" s="100"/>
      <c r="B6" s="100"/>
      <c r="C6" s="65" t="s">
        <v>4988</v>
      </c>
      <c r="D6" s="70" t="s">
        <v>57</v>
      </c>
      <c r="E6" s="12">
        <v>44555</v>
      </c>
      <c r="F6" s="68" t="s">
        <v>59</v>
      </c>
      <c r="G6" s="12">
        <v>44559</v>
      </c>
      <c r="H6" s="69" t="s">
        <v>4687</v>
      </c>
      <c r="I6" s="15">
        <v>105</v>
      </c>
      <c r="J6" s="15">
        <v>53</v>
      </c>
      <c r="K6" s="15">
        <v>32</v>
      </c>
      <c r="L6" s="15">
        <v>34</v>
      </c>
      <c r="M6" s="73">
        <v>44.52</v>
      </c>
      <c r="N6" s="104">
        <v>44.52</v>
      </c>
      <c r="O6" s="57">
        <v>7000</v>
      </c>
      <c r="P6" s="58">
        <f t="shared" si="0"/>
        <v>311640</v>
      </c>
    </row>
    <row r="7" spans="1:16" ht="26.25" customHeight="1" x14ac:dyDescent="0.2">
      <c r="A7" s="100"/>
      <c r="B7" s="100"/>
      <c r="C7" s="65" t="s">
        <v>4989</v>
      </c>
      <c r="D7" s="70" t="s">
        <v>57</v>
      </c>
      <c r="E7" s="12">
        <v>44555</v>
      </c>
      <c r="F7" s="68" t="s">
        <v>59</v>
      </c>
      <c r="G7" s="12">
        <v>44559</v>
      </c>
      <c r="H7" s="69" t="s">
        <v>4687</v>
      </c>
      <c r="I7" s="15">
        <v>25</v>
      </c>
      <c r="J7" s="15">
        <v>15</v>
      </c>
      <c r="K7" s="15">
        <v>8</v>
      </c>
      <c r="L7" s="15">
        <v>1</v>
      </c>
      <c r="M7" s="73">
        <v>0.75</v>
      </c>
      <c r="N7" s="104">
        <v>1</v>
      </c>
      <c r="O7" s="57">
        <v>7000</v>
      </c>
      <c r="P7" s="58">
        <f t="shared" si="0"/>
        <v>7000</v>
      </c>
    </row>
    <row r="8" spans="1:16" ht="26.25" customHeight="1" x14ac:dyDescent="0.2">
      <c r="A8" s="100"/>
      <c r="B8" s="100"/>
      <c r="C8" s="65" t="s">
        <v>4990</v>
      </c>
      <c r="D8" s="70" t="s">
        <v>57</v>
      </c>
      <c r="E8" s="12">
        <v>44555</v>
      </c>
      <c r="F8" s="68" t="s">
        <v>59</v>
      </c>
      <c r="G8" s="12">
        <v>44559</v>
      </c>
      <c r="H8" s="69" t="s">
        <v>4687</v>
      </c>
      <c r="I8" s="15">
        <v>102</v>
      </c>
      <c r="J8" s="15">
        <v>60</v>
      </c>
      <c r="K8" s="15">
        <v>27</v>
      </c>
      <c r="L8" s="15">
        <v>30</v>
      </c>
      <c r="M8" s="73">
        <v>41.31</v>
      </c>
      <c r="N8" s="104">
        <v>42</v>
      </c>
      <c r="O8" s="57">
        <v>7000</v>
      </c>
      <c r="P8" s="58">
        <f t="shared" si="0"/>
        <v>294000</v>
      </c>
    </row>
    <row r="9" spans="1:16" ht="26.25" customHeight="1" x14ac:dyDescent="0.2">
      <c r="A9" s="100"/>
      <c r="B9" s="100"/>
      <c r="C9" s="65" t="s">
        <v>4991</v>
      </c>
      <c r="D9" s="70" t="s">
        <v>57</v>
      </c>
      <c r="E9" s="12">
        <v>44555</v>
      </c>
      <c r="F9" s="68" t="s">
        <v>59</v>
      </c>
      <c r="G9" s="12">
        <v>44559</v>
      </c>
      <c r="H9" s="69" t="s">
        <v>4687</v>
      </c>
      <c r="I9" s="15">
        <v>201</v>
      </c>
      <c r="J9" s="15">
        <v>15</v>
      </c>
      <c r="K9" s="15">
        <v>8</v>
      </c>
      <c r="L9" s="15">
        <v>1</v>
      </c>
      <c r="M9" s="73">
        <v>6.03</v>
      </c>
      <c r="N9" s="104">
        <v>6.03</v>
      </c>
      <c r="O9" s="57">
        <v>7000</v>
      </c>
      <c r="P9" s="58">
        <f t="shared" si="0"/>
        <v>42210</v>
      </c>
    </row>
    <row r="10" spans="1:16" ht="26.25" customHeight="1" x14ac:dyDescent="0.2">
      <c r="A10" s="100"/>
      <c r="B10" s="100"/>
      <c r="C10" s="65" t="s">
        <v>4992</v>
      </c>
      <c r="D10" s="70" t="s">
        <v>57</v>
      </c>
      <c r="E10" s="12">
        <v>44555</v>
      </c>
      <c r="F10" s="68" t="s">
        <v>59</v>
      </c>
      <c r="G10" s="12">
        <v>44559</v>
      </c>
      <c r="H10" s="69" t="s">
        <v>4687</v>
      </c>
      <c r="I10" s="15">
        <v>130</v>
      </c>
      <c r="J10" s="15">
        <v>19</v>
      </c>
      <c r="K10" s="15">
        <v>15</v>
      </c>
      <c r="L10" s="15">
        <v>12</v>
      </c>
      <c r="M10" s="73">
        <v>9.2624999999999993</v>
      </c>
      <c r="N10" s="104">
        <v>12</v>
      </c>
      <c r="O10" s="57">
        <v>7000</v>
      </c>
      <c r="P10" s="58">
        <f t="shared" si="0"/>
        <v>84000</v>
      </c>
    </row>
    <row r="11" spans="1:16" ht="26.25" customHeight="1" x14ac:dyDescent="0.2">
      <c r="A11" s="100"/>
      <c r="B11" s="100"/>
      <c r="C11" s="65" t="s">
        <v>4993</v>
      </c>
      <c r="D11" s="70" t="s">
        <v>57</v>
      </c>
      <c r="E11" s="12">
        <v>44555</v>
      </c>
      <c r="F11" s="68" t="s">
        <v>59</v>
      </c>
      <c r="G11" s="12">
        <v>44559</v>
      </c>
      <c r="H11" s="69" t="s">
        <v>4687</v>
      </c>
      <c r="I11" s="15">
        <v>70</v>
      </c>
      <c r="J11" s="15">
        <v>62</v>
      </c>
      <c r="K11" s="15">
        <v>22</v>
      </c>
      <c r="L11" s="15">
        <v>6</v>
      </c>
      <c r="M11" s="73">
        <v>23.87</v>
      </c>
      <c r="N11" s="104">
        <v>23.87</v>
      </c>
      <c r="O11" s="57">
        <v>7000</v>
      </c>
      <c r="P11" s="58">
        <f t="shared" si="0"/>
        <v>167090</v>
      </c>
    </row>
    <row r="12" spans="1:16" ht="26.25" customHeight="1" x14ac:dyDescent="0.2">
      <c r="A12" s="100"/>
      <c r="B12" s="100"/>
      <c r="C12" s="65" t="s">
        <v>4994</v>
      </c>
      <c r="D12" s="70" t="s">
        <v>57</v>
      </c>
      <c r="E12" s="12">
        <v>44555</v>
      </c>
      <c r="F12" s="68" t="s">
        <v>59</v>
      </c>
      <c r="G12" s="12">
        <v>44559</v>
      </c>
      <c r="H12" s="69" t="s">
        <v>4687</v>
      </c>
      <c r="I12" s="15">
        <v>115</v>
      </c>
      <c r="J12" s="15">
        <v>60</v>
      </c>
      <c r="K12" s="15">
        <v>30</v>
      </c>
      <c r="L12" s="15">
        <v>30</v>
      </c>
      <c r="M12" s="73">
        <v>51.75</v>
      </c>
      <c r="N12" s="104">
        <v>51.75</v>
      </c>
      <c r="O12" s="57">
        <v>7000</v>
      </c>
      <c r="P12" s="58">
        <f t="shared" si="0"/>
        <v>362250</v>
      </c>
    </row>
    <row r="13" spans="1:16" ht="26.25" customHeight="1" x14ac:dyDescent="0.2">
      <c r="A13" s="100"/>
      <c r="B13" s="100"/>
      <c r="C13" s="65" t="s">
        <v>4995</v>
      </c>
      <c r="D13" s="70" t="s">
        <v>57</v>
      </c>
      <c r="E13" s="12">
        <v>44555</v>
      </c>
      <c r="F13" s="68" t="s">
        <v>59</v>
      </c>
      <c r="G13" s="12">
        <v>44559</v>
      </c>
      <c r="H13" s="69" t="s">
        <v>4687</v>
      </c>
      <c r="I13" s="15">
        <v>59</v>
      </c>
      <c r="J13" s="15">
        <v>65</v>
      </c>
      <c r="K13" s="15">
        <v>16</v>
      </c>
      <c r="L13" s="15">
        <v>9</v>
      </c>
      <c r="M13" s="73">
        <v>15.34</v>
      </c>
      <c r="N13" s="104">
        <v>16</v>
      </c>
      <c r="O13" s="57">
        <v>7000</v>
      </c>
      <c r="P13" s="58">
        <f t="shared" si="0"/>
        <v>112000</v>
      </c>
    </row>
    <row r="14" spans="1:16" ht="26.25" customHeight="1" x14ac:dyDescent="0.2">
      <c r="A14" s="100"/>
      <c r="B14" s="100"/>
      <c r="C14" s="65" t="s">
        <v>4996</v>
      </c>
      <c r="D14" s="70" t="s">
        <v>57</v>
      </c>
      <c r="E14" s="12">
        <v>44555</v>
      </c>
      <c r="F14" s="68" t="s">
        <v>59</v>
      </c>
      <c r="G14" s="12">
        <v>44559</v>
      </c>
      <c r="H14" s="69" t="s">
        <v>4687</v>
      </c>
      <c r="I14" s="15">
        <v>44</v>
      </c>
      <c r="J14" s="15">
        <v>39</v>
      </c>
      <c r="K14" s="15">
        <v>12</v>
      </c>
      <c r="L14" s="15">
        <v>6</v>
      </c>
      <c r="M14" s="73">
        <v>5.1479999999999997</v>
      </c>
      <c r="N14" s="104">
        <v>6</v>
      </c>
      <c r="O14" s="57">
        <v>7000</v>
      </c>
      <c r="P14" s="58">
        <f t="shared" si="0"/>
        <v>42000</v>
      </c>
    </row>
    <row r="15" spans="1:16" ht="26.25" customHeight="1" x14ac:dyDescent="0.2">
      <c r="A15" s="100"/>
      <c r="B15" s="100"/>
      <c r="C15" s="65" t="s">
        <v>4997</v>
      </c>
      <c r="D15" s="70" t="s">
        <v>57</v>
      </c>
      <c r="E15" s="12">
        <v>44555</v>
      </c>
      <c r="F15" s="68" t="s">
        <v>59</v>
      </c>
      <c r="G15" s="12">
        <v>44559</v>
      </c>
      <c r="H15" s="69" t="s">
        <v>4687</v>
      </c>
      <c r="I15" s="15">
        <v>102</v>
      </c>
      <c r="J15" s="15">
        <v>8</v>
      </c>
      <c r="K15" s="15">
        <v>8</v>
      </c>
      <c r="L15" s="15">
        <v>1</v>
      </c>
      <c r="M15" s="73">
        <v>1.6319999999999999</v>
      </c>
      <c r="N15" s="104">
        <v>1.6319999999999999</v>
      </c>
      <c r="O15" s="57">
        <v>7000</v>
      </c>
      <c r="P15" s="58">
        <f t="shared" si="0"/>
        <v>11424</v>
      </c>
    </row>
    <row r="16" spans="1:16" ht="26.25" customHeight="1" x14ac:dyDescent="0.2">
      <c r="A16" s="100"/>
      <c r="B16" s="100"/>
      <c r="C16" s="65" t="s">
        <v>4998</v>
      </c>
      <c r="D16" s="70" t="s">
        <v>57</v>
      </c>
      <c r="E16" s="12">
        <v>44555</v>
      </c>
      <c r="F16" s="68" t="s">
        <v>59</v>
      </c>
      <c r="G16" s="12">
        <v>44559</v>
      </c>
      <c r="H16" s="69" t="s">
        <v>4687</v>
      </c>
      <c r="I16" s="15">
        <v>48</v>
      </c>
      <c r="J16" s="15">
        <v>23</v>
      </c>
      <c r="K16" s="15">
        <v>23</v>
      </c>
      <c r="L16" s="15">
        <v>6</v>
      </c>
      <c r="M16" s="73">
        <v>6.3479999999999999</v>
      </c>
      <c r="N16" s="104">
        <v>7</v>
      </c>
      <c r="O16" s="57">
        <v>7000</v>
      </c>
      <c r="P16" s="58">
        <f t="shared" si="0"/>
        <v>49000</v>
      </c>
    </row>
    <row r="17" spans="1:16" ht="26.25" customHeight="1" x14ac:dyDescent="0.2">
      <c r="A17" s="100"/>
      <c r="B17" s="100"/>
      <c r="C17" s="65" t="s">
        <v>4999</v>
      </c>
      <c r="D17" s="70" t="s">
        <v>57</v>
      </c>
      <c r="E17" s="12">
        <v>44555</v>
      </c>
      <c r="F17" s="68" t="s">
        <v>59</v>
      </c>
      <c r="G17" s="12">
        <v>44559</v>
      </c>
      <c r="H17" s="69" t="s">
        <v>4687</v>
      </c>
      <c r="I17" s="15">
        <v>90</v>
      </c>
      <c r="J17" s="15">
        <v>40</v>
      </c>
      <c r="K17" s="15">
        <v>10</v>
      </c>
      <c r="L17" s="15">
        <v>1</v>
      </c>
      <c r="M17" s="73">
        <v>9</v>
      </c>
      <c r="N17" s="104">
        <v>9</v>
      </c>
      <c r="O17" s="57">
        <v>7000</v>
      </c>
      <c r="P17" s="58">
        <f t="shared" si="0"/>
        <v>63000</v>
      </c>
    </row>
    <row r="18" spans="1:16" ht="26.25" customHeight="1" x14ac:dyDescent="0.2">
      <c r="A18" s="100"/>
      <c r="B18" s="100"/>
      <c r="C18" s="65" t="s">
        <v>5000</v>
      </c>
      <c r="D18" s="70" t="s">
        <v>57</v>
      </c>
      <c r="E18" s="12">
        <v>44555</v>
      </c>
      <c r="F18" s="68" t="s">
        <v>59</v>
      </c>
      <c r="G18" s="12">
        <v>44559</v>
      </c>
      <c r="H18" s="69" t="s">
        <v>4687</v>
      </c>
      <c r="I18" s="15">
        <v>58</v>
      </c>
      <c r="J18" s="15">
        <v>45</v>
      </c>
      <c r="K18" s="15">
        <v>20</v>
      </c>
      <c r="L18" s="15">
        <v>1</v>
      </c>
      <c r="M18" s="73">
        <v>13.05</v>
      </c>
      <c r="N18" s="104">
        <v>13.05</v>
      </c>
      <c r="O18" s="57">
        <v>7000</v>
      </c>
      <c r="P18" s="58">
        <f t="shared" si="0"/>
        <v>91350</v>
      </c>
    </row>
    <row r="19" spans="1:16" ht="26.25" customHeight="1" x14ac:dyDescent="0.2">
      <c r="A19" s="100"/>
      <c r="B19" s="100"/>
      <c r="C19" s="65" t="s">
        <v>5001</v>
      </c>
      <c r="D19" s="70" t="s">
        <v>57</v>
      </c>
      <c r="E19" s="12">
        <v>44555</v>
      </c>
      <c r="F19" s="68" t="s">
        <v>59</v>
      </c>
      <c r="G19" s="12">
        <v>44559</v>
      </c>
      <c r="H19" s="69" t="s">
        <v>4687</v>
      </c>
      <c r="I19" s="15">
        <v>67</v>
      </c>
      <c r="J19" s="15">
        <v>5</v>
      </c>
      <c r="K19" s="15">
        <v>5</v>
      </c>
      <c r="L19" s="15">
        <v>1</v>
      </c>
      <c r="M19" s="73">
        <v>0.41875000000000001</v>
      </c>
      <c r="N19" s="104">
        <v>2</v>
      </c>
      <c r="O19" s="57">
        <v>7000</v>
      </c>
      <c r="P19" s="58">
        <f t="shared" si="0"/>
        <v>14000</v>
      </c>
    </row>
    <row r="20" spans="1:16" ht="26.25" customHeight="1" x14ac:dyDescent="0.2">
      <c r="A20" s="100"/>
      <c r="B20" s="100"/>
      <c r="C20" s="65" t="s">
        <v>5002</v>
      </c>
      <c r="D20" s="70" t="s">
        <v>57</v>
      </c>
      <c r="E20" s="12">
        <v>44555</v>
      </c>
      <c r="F20" s="68" t="s">
        <v>59</v>
      </c>
      <c r="G20" s="12">
        <v>44559</v>
      </c>
      <c r="H20" s="69" t="s">
        <v>4687</v>
      </c>
      <c r="I20" s="15">
        <v>95</v>
      </c>
      <c r="J20" s="15">
        <v>51</v>
      </c>
      <c r="K20" s="15">
        <v>25</v>
      </c>
      <c r="L20" s="15">
        <v>30</v>
      </c>
      <c r="M20" s="73">
        <v>30.28125</v>
      </c>
      <c r="N20" s="104">
        <v>30.28125</v>
      </c>
      <c r="O20" s="57">
        <v>7000</v>
      </c>
      <c r="P20" s="58">
        <f t="shared" si="0"/>
        <v>211968.75</v>
      </c>
    </row>
    <row r="21" spans="1:16" ht="26.25" customHeight="1" x14ac:dyDescent="0.2">
      <c r="A21" s="100"/>
      <c r="B21" s="100"/>
      <c r="C21" s="65" t="s">
        <v>5003</v>
      </c>
      <c r="D21" s="70" t="s">
        <v>57</v>
      </c>
      <c r="E21" s="12">
        <v>44555</v>
      </c>
      <c r="F21" s="68" t="s">
        <v>59</v>
      </c>
      <c r="G21" s="12">
        <v>44559</v>
      </c>
      <c r="H21" s="69" t="s">
        <v>4687</v>
      </c>
      <c r="I21" s="15">
        <v>54</v>
      </c>
      <c r="J21" s="15">
        <v>36</v>
      </c>
      <c r="K21" s="15">
        <v>27</v>
      </c>
      <c r="L21" s="15">
        <v>13</v>
      </c>
      <c r="M21" s="73">
        <v>13.122</v>
      </c>
      <c r="N21" s="104">
        <v>13.122</v>
      </c>
      <c r="O21" s="57">
        <v>7000</v>
      </c>
      <c r="P21" s="58">
        <f t="shared" si="0"/>
        <v>91854</v>
      </c>
    </row>
    <row r="22" spans="1:16" ht="26.25" customHeight="1" x14ac:dyDescent="0.2">
      <c r="A22" s="100"/>
      <c r="B22" s="100"/>
      <c r="C22" s="65" t="s">
        <v>5004</v>
      </c>
      <c r="D22" s="70" t="s">
        <v>57</v>
      </c>
      <c r="E22" s="12">
        <v>44555</v>
      </c>
      <c r="F22" s="68" t="s">
        <v>59</v>
      </c>
      <c r="G22" s="12">
        <v>44559</v>
      </c>
      <c r="H22" s="69" t="s">
        <v>4687</v>
      </c>
      <c r="I22" s="15">
        <v>87</v>
      </c>
      <c r="J22" s="15">
        <v>60</v>
      </c>
      <c r="K22" s="15">
        <v>15</v>
      </c>
      <c r="L22" s="15">
        <v>8</v>
      </c>
      <c r="M22" s="73">
        <v>19.574999999999999</v>
      </c>
      <c r="N22" s="104">
        <v>19.574999999999999</v>
      </c>
      <c r="O22" s="57">
        <v>7000</v>
      </c>
      <c r="P22" s="58">
        <f t="shared" si="0"/>
        <v>137025</v>
      </c>
    </row>
    <row r="23" spans="1:16" ht="26.25" customHeight="1" x14ac:dyDescent="0.2">
      <c r="A23" s="100"/>
      <c r="B23" s="100"/>
      <c r="C23" s="65" t="s">
        <v>5005</v>
      </c>
      <c r="D23" s="70" t="s">
        <v>57</v>
      </c>
      <c r="E23" s="12">
        <v>44555</v>
      </c>
      <c r="F23" s="68" t="s">
        <v>59</v>
      </c>
      <c r="G23" s="12">
        <v>44559</v>
      </c>
      <c r="H23" s="69" t="s">
        <v>4687</v>
      </c>
      <c r="I23" s="15">
        <v>93</v>
      </c>
      <c r="J23" s="15">
        <v>55</v>
      </c>
      <c r="K23" s="15">
        <v>28</v>
      </c>
      <c r="L23" s="15">
        <v>26</v>
      </c>
      <c r="M23" s="73">
        <v>35.805</v>
      </c>
      <c r="N23" s="104">
        <v>35.805</v>
      </c>
      <c r="O23" s="57">
        <v>7000</v>
      </c>
      <c r="P23" s="58">
        <f t="shared" si="0"/>
        <v>250635</v>
      </c>
    </row>
    <row r="24" spans="1:16" ht="26.25" customHeight="1" x14ac:dyDescent="0.2">
      <c r="A24" s="100"/>
      <c r="B24" s="100"/>
      <c r="C24" s="65" t="s">
        <v>5006</v>
      </c>
      <c r="D24" s="70" t="s">
        <v>57</v>
      </c>
      <c r="E24" s="12">
        <v>44555</v>
      </c>
      <c r="F24" s="68" t="s">
        <v>59</v>
      </c>
      <c r="G24" s="12">
        <v>44559</v>
      </c>
      <c r="H24" s="69" t="s">
        <v>4687</v>
      </c>
      <c r="I24" s="15">
        <v>77</v>
      </c>
      <c r="J24" s="15">
        <v>22</v>
      </c>
      <c r="K24" s="15">
        <v>17</v>
      </c>
      <c r="L24" s="15">
        <v>4</v>
      </c>
      <c r="M24" s="73">
        <v>7.1994999999999996</v>
      </c>
      <c r="N24" s="104">
        <v>7.1994999999999996</v>
      </c>
      <c r="O24" s="57">
        <v>7000</v>
      </c>
      <c r="P24" s="58">
        <f t="shared" si="0"/>
        <v>50396.5</v>
      </c>
    </row>
    <row r="25" spans="1:16" ht="26.25" customHeight="1" x14ac:dyDescent="0.2">
      <c r="A25" s="100"/>
      <c r="B25" s="100"/>
      <c r="C25" s="65" t="s">
        <v>5007</v>
      </c>
      <c r="D25" s="70" t="s">
        <v>57</v>
      </c>
      <c r="E25" s="12">
        <v>44555</v>
      </c>
      <c r="F25" s="68" t="s">
        <v>59</v>
      </c>
      <c r="G25" s="12">
        <v>44559</v>
      </c>
      <c r="H25" s="69" t="s">
        <v>4687</v>
      </c>
      <c r="I25" s="15">
        <v>55</v>
      </c>
      <c r="J25" s="15">
        <v>45</v>
      </c>
      <c r="K25" s="15">
        <v>25</v>
      </c>
      <c r="L25" s="15">
        <v>1</v>
      </c>
      <c r="M25" s="73">
        <v>15.46875</v>
      </c>
      <c r="N25" s="104">
        <v>16</v>
      </c>
      <c r="O25" s="57">
        <v>7000</v>
      </c>
      <c r="P25" s="58">
        <f t="shared" si="0"/>
        <v>112000</v>
      </c>
    </row>
    <row r="26" spans="1:16" ht="26.25" customHeight="1" x14ac:dyDescent="0.2">
      <c r="A26" s="100"/>
      <c r="B26" s="100"/>
      <c r="C26" s="65" t="s">
        <v>5008</v>
      </c>
      <c r="D26" s="70" t="s">
        <v>57</v>
      </c>
      <c r="E26" s="12">
        <v>44555</v>
      </c>
      <c r="F26" s="68" t="s">
        <v>59</v>
      </c>
      <c r="G26" s="12">
        <v>44559</v>
      </c>
      <c r="H26" s="69" t="s">
        <v>4687</v>
      </c>
      <c r="I26" s="15">
        <v>35</v>
      </c>
      <c r="J26" s="15">
        <v>23</v>
      </c>
      <c r="K26" s="15">
        <v>15</v>
      </c>
      <c r="L26" s="15">
        <v>1</v>
      </c>
      <c r="M26" s="73">
        <v>3.0187499999999998</v>
      </c>
      <c r="N26" s="104">
        <v>3.0187499999999998</v>
      </c>
      <c r="O26" s="57">
        <v>7000</v>
      </c>
      <c r="P26" s="58">
        <f t="shared" si="0"/>
        <v>21131.25</v>
      </c>
    </row>
    <row r="27" spans="1:16" ht="26.25" customHeight="1" x14ac:dyDescent="0.2">
      <c r="A27" s="100"/>
      <c r="B27" s="100"/>
      <c r="C27" s="65" t="s">
        <v>5009</v>
      </c>
      <c r="D27" s="70" t="s">
        <v>57</v>
      </c>
      <c r="E27" s="12">
        <v>44555</v>
      </c>
      <c r="F27" s="68" t="s">
        <v>59</v>
      </c>
      <c r="G27" s="12">
        <v>44559</v>
      </c>
      <c r="H27" s="69" t="s">
        <v>4687</v>
      </c>
      <c r="I27" s="15">
        <v>65</v>
      </c>
      <c r="J27" s="15">
        <v>42</v>
      </c>
      <c r="K27" s="15">
        <v>15</v>
      </c>
      <c r="L27" s="15">
        <v>1</v>
      </c>
      <c r="M27" s="73">
        <v>10.237500000000001</v>
      </c>
      <c r="N27" s="104">
        <v>10.237500000000001</v>
      </c>
      <c r="O27" s="57">
        <v>7000</v>
      </c>
      <c r="P27" s="58">
        <f t="shared" si="0"/>
        <v>71662.5</v>
      </c>
    </row>
    <row r="28" spans="1:16" ht="26.25" customHeight="1" x14ac:dyDescent="0.2">
      <c r="A28" s="100"/>
      <c r="B28" s="100"/>
      <c r="C28" s="65" t="s">
        <v>5010</v>
      </c>
      <c r="D28" s="70" t="s">
        <v>57</v>
      </c>
      <c r="E28" s="12">
        <v>44555</v>
      </c>
      <c r="F28" s="68" t="s">
        <v>59</v>
      </c>
      <c r="G28" s="12">
        <v>44559</v>
      </c>
      <c r="H28" s="69" t="s">
        <v>4687</v>
      </c>
      <c r="I28" s="15">
        <v>52</v>
      </c>
      <c r="J28" s="15">
        <v>42</v>
      </c>
      <c r="K28" s="15">
        <v>33</v>
      </c>
      <c r="L28" s="15">
        <v>9</v>
      </c>
      <c r="M28" s="73">
        <v>18.018000000000001</v>
      </c>
      <c r="N28" s="104">
        <v>18.018000000000001</v>
      </c>
      <c r="O28" s="57">
        <v>7000</v>
      </c>
      <c r="P28" s="58">
        <f t="shared" si="0"/>
        <v>126126</v>
      </c>
    </row>
    <row r="29" spans="1:16" ht="26.25" customHeight="1" x14ac:dyDescent="0.2">
      <c r="A29" s="100"/>
      <c r="B29" s="100"/>
      <c r="C29" s="65" t="s">
        <v>5011</v>
      </c>
      <c r="D29" s="70" t="s">
        <v>57</v>
      </c>
      <c r="E29" s="12">
        <v>44555</v>
      </c>
      <c r="F29" s="68" t="s">
        <v>59</v>
      </c>
      <c r="G29" s="12">
        <v>44559</v>
      </c>
      <c r="H29" s="69" t="s">
        <v>4687</v>
      </c>
      <c r="I29" s="15">
        <v>92</v>
      </c>
      <c r="J29" s="15">
        <v>60</v>
      </c>
      <c r="K29" s="15">
        <v>27</v>
      </c>
      <c r="L29" s="15">
        <v>14</v>
      </c>
      <c r="M29" s="73">
        <v>37.26</v>
      </c>
      <c r="N29" s="104">
        <v>37.26</v>
      </c>
      <c r="O29" s="57">
        <v>7000</v>
      </c>
      <c r="P29" s="58">
        <f t="shared" si="0"/>
        <v>260820</v>
      </c>
    </row>
    <row r="30" spans="1:16" ht="26.25" customHeight="1" x14ac:dyDescent="0.2">
      <c r="A30" s="100"/>
      <c r="B30" s="100"/>
      <c r="C30" s="65" t="s">
        <v>5012</v>
      </c>
      <c r="D30" s="70" t="s">
        <v>57</v>
      </c>
      <c r="E30" s="12">
        <v>44555</v>
      </c>
      <c r="F30" s="68" t="s">
        <v>59</v>
      </c>
      <c r="G30" s="12">
        <v>44559</v>
      </c>
      <c r="H30" s="69" t="s">
        <v>4687</v>
      </c>
      <c r="I30" s="15">
        <v>47</v>
      </c>
      <c r="J30" s="15">
        <v>22</v>
      </c>
      <c r="K30" s="15">
        <v>22</v>
      </c>
      <c r="L30" s="15">
        <v>5</v>
      </c>
      <c r="M30" s="73">
        <v>5.6870000000000003</v>
      </c>
      <c r="N30" s="104">
        <v>5.6870000000000003</v>
      </c>
      <c r="O30" s="57">
        <v>7000</v>
      </c>
      <c r="P30" s="58">
        <f t="shared" si="0"/>
        <v>39809</v>
      </c>
    </row>
    <row r="31" spans="1:16" ht="26.25" customHeight="1" x14ac:dyDescent="0.2">
      <c r="A31" s="100"/>
      <c r="B31" s="100"/>
      <c r="C31" s="65" t="s">
        <v>5013</v>
      </c>
      <c r="D31" s="70" t="s">
        <v>57</v>
      </c>
      <c r="E31" s="12">
        <v>44555</v>
      </c>
      <c r="F31" s="68" t="s">
        <v>59</v>
      </c>
      <c r="G31" s="12">
        <v>44559</v>
      </c>
      <c r="H31" s="69" t="s">
        <v>4687</v>
      </c>
      <c r="I31" s="15">
        <v>52</v>
      </c>
      <c r="J31" s="15">
        <v>22</v>
      </c>
      <c r="K31" s="15">
        <v>22</v>
      </c>
      <c r="L31" s="15">
        <v>1</v>
      </c>
      <c r="M31" s="73">
        <v>6.2919999999999998</v>
      </c>
      <c r="N31" s="104">
        <v>6.2919999999999998</v>
      </c>
      <c r="O31" s="57">
        <v>7000</v>
      </c>
      <c r="P31" s="58">
        <f t="shared" si="0"/>
        <v>44044</v>
      </c>
    </row>
    <row r="32" spans="1:16" ht="26.25" customHeight="1" x14ac:dyDescent="0.2">
      <c r="A32" s="100"/>
      <c r="B32" s="100"/>
      <c r="C32" s="65" t="s">
        <v>5014</v>
      </c>
      <c r="D32" s="70" t="s">
        <v>57</v>
      </c>
      <c r="E32" s="12">
        <v>44555</v>
      </c>
      <c r="F32" s="68" t="s">
        <v>59</v>
      </c>
      <c r="G32" s="12">
        <v>44559</v>
      </c>
      <c r="H32" s="69" t="s">
        <v>4687</v>
      </c>
      <c r="I32" s="15">
        <v>54</v>
      </c>
      <c r="J32" s="15">
        <v>45</v>
      </c>
      <c r="K32" s="15">
        <v>25</v>
      </c>
      <c r="L32" s="15">
        <v>4</v>
      </c>
      <c r="M32" s="73">
        <v>15.1875</v>
      </c>
      <c r="N32" s="104">
        <v>15.1875</v>
      </c>
      <c r="O32" s="57">
        <v>7000</v>
      </c>
      <c r="P32" s="58">
        <f t="shared" si="0"/>
        <v>106312.5</v>
      </c>
    </row>
    <row r="33" spans="1:16" ht="26.25" customHeight="1" x14ac:dyDescent="0.2">
      <c r="A33" s="100"/>
      <c r="B33" s="100"/>
      <c r="C33" s="65" t="s">
        <v>5015</v>
      </c>
      <c r="D33" s="70" t="s">
        <v>57</v>
      </c>
      <c r="E33" s="12">
        <v>44555</v>
      </c>
      <c r="F33" s="68" t="s">
        <v>59</v>
      </c>
      <c r="G33" s="12">
        <v>44559</v>
      </c>
      <c r="H33" s="69" t="s">
        <v>4687</v>
      </c>
      <c r="I33" s="15">
        <v>75</v>
      </c>
      <c r="J33" s="15">
        <v>54</v>
      </c>
      <c r="K33" s="15">
        <v>24</v>
      </c>
      <c r="L33" s="15">
        <v>11</v>
      </c>
      <c r="M33" s="73">
        <v>24.3</v>
      </c>
      <c r="N33" s="104">
        <v>25</v>
      </c>
      <c r="O33" s="57">
        <v>7000</v>
      </c>
      <c r="P33" s="58">
        <f t="shared" si="0"/>
        <v>175000</v>
      </c>
    </row>
    <row r="34" spans="1:16" ht="26.25" customHeight="1" x14ac:dyDescent="0.2">
      <c r="A34" s="100"/>
      <c r="B34" s="100"/>
      <c r="C34" s="65" t="s">
        <v>5016</v>
      </c>
      <c r="D34" s="70" t="s">
        <v>57</v>
      </c>
      <c r="E34" s="12">
        <v>44555</v>
      </c>
      <c r="F34" s="68" t="s">
        <v>59</v>
      </c>
      <c r="G34" s="12">
        <v>44559</v>
      </c>
      <c r="H34" s="69" t="s">
        <v>4687</v>
      </c>
      <c r="I34" s="15">
        <v>64</v>
      </c>
      <c r="J34" s="15">
        <v>45</v>
      </c>
      <c r="K34" s="15">
        <v>35</v>
      </c>
      <c r="L34" s="15">
        <v>50</v>
      </c>
      <c r="M34" s="73">
        <v>25.2</v>
      </c>
      <c r="N34" s="104">
        <v>50</v>
      </c>
      <c r="O34" s="57">
        <v>7000</v>
      </c>
      <c r="P34" s="58">
        <f t="shared" si="0"/>
        <v>350000</v>
      </c>
    </row>
    <row r="35" spans="1:16" ht="26.25" customHeight="1" x14ac:dyDescent="0.2">
      <c r="A35" s="100"/>
      <c r="B35" s="100"/>
      <c r="C35" s="65" t="s">
        <v>5017</v>
      </c>
      <c r="D35" s="70" t="s">
        <v>57</v>
      </c>
      <c r="E35" s="12">
        <v>44555</v>
      </c>
      <c r="F35" s="68" t="s">
        <v>59</v>
      </c>
      <c r="G35" s="12">
        <v>44559</v>
      </c>
      <c r="H35" s="69" t="s">
        <v>4687</v>
      </c>
      <c r="I35" s="15">
        <v>85</v>
      </c>
      <c r="J35" s="15">
        <v>65</v>
      </c>
      <c r="K35" s="15">
        <v>31</v>
      </c>
      <c r="L35" s="15">
        <v>20</v>
      </c>
      <c r="M35" s="73">
        <v>42.818750000000001</v>
      </c>
      <c r="N35" s="104">
        <v>42.818750000000001</v>
      </c>
      <c r="O35" s="57">
        <v>7000</v>
      </c>
      <c r="P35" s="58">
        <f t="shared" si="0"/>
        <v>299731.25</v>
      </c>
    </row>
    <row r="36" spans="1:16" ht="26.25" customHeight="1" x14ac:dyDescent="0.2">
      <c r="A36" s="100"/>
      <c r="B36" s="100"/>
      <c r="C36" s="65" t="s">
        <v>5018</v>
      </c>
      <c r="D36" s="70" t="s">
        <v>57</v>
      </c>
      <c r="E36" s="12">
        <v>44555</v>
      </c>
      <c r="F36" s="68" t="s">
        <v>59</v>
      </c>
      <c r="G36" s="12">
        <v>44559</v>
      </c>
      <c r="H36" s="69" t="s">
        <v>4687</v>
      </c>
      <c r="I36" s="15">
        <v>40</v>
      </c>
      <c r="J36" s="15">
        <v>40</v>
      </c>
      <c r="K36" s="15">
        <v>11</v>
      </c>
      <c r="L36" s="15">
        <v>1</v>
      </c>
      <c r="M36" s="73">
        <v>4.4000000000000004</v>
      </c>
      <c r="N36" s="104">
        <v>5</v>
      </c>
      <c r="O36" s="57">
        <v>7000</v>
      </c>
      <c r="P36" s="58">
        <f t="shared" si="0"/>
        <v>35000</v>
      </c>
    </row>
    <row r="37" spans="1:16" ht="26.25" customHeight="1" x14ac:dyDescent="0.2">
      <c r="A37" s="100"/>
      <c r="B37" s="100"/>
      <c r="C37" s="65" t="s">
        <v>5019</v>
      </c>
      <c r="D37" s="70" t="s">
        <v>57</v>
      </c>
      <c r="E37" s="12">
        <v>44555</v>
      </c>
      <c r="F37" s="68" t="s">
        <v>59</v>
      </c>
      <c r="G37" s="12">
        <v>44559</v>
      </c>
      <c r="H37" s="69" t="s">
        <v>4687</v>
      </c>
      <c r="I37" s="15">
        <v>100</v>
      </c>
      <c r="J37" s="15">
        <v>50</v>
      </c>
      <c r="K37" s="15">
        <v>37</v>
      </c>
      <c r="L37" s="15">
        <v>29</v>
      </c>
      <c r="M37" s="73">
        <v>46.25</v>
      </c>
      <c r="N37" s="104">
        <v>46.25</v>
      </c>
      <c r="O37" s="57">
        <v>7000</v>
      </c>
      <c r="P37" s="58">
        <f t="shared" si="0"/>
        <v>323750</v>
      </c>
    </row>
    <row r="38" spans="1:16" ht="26.25" customHeight="1" x14ac:dyDescent="0.2">
      <c r="A38" s="100"/>
      <c r="B38" s="100"/>
      <c r="C38" s="65" t="s">
        <v>5020</v>
      </c>
      <c r="D38" s="70" t="s">
        <v>57</v>
      </c>
      <c r="E38" s="12">
        <v>44555</v>
      </c>
      <c r="F38" s="68" t="s">
        <v>59</v>
      </c>
      <c r="G38" s="12">
        <v>44559</v>
      </c>
      <c r="H38" s="69" t="s">
        <v>4687</v>
      </c>
      <c r="I38" s="15">
        <v>100</v>
      </c>
      <c r="J38" s="15">
        <v>30</v>
      </c>
      <c r="K38" s="15">
        <v>35</v>
      </c>
      <c r="L38" s="15">
        <v>20</v>
      </c>
      <c r="M38" s="73">
        <v>26.25</v>
      </c>
      <c r="N38" s="104">
        <v>26.25</v>
      </c>
      <c r="O38" s="57">
        <v>7000</v>
      </c>
      <c r="P38" s="58">
        <f t="shared" si="0"/>
        <v>183750</v>
      </c>
    </row>
    <row r="39" spans="1:16" ht="26.25" customHeight="1" x14ac:dyDescent="0.2">
      <c r="A39" s="100"/>
      <c r="B39" s="100"/>
      <c r="C39" s="65" t="s">
        <v>5021</v>
      </c>
      <c r="D39" s="70" t="s">
        <v>57</v>
      </c>
      <c r="E39" s="12">
        <v>44555</v>
      </c>
      <c r="F39" s="68" t="s">
        <v>59</v>
      </c>
      <c r="G39" s="12">
        <v>44559</v>
      </c>
      <c r="H39" s="69" t="s">
        <v>4687</v>
      </c>
      <c r="I39" s="15">
        <v>40</v>
      </c>
      <c r="J39" s="15">
        <v>38</v>
      </c>
      <c r="K39" s="15">
        <v>21</v>
      </c>
      <c r="L39" s="15">
        <v>9</v>
      </c>
      <c r="M39" s="73">
        <v>7.98</v>
      </c>
      <c r="N39" s="104">
        <v>9</v>
      </c>
      <c r="O39" s="57">
        <v>7000</v>
      </c>
      <c r="P39" s="58">
        <f t="shared" si="0"/>
        <v>63000</v>
      </c>
    </row>
    <row r="40" spans="1:16" ht="26.25" customHeight="1" x14ac:dyDescent="0.2">
      <c r="A40" s="100"/>
      <c r="B40" s="100"/>
      <c r="C40" s="65" t="s">
        <v>5022</v>
      </c>
      <c r="D40" s="70" t="s">
        <v>57</v>
      </c>
      <c r="E40" s="12">
        <v>44555</v>
      </c>
      <c r="F40" s="68" t="s">
        <v>59</v>
      </c>
      <c r="G40" s="12">
        <v>44559</v>
      </c>
      <c r="H40" s="69" t="s">
        <v>4687</v>
      </c>
      <c r="I40" s="15">
        <v>90</v>
      </c>
      <c r="J40" s="15">
        <v>50</v>
      </c>
      <c r="K40" s="15">
        <v>32</v>
      </c>
      <c r="L40" s="15">
        <v>20</v>
      </c>
      <c r="M40" s="73">
        <v>36</v>
      </c>
      <c r="N40" s="104">
        <v>36</v>
      </c>
      <c r="O40" s="57">
        <v>7000</v>
      </c>
      <c r="P40" s="58">
        <f t="shared" si="0"/>
        <v>252000</v>
      </c>
    </row>
    <row r="41" spans="1:16" ht="26.25" customHeight="1" x14ac:dyDescent="0.2">
      <c r="A41" s="100"/>
      <c r="B41" s="100"/>
      <c r="C41" s="65" t="s">
        <v>5023</v>
      </c>
      <c r="D41" s="70" t="s">
        <v>57</v>
      </c>
      <c r="E41" s="12">
        <v>44555</v>
      </c>
      <c r="F41" s="68" t="s">
        <v>59</v>
      </c>
      <c r="G41" s="12">
        <v>44559</v>
      </c>
      <c r="H41" s="69" t="s">
        <v>4687</v>
      </c>
      <c r="I41" s="15">
        <v>65</v>
      </c>
      <c r="J41" s="15">
        <v>65</v>
      </c>
      <c r="K41" s="15">
        <v>11</v>
      </c>
      <c r="L41" s="15">
        <v>11</v>
      </c>
      <c r="M41" s="73">
        <v>11.61875</v>
      </c>
      <c r="N41" s="104">
        <v>11.61875</v>
      </c>
      <c r="O41" s="57">
        <v>7000</v>
      </c>
      <c r="P41" s="58">
        <f t="shared" si="0"/>
        <v>81331.25</v>
      </c>
    </row>
    <row r="42" spans="1:16" ht="26.25" customHeight="1" x14ac:dyDescent="0.2">
      <c r="A42" s="100"/>
      <c r="B42" s="100"/>
      <c r="C42" s="65" t="s">
        <v>5024</v>
      </c>
      <c r="D42" s="70" t="s">
        <v>57</v>
      </c>
      <c r="E42" s="12">
        <v>44555</v>
      </c>
      <c r="F42" s="68" t="s">
        <v>59</v>
      </c>
      <c r="G42" s="12">
        <v>44559</v>
      </c>
      <c r="H42" s="69" t="s">
        <v>4687</v>
      </c>
      <c r="I42" s="15">
        <v>50</v>
      </c>
      <c r="J42" s="15">
        <v>36</v>
      </c>
      <c r="K42" s="15">
        <v>26</v>
      </c>
      <c r="L42" s="15">
        <v>6</v>
      </c>
      <c r="M42" s="73">
        <v>11.7</v>
      </c>
      <c r="N42" s="104">
        <v>11.7</v>
      </c>
      <c r="O42" s="57">
        <v>7000</v>
      </c>
      <c r="P42" s="58">
        <f t="shared" si="0"/>
        <v>81900</v>
      </c>
    </row>
    <row r="43" spans="1:16" ht="26.25" customHeight="1" x14ac:dyDescent="0.2">
      <c r="A43" s="100"/>
      <c r="B43" s="100"/>
      <c r="C43" s="65" t="s">
        <v>5025</v>
      </c>
      <c r="D43" s="70" t="s">
        <v>57</v>
      </c>
      <c r="E43" s="12">
        <v>44555</v>
      </c>
      <c r="F43" s="68" t="s">
        <v>59</v>
      </c>
      <c r="G43" s="12">
        <v>44559</v>
      </c>
      <c r="H43" s="69" t="s">
        <v>4687</v>
      </c>
      <c r="I43" s="15">
        <v>54</v>
      </c>
      <c r="J43" s="15">
        <v>34</v>
      </c>
      <c r="K43" s="15">
        <v>24</v>
      </c>
      <c r="L43" s="15">
        <v>5</v>
      </c>
      <c r="M43" s="73">
        <v>11.016</v>
      </c>
      <c r="N43" s="104">
        <v>11.016</v>
      </c>
      <c r="O43" s="57">
        <v>7000</v>
      </c>
      <c r="P43" s="58">
        <f t="shared" si="0"/>
        <v>77112</v>
      </c>
    </row>
    <row r="44" spans="1:16" ht="26.25" customHeight="1" x14ac:dyDescent="0.2">
      <c r="A44" s="100"/>
      <c r="B44" s="100"/>
      <c r="C44" s="65" t="s">
        <v>5026</v>
      </c>
      <c r="D44" s="70" t="s">
        <v>57</v>
      </c>
      <c r="E44" s="12">
        <v>44555</v>
      </c>
      <c r="F44" s="68" t="s">
        <v>59</v>
      </c>
      <c r="G44" s="12">
        <v>44559</v>
      </c>
      <c r="H44" s="69" t="s">
        <v>4687</v>
      </c>
      <c r="I44" s="15">
        <v>80</v>
      </c>
      <c r="J44" s="15">
        <v>20</v>
      </c>
      <c r="K44" s="15">
        <v>11</v>
      </c>
      <c r="L44" s="15">
        <v>1</v>
      </c>
      <c r="M44" s="73">
        <v>4.4000000000000004</v>
      </c>
      <c r="N44" s="104">
        <v>5</v>
      </c>
      <c r="O44" s="57">
        <v>7000</v>
      </c>
      <c r="P44" s="58">
        <f t="shared" si="0"/>
        <v>35000</v>
      </c>
    </row>
    <row r="45" spans="1:16" ht="26.25" customHeight="1" x14ac:dyDescent="0.2">
      <c r="A45" s="100"/>
      <c r="B45" s="100"/>
      <c r="C45" s="65" t="s">
        <v>5027</v>
      </c>
      <c r="D45" s="70" t="s">
        <v>57</v>
      </c>
      <c r="E45" s="12">
        <v>44555</v>
      </c>
      <c r="F45" s="68" t="s">
        <v>59</v>
      </c>
      <c r="G45" s="12">
        <v>44559</v>
      </c>
      <c r="H45" s="69" t="s">
        <v>4687</v>
      </c>
      <c r="I45" s="15">
        <v>40</v>
      </c>
      <c r="J45" s="15">
        <v>38</v>
      </c>
      <c r="K45" s="15">
        <v>26</v>
      </c>
      <c r="L45" s="15">
        <v>15</v>
      </c>
      <c r="M45" s="73">
        <v>9.8800000000000008</v>
      </c>
      <c r="N45" s="104">
        <v>15</v>
      </c>
      <c r="O45" s="57">
        <v>7000</v>
      </c>
      <c r="P45" s="58">
        <f t="shared" si="0"/>
        <v>105000</v>
      </c>
    </row>
    <row r="46" spans="1:16" ht="26.25" customHeight="1" x14ac:dyDescent="0.2">
      <c r="A46" s="100"/>
      <c r="B46" s="100"/>
      <c r="C46" s="65" t="s">
        <v>5028</v>
      </c>
      <c r="D46" s="70" t="s">
        <v>57</v>
      </c>
      <c r="E46" s="12">
        <v>44555</v>
      </c>
      <c r="F46" s="68" t="s">
        <v>59</v>
      </c>
      <c r="G46" s="12">
        <v>44559</v>
      </c>
      <c r="H46" s="69" t="s">
        <v>4687</v>
      </c>
      <c r="I46" s="15">
        <v>90</v>
      </c>
      <c r="J46" s="15">
        <v>60</v>
      </c>
      <c r="K46" s="15">
        <v>28</v>
      </c>
      <c r="L46" s="15">
        <v>12</v>
      </c>
      <c r="M46" s="73">
        <v>37.799999999999997</v>
      </c>
      <c r="N46" s="104">
        <v>37.799999999999997</v>
      </c>
      <c r="O46" s="57">
        <v>7000</v>
      </c>
      <c r="P46" s="58">
        <f t="shared" si="0"/>
        <v>264600</v>
      </c>
    </row>
    <row r="47" spans="1:16" ht="26.25" customHeight="1" x14ac:dyDescent="0.2">
      <c r="A47" s="100"/>
      <c r="B47" s="100"/>
      <c r="C47" s="65" t="s">
        <v>5029</v>
      </c>
      <c r="D47" s="70" t="s">
        <v>57</v>
      </c>
      <c r="E47" s="12">
        <v>44555</v>
      </c>
      <c r="F47" s="68" t="s">
        <v>59</v>
      </c>
      <c r="G47" s="12">
        <v>44559</v>
      </c>
      <c r="H47" s="69" t="s">
        <v>4687</v>
      </c>
      <c r="I47" s="15">
        <v>82</v>
      </c>
      <c r="J47" s="15">
        <v>63</v>
      </c>
      <c r="K47" s="15">
        <v>15</v>
      </c>
      <c r="L47" s="15">
        <v>8</v>
      </c>
      <c r="M47" s="73">
        <v>19.372499999999999</v>
      </c>
      <c r="N47" s="104">
        <v>20</v>
      </c>
      <c r="O47" s="57">
        <v>7000</v>
      </c>
      <c r="P47" s="58">
        <f t="shared" si="0"/>
        <v>140000</v>
      </c>
    </row>
    <row r="48" spans="1:16" ht="26.25" customHeight="1" x14ac:dyDescent="0.2">
      <c r="A48" s="100"/>
      <c r="B48" s="100"/>
      <c r="C48" s="65" t="s">
        <v>5030</v>
      </c>
      <c r="D48" s="70" t="s">
        <v>57</v>
      </c>
      <c r="E48" s="12">
        <v>44555</v>
      </c>
      <c r="F48" s="68" t="s">
        <v>59</v>
      </c>
      <c r="G48" s="12">
        <v>44559</v>
      </c>
      <c r="H48" s="69" t="s">
        <v>4687</v>
      </c>
      <c r="I48" s="15">
        <v>37</v>
      </c>
      <c r="J48" s="15">
        <v>24</v>
      </c>
      <c r="K48" s="15">
        <v>15</v>
      </c>
      <c r="L48" s="15">
        <v>1</v>
      </c>
      <c r="M48" s="73">
        <v>3.33</v>
      </c>
      <c r="N48" s="104">
        <v>4</v>
      </c>
      <c r="O48" s="57">
        <v>7000</v>
      </c>
      <c r="P48" s="58">
        <f t="shared" si="0"/>
        <v>28000</v>
      </c>
    </row>
    <row r="49" spans="1:16" ht="26.25" customHeight="1" x14ac:dyDescent="0.2">
      <c r="A49" s="100"/>
      <c r="B49" s="100"/>
      <c r="C49" s="65" t="s">
        <v>5031</v>
      </c>
      <c r="D49" s="70" t="s">
        <v>57</v>
      </c>
      <c r="E49" s="12">
        <v>44555</v>
      </c>
      <c r="F49" s="68" t="s">
        <v>59</v>
      </c>
      <c r="G49" s="12">
        <v>44559</v>
      </c>
      <c r="H49" s="69" t="s">
        <v>4687</v>
      </c>
      <c r="I49" s="15">
        <v>72</v>
      </c>
      <c r="J49" s="15">
        <v>60</v>
      </c>
      <c r="K49" s="15">
        <v>10</v>
      </c>
      <c r="L49" s="15">
        <v>7</v>
      </c>
      <c r="M49" s="73">
        <v>10.8</v>
      </c>
      <c r="N49" s="104">
        <v>10.8</v>
      </c>
      <c r="O49" s="57">
        <v>7000</v>
      </c>
      <c r="P49" s="58">
        <f t="shared" si="0"/>
        <v>75600</v>
      </c>
    </row>
    <row r="50" spans="1:16" ht="26.25" customHeight="1" x14ac:dyDescent="0.2">
      <c r="A50" s="100"/>
      <c r="B50" s="100"/>
      <c r="C50" s="65" t="s">
        <v>5032</v>
      </c>
      <c r="D50" s="70" t="s">
        <v>57</v>
      </c>
      <c r="E50" s="12">
        <v>44555</v>
      </c>
      <c r="F50" s="68" t="s">
        <v>59</v>
      </c>
      <c r="G50" s="12">
        <v>44559</v>
      </c>
      <c r="H50" s="69" t="s">
        <v>4687</v>
      </c>
      <c r="I50" s="15">
        <v>77</v>
      </c>
      <c r="J50" s="15">
        <v>62</v>
      </c>
      <c r="K50" s="15">
        <v>25</v>
      </c>
      <c r="L50" s="15">
        <v>15</v>
      </c>
      <c r="M50" s="73">
        <v>29.837499999999999</v>
      </c>
      <c r="N50" s="104">
        <v>29.837499999999999</v>
      </c>
      <c r="O50" s="57">
        <v>7000</v>
      </c>
      <c r="P50" s="58">
        <f t="shared" si="0"/>
        <v>208862.5</v>
      </c>
    </row>
    <row r="51" spans="1:16" ht="26.25" customHeight="1" x14ac:dyDescent="0.2">
      <c r="A51" s="100"/>
      <c r="B51" s="100"/>
      <c r="C51" s="65" t="s">
        <v>5033</v>
      </c>
      <c r="D51" s="70" t="s">
        <v>57</v>
      </c>
      <c r="E51" s="12">
        <v>44555</v>
      </c>
      <c r="F51" s="68" t="s">
        <v>59</v>
      </c>
      <c r="G51" s="12">
        <v>44559</v>
      </c>
      <c r="H51" s="69" t="s">
        <v>4687</v>
      </c>
      <c r="I51" s="15">
        <v>105</v>
      </c>
      <c r="J51" s="15">
        <v>50</v>
      </c>
      <c r="K51" s="15">
        <v>35</v>
      </c>
      <c r="L51" s="15">
        <v>27</v>
      </c>
      <c r="M51" s="73">
        <v>45.9375</v>
      </c>
      <c r="N51" s="104">
        <v>45.9375</v>
      </c>
      <c r="O51" s="57">
        <v>7000</v>
      </c>
      <c r="P51" s="58">
        <f t="shared" si="0"/>
        <v>321562.5</v>
      </c>
    </row>
    <row r="52" spans="1:16" ht="26.25" customHeight="1" x14ac:dyDescent="0.2">
      <c r="A52" s="100"/>
      <c r="B52" s="100"/>
      <c r="C52" s="65" t="s">
        <v>5034</v>
      </c>
      <c r="D52" s="70" t="s">
        <v>57</v>
      </c>
      <c r="E52" s="12">
        <v>44555</v>
      </c>
      <c r="F52" s="68" t="s">
        <v>59</v>
      </c>
      <c r="G52" s="12">
        <v>44559</v>
      </c>
      <c r="H52" s="69" t="s">
        <v>4687</v>
      </c>
      <c r="I52" s="15">
        <v>100</v>
      </c>
      <c r="J52" s="15">
        <v>24</v>
      </c>
      <c r="K52" s="15">
        <v>16</v>
      </c>
      <c r="L52" s="15">
        <v>6</v>
      </c>
      <c r="M52" s="73">
        <v>9.6</v>
      </c>
      <c r="N52" s="104">
        <v>9.6</v>
      </c>
      <c r="O52" s="57">
        <v>7000</v>
      </c>
      <c r="P52" s="58">
        <f t="shared" si="0"/>
        <v>67200</v>
      </c>
    </row>
    <row r="53" spans="1:16" ht="26.25" customHeight="1" x14ac:dyDescent="0.2">
      <c r="A53" s="100"/>
      <c r="B53" s="100"/>
      <c r="C53" s="65" t="s">
        <v>5035</v>
      </c>
      <c r="D53" s="70" t="s">
        <v>57</v>
      </c>
      <c r="E53" s="12">
        <v>44555</v>
      </c>
      <c r="F53" s="68" t="s">
        <v>59</v>
      </c>
      <c r="G53" s="12">
        <v>44559</v>
      </c>
      <c r="H53" s="69" t="s">
        <v>4687</v>
      </c>
      <c r="I53" s="15">
        <v>103</v>
      </c>
      <c r="J53" s="15">
        <v>8</v>
      </c>
      <c r="K53" s="15">
        <v>8</v>
      </c>
      <c r="L53" s="15">
        <v>2</v>
      </c>
      <c r="M53" s="73">
        <v>1.6479999999999999</v>
      </c>
      <c r="N53" s="104">
        <v>2</v>
      </c>
      <c r="O53" s="57">
        <v>7000</v>
      </c>
      <c r="P53" s="58">
        <f t="shared" si="0"/>
        <v>14000</v>
      </c>
    </row>
    <row r="54" spans="1:16" ht="26.25" customHeight="1" x14ac:dyDescent="0.2">
      <c r="A54" s="100"/>
      <c r="B54" s="100"/>
      <c r="C54" s="65" t="s">
        <v>5036</v>
      </c>
      <c r="D54" s="70" t="s">
        <v>57</v>
      </c>
      <c r="E54" s="12">
        <v>44555</v>
      </c>
      <c r="F54" s="68" t="s">
        <v>59</v>
      </c>
      <c r="G54" s="12">
        <v>44559</v>
      </c>
      <c r="H54" s="69" t="s">
        <v>4687</v>
      </c>
      <c r="I54" s="15">
        <v>105</v>
      </c>
      <c r="J54" s="15">
        <v>65</v>
      </c>
      <c r="K54" s="15">
        <v>33</v>
      </c>
      <c r="L54" s="15">
        <v>21</v>
      </c>
      <c r="M54" s="73">
        <v>56.306249999999999</v>
      </c>
      <c r="N54" s="104">
        <v>57</v>
      </c>
      <c r="O54" s="57">
        <v>7000</v>
      </c>
      <c r="P54" s="58">
        <f t="shared" si="0"/>
        <v>399000</v>
      </c>
    </row>
    <row r="55" spans="1:16" ht="26.25" customHeight="1" x14ac:dyDescent="0.2">
      <c r="A55" s="100"/>
      <c r="B55" s="100"/>
      <c r="C55" s="65" t="s">
        <v>5037</v>
      </c>
      <c r="D55" s="70" t="s">
        <v>57</v>
      </c>
      <c r="E55" s="12">
        <v>44555</v>
      </c>
      <c r="F55" s="68" t="s">
        <v>59</v>
      </c>
      <c r="G55" s="12">
        <v>44559</v>
      </c>
      <c r="H55" s="69" t="s">
        <v>4687</v>
      </c>
      <c r="I55" s="15">
        <v>95</v>
      </c>
      <c r="J55" s="15">
        <v>54</v>
      </c>
      <c r="K55" s="15">
        <v>18</v>
      </c>
      <c r="L55" s="15">
        <v>10</v>
      </c>
      <c r="M55" s="73">
        <v>23.085000000000001</v>
      </c>
      <c r="N55" s="104">
        <v>23.085000000000001</v>
      </c>
      <c r="O55" s="57">
        <v>7000</v>
      </c>
      <c r="P55" s="58">
        <f t="shared" si="0"/>
        <v>161595</v>
      </c>
    </row>
    <row r="56" spans="1:16" ht="26.25" customHeight="1" x14ac:dyDescent="0.2">
      <c r="A56" s="100"/>
      <c r="B56" s="100"/>
      <c r="C56" s="65" t="s">
        <v>5038</v>
      </c>
      <c r="D56" s="70" t="s">
        <v>57</v>
      </c>
      <c r="E56" s="12">
        <v>44555</v>
      </c>
      <c r="F56" s="68" t="s">
        <v>59</v>
      </c>
      <c r="G56" s="12">
        <v>44559</v>
      </c>
      <c r="H56" s="69" t="s">
        <v>4687</v>
      </c>
      <c r="I56" s="15">
        <v>80</v>
      </c>
      <c r="J56" s="15">
        <v>55</v>
      </c>
      <c r="K56" s="15">
        <v>27</v>
      </c>
      <c r="L56" s="15">
        <v>12</v>
      </c>
      <c r="M56" s="73">
        <v>29.7</v>
      </c>
      <c r="N56" s="104">
        <v>29.7</v>
      </c>
      <c r="O56" s="57">
        <v>7000</v>
      </c>
      <c r="P56" s="58">
        <f t="shared" si="0"/>
        <v>207900</v>
      </c>
    </row>
    <row r="57" spans="1:16" ht="26.25" customHeight="1" x14ac:dyDescent="0.2">
      <c r="A57" s="100"/>
      <c r="B57" s="100"/>
      <c r="C57" s="65" t="s">
        <v>5039</v>
      </c>
      <c r="D57" s="70" t="s">
        <v>57</v>
      </c>
      <c r="E57" s="12">
        <v>44555</v>
      </c>
      <c r="F57" s="68" t="s">
        <v>59</v>
      </c>
      <c r="G57" s="12">
        <v>44559</v>
      </c>
      <c r="H57" s="69" t="s">
        <v>4687</v>
      </c>
      <c r="I57" s="15">
        <v>55</v>
      </c>
      <c r="J57" s="15">
        <v>45</v>
      </c>
      <c r="K57" s="15">
        <v>25</v>
      </c>
      <c r="L57" s="15">
        <v>12</v>
      </c>
      <c r="M57" s="73">
        <v>15.46875</v>
      </c>
      <c r="N57" s="104">
        <v>16</v>
      </c>
      <c r="O57" s="57">
        <v>7000</v>
      </c>
      <c r="P57" s="58">
        <f t="shared" si="0"/>
        <v>112000</v>
      </c>
    </row>
    <row r="58" spans="1:16" ht="26.25" customHeight="1" x14ac:dyDescent="0.2">
      <c r="A58" s="100"/>
      <c r="B58" s="100"/>
      <c r="C58" s="65" t="s">
        <v>5040</v>
      </c>
      <c r="D58" s="70" t="s">
        <v>57</v>
      </c>
      <c r="E58" s="12">
        <v>44555</v>
      </c>
      <c r="F58" s="68" t="s">
        <v>59</v>
      </c>
      <c r="G58" s="12">
        <v>44559</v>
      </c>
      <c r="H58" s="69" t="s">
        <v>4687</v>
      </c>
      <c r="I58" s="15">
        <v>95</v>
      </c>
      <c r="J58" s="15">
        <v>54</v>
      </c>
      <c r="K58" s="15">
        <v>25</v>
      </c>
      <c r="L58" s="15">
        <v>17</v>
      </c>
      <c r="M58" s="73">
        <v>32.0625</v>
      </c>
      <c r="N58" s="104">
        <v>32.0625</v>
      </c>
      <c r="O58" s="57">
        <v>7000</v>
      </c>
      <c r="P58" s="58">
        <f t="shared" si="0"/>
        <v>224437.5</v>
      </c>
    </row>
    <row r="59" spans="1:16" ht="26.25" customHeight="1" x14ac:dyDescent="0.2">
      <c r="A59" s="100"/>
      <c r="B59" s="100"/>
      <c r="C59" s="65" t="s">
        <v>5041</v>
      </c>
      <c r="D59" s="70" t="s">
        <v>57</v>
      </c>
      <c r="E59" s="12">
        <v>44555</v>
      </c>
      <c r="F59" s="68" t="s">
        <v>59</v>
      </c>
      <c r="G59" s="12">
        <v>44559</v>
      </c>
      <c r="H59" s="69" t="s">
        <v>4687</v>
      </c>
      <c r="I59" s="15">
        <v>94</v>
      </c>
      <c r="J59" s="15">
        <v>65</v>
      </c>
      <c r="K59" s="15">
        <v>32</v>
      </c>
      <c r="L59" s="15">
        <v>18</v>
      </c>
      <c r="M59" s="73">
        <v>48.88</v>
      </c>
      <c r="N59" s="104">
        <v>48.88</v>
      </c>
      <c r="O59" s="57">
        <v>7000</v>
      </c>
      <c r="P59" s="58">
        <f t="shared" si="0"/>
        <v>342160</v>
      </c>
    </row>
    <row r="60" spans="1:16" ht="26.25" customHeight="1" x14ac:dyDescent="0.2">
      <c r="A60" s="100"/>
      <c r="B60" s="100"/>
      <c r="C60" s="65" t="s">
        <v>5042</v>
      </c>
      <c r="D60" s="70" t="s">
        <v>57</v>
      </c>
      <c r="E60" s="12">
        <v>44555</v>
      </c>
      <c r="F60" s="68" t="s">
        <v>59</v>
      </c>
      <c r="G60" s="12">
        <v>44559</v>
      </c>
      <c r="H60" s="69" t="s">
        <v>4687</v>
      </c>
      <c r="I60" s="15">
        <v>85</v>
      </c>
      <c r="J60" s="15">
        <v>60</v>
      </c>
      <c r="K60" s="15">
        <v>23</v>
      </c>
      <c r="L60" s="15">
        <v>17</v>
      </c>
      <c r="M60" s="73">
        <v>29.324999999999999</v>
      </c>
      <c r="N60" s="104">
        <v>30</v>
      </c>
      <c r="O60" s="57">
        <v>7000</v>
      </c>
      <c r="P60" s="58">
        <f t="shared" si="0"/>
        <v>210000</v>
      </c>
    </row>
    <row r="61" spans="1:16" ht="26.25" customHeight="1" x14ac:dyDescent="0.2">
      <c r="A61" s="100"/>
      <c r="B61" s="100"/>
      <c r="C61" s="65" t="s">
        <v>5043</v>
      </c>
      <c r="D61" s="70" t="s">
        <v>57</v>
      </c>
      <c r="E61" s="12">
        <v>44555</v>
      </c>
      <c r="F61" s="68" t="s">
        <v>59</v>
      </c>
      <c r="G61" s="12">
        <v>44559</v>
      </c>
      <c r="H61" s="69" t="s">
        <v>4687</v>
      </c>
      <c r="I61" s="15">
        <v>100</v>
      </c>
      <c r="J61" s="15">
        <v>65</v>
      </c>
      <c r="K61" s="15">
        <v>33</v>
      </c>
      <c r="L61" s="15">
        <v>21</v>
      </c>
      <c r="M61" s="73">
        <v>53.625</v>
      </c>
      <c r="N61" s="104">
        <v>53.625</v>
      </c>
      <c r="O61" s="57">
        <v>7000</v>
      </c>
      <c r="P61" s="58">
        <f t="shared" si="0"/>
        <v>375375</v>
      </c>
    </row>
    <row r="62" spans="1:16" ht="26.25" customHeight="1" x14ac:dyDescent="0.2">
      <c r="A62" s="100"/>
      <c r="B62" s="100"/>
      <c r="C62" s="65" t="s">
        <v>5044</v>
      </c>
      <c r="D62" s="70" t="s">
        <v>57</v>
      </c>
      <c r="E62" s="12">
        <v>44555</v>
      </c>
      <c r="F62" s="68" t="s">
        <v>59</v>
      </c>
      <c r="G62" s="12">
        <v>44559</v>
      </c>
      <c r="H62" s="69" t="s">
        <v>4687</v>
      </c>
      <c r="I62" s="15">
        <v>102</v>
      </c>
      <c r="J62" s="15">
        <v>65</v>
      </c>
      <c r="K62" s="15">
        <v>35</v>
      </c>
      <c r="L62" s="15">
        <v>14</v>
      </c>
      <c r="M62" s="73">
        <v>58.012500000000003</v>
      </c>
      <c r="N62" s="104">
        <v>58.012500000000003</v>
      </c>
      <c r="O62" s="57">
        <v>7000</v>
      </c>
      <c r="P62" s="58">
        <f t="shared" si="0"/>
        <v>406087.5</v>
      </c>
    </row>
    <row r="63" spans="1:16" ht="26.25" customHeight="1" x14ac:dyDescent="0.2">
      <c r="A63" s="100"/>
      <c r="B63" s="100"/>
      <c r="C63" s="65" t="s">
        <v>5045</v>
      </c>
      <c r="D63" s="70" t="s">
        <v>57</v>
      </c>
      <c r="E63" s="12">
        <v>44555</v>
      </c>
      <c r="F63" s="68" t="s">
        <v>59</v>
      </c>
      <c r="G63" s="12">
        <v>44559</v>
      </c>
      <c r="H63" s="69" t="s">
        <v>4687</v>
      </c>
      <c r="I63" s="15">
        <v>101</v>
      </c>
      <c r="J63" s="15">
        <v>61</v>
      </c>
      <c r="K63" s="15">
        <v>22</v>
      </c>
      <c r="L63" s="15">
        <v>13</v>
      </c>
      <c r="M63" s="73">
        <v>33.8855</v>
      </c>
      <c r="N63" s="104">
        <v>33.8855</v>
      </c>
      <c r="O63" s="57">
        <v>7000</v>
      </c>
      <c r="P63" s="58">
        <f t="shared" si="0"/>
        <v>237198.5</v>
      </c>
    </row>
    <row r="64" spans="1:16" ht="26.25" customHeight="1" x14ac:dyDescent="0.2">
      <c r="A64" s="100"/>
      <c r="B64" s="100"/>
      <c r="C64" s="65" t="s">
        <v>5046</v>
      </c>
      <c r="D64" s="70" t="s">
        <v>57</v>
      </c>
      <c r="E64" s="12">
        <v>44555</v>
      </c>
      <c r="F64" s="68" t="s">
        <v>59</v>
      </c>
      <c r="G64" s="12">
        <v>44559</v>
      </c>
      <c r="H64" s="69" t="s">
        <v>4687</v>
      </c>
      <c r="I64" s="15">
        <v>74</v>
      </c>
      <c r="J64" s="15">
        <v>68</v>
      </c>
      <c r="K64" s="15">
        <v>22</v>
      </c>
      <c r="L64" s="15">
        <v>16</v>
      </c>
      <c r="M64" s="73">
        <v>27.675999999999998</v>
      </c>
      <c r="N64" s="104">
        <v>27.675999999999998</v>
      </c>
      <c r="O64" s="57">
        <v>7000</v>
      </c>
      <c r="P64" s="58">
        <f t="shared" si="0"/>
        <v>193732</v>
      </c>
    </row>
    <row r="65" spans="1:16" ht="26.25" customHeight="1" x14ac:dyDescent="0.2">
      <c r="A65" s="100"/>
      <c r="B65" s="100"/>
      <c r="C65" s="65" t="s">
        <v>5047</v>
      </c>
      <c r="D65" s="70" t="s">
        <v>57</v>
      </c>
      <c r="E65" s="12">
        <v>44555</v>
      </c>
      <c r="F65" s="68" t="s">
        <v>59</v>
      </c>
      <c r="G65" s="12">
        <v>44559</v>
      </c>
      <c r="H65" s="69" t="s">
        <v>4687</v>
      </c>
      <c r="I65" s="15">
        <v>82</v>
      </c>
      <c r="J65" s="15">
        <v>53</v>
      </c>
      <c r="K65" s="15">
        <v>31</v>
      </c>
      <c r="L65" s="15">
        <v>18</v>
      </c>
      <c r="M65" s="73">
        <v>33.6815</v>
      </c>
      <c r="N65" s="104">
        <v>33.6815</v>
      </c>
      <c r="O65" s="57">
        <v>7000</v>
      </c>
      <c r="P65" s="58">
        <f t="shared" si="0"/>
        <v>235770.5</v>
      </c>
    </row>
    <row r="66" spans="1:16" ht="26.25" customHeight="1" x14ac:dyDescent="0.2">
      <c r="A66" s="100"/>
      <c r="B66" s="100"/>
      <c r="C66" s="65" t="s">
        <v>5048</v>
      </c>
      <c r="D66" s="70" t="s">
        <v>57</v>
      </c>
      <c r="E66" s="12">
        <v>44555</v>
      </c>
      <c r="F66" s="68" t="s">
        <v>59</v>
      </c>
      <c r="G66" s="12">
        <v>44559</v>
      </c>
      <c r="H66" s="69" t="s">
        <v>4687</v>
      </c>
      <c r="I66" s="15">
        <v>92</v>
      </c>
      <c r="J66" s="15">
        <v>53</v>
      </c>
      <c r="K66" s="15">
        <v>31</v>
      </c>
      <c r="L66" s="15">
        <v>29</v>
      </c>
      <c r="M66" s="73">
        <v>37.789000000000001</v>
      </c>
      <c r="N66" s="104">
        <v>37.789000000000001</v>
      </c>
      <c r="O66" s="57">
        <v>7000</v>
      </c>
      <c r="P66" s="58">
        <f t="shared" si="0"/>
        <v>264523</v>
      </c>
    </row>
    <row r="67" spans="1:16" ht="26.25" customHeight="1" x14ac:dyDescent="0.2">
      <c r="A67" s="100"/>
      <c r="B67" s="100"/>
      <c r="C67" s="65" t="s">
        <v>5049</v>
      </c>
      <c r="D67" s="70" t="s">
        <v>57</v>
      </c>
      <c r="E67" s="12">
        <v>44555</v>
      </c>
      <c r="F67" s="68" t="s">
        <v>59</v>
      </c>
      <c r="G67" s="12">
        <v>44559</v>
      </c>
      <c r="H67" s="69" t="s">
        <v>4687</v>
      </c>
      <c r="I67" s="15">
        <v>85</v>
      </c>
      <c r="J67" s="15">
        <v>53</v>
      </c>
      <c r="K67" s="15">
        <v>17</v>
      </c>
      <c r="L67" s="15">
        <v>6</v>
      </c>
      <c r="M67" s="73">
        <v>19.146249999999998</v>
      </c>
      <c r="N67" s="104">
        <v>19.146249999999998</v>
      </c>
      <c r="O67" s="57">
        <v>7000</v>
      </c>
      <c r="P67" s="58">
        <f t="shared" ref="P67:P130" si="1">N67*O67</f>
        <v>134023.75</v>
      </c>
    </row>
    <row r="68" spans="1:16" ht="26.25" customHeight="1" x14ac:dyDescent="0.2">
      <c r="A68" s="100"/>
      <c r="B68" s="100"/>
      <c r="C68" s="65" t="s">
        <v>5050</v>
      </c>
      <c r="D68" s="70" t="s">
        <v>57</v>
      </c>
      <c r="E68" s="12">
        <v>44555</v>
      </c>
      <c r="F68" s="68" t="s">
        <v>59</v>
      </c>
      <c r="G68" s="12">
        <v>44559</v>
      </c>
      <c r="H68" s="69" t="s">
        <v>4687</v>
      </c>
      <c r="I68" s="15">
        <v>77</v>
      </c>
      <c r="J68" s="15">
        <v>62</v>
      </c>
      <c r="K68" s="15">
        <v>16</v>
      </c>
      <c r="L68" s="15">
        <v>11</v>
      </c>
      <c r="M68" s="73">
        <v>19.096</v>
      </c>
      <c r="N68" s="104">
        <v>19.096</v>
      </c>
      <c r="O68" s="57">
        <v>7000</v>
      </c>
      <c r="P68" s="58">
        <f t="shared" si="1"/>
        <v>133672</v>
      </c>
    </row>
    <row r="69" spans="1:16" ht="26.25" customHeight="1" x14ac:dyDescent="0.2">
      <c r="A69" s="100"/>
      <c r="B69" s="100"/>
      <c r="C69" s="65" t="s">
        <v>5051</v>
      </c>
      <c r="D69" s="70" t="s">
        <v>57</v>
      </c>
      <c r="E69" s="12">
        <v>44555</v>
      </c>
      <c r="F69" s="68" t="s">
        <v>59</v>
      </c>
      <c r="G69" s="12">
        <v>44559</v>
      </c>
      <c r="H69" s="69" t="s">
        <v>4687</v>
      </c>
      <c r="I69" s="15">
        <v>75</v>
      </c>
      <c r="J69" s="15">
        <v>70</v>
      </c>
      <c r="K69" s="15">
        <v>18</v>
      </c>
      <c r="L69" s="15">
        <v>10</v>
      </c>
      <c r="M69" s="73">
        <v>23.625</v>
      </c>
      <c r="N69" s="104">
        <v>23.625</v>
      </c>
      <c r="O69" s="57">
        <v>7000</v>
      </c>
      <c r="P69" s="58">
        <f t="shared" si="1"/>
        <v>165375</v>
      </c>
    </row>
    <row r="70" spans="1:16" ht="26.25" customHeight="1" x14ac:dyDescent="0.2">
      <c r="A70" s="100"/>
      <c r="B70" s="100"/>
      <c r="C70" s="65" t="s">
        <v>5052</v>
      </c>
      <c r="D70" s="70" t="s">
        <v>57</v>
      </c>
      <c r="E70" s="12">
        <v>44555</v>
      </c>
      <c r="F70" s="68" t="s">
        <v>59</v>
      </c>
      <c r="G70" s="12">
        <v>44559</v>
      </c>
      <c r="H70" s="69" t="s">
        <v>4687</v>
      </c>
      <c r="I70" s="15">
        <v>100</v>
      </c>
      <c r="J70" s="15">
        <v>68</v>
      </c>
      <c r="K70" s="15">
        <v>27</v>
      </c>
      <c r="L70" s="15">
        <v>22</v>
      </c>
      <c r="M70" s="73">
        <v>45.9</v>
      </c>
      <c r="N70" s="104">
        <v>45.9</v>
      </c>
      <c r="O70" s="57">
        <v>7000</v>
      </c>
      <c r="P70" s="58">
        <f t="shared" si="1"/>
        <v>321300</v>
      </c>
    </row>
    <row r="71" spans="1:16" ht="26.25" customHeight="1" x14ac:dyDescent="0.2">
      <c r="A71" s="100"/>
      <c r="B71" s="100"/>
      <c r="C71" s="65" t="s">
        <v>5053</v>
      </c>
      <c r="D71" s="70" t="s">
        <v>57</v>
      </c>
      <c r="E71" s="12">
        <v>44555</v>
      </c>
      <c r="F71" s="68" t="s">
        <v>59</v>
      </c>
      <c r="G71" s="12">
        <v>44559</v>
      </c>
      <c r="H71" s="69" t="s">
        <v>4687</v>
      </c>
      <c r="I71" s="15">
        <v>98</v>
      </c>
      <c r="J71" s="15">
        <v>68</v>
      </c>
      <c r="K71" s="15">
        <v>32</v>
      </c>
      <c r="L71" s="15">
        <v>25</v>
      </c>
      <c r="M71" s="73">
        <v>53.311999999999998</v>
      </c>
      <c r="N71" s="104">
        <v>54</v>
      </c>
      <c r="O71" s="57">
        <v>7000</v>
      </c>
      <c r="P71" s="58">
        <f t="shared" si="1"/>
        <v>378000</v>
      </c>
    </row>
    <row r="72" spans="1:16" ht="26.25" customHeight="1" x14ac:dyDescent="0.2">
      <c r="A72" s="100"/>
      <c r="B72" s="100"/>
      <c r="C72" s="65" t="s">
        <v>5054</v>
      </c>
      <c r="D72" s="70" t="s">
        <v>57</v>
      </c>
      <c r="E72" s="12">
        <v>44555</v>
      </c>
      <c r="F72" s="68" t="s">
        <v>59</v>
      </c>
      <c r="G72" s="12">
        <v>44559</v>
      </c>
      <c r="H72" s="69" t="s">
        <v>4687</v>
      </c>
      <c r="I72" s="15">
        <v>65</v>
      </c>
      <c r="J72" s="15">
        <v>54</v>
      </c>
      <c r="K72" s="15">
        <v>22</v>
      </c>
      <c r="L72" s="15">
        <v>3</v>
      </c>
      <c r="M72" s="73">
        <v>19.305</v>
      </c>
      <c r="N72" s="104">
        <v>20</v>
      </c>
      <c r="O72" s="57">
        <v>7000</v>
      </c>
      <c r="P72" s="58">
        <f t="shared" si="1"/>
        <v>140000</v>
      </c>
    </row>
    <row r="73" spans="1:16" ht="26.25" customHeight="1" x14ac:dyDescent="0.2">
      <c r="A73" s="100"/>
      <c r="B73" s="100"/>
      <c r="C73" s="65" t="s">
        <v>5055</v>
      </c>
      <c r="D73" s="70" t="s">
        <v>57</v>
      </c>
      <c r="E73" s="12">
        <v>44555</v>
      </c>
      <c r="F73" s="68" t="s">
        <v>59</v>
      </c>
      <c r="G73" s="12">
        <v>44559</v>
      </c>
      <c r="H73" s="69" t="s">
        <v>4687</v>
      </c>
      <c r="I73" s="15">
        <v>96</v>
      </c>
      <c r="J73" s="15">
        <v>60</v>
      </c>
      <c r="K73" s="15">
        <v>26</v>
      </c>
      <c r="L73" s="15">
        <v>15</v>
      </c>
      <c r="M73" s="73">
        <v>37.44</v>
      </c>
      <c r="N73" s="104">
        <v>38</v>
      </c>
      <c r="O73" s="57">
        <v>7000</v>
      </c>
      <c r="P73" s="58">
        <f t="shared" si="1"/>
        <v>266000</v>
      </c>
    </row>
    <row r="74" spans="1:16" ht="26.25" customHeight="1" x14ac:dyDescent="0.2">
      <c r="A74" s="100"/>
      <c r="B74" s="100"/>
      <c r="C74" s="65" t="s">
        <v>5056</v>
      </c>
      <c r="D74" s="70" t="s">
        <v>57</v>
      </c>
      <c r="E74" s="12">
        <v>44555</v>
      </c>
      <c r="F74" s="68" t="s">
        <v>59</v>
      </c>
      <c r="G74" s="12">
        <v>44559</v>
      </c>
      <c r="H74" s="69" t="s">
        <v>4687</v>
      </c>
      <c r="I74" s="15">
        <v>65</v>
      </c>
      <c r="J74" s="15">
        <v>54</v>
      </c>
      <c r="K74" s="15">
        <v>17</v>
      </c>
      <c r="L74" s="15">
        <v>6</v>
      </c>
      <c r="M74" s="73">
        <v>14.9175</v>
      </c>
      <c r="N74" s="104">
        <v>14.9175</v>
      </c>
      <c r="O74" s="57">
        <v>7000</v>
      </c>
      <c r="P74" s="58">
        <f t="shared" si="1"/>
        <v>104422.5</v>
      </c>
    </row>
    <row r="75" spans="1:16" ht="26.25" customHeight="1" x14ac:dyDescent="0.2">
      <c r="A75" s="100"/>
      <c r="B75" s="100"/>
      <c r="C75" s="65" t="s">
        <v>5057</v>
      </c>
      <c r="D75" s="70" t="s">
        <v>57</v>
      </c>
      <c r="E75" s="12">
        <v>44555</v>
      </c>
      <c r="F75" s="68" t="s">
        <v>59</v>
      </c>
      <c r="G75" s="12">
        <v>44559</v>
      </c>
      <c r="H75" s="69" t="s">
        <v>4687</v>
      </c>
      <c r="I75" s="15">
        <v>78</v>
      </c>
      <c r="J75" s="15">
        <v>58</v>
      </c>
      <c r="K75" s="15">
        <v>22</v>
      </c>
      <c r="L75" s="15">
        <v>6</v>
      </c>
      <c r="M75" s="73">
        <v>24.882000000000001</v>
      </c>
      <c r="N75" s="104">
        <v>24.882000000000001</v>
      </c>
      <c r="O75" s="57">
        <v>7000</v>
      </c>
      <c r="P75" s="58">
        <f t="shared" si="1"/>
        <v>174174</v>
      </c>
    </row>
    <row r="76" spans="1:16" ht="26.25" customHeight="1" x14ac:dyDescent="0.2">
      <c r="A76" s="100"/>
      <c r="B76" s="100"/>
      <c r="C76" s="65" t="s">
        <v>5058</v>
      </c>
      <c r="D76" s="70" t="s">
        <v>57</v>
      </c>
      <c r="E76" s="12">
        <v>44555</v>
      </c>
      <c r="F76" s="68" t="s">
        <v>59</v>
      </c>
      <c r="G76" s="12">
        <v>44559</v>
      </c>
      <c r="H76" s="69" t="s">
        <v>4687</v>
      </c>
      <c r="I76" s="15">
        <v>48</v>
      </c>
      <c r="J76" s="15">
        <v>36</v>
      </c>
      <c r="K76" s="15">
        <v>26</v>
      </c>
      <c r="L76" s="15">
        <v>8</v>
      </c>
      <c r="M76" s="73">
        <v>11.231999999999999</v>
      </c>
      <c r="N76" s="104">
        <v>11.231999999999999</v>
      </c>
      <c r="O76" s="57">
        <v>7000</v>
      </c>
      <c r="P76" s="58">
        <f t="shared" si="1"/>
        <v>78624</v>
      </c>
    </row>
    <row r="77" spans="1:16" ht="26.25" customHeight="1" x14ac:dyDescent="0.2">
      <c r="A77" s="100"/>
      <c r="B77" s="100"/>
      <c r="C77" s="65" t="s">
        <v>5059</v>
      </c>
      <c r="D77" s="70" t="s">
        <v>57</v>
      </c>
      <c r="E77" s="12">
        <v>44555</v>
      </c>
      <c r="F77" s="68" t="s">
        <v>59</v>
      </c>
      <c r="G77" s="12">
        <v>44559</v>
      </c>
      <c r="H77" s="69" t="s">
        <v>4687</v>
      </c>
      <c r="I77" s="15">
        <v>186</v>
      </c>
      <c r="J77" s="15">
        <v>8</v>
      </c>
      <c r="K77" s="15">
        <v>8</v>
      </c>
      <c r="L77" s="15">
        <v>2</v>
      </c>
      <c r="M77" s="73">
        <v>2.976</v>
      </c>
      <c r="N77" s="104">
        <v>2.976</v>
      </c>
      <c r="O77" s="57">
        <v>7000</v>
      </c>
      <c r="P77" s="58">
        <f t="shared" si="1"/>
        <v>20832</v>
      </c>
    </row>
    <row r="78" spans="1:16" ht="26.25" customHeight="1" x14ac:dyDescent="0.2">
      <c r="A78" s="100"/>
      <c r="B78" s="100"/>
      <c r="C78" s="65" t="s">
        <v>5060</v>
      </c>
      <c r="D78" s="70" t="s">
        <v>57</v>
      </c>
      <c r="E78" s="12">
        <v>44555</v>
      </c>
      <c r="F78" s="68" t="s">
        <v>59</v>
      </c>
      <c r="G78" s="12">
        <v>44559</v>
      </c>
      <c r="H78" s="69" t="s">
        <v>4687</v>
      </c>
      <c r="I78" s="15">
        <v>96</v>
      </c>
      <c r="J78" s="15">
        <v>47</v>
      </c>
      <c r="K78" s="15">
        <v>13</v>
      </c>
      <c r="L78" s="15">
        <v>8</v>
      </c>
      <c r="M78" s="73">
        <v>14.664</v>
      </c>
      <c r="N78" s="104">
        <v>14.664</v>
      </c>
      <c r="O78" s="57">
        <v>7000</v>
      </c>
      <c r="P78" s="58">
        <f t="shared" si="1"/>
        <v>102648</v>
      </c>
    </row>
    <row r="79" spans="1:16" ht="26.25" customHeight="1" x14ac:dyDescent="0.2">
      <c r="A79" s="100"/>
      <c r="B79" s="100"/>
      <c r="C79" s="65" t="s">
        <v>5061</v>
      </c>
      <c r="D79" s="70" t="s">
        <v>57</v>
      </c>
      <c r="E79" s="12">
        <v>44555</v>
      </c>
      <c r="F79" s="68" t="s">
        <v>59</v>
      </c>
      <c r="G79" s="12">
        <v>44559</v>
      </c>
      <c r="H79" s="69" t="s">
        <v>4687</v>
      </c>
      <c r="I79" s="15">
        <v>87</v>
      </c>
      <c r="J79" s="15">
        <v>26</v>
      </c>
      <c r="K79" s="15">
        <v>11</v>
      </c>
      <c r="L79" s="15">
        <v>1</v>
      </c>
      <c r="M79" s="73">
        <v>6.2205000000000004</v>
      </c>
      <c r="N79" s="104">
        <v>6.2205000000000004</v>
      </c>
      <c r="O79" s="57">
        <v>7000</v>
      </c>
      <c r="P79" s="58">
        <f t="shared" si="1"/>
        <v>43543.5</v>
      </c>
    </row>
    <row r="80" spans="1:16" ht="26.25" customHeight="1" x14ac:dyDescent="0.2">
      <c r="A80" s="100"/>
      <c r="B80" s="100"/>
      <c r="C80" s="65" t="s">
        <v>5062</v>
      </c>
      <c r="D80" s="70" t="s">
        <v>57</v>
      </c>
      <c r="E80" s="12">
        <v>44555</v>
      </c>
      <c r="F80" s="68" t="s">
        <v>59</v>
      </c>
      <c r="G80" s="12">
        <v>44559</v>
      </c>
      <c r="H80" s="69" t="s">
        <v>4687</v>
      </c>
      <c r="I80" s="15">
        <v>55</v>
      </c>
      <c r="J80" s="15">
        <v>41</v>
      </c>
      <c r="K80" s="15">
        <v>16</v>
      </c>
      <c r="L80" s="15">
        <v>5</v>
      </c>
      <c r="M80" s="73">
        <v>9.02</v>
      </c>
      <c r="N80" s="104">
        <v>9.02</v>
      </c>
      <c r="O80" s="57">
        <v>7000</v>
      </c>
      <c r="P80" s="58">
        <f t="shared" si="1"/>
        <v>63140</v>
      </c>
    </row>
    <row r="81" spans="1:16" ht="26.25" customHeight="1" x14ac:dyDescent="0.2">
      <c r="A81" s="100"/>
      <c r="B81" s="100"/>
      <c r="C81" s="65" t="s">
        <v>5063</v>
      </c>
      <c r="D81" s="70" t="s">
        <v>57</v>
      </c>
      <c r="E81" s="12">
        <v>44555</v>
      </c>
      <c r="F81" s="68" t="s">
        <v>59</v>
      </c>
      <c r="G81" s="12">
        <v>44559</v>
      </c>
      <c r="H81" s="69" t="s">
        <v>4687</v>
      </c>
      <c r="I81" s="15">
        <v>76</v>
      </c>
      <c r="J81" s="15">
        <v>58</v>
      </c>
      <c r="K81" s="15">
        <v>17</v>
      </c>
      <c r="L81" s="15">
        <v>13</v>
      </c>
      <c r="M81" s="73">
        <v>18.734000000000002</v>
      </c>
      <c r="N81" s="104">
        <v>18.734000000000002</v>
      </c>
      <c r="O81" s="57">
        <v>7000</v>
      </c>
      <c r="P81" s="58">
        <f t="shared" si="1"/>
        <v>131138</v>
      </c>
    </row>
    <row r="82" spans="1:16" ht="26.25" customHeight="1" x14ac:dyDescent="0.2">
      <c r="A82" s="100"/>
      <c r="B82" s="100"/>
      <c r="C82" s="65" t="s">
        <v>5064</v>
      </c>
      <c r="D82" s="70" t="s">
        <v>57</v>
      </c>
      <c r="E82" s="12">
        <v>44555</v>
      </c>
      <c r="F82" s="68" t="s">
        <v>59</v>
      </c>
      <c r="G82" s="12">
        <v>44559</v>
      </c>
      <c r="H82" s="69" t="s">
        <v>4687</v>
      </c>
      <c r="I82" s="15">
        <v>102</v>
      </c>
      <c r="J82" s="15">
        <v>62</v>
      </c>
      <c r="K82" s="15">
        <v>15</v>
      </c>
      <c r="L82" s="15">
        <v>14</v>
      </c>
      <c r="M82" s="73">
        <v>23.715</v>
      </c>
      <c r="N82" s="104">
        <v>23.715</v>
      </c>
      <c r="O82" s="57">
        <v>7000</v>
      </c>
      <c r="P82" s="58">
        <f t="shared" si="1"/>
        <v>166005</v>
      </c>
    </row>
    <row r="83" spans="1:16" ht="26.25" customHeight="1" x14ac:dyDescent="0.2">
      <c r="A83" s="100"/>
      <c r="B83" s="100"/>
      <c r="C83" s="65" t="s">
        <v>5065</v>
      </c>
      <c r="D83" s="70" t="s">
        <v>57</v>
      </c>
      <c r="E83" s="12">
        <v>44555</v>
      </c>
      <c r="F83" s="68" t="s">
        <v>59</v>
      </c>
      <c r="G83" s="12">
        <v>44559</v>
      </c>
      <c r="H83" s="69" t="s">
        <v>4687</v>
      </c>
      <c r="I83" s="15">
        <v>84</v>
      </c>
      <c r="J83" s="15">
        <v>50</v>
      </c>
      <c r="K83" s="15">
        <v>17</v>
      </c>
      <c r="L83" s="15">
        <v>3</v>
      </c>
      <c r="M83" s="73">
        <v>17.850000000000001</v>
      </c>
      <c r="N83" s="104">
        <v>17.850000000000001</v>
      </c>
      <c r="O83" s="57">
        <v>7000</v>
      </c>
      <c r="P83" s="58">
        <f t="shared" si="1"/>
        <v>124950.00000000001</v>
      </c>
    </row>
    <row r="84" spans="1:16" ht="26.25" customHeight="1" x14ac:dyDescent="0.2">
      <c r="A84" s="100"/>
      <c r="B84" s="100"/>
      <c r="C84" s="65" t="s">
        <v>5066</v>
      </c>
      <c r="D84" s="70" t="s">
        <v>57</v>
      </c>
      <c r="E84" s="12">
        <v>44555</v>
      </c>
      <c r="F84" s="68" t="s">
        <v>59</v>
      </c>
      <c r="G84" s="12">
        <v>44559</v>
      </c>
      <c r="H84" s="69" t="s">
        <v>4687</v>
      </c>
      <c r="I84" s="15">
        <v>25</v>
      </c>
      <c r="J84" s="15">
        <v>18</v>
      </c>
      <c r="K84" s="15">
        <v>11</v>
      </c>
      <c r="L84" s="15">
        <v>3</v>
      </c>
      <c r="M84" s="73">
        <v>1.2375</v>
      </c>
      <c r="N84" s="104">
        <v>3</v>
      </c>
      <c r="O84" s="57">
        <v>7000</v>
      </c>
      <c r="P84" s="58">
        <f t="shared" si="1"/>
        <v>21000</v>
      </c>
    </row>
    <row r="85" spans="1:16" ht="26.25" customHeight="1" x14ac:dyDescent="0.2">
      <c r="A85" s="100"/>
      <c r="B85" s="100"/>
      <c r="C85" s="65" t="s">
        <v>5067</v>
      </c>
      <c r="D85" s="70" t="s">
        <v>57</v>
      </c>
      <c r="E85" s="12">
        <v>44555</v>
      </c>
      <c r="F85" s="68" t="s">
        <v>59</v>
      </c>
      <c r="G85" s="12">
        <v>44559</v>
      </c>
      <c r="H85" s="69" t="s">
        <v>4687</v>
      </c>
      <c r="I85" s="15">
        <v>76</v>
      </c>
      <c r="J85" s="15">
        <v>59</v>
      </c>
      <c r="K85" s="15">
        <v>17</v>
      </c>
      <c r="L85" s="15">
        <v>8</v>
      </c>
      <c r="M85" s="73">
        <v>19.056999999999999</v>
      </c>
      <c r="N85" s="104">
        <v>19.056999999999999</v>
      </c>
      <c r="O85" s="57">
        <v>7000</v>
      </c>
      <c r="P85" s="58">
        <f t="shared" si="1"/>
        <v>133399</v>
      </c>
    </row>
    <row r="86" spans="1:16" ht="26.25" customHeight="1" x14ac:dyDescent="0.2">
      <c r="A86" s="100"/>
      <c r="B86" s="100"/>
      <c r="C86" s="65" t="s">
        <v>5068</v>
      </c>
      <c r="D86" s="70" t="s">
        <v>57</v>
      </c>
      <c r="E86" s="12">
        <v>44555</v>
      </c>
      <c r="F86" s="68" t="s">
        <v>59</v>
      </c>
      <c r="G86" s="12">
        <v>44559</v>
      </c>
      <c r="H86" s="69" t="s">
        <v>4687</v>
      </c>
      <c r="I86" s="15">
        <v>82</v>
      </c>
      <c r="J86" s="15">
        <v>40</v>
      </c>
      <c r="K86" s="15">
        <v>22</v>
      </c>
      <c r="L86" s="15">
        <v>3</v>
      </c>
      <c r="M86" s="73">
        <v>18.04</v>
      </c>
      <c r="N86" s="104">
        <v>18.04</v>
      </c>
      <c r="O86" s="57">
        <v>7000</v>
      </c>
      <c r="P86" s="58">
        <f t="shared" si="1"/>
        <v>126280</v>
      </c>
    </row>
    <row r="87" spans="1:16" ht="26.25" customHeight="1" x14ac:dyDescent="0.2">
      <c r="A87" s="100"/>
      <c r="B87" s="100"/>
      <c r="C87" s="65" t="s">
        <v>5069</v>
      </c>
      <c r="D87" s="70" t="s">
        <v>57</v>
      </c>
      <c r="E87" s="12">
        <v>44555</v>
      </c>
      <c r="F87" s="68" t="s">
        <v>59</v>
      </c>
      <c r="G87" s="12">
        <v>44559</v>
      </c>
      <c r="H87" s="69" t="s">
        <v>4687</v>
      </c>
      <c r="I87" s="15">
        <v>88</v>
      </c>
      <c r="J87" s="15">
        <v>51</v>
      </c>
      <c r="K87" s="15">
        <v>22</v>
      </c>
      <c r="L87" s="15">
        <v>8</v>
      </c>
      <c r="M87" s="73">
        <v>24.684000000000001</v>
      </c>
      <c r="N87" s="104">
        <v>24.684000000000001</v>
      </c>
      <c r="O87" s="57">
        <v>7000</v>
      </c>
      <c r="P87" s="58">
        <f t="shared" si="1"/>
        <v>172788</v>
      </c>
    </row>
    <row r="88" spans="1:16" ht="26.25" customHeight="1" x14ac:dyDescent="0.2">
      <c r="A88" s="100"/>
      <c r="B88" s="100"/>
      <c r="C88" s="65" t="s">
        <v>5070</v>
      </c>
      <c r="D88" s="70" t="s">
        <v>57</v>
      </c>
      <c r="E88" s="12">
        <v>44555</v>
      </c>
      <c r="F88" s="68" t="s">
        <v>59</v>
      </c>
      <c r="G88" s="12">
        <v>44559</v>
      </c>
      <c r="H88" s="69" t="s">
        <v>4687</v>
      </c>
      <c r="I88" s="15">
        <v>73</v>
      </c>
      <c r="J88" s="15">
        <v>56</v>
      </c>
      <c r="K88" s="15">
        <v>16</v>
      </c>
      <c r="L88" s="15">
        <v>7</v>
      </c>
      <c r="M88" s="73">
        <v>16.352</v>
      </c>
      <c r="N88" s="104">
        <v>17</v>
      </c>
      <c r="O88" s="57">
        <v>7000</v>
      </c>
      <c r="P88" s="58">
        <f t="shared" si="1"/>
        <v>119000</v>
      </c>
    </row>
    <row r="89" spans="1:16" ht="26.25" customHeight="1" x14ac:dyDescent="0.2">
      <c r="A89" s="100"/>
      <c r="B89" s="100"/>
      <c r="C89" s="65" t="s">
        <v>5071</v>
      </c>
      <c r="D89" s="70" t="s">
        <v>57</v>
      </c>
      <c r="E89" s="12">
        <v>44555</v>
      </c>
      <c r="F89" s="68" t="s">
        <v>59</v>
      </c>
      <c r="G89" s="12">
        <v>44559</v>
      </c>
      <c r="H89" s="69" t="s">
        <v>4687</v>
      </c>
      <c r="I89" s="15">
        <v>73</v>
      </c>
      <c r="J89" s="15">
        <v>56</v>
      </c>
      <c r="K89" s="15">
        <v>16</v>
      </c>
      <c r="L89" s="15">
        <v>7</v>
      </c>
      <c r="M89" s="73">
        <v>16.352</v>
      </c>
      <c r="N89" s="104">
        <v>17</v>
      </c>
      <c r="O89" s="57">
        <v>7000</v>
      </c>
      <c r="P89" s="58">
        <f t="shared" si="1"/>
        <v>119000</v>
      </c>
    </row>
    <row r="90" spans="1:16" ht="26.25" customHeight="1" x14ac:dyDescent="0.2">
      <c r="A90" s="100"/>
      <c r="B90" s="100"/>
      <c r="C90" s="65" t="s">
        <v>5072</v>
      </c>
      <c r="D90" s="70" t="s">
        <v>57</v>
      </c>
      <c r="E90" s="12">
        <v>44555</v>
      </c>
      <c r="F90" s="68" t="s">
        <v>59</v>
      </c>
      <c r="G90" s="12">
        <v>44559</v>
      </c>
      <c r="H90" s="69" t="s">
        <v>4687</v>
      </c>
      <c r="I90" s="15">
        <v>66</v>
      </c>
      <c r="J90" s="15">
        <v>50</v>
      </c>
      <c r="K90" s="15">
        <v>21</v>
      </c>
      <c r="L90" s="15">
        <v>6</v>
      </c>
      <c r="M90" s="73">
        <v>17.324999999999999</v>
      </c>
      <c r="N90" s="104">
        <v>18</v>
      </c>
      <c r="O90" s="57">
        <v>7000</v>
      </c>
      <c r="P90" s="58">
        <f t="shared" si="1"/>
        <v>126000</v>
      </c>
    </row>
    <row r="91" spans="1:16" ht="26.25" customHeight="1" x14ac:dyDescent="0.2">
      <c r="A91" s="100"/>
      <c r="B91" s="100"/>
      <c r="C91" s="65" t="s">
        <v>5073</v>
      </c>
      <c r="D91" s="70" t="s">
        <v>57</v>
      </c>
      <c r="E91" s="12">
        <v>44555</v>
      </c>
      <c r="F91" s="68" t="s">
        <v>59</v>
      </c>
      <c r="G91" s="12">
        <v>44559</v>
      </c>
      <c r="H91" s="69" t="s">
        <v>4687</v>
      </c>
      <c r="I91" s="15">
        <v>56</v>
      </c>
      <c r="J91" s="15">
        <v>45</v>
      </c>
      <c r="K91" s="15">
        <v>17</v>
      </c>
      <c r="L91" s="15">
        <v>4</v>
      </c>
      <c r="M91" s="73">
        <v>10.71</v>
      </c>
      <c r="N91" s="104">
        <v>10.71</v>
      </c>
      <c r="O91" s="57">
        <v>7000</v>
      </c>
      <c r="P91" s="58">
        <f t="shared" si="1"/>
        <v>74970</v>
      </c>
    </row>
    <row r="92" spans="1:16" ht="26.25" customHeight="1" x14ac:dyDescent="0.2">
      <c r="A92" s="100"/>
      <c r="B92" s="100"/>
      <c r="C92" s="65" t="s">
        <v>5074</v>
      </c>
      <c r="D92" s="70" t="s">
        <v>57</v>
      </c>
      <c r="E92" s="12">
        <v>44555</v>
      </c>
      <c r="F92" s="68" t="s">
        <v>59</v>
      </c>
      <c r="G92" s="12">
        <v>44559</v>
      </c>
      <c r="H92" s="69" t="s">
        <v>4687</v>
      </c>
      <c r="I92" s="15">
        <v>65</v>
      </c>
      <c r="J92" s="15">
        <v>57</v>
      </c>
      <c r="K92" s="15">
        <v>22</v>
      </c>
      <c r="L92" s="15">
        <v>5</v>
      </c>
      <c r="M92" s="73">
        <v>20.377500000000001</v>
      </c>
      <c r="N92" s="104">
        <v>21</v>
      </c>
      <c r="O92" s="57">
        <v>7000</v>
      </c>
      <c r="P92" s="58">
        <f t="shared" si="1"/>
        <v>147000</v>
      </c>
    </row>
    <row r="93" spans="1:16" ht="26.25" customHeight="1" x14ac:dyDescent="0.2">
      <c r="A93" s="100"/>
      <c r="B93" s="100"/>
      <c r="C93" s="65" t="s">
        <v>5075</v>
      </c>
      <c r="D93" s="70" t="s">
        <v>57</v>
      </c>
      <c r="E93" s="12">
        <v>44555</v>
      </c>
      <c r="F93" s="68" t="s">
        <v>59</v>
      </c>
      <c r="G93" s="12">
        <v>44559</v>
      </c>
      <c r="H93" s="69" t="s">
        <v>4687</v>
      </c>
      <c r="I93" s="15">
        <v>87</v>
      </c>
      <c r="J93" s="15">
        <v>65</v>
      </c>
      <c r="K93" s="15">
        <v>23</v>
      </c>
      <c r="L93" s="15">
        <v>13</v>
      </c>
      <c r="M93" s="73">
        <v>32.516249999999999</v>
      </c>
      <c r="N93" s="104">
        <v>32.516249999999999</v>
      </c>
      <c r="O93" s="57">
        <v>7000</v>
      </c>
      <c r="P93" s="58">
        <f t="shared" si="1"/>
        <v>227613.75</v>
      </c>
    </row>
    <row r="94" spans="1:16" ht="26.25" customHeight="1" x14ac:dyDescent="0.2">
      <c r="A94" s="100"/>
      <c r="B94" s="100"/>
      <c r="C94" s="65" t="s">
        <v>5076</v>
      </c>
      <c r="D94" s="70" t="s">
        <v>57</v>
      </c>
      <c r="E94" s="12">
        <v>44555</v>
      </c>
      <c r="F94" s="68" t="s">
        <v>59</v>
      </c>
      <c r="G94" s="12">
        <v>44559</v>
      </c>
      <c r="H94" s="69" t="s">
        <v>4687</v>
      </c>
      <c r="I94" s="15">
        <v>89</v>
      </c>
      <c r="J94" s="15">
        <v>65</v>
      </c>
      <c r="K94" s="15">
        <v>19</v>
      </c>
      <c r="L94" s="15">
        <v>9</v>
      </c>
      <c r="M94" s="73">
        <v>27.478750000000002</v>
      </c>
      <c r="N94" s="104">
        <v>28</v>
      </c>
      <c r="O94" s="57">
        <v>7000</v>
      </c>
      <c r="P94" s="58">
        <f t="shared" si="1"/>
        <v>196000</v>
      </c>
    </row>
    <row r="95" spans="1:16" ht="26.25" customHeight="1" x14ac:dyDescent="0.2">
      <c r="A95" s="100"/>
      <c r="B95" s="100"/>
      <c r="C95" s="65" t="s">
        <v>5077</v>
      </c>
      <c r="D95" s="70" t="s">
        <v>57</v>
      </c>
      <c r="E95" s="12">
        <v>44555</v>
      </c>
      <c r="F95" s="68" t="s">
        <v>59</v>
      </c>
      <c r="G95" s="12">
        <v>44559</v>
      </c>
      <c r="H95" s="69" t="s">
        <v>4687</v>
      </c>
      <c r="I95" s="15">
        <v>78</v>
      </c>
      <c r="J95" s="15">
        <v>67</v>
      </c>
      <c r="K95" s="15">
        <v>22</v>
      </c>
      <c r="L95" s="15">
        <v>11</v>
      </c>
      <c r="M95" s="73">
        <v>28.742999999999999</v>
      </c>
      <c r="N95" s="104">
        <v>28.742999999999999</v>
      </c>
      <c r="O95" s="57">
        <v>7000</v>
      </c>
      <c r="P95" s="58">
        <f t="shared" si="1"/>
        <v>201201</v>
      </c>
    </row>
    <row r="96" spans="1:16" ht="26.25" customHeight="1" x14ac:dyDescent="0.2">
      <c r="A96" s="100"/>
      <c r="B96" s="100"/>
      <c r="C96" s="65" t="s">
        <v>5078</v>
      </c>
      <c r="D96" s="70" t="s">
        <v>57</v>
      </c>
      <c r="E96" s="12">
        <v>44555</v>
      </c>
      <c r="F96" s="68" t="s">
        <v>59</v>
      </c>
      <c r="G96" s="12">
        <v>44559</v>
      </c>
      <c r="H96" s="69" t="s">
        <v>4687</v>
      </c>
      <c r="I96" s="15">
        <v>54</v>
      </c>
      <c r="J96" s="15">
        <v>45</v>
      </c>
      <c r="K96" s="15">
        <v>17</v>
      </c>
      <c r="L96" s="15">
        <v>4</v>
      </c>
      <c r="M96" s="73">
        <v>10.327500000000001</v>
      </c>
      <c r="N96" s="104">
        <v>11</v>
      </c>
      <c r="O96" s="57">
        <v>7000</v>
      </c>
      <c r="P96" s="58">
        <f t="shared" si="1"/>
        <v>77000</v>
      </c>
    </row>
    <row r="97" spans="1:16" ht="26.25" customHeight="1" x14ac:dyDescent="0.2">
      <c r="A97" s="100"/>
      <c r="B97" s="100"/>
      <c r="C97" s="65" t="s">
        <v>5079</v>
      </c>
      <c r="D97" s="70" t="s">
        <v>57</v>
      </c>
      <c r="E97" s="12">
        <v>44555</v>
      </c>
      <c r="F97" s="68" t="s">
        <v>59</v>
      </c>
      <c r="G97" s="12">
        <v>44559</v>
      </c>
      <c r="H97" s="69" t="s">
        <v>4687</v>
      </c>
      <c r="I97" s="15">
        <v>25</v>
      </c>
      <c r="J97" s="15">
        <v>15</v>
      </c>
      <c r="K97" s="15">
        <v>7</v>
      </c>
      <c r="L97" s="15">
        <v>1</v>
      </c>
      <c r="M97" s="73">
        <v>0.65625</v>
      </c>
      <c r="N97" s="104">
        <v>1</v>
      </c>
      <c r="O97" s="57">
        <v>7000</v>
      </c>
      <c r="P97" s="58">
        <f t="shared" si="1"/>
        <v>7000</v>
      </c>
    </row>
    <row r="98" spans="1:16" ht="26.25" customHeight="1" x14ac:dyDescent="0.2">
      <c r="A98" s="100"/>
      <c r="B98" s="100"/>
      <c r="C98" s="65" t="s">
        <v>5080</v>
      </c>
      <c r="D98" s="70" t="s">
        <v>57</v>
      </c>
      <c r="E98" s="12">
        <v>44555</v>
      </c>
      <c r="F98" s="68" t="s">
        <v>59</v>
      </c>
      <c r="G98" s="12">
        <v>44559</v>
      </c>
      <c r="H98" s="69" t="s">
        <v>4687</v>
      </c>
      <c r="I98" s="15">
        <v>75</v>
      </c>
      <c r="J98" s="15">
        <v>58</v>
      </c>
      <c r="K98" s="15">
        <v>18</v>
      </c>
      <c r="L98" s="15">
        <v>5</v>
      </c>
      <c r="M98" s="73">
        <v>19.574999999999999</v>
      </c>
      <c r="N98" s="104">
        <v>19.574999999999999</v>
      </c>
      <c r="O98" s="57">
        <v>7000</v>
      </c>
      <c r="P98" s="58">
        <f t="shared" si="1"/>
        <v>137025</v>
      </c>
    </row>
    <row r="99" spans="1:16" ht="26.25" customHeight="1" x14ac:dyDescent="0.2">
      <c r="A99" s="100"/>
      <c r="B99" s="100"/>
      <c r="C99" s="65" t="s">
        <v>5081</v>
      </c>
      <c r="D99" s="70" t="s">
        <v>57</v>
      </c>
      <c r="E99" s="12">
        <v>44555</v>
      </c>
      <c r="F99" s="68" t="s">
        <v>59</v>
      </c>
      <c r="G99" s="12">
        <v>44559</v>
      </c>
      <c r="H99" s="69" t="s">
        <v>4687</v>
      </c>
      <c r="I99" s="15">
        <v>105</v>
      </c>
      <c r="J99" s="15">
        <v>58</v>
      </c>
      <c r="K99" s="15">
        <v>33</v>
      </c>
      <c r="L99" s="15">
        <v>16</v>
      </c>
      <c r="M99" s="73">
        <v>50.2425</v>
      </c>
      <c r="N99" s="104">
        <v>50.2425</v>
      </c>
      <c r="O99" s="57">
        <v>7000</v>
      </c>
      <c r="P99" s="58">
        <f t="shared" si="1"/>
        <v>351697.5</v>
      </c>
    </row>
    <row r="100" spans="1:16" ht="26.25" customHeight="1" x14ac:dyDescent="0.2">
      <c r="A100" s="100"/>
      <c r="B100" s="100"/>
      <c r="C100" s="65" t="s">
        <v>5082</v>
      </c>
      <c r="D100" s="70" t="s">
        <v>57</v>
      </c>
      <c r="E100" s="12">
        <v>44555</v>
      </c>
      <c r="F100" s="68" t="s">
        <v>59</v>
      </c>
      <c r="G100" s="12">
        <v>44559</v>
      </c>
      <c r="H100" s="69" t="s">
        <v>4687</v>
      </c>
      <c r="I100" s="15">
        <v>45</v>
      </c>
      <c r="J100" s="15">
        <v>25</v>
      </c>
      <c r="K100" s="15">
        <v>18</v>
      </c>
      <c r="L100" s="15">
        <v>1</v>
      </c>
      <c r="M100" s="73">
        <v>5.0625</v>
      </c>
      <c r="N100" s="104">
        <v>5.0625</v>
      </c>
      <c r="O100" s="57">
        <v>7000</v>
      </c>
      <c r="P100" s="58">
        <f t="shared" si="1"/>
        <v>35437.5</v>
      </c>
    </row>
    <row r="101" spans="1:16" ht="26.25" customHeight="1" x14ac:dyDescent="0.2">
      <c r="A101" s="100"/>
      <c r="B101" s="100"/>
      <c r="C101" s="65" t="s">
        <v>5083</v>
      </c>
      <c r="D101" s="70" t="s">
        <v>57</v>
      </c>
      <c r="E101" s="12">
        <v>44555</v>
      </c>
      <c r="F101" s="68" t="s">
        <v>59</v>
      </c>
      <c r="G101" s="12">
        <v>44559</v>
      </c>
      <c r="H101" s="69" t="s">
        <v>4687</v>
      </c>
      <c r="I101" s="15">
        <v>87</v>
      </c>
      <c r="J101" s="15">
        <v>56</v>
      </c>
      <c r="K101" s="15">
        <v>25</v>
      </c>
      <c r="L101" s="15">
        <v>12</v>
      </c>
      <c r="M101" s="73">
        <v>30.45</v>
      </c>
      <c r="N101" s="104">
        <v>31</v>
      </c>
      <c r="O101" s="57">
        <v>7000</v>
      </c>
      <c r="P101" s="58">
        <f t="shared" si="1"/>
        <v>217000</v>
      </c>
    </row>
    <row r="102" spans="1:16" ht="26.25" customHeight="1" x14ac:dyDescent="0.2">
      <c r="A102" s="100"/>
      <c r="B102" s="100"/>
      <c r="C102" s="65" t="s">
        <v>5084</v>
      </c>
      <c r="D102" s="70" t="s">
        <v>57</v>
      </c>
      <c r="E102" s="12">
        <v>44555</v>
      </c>
      <c r="F102" s="68" t="s">
        <v>59</v>
      </c>
      <c r="G102" s="12">
        <v>44559</v>
      </c>
      <c r="H102" s="69" t="s">
        <v>4687</v>
      </c>
      <c r="I102" s="15">
        <v>65</v>
      </c>
      <c r="J102" s="15">
        <v>45</v>
      </c>
      <c r="K102" s="15">
        <v>22</v>
      </c>
      <c r="L102" s="15">
        <v>2</v>
      </c>
      <c r="M102" s="73">
        <v>16.087499999999999</v>
      </c>
      <c r="N102" s="104">
        <v>16.087499999999999</v>
      </c>
      <c r="O102" s="57">
        <v>7000</v>
      </c>
      <c r="P102" s="58">
        <f t="shared" si="1"/>
        <v>112612.49999999999</v>
      </c>
    </row>
    <row r="103" spans="1:16" ht="26.25" customHeight="1" x14ac:dyDescent="0.2">
      <c r="A103" s="100"/>
      <c r="B103" s="100"/>
      <c r="C103" s="65" t="s">
        <v>5085</v>
      </c>
      <c r="D103" s="70" t="s">
        <v>57</v>
      </c>
      <c r="E103" s="12">
        <v>44555</v>
      </c>
      <c r="F103" s="68" t="s">
        <v>59</v>
      </c>
      <c r="G103" s="12">
        <v>44559</v>
      </c>
      <c r="H103" s="69" t="s">
        <v>4687</v>
      </c>
      <c r="I103" s="15">
        <v>87</v>
      </c>
      <c r="J103" s="15">
        <v>65</v>
      </c>
      <c r="K103" s="15">
        <v>23</v>
      </c>
      <c r="L103" s="15">
        <v>12</v>
      </c>
      <c r="M103" s="73">
        <v>32.516249999999999</v>
      </c>
      <c r="N103" s="104">
        <v>32.516249999999999</v>
      </c>
      <c r="O103" s="57">
        <v>7000</v>
      </c>
      <c r="P103" s="58">
        <f t="shared" si="1"/>
        <v>227613.75</v>
      </c>
    </row>
    <row r="104" spans="1:16" ht="26.25" customHeight="1" x14ac:dyDescent="0.2">
      <c r="A104" s="100"/>
      <c r="B104" s="100"/>
      <c r="C104" s="65" t="s">
        <v>5086</v>
      </c>
      <c r="D104" s="70" t="s">
        <v>57</v>
      </c>
      <c r="E104" s="12">
        <v>44555</v>
      </c>
      <c r="F104" s="68" t="s">
        <v>59</v>
      </c>
      <c r="G104" s="12">
        <v>44559</v>
      </c>
      <c r="H104" s="69" t="s">
        <v>4687</v>
      </c>
      <c r="I104" s="15">
        <v>57</v>
      </c>
      <c r="J104" s="15">
        <v>40</v>
      </c>
      <c r="K104" s="15">
        <v>16</v>
      </c>
      <c r="L104" s="15">
        <v>4</v>
      </c>
      <c r="M104" s="73">
        <v>9.1199999999999992</v>
      </c>
      <c r="N104" s="104">
        <v>9.1199999999999992</v>
      </c>
      <c r="O104" s="57">
        <v>7000</v>
      </c>
      <c r="P104" s="58">
        <f t="shared" si="1"/>
        <v>63839.999999999993</v>
      </c>
    </row>
    <row r="105" spans="1:16" ht="26.25" customHeight="1" x14ac:dyDescent="0.2">
      <c r="A105" s="100"/>
      <c r="B105" s="100"/>
      <c r="C105" s="65" t="s">
        <v>5087</v>
      </c>
      <c r="D105" s="70" t="s">
        <v>57</v>
      </c>
      <c r="E105" s="12">
        <v>44555</v>
      </c>
      <c r="F105" s="68" t="s">
        <v>59</v>
      </c>
      <c r="G105" s="12">
        <v>44559</v>
      </c>
      <c r="H105" s="69" t="s">
        <v>4687</v>
      </c>
      <c r="I105" s="15">
        <v>90</v>
      </c>
      <c r="J105" s="15">
        <v>15</v>
      </c>
      <c r="K105" s="15">
        <v>15</v>
      </c>
      <c r="L105" s="15">
        <v>3</v>
      </c>
      <c r="M105" s="73">
        <v>5.0625</v>
      </c>
      <c r="N105" s="104">
        <v>5.0625</v>
      </c>
      <c r="O105" s="57">
        <v>7000</v>
      </c>
      <c r="P105" s="58">
        <f t="shared" si="1"/>
        <v>35437.5</v>
      </c>
    </row>
    <row r="106" spans="1:16" ht="26.25" customHeight="1" x14ac:dyDescent="0.2">
      <c r="A106" s="100"/>
      <c r="B106" s="100"/>
      <c r="C106" s="65" t="s">
        <v>5088</v>
      </c>
      <c r="D106" s="70" t="s">
        <v>57</v>
      </c>
      <c r="E106" s="12">
        <v>44555</v>
      </c>
      <c r="F106" s="68" t="s">
        <v>59</v>
      </c>
      <c r="G106" s="12">
        <v>44559</v>
      </c>
      <c r="H106" s="69" t="s">
        <v>4687</v>
      </c>
      <c r="I106" s="15">
        <v>30</v>
      </c>
      <c r="J106" s="15">
        <v>30</v>
      </c>
      <c r="K106" s="15">
        <v>10</v>
      </c>
      <c r="L106" s="15">
        <v>5</v>
      </c>
      <c r="M106" s="73">
        <v>2.25</v>
      </c>
      <c r="N106" s="104">
        <v>5</v>
      </c>
      <c r="O106" s="57">
        <v>7000</v>
      </c>
      <c r="P106" s="58">
        <f t="shared" si="1"/>
        <v>35000</v>
      </c>
    </row>
    <row r="107" spans="1:16" ht="26.25" customHeight="1" x14ac:dyDescent="0.2">
      <c r="A107" s="100"/>
      <c r="B107" s="100"/>
      <c r="C107" s="65" t="s">
        <v>5089</v>
      </c>
      <c r="D107" s="70" t="s">
        <v>57</v>
      </c>
      <c r="E107" s="12">
        <v>44555</v>
      </c>
      <c r="F107" s="68" t="s">
        <v>59</v>
      </c>
      <c r="G107" s="12">
        <v>44559</v>
      </c>
      <c r="H107" s="69" t="s">
        <v>4687</v>
      </c>
      <c r="I107" s="15">
        <v>92</v>
      </c>
      <c r="J107" s="15">
        <v>57</v>
      </c>
      <c r="K107" s="15">
        <v>26</v>
      </c>
      <c r="L107" s="15">
        <v>29</v>
      </c>
      <c r="M107" s="73">
        <v>34.085999999999999</v>
      </c>
      <c r="N107" s="104">
        <v>34.085999999999999</v>
      </c>
      <c r="O107" s="57">
        <v>7000</v>
      </c>
      <c r="P107" s="58">
        <f t="shared" si="1"/>
        <v>238602</v>
      </c>
    </row>
    <row r="108" spans="1:16" ht="26.25" customHeight="1" x14ac:dyDescent="0.2">
      <c r="A108" s="100"/>
      <c r="B108" s="100"/>
      <c r="C108" s="65" t="s">
        <v>5090</v>
      </c>
      <c r="D108" s="70" t="s">
        <v>57</v>
      </c>
      <c r="E108" s="12">
        <v>44555</v>
      </c>
      <c r="F108" s="68" t="s">
        <v>59</v>
      </c>
      <c r="G108" s="12">
        <v>44559</v>
      </c>
      <c r="H108" s="69" t="s">
        <v>4687</v>
      </c>
      <c r="I108" s="15">
        <v>47</v>
      </c>
      <c r="J108" s="15">
        <v>40</v>
      </c>
      <c r="K108" s="15">
        <v>217</v>
      </c>
      <c r="L108" s="15">
        <v>5</v>
      </c>
      <c r="M108" s="73">
        <v>101.99</v>
      </c>
      <c r="N108" s="104">
        <v>101.99</v>
      </c>
      <c r="O108" s="57">
        <v>7000</v>
      </c>
      <c r="P108" s="58">
        <f t="shared" si="1"/>
        <v>713930</v>
      </c>
    </row>
    <row r="109" spans="1:16" ht="26.25" customHeight="1" x14ac:dyDescent="0.2">
      <c r="A109" s="100"/>
      <c r="B109" s="100"/>
      <c r="C109" s="65" t="s">
        <v>5091</v>
      </c>
      <c r="D109" s="70" t="s">
        <v>57</v>
      </c>
      <c r="E109" s="12">
        <v>44555</v>
      </c>
      <c r="F109" s="68" t="s">
        <v>59</v>
      </c>
      <c r="G109" s="12">
        <v>44559</v>
      </c>
      <c r="H109" s="69" t="s">
        <v>4687</v>
      </c>
      <c r="I109" s="15">
        <v>40</v>
      </c>
      <c r="J109" s="15">
        <v>40</v>
      </c>
      <c r="K109" s="15">
        <v>33</v>
      </c>
      <c r="L109" s="15">
        <v>29</v>
      </c>
      <c r="M109" s="73">
        <v>13.2</v>
      </c>
      <c r="N109" s="104">
        <v>29</v>
      </c>
      <c r="O109" s="57">
        <v>7000</v>
      </c>
      <c r="P109" s="58">
        <f t="shared" si="1"/>
        <v>203000</v>
      </c>
    </row>
    <row r="110" spans="1:16" ht="26.25" customHeight="1" x14ac:dyDescent="0.2">
      <c r="A110" s="100"/>
      <c r="B110" s="100"/>
      <c r="C110" s="65" t="s">
        <v>5092</v>
      </c>
      <c r="D110" s="70" t="s">
        <v>57</v>
      </c>
      <c r="E110" s="12">
        <v>44555</v>
      </c>
      <c r="F110" s="68" t="s">
        <v>59</v>
      </c>
      <c r="G110" s="12">
        <v>44559</v>
      </c>
      <c r="H110" s="69" t="s">
        <v>4687</v>
      </c>
      <c r="I110" s="15">
        <v>50</v>
      </c>
      <c r="J110" s="15">
        <v>35</v>
      </c>
      <c r="K110" s="15">
        <v>25</v>
      </c>
      <c r="L110" s="15">
        <v>20</v>
      </c>
      <c r="M110" s="73">
        <v>10.9375</v>
      </c>
      <c r="N110" s="104">
        <v>20</v>
      </c>
      <c r="O110" s="57">
        <v>7000</v>
      </c>
      <c r="P110" s="58">
        <f t="shared" si="1"/>
        <v>140000</v>
      </c>
    </row>
    <row r="111" spans="1:16" ht="26.25" customHeight="1" x14ac:dyDescent="0.2">
      <c r="A111" s="100"/>
      <c r="B111" s="100"/>
      <c r="C111" s="65" t="s">
        <v>5093</v>
      </c>
      <c r="D111" s="70" t="s">
        <v>57</v>
      </c>
      <c r="E111" s="12">
        <v>44555</v>
      </c>
      <c r="F111" s="68" t="s">
        <v>59</v>
      </c>
      <c r="G111" s="12">
        <v>44559</v>
      </c>
      <c r="H111" s="69" t="s">
        <v>4687</v>
      </c>
      <c r="I111" s="15">
        <v>30</v>
      </c>
      <c r="J111" s="15">
        <v>30</v>
      </c>
      <c r="K111" s="15">
        <v>30</v>
      </c>
      <c r="L111" s="15">
        <v>4</v>
      </c>
      <c r="M111" s="73">
        <v>6.75</v>
      </c>
      <c r="N111" s="104">
        <v>6.75</v>
      </c>
      <c r="O111" s="57">
        <v>7000</v>
      </c>
      <c r="P111" s="58">
        <f t="shared" si="1"/>
        <v>47250</v>
      </c>
    </row>
    <row r="112" spans="1:16" ht="26.25" customHeight="1" x14ac:dyDescent="0.2">
      <c r="A112" s="100"/>
      <c r="B112" s="100"/>
      <c r="C112" s="65" t="s">
        <v>5094</v>
      </c>
      <c r="D112" s="70" t="s">
        <v>57</v>
      </c>
      <c r="E112" s="12">
        <v>44555</v>
      </c>
      <c r="F112" s="68" t="s">
        <v>59</v>
      </c>
      <c r="G112" s="12">
        <v>44559</v>
      </c>
      <c r="H112" s="69" t="s">
        <v>4687</v>
      </c>
      <c r="I112" s="15">
        <v>53</v>
      </c>
      <c r="J112" s="15">
        <v>53</v>
      </c>
      <c r="K112" s="15">
        <v>56</v>
      </c>
      <c r="L112" s="15">
        <v>31</v>
      </c>
      <c r="M112" s="73">
        <v>39.326000000000001</v>
      </c>
      <c r="N112" s="104">
        <v>40</v>
      </c>
      <c r="O112" s="57">
        <v>7000</v>
      </c>
      <c r="P112" s="58">
        <f t="shared" si="1"/>
        <v>280000</v>
      </c>
    </row>
    <row r="113" spans="1:16" ht="26.25" customHeight="1" x14ac:dyDescent="0.2">
      <c r="A113" s="100"/>
      <c r="B113" s="100"/>
      <c r="C113" s="65" t="s">
        <v>5095</v>
      </c>
      <c r="D113" s="70" t="s">
        <v>57</v>
      </c>
      <c r="E113" s="12">
        <v>44555</v>
      </c>
      <c r="F113" s="68" t="s">
        <v>59</v>
      </c>
      <c r="G113" s="12">
        <v>44559</v>
      </c>
      <c r="H113" s="69" t="s">
        <v>4687</v>
      </c>
      <c r="I113" s="15">
        <v>98</v>
      </c>
      <c r="J113" s="15">
        <v>16</v>
      </c>
      <c r="K113" s="15">
        <v>10</v>
      </c>
      <c r="L113" s="15">
        <v>1</v>
      </c>
      <c r="M113" s="73">
        <v>3.92</v>
      </c>
      <c r="N113" s="104">
        <v>3.92</v>
      </c>
      <c r="O113" s="57">
        <v>7000</v>
      </c>
      <c r="P113" s="58">
        <f t="shared" si="1"/>
        <v>27440</v>
      </c>
    </row>
    <row r="114" spans="1:16" ht="26.25" customHeight="1" x14ac:dyDescent="0.2">
      <c r="A114" s="100"/>
      <c r="B114" s="100"/>
      <c r="C114" s="65" t="s">
        <v>5096</v>
      </c>
      <c r="D114" s="70" t="s">
        <v>57</v>
      </c>
      <c r="E114" s="12">
        <v>44555</v>
      </c>
      <c r="F114" s="68" t="s">
        <v>59</v>
      </c>
      <c r="G114" s="12">
        <v>44559</v>
      </c>
      <c r="H114" s="69" t="s">
        <v>4687</v>
      </c>
      <c r="I114" s="15">
        <v>85</v>
      </c>
      <c r="J114" s="15">
        <v>48</v>
      </c>
      <c r="K114" s="15">
        <v>13</v>
      </c>
      <c r="L114" s="15">
        <v>3</v>
      </c>
      <c r="M114" s="73">
        <v>13.26</v>
      </c>
      <c r="N114" s="104">
        <v>13.26</v>
      </c>
      <c r="O114" s="57">
        <v>7000</v>
      </c>
      <c r="P114" s="58">
        <f t="shared" si="1"/>
        <v>92820</v>
      </c>
    </row>
    <row r="115" spans="1:16" ht="26.25" customHeight="1" x14ac:dyDescent="0.2">
      <c r="A115" s="100"/>
      <c r="B115" s="100"/>
      <c r="C115" s="65" t="s">
        <v>5097</v>
      </c>
      <c r="D115" s="70" t="s">
        <v>57</v>
      </c>
      <c r="E115" s="12">
        <v>44555</v>
      </c>
      <c r="F115" s="68" t="s">
        <v>59</v>
      </c>
      <c r="G115" s="12">
        <v>44559</v>
      </c>
      <c r="H115" s="69" t="s">
        <v>4687</v>
      </c>
      <c r="I115" s="15">
        <v>88</v>
      </c>
      <c r="J115" s="15">
        <v>54</v>
      </c>
      <c r="K115" s="15">
        <v>15</v>
      </c>
      <c r="L115" s="15">
        <v>10</v>
      </c>
      <c r="M115" s="73">
        <v>17.82</v>
      </c>
      <c r="N115" s="104">
        <v>17.82</v>
      </c>
      <c r="O115" s="57">
        <v>7000</v>
      </c>
      <c r="P115" s="58">
        <f t="shared" si="1"/>
        <v>124740</v>
      </c>
    </row>
    <row r="116" spans="1:16" ht="26.25" customHeight="1" x14ac:dyDescent="0.2">
      <c r="A116" s="100"/>
      <c r="B116" s="100"/>
      <c r="C116" s="65" t="s">
        <v>5098</v>
      </c>
      <c r="D116" s="70" t="s">
        <v>57</v>
      </c>
      <c r="E116" s="12">
        <v>44555</v>
      </c>
      <c r="F116" s="68" t="s">
        <v>59</v>
      </c>
      <c r="G116" s="12">
        <v>44559</v>
      </c>
      <c r="H116" s="69" t="s">
        <v>4687</v>
      </c>
      <c r="I116" s="15">
        <v>70</v>
      </c>
      <c r="J116" s="15">
        <v>40</v>
      </c>
      <c r="K116" s="15">
        <v>40</v>
      </c>
      <c r="L116" s="15">
        <v>12</v>
      </c>
      <c r="M116" s="73">
        <v>28</v>
      </c>
      <c r="N116" s="104">
        <v>28</v>
      </c>
      <c r="O116" s="57">
        <v>7000</v>
      </c>
      <c r="P116" s="58">
        <f t="shared" si="1"/>
        <v>196000</v>
      </c>
    </row>
    <row r="117" spans="1:16" ht="26.25" customHeight="1" x14ac:dyDescent="0.2">
      <c r="A117" s="100"/>
      <c r="B117" s="100"/>
      <c r="C117" s="65" t="s">
        <v>5099</v>
      </c>
      <c r="D117" s="70" t="s">
        <v>57</v>
      </c>
      <c r="E117" s="12">
        <v>44555</v>
      </c>
      <c r="F117" s="68" t="s">
        <v>59</v>
      </c>
      <c r="G117" s="12">
        <v>44559</v>
      </c>
      <c r="H117" s="69" t="s">
        <v>4687</v>
      </c>
      <c r="I117" s="15">
        <v>88</v>
      </c>
      <c r="J117" s="15">
        <v>15</v>
      </c>
      <c r="K117" s="15">
        <v>15</v>
      </c>
      <c r="L117" s="15">
        <v>1</v>
      </c>
      <c r="M117" s="73">
        <v>4.95</v>
      </c>
      <c r="N117" s="104">
        <v>4.95</v>
      </c>
      <c r="O117" s="57">
        <v>7000</v>
      </c>
      <c r="P117" s="58">
        <f t="shared" si="1"/>
        <v>34650</v>
      </c>
    </row>
    <row r="118" spans="1:16" ht="26.25" customHeight="1" x14ac:dyDescent="0.2">
      <c r="A118" s="100"/>
      <c r="B118" s="100"/>
      <c r="C118" s="65" t="s">
        <v>5100</v>
      </c>
      <c r="D118" s="70" t="s">
        <v>57</v>
      </c>
      <c r="E118" s="12">
        <v>44555</v>
      </c>
      <c r="F118" s="68" t="s">
        <v>59</v>
      </c>
      <c r="G118" s="12">
        <v>44559</v>
      </c>
      <c r="H118" s="69" t="s">
        <v>4687</v>
      </c>
      <c r="I118" s="15">
        <v>36</v>
      </c>
      <c r="J118" s="15">
        <v>36</v>
      </c>
      <c r="K118" s="15">
        <v>17</v>
      </c>
      <c r="L118" s="15">
        <v>1</v>
      </c>
      <c r="M118" s="73">
        <v>5.508</v>
      </c>
      <c r="N118" s="104">
        <v>5.508</v>
      </c>
      <c r="O118" s="57">
        <v>7000</v>
      </c>
      <c r="P118" s="58">
        <f t="shared" si="1"/>
        <v>38556</v>
      </c>
    </row>
    <row r="119" spans="1:16" ht="26.25" customHeight="1" x14ac:dyDescent="0.2">
      <c r="A119" s="100"/>
      <c r="B119" s="100"/>
      <c r="C119" s="65" t="s">
        <v>5101</v>
      </c>
      <c r="D119" s="70" t="s">
        <v>57</v>
      </c>
      <c r="E119" s="12">
        <v>44555</v>
      </c>
      <c r="F119" s="68" t="s">
        <v>59</v>
      </c>
      <c r="G119" s="12">
        <v>44559</v>
      </c>
      <c r="H119" s="69" t="s">
        <v>4687</v>
      </c>
      <c r="I119" s="15">
        <v>50</v>
      </c>
      <c r="J119" s="15">
        <v>27</v>
      </c>
      <c r="K119" s="15">
        <v>27</v>
      </c>
      <c r="L119" s="15">
        <v>6</v>
      </c>
      <c r="M119" s="73">
        <v>9.1125000000000007</v>
      </c>
      <c r="N119" s="104">
        <v>9.1125000000000007</v>
      </c>
      <c r="O119" s="57">
        <v>7000</v>
      </c>
      <c r="P119" s="58">
        <f t="shared" si="1"/>
        <v>63787.500000000007</v>
      </c>
    </row>
    <row r="120" spans="1:16" ht="26.25" customHeight="1" x14ac:dyDescent="0.2">
      <c r="A120" s="100"/>
      <c r="B120" s="100"/>
      <c r="C120" s="65" t="s">
        <v>5102</v>
      </c>
      <c r="D120" s="70" t="s">
        <v>57</v>
      </c>
      <c r="E120" s="12">
        <v>44555</v>
      </c>
      <c r="F120" s="68" t="s">
        <v>59</v>
      </c>
      <c r="G120" s="12">
        <v>44559</v>
      </c>
      <c r="H120" s="69" t="s">
        <v>4687</v>
      </c>
      <c r="I120" s="15">
        <v>97</v>
      </c>
      <c r="J120" s="15">
        <v>45</v>
      </c>
      <c r="K120" s="15">
        <v>32</v>
      </c>
      <c r="L120" s="15">
        <v>18</v>
      </c>
      <c r="M120" s="73">
        <v>34.92</v>
      </c>
      <c r="N120" s="104">
        <v>34.92</v>
      </c>
      <c r="O120" s="57">
        <v>7000</v>
      </c>
      <c r="P120" s="58">
        <f t="shared" si="1"/>
        <v>244440</v>
      </c>
    </row>
    <row r="121" spans="1:16" ht="26.25" customHeight="1" x14ac:dyDescent="0.2">
      <c r="A121" s="100"/>
      <c r="B121" s="100"/>
      <c r="C121" s="65" t="s">
        <v>5103</v>
      </c>
      <c r="D121" s="70" t="s">
        <v>57</v>
      </c>
      <c r="E121" s="12">
        <v>44555</v>
      </c>
      <c r="F121" s="68" t="s">
        <v>59</v>
      </c>
      <c r="G121" s="12">
        <v>44559</v>
      </c>
      <c r="H121" s="69" t="s">
        <v>4687</v>
      </c>
      <c r="I121" s="15">
        <v>100</v>
      </c>
      <c r="J121" s="15">
        <v>15</v>
      </c>
      <c r="K121" s="15">
        <v>15</v>
      </c>
      <c r="L121" s="15">
        <v>1</v>
      </c>
      <c r="M121" s="73">
        <v>5.625</v>
      </c>
      <c r="N121" s="104">
        <v>5.625</v>
      </c>
      <c r="O121" s="57">
        <v>7000</v>
      </c>
      <c r="P121" s="58">
        <f t="shared" si="1"/>
        <v>39375</v>
      </c>
    </row>
    <row r="122" spans="1:16" ht="26.25" customHeight="1" x14ac:dyDescent="0.2">
      <c r="A122" s="100"/>
      <c r="B122" s="100"/>
      <c r="C122" s="65" t="s">
        <v>5104</v>
      </c>
      <c r="D122" s="70" t="s">
        <v>57</v>
      </c>
      <c r="E122" s="12">
        <v>44555</v>
      </c>
      <c r="F122" s="68" t="s">
        <v>59</v>
      </c>
      <c r="G122" s="12">
        <v>44559</v>
      </c>
      <c r="H122" s="69" t="s">
        <v>4687</v>
      </c>
      <c r="I122" s="15">
        <v>88</v>
      </c>
      <c r="J122" s="15">
        <v>65</v>
      </c>
      <c r="K122" s="15">
        <v>35</v>
      </c>
      <c r="L122" s="15">
        <v>14</v>
      </c>
      <c r="M122" s="73">
        <v>50.05</v>
      </c>
      <c r="N122" s="104">
        <v>50.05</v>
      </c>
      <c r="O122" s="57">
        <v>7000</v>
      </c>
      <c r="P122" s="58">
        <f t="shared" si="1"/>
        <v>350350</v>
      </c>
    </row>
    <row r="123" spans="1:16" ht="26.25" customHeight="1" x14ac:dyDescent="0.2">
      <c r="A123" s="100"/>
      <c r="B123" s="100"/>
      <c r="C123" s="65" t="s">
        <v>5105</v>
      </c>
      <c r="D123" s="70" t="s">
        <v>57</v>
      </c>
      <c r="E123" s="12">
        <v>44555</v>
      </c>
      <c r="F123" s="68" t="s">
        <v>59</v>
      </c>
      <c r="G123" s="12">
        <v>44559</v>
      </c>
      <c r="H123" s="69" t="s">
        <v>4687</v>
      </c>
      <c r="I123" s="15">
        <v>54</v>
      </c>
      <c r="J123" s="15">
        <v>35</v>
      </c>
      <c r="K123" s="15">
        <v>15</v>
      </c>
      <c r="L123" s="15">
        <v>4</v>
      </c>
      <c r="M123" s="73">
        <v>7.0875000000000004</v>
      </c>
      <c r="N123" s="104">
        <v>7.0875000000000004</v>
      </c>
      <c r="O123" s="57">
        <v>7000</v>
      </c>
      <c r="P123" s="58">
        <f t="shared" si="1"/>
        <v>49612.5</v>
      </c>
    </row>
    <row r="124" spans="1:16" ht="26.25" customHeight="1" x14ac:dyDescent="0.2">
      <c r="A124" s="100"/>
      <c r="B124" s="100"/>
      <c r="C124" s="65" t="s">
        <v>5106</v>
      </c>
      <c r="D124" s="70" t="s">
        <v>57</v>
      </c>
      <c r="E124" s="12">
        <v>44555</v>
      </c>
      <c r="F124" s="68" t="s">
        <v>59</v>
      </c>
      <c r="G124" s="12">
        <v>44559</v>
      </c>
      <c r="H124" s="69" t="s">
        <v>4687</v>
      </c>
      <c r="I124" s="15">
        <v>67</v>
      </c>
      <c r="J124" s="15">
        <v>40</v>
      </c>
      <c r="K124" s="15">
        <v>17</v>
      </c>
      <c r="L124" s="15">
        <v>6</v>
      </c>
      <c r="M124" s="73">
        <v>11.39</v>
      </c>
      <c r="N124" s="104">
        <v>12</v>
      </c>
      <c r="O124" s="57">
        <v>7000</v>
      </c>
      <c r="P124" s="58">
        <f t="shared" si="1"/>
        <v>84000</v>
      </c>
    </row>
    <row r="125" spans="1:16" ht="26.25" customHeight="1" x14ac:dyDescent="0.2">
      <c r="A125" s="100"/>
      <c r="B125" s="100"/>
      <c r="C125" s="65" t="s">
        <v>5107</v>
      </c>
      <c r="D125" s="70" t="s">
        <v>57</v>
      </c>
      <c r="E125" s="12">
        <v>44555</v>
      </c>
      <c r="F125" s="68" t="s">
        <v>59</v>
      </c>
      <c r="G125" s="12">
        <v>44559</v>
      </c>
      <c r="H125" s="69" t="s">
        <v>4687</v>
      </c>
      <c r="I125" s="15">
        <v>100</v>
      </c>
      <c r="J125" s="15">
        <v>24</v>
      </c>
      <c r="K125" s="15">
        <v>10</v>
      </c>
      <c r="L125" s="15">
        <v>1</v>
      </c>
      <c r="M125" s="73">
        <v>6</v>
      </c>
      <c r="N125" s="104">
        <v>6</v>
      </c>
      <c r="O125" s="57">
        <v>7000</v>
      </c>
      <c r="P125" s="58">
        <f t="shared" si="1"/>
        <v>42000</v>
      </c>
    </row>
    <row r="126" spans="1:16" ht="26.25" customHeight="1" x14ac:dyDescent="0.2">
      <c r="A126" s="100"/>
      <c r="B126" s="100"/>
      <c r="C126" s="65" t="s">
        <v>5108</v>
      </c>
      <c r="D126" s="70" t="s">
        <v>57</v>
      </c>
      <c r="E126" s="12">
        <v>44555</v>
      </c>
      <c r="F126" s="68" t="s">
        <v>59</v>
      </c>
      <c r="G126" s="12">
        <v>44559</v>
      </c>
      <c r="H126" s="69" t="s">
        <v>4687</v>
      </c>
      <c r="I126" s="15">
        <v>95</v>
      </c>
      <c r="J126" s="15">
        <v>61</v>
      </c>
      <c r="K126" s="15">
        <v>17</v>
      </c>
      <c r="L126" s="15">
        <v>5</v>
      </c>
      <c r="M126" s="73">
        <v>24.62875</v>
      </c>
      <c r="N126" s="104">
        <v>24.62875</v>
      </c>
      <c r="O126" s="57">
        <v>7000</v>
      </c>
      <c r="P126" s="58">
        <f t="shared" si="1"/>
        <v>172401.25</v>
      </c>
    </row>
    <row r="127" spans="1:16" ht="26.25" customHeight="1" x14ac:dyDescent="0.2">
      <c r="A127" s="100"/>
      <c r="B127" s="100"/>
      <c r="C127" s="65" t="s">
        <v>5109</v>
      </c>
      <c r="D127" s="70" t="s">
        <v>57</v>
      </c>
      <c r="E127" s="12">
        <v>44555</v>
      </c>
      <c r="F127" s="68" t="s">
        <v>59</v>
      </c>
      <c r="G127" s="12">
        <v>44559</v>
      </c>
      <c r="H127" s="69" t="s">
        <v>4687</v>
      </c>
      <c r="I127" s="15">
        <v>50</v>
      </c>
      <c r="J127" s="15">
        <v>35</v>
      </c>
      <c r="K127" s="15">
        <v>16</v>
      </c>
      <c r="L127" s="15">
        <v>3</v>
      </c>
      <c r="M127" s="73">
        <v>7</v>
      </c>
      <c r="N127" s="104">
        <v>7</v>
      </c>
      <c r="O127" s="57">
        <v>7000</v>
      </c>
      <c r="P127" s="58">
        <f t="shared" si="1"/>
        <v>49000</v>
      </c>
    </row>
    <row r="128" spans="1:16" ht="26.25" customHeight="1" x14ac:dyDescent="0.2">
      <c r="A128" s="100"/>
      <c r="B128" s="101"/>
      <c r="C128" s="65" t="s">
        <v>5110</v>
      </c>
      <c r="D128" s="70" t="s">
        <v>57</v>
      </c>
      <c r="E128" s="12">
        <v>44555</v>
      </c>
      <c r="F128" s="68" t="s">
        <v>59</v>
      </c>
      <c r="G128" s="12">
        <v>44559</v>
      </c>
      <c r="H128" s="69" t="s">
        <v>4687</v>
      </c>
      <c r="I128" s="15">
        <v>45</v>
      </c>
      <c r="J128" s="15">
        <v>35</v>
      </c>
      <c r="K128" s="15">
        <v>16</v>
      </c>
      <c r="L128" s="15">
        <v>3</v>
      </c>
      <c r="M128" s="73">
        <v>6.3</v>
      </c>
      <c r="N128" s="104">
        <v>7</v>
      </c>
      <c r="O128" s="57">
        <v>7000</v>
      </c>
      <c r="P128" s="58">
        <f t="shared" si="1"/>
        <v>49000</v>
      </c>
    </row>
    <row r="129" spans="1:16" ht="26.25" customHeight="1" x14ac:dyDescent="0.2">
      <c r="A129" s="100"/>
      <c r="B129" s="100" t="s">
        <v>5111</v>
      </c>
      <c r="C129" s="65" t="s">
        <v>5112</v>
      </c>
      <c r="D129" s="70" t="s">
        <v>57</v>
      </c>
      <c r="E129" s="12">
        <v>44555</v>
      </c>
      <c r="F129" s="68" t="s">
        <v>59</v>
      </c>
      <c r="G129" s="12">
        <v>44559</v>
      </c>
      <c r="H129" s="69" t="s">
        <v>4687</v>
      </c>
      <c r="I129" s="15">
        <v>45</v>
      </c>
      <c r="J129" s="15">
        <v>45</v>
      </c>
      <c r="K129" s="15">
        <v>15</v>
      </c>
      <c r="L129" s="15">
        <v>5</v>
      </c>
      <c r="M129" s="73">
        <v>7.59375</v>
      </c>
      <c r="N129" s="104">
        <v>7.59375</v>
      </c>
      <c r="O129" s="57">
        <v>7000</v>
      </c>
      <c r="P129" s="58">
        <f t="shared" si="1"/>
        <v>53156.25</v>
      </c>
    </row>
    <row r="130" spans="1:16" ht="26.25" customHeight="1" x14ac:dyDescent="0.2">
      <c r="A130" s="100"/>
      <c r="B130" s="100"/>
      <c r="C130" s="65" t="s">
        <v>5113</v>
      </c>
      <c r="D130" s="70" t="s">
        <v>57</v>
      </c>
      <c r="E130" s="12">
        <v>44555</v>
      </c>
      <c r="F130" s="68" t="s">
        <v>59</v>
      </c>
      <c r="G130" s="12">
        <v>44559</v>
      </c>
      <c r="H130" s="69" t="s">
        <v>4687</v>
      </c>
      <c r="I130" s="15">
        <v>54</v>
      </c>
      <c r="J130" s="15">
        <v>50</v>
      </c>
      <c r="K130" s="15">
        <v>30</v>
      </c>
      <c r="L130" s="15">
        <v>7</v>
      </c>
      <c r="M130" s="73">
        <v>20.25</v>
      </c>
      <c r="N130" s="104">
        <v>20.25</v>
      </c>
      <c r="O130" s="57">
        <v>7000</v>
      </c>
      <c r="P130" s="58">
        <f t="shared" si="1"/>
        <v>141750</v>
      </c>
    </row>
    <row r="131" spans="1:16" ht="26.25" customHeight="1" x14ac:dyDescent="0.2">
      <c r="A131" s="100"/>
      <c r="B131" s="100"/>
      <c r="C131" s="65" t="s">
        <v>5114</v>
      </c>
      <c r="D131" s="70" t="s">
        <v>57</v>
      </c>
      <c r="E131" s="12">
        <v>44555</v>
      </c>
      <c r="F131" s="68" t="s">
        <v>59</v>
      </c>
      <c r="G131" s="12">
        <v>44559</v>
      </c>
      <c r="H131" s="69" t="s">
        <v>4687</v>
      </c>
      <c r="I131" s="15">
        <v>70</v>
      </c>
      <c r="J131" s="15">
        <v>55</v>
      </c>
      <c r="K131" s="15">
        <v>32</v>
      </c>
      <c r="L131" s="15">
        <v>15</v>
      </c>
      <c r="M131" s="73">
        <v>30.8</v>
      </c>
      <c r="N131" s="104">
        <v>30.8</v>
      </c>
      <c r="O131" s="57">
        <v>7000</v>
      </c>
      <c r="P131" s="58">
        <f t="shared" ref="P131:P138" si="2">N131*O131</f>
        <v>215600</v>
      </c>
    </row>
    <row r="132" spans="1:16" ht="26.25" customHeight="1" x14ac:dyDescent="0.2">
      <c r="A132" s="100"/>
      <c r="B132" s="101"/>
      <c r="C132" s="90" t="s">
        <v>5115</v>
      </c>
      <c r="D132" s="102" t="s">
        <v>57</v>
      </c>
      <c r="E132" s="91">
        <v>44555</v>
      </c>
      <c r="F132" s="102" t="s">
        <v>59</v>
      </c>
      <c r="G132" s="91">
        <v>44559</v>
      </c>
      <c r="H132" s="90" t="s">
        <v>4687</v>
      </c>
      <c r="I132" s="90">
        <v>57</v>
      </c>
      <c r="J132" s="90">
        <v>47</v>
      </c>
      <c r="K132" s="90">
        <v>37</v>
      </c>
      <c r="L132" s="90">
        <v>30</v>
      </c>
      <c r="M132" s="90">
        <v>24.780750000000001</v>
      </c>
      <c r="N132" s="104">
        <v>30</v>
      </c>
      <c r="O132" s="57">
        <v>7000</v>
      </c>
      <c r="P132" s="58">
        <f t="shared" si="2"/>
        <v>210000</v>
      </c>
    </row>
    <row r="133" spans="1:16" ht="26.25" customHeight="1" x14ac:dyDescent="0.2">
      <c r="A133" s="100"/>
      <c r="B133" s="100" t="s">
        <v>5116</v>
      </c>
      <c r="C133" s="90" t="s">
        <v>5117</v>
      </c>
      <c r="D133" s="102" t="s">
        <v>57</v>
      </c>
      <c r="E133" s="91">
        <v>44555</v>
      </c>
      <c r="F133" s="102" t="s">
        <v>59</v>
      </c>
      <c r="G133" s="91">
        <v>44559</v>
      </c>
      <c r="H133" s="90" t="s">
        <v>4687</v>
      </c>
      <c r="I133" s="90">
        <v>62</v>
      </c>
      <c r="J133" s="90">
        <v>30</v>
      </c>
      <c r="K133" s="90">
        <v>25</v>
      </c>
      <c r="L133" s="90">
        <v>9</v>
      </c>
      <c r="M133" s="90">
        <v>11.625</v>
      </c>
      <c r="N133" s="104">
        <v>11.625</v>
      </c>
      <c r="O133" s="57">
        <v>7000</v>
      </c>
      <c r="P133" s="58">
        <f t="shared" si="2"/>
        <v>81375</v>
      </c>
    </row>
    <row r="134" spans="1:16" ht="26.25" customHeight="1" x14ac:dyDescent="0.2">
      <c r="A134" s="100"/>
      <c r="B134" s="100"/>
      <c r="C134" s="65" t="s">
        <v>5118</v>
      </c>
      <c r="D134" s="70" t="s">
        <v>57</v>
      </c>
      <c r="E134" s="12">
        <v>44555</v>
      </c>
      <c r="F134" s="68" t="s">
        <v>59</v>
      </c>
      <c r="G134" s="12">
        <v>44559</v>
      </c>
      <c r="H134" s="69" t="s">
        <v>4687</v>
      </c>
      <c r="I134" s="15">
        <v>48</v>
      </c>
      <c r="J134" s="15">
        <v>37</v>
      </c>
      <c r="K134" s="15">
        <v>30</v>
      </c>
      <c r="L134" s="15">
        <v>10</v>
      </c>
      <c r="M134" s="73">
        <v>13.32</v>
      </c>
      <c r="N134" s="104">
        <v>13.32</v>
      </c>
      <c r="O134" s="57">
        <v>7000</v>
      </c>
      <c r="P134" s="58">
        <f t="shared" si="2"/>
        <v>93240</v>
      </c>
    </row>
    <row r="135" spans="1:16" ht="26.25" customHeight="1" x14ac:dyDescent="0.2">
      <c r="A135" s="100"/>
      <c r="B135" s="100"/>
      <c r="C135" s="65" t="s">
        <v>5119</v>
      </c>
      <c r="D135" s="70" t="s">
        <v>57</v>
      </c>
      <c r="E135" s="12">
        <v>44555</v>
      </c>
      <c r="F135" s="68" t="s">
        <v>59</v>
      </c>
      <c r="G135" s="12">
        <v>44559</v>
      </c>
      <c r="H135" s="69" t="s">
        <v>4687</v>
      </c>
      <c r="I135" s="15">
        <v>65</v>
      </c>
      <c r="J135" s="15">
        <v>37</v>
      </c>
      <c r="K135" s="15">
        <v>8</v>
      </c>
      <c r="L135" s="15">
        <v>10</v>
      </c>
      <c r="M135" s="73">
        <v>4.8099999999999996</v>
      </c>
      <c r="N135" s="104">
        <v>10</v>
      </c>
      <c r="O135" s="57">
        <v>7000</v>
      </c>
      <c r="P135" s="58">
        <f t="shared" si="2"/>
        <v>70000</v>
      </c>
    </row>
    <row r="136" spans="1:16" ht="26.25" customHeight="1" x14ac:dyDescent="0.2">
      <c r="A136" s="100"/>
      <c r="B136" s="100"/>
      <c r="C136" s="65" t="s">
        <v>5120</v>
      </c>
      <c r="D136" s="70" t="s">
        <v>57</v>
      </c>
      <c r="E136" s="12">
        <v>44555</v>
      </c>
      <c r="F136" s="68" t="s">
        <v>59</v>
      </c>
      <c r="G136" s="12">
        <v>44559</v>
      </c>
      <c r="H136" s="69" t="s">
        <v>4687</v>
      </c>
      <c r="I136" s="15">
        <v>75</v>
      </c>
      <c r="J136" s="15">
        <v>43</v>
      </c>
      <c r="K136" s="15">
        <v>43</v>
      </c>
      <c r="L136" s="15">
        <v>11</v>
      </c>
      <c r="M136" s="73">
        <v>34.668750000000003</v>
      </c>
      <c r="N136" s="104">
        <v>34.668750000000003</v>
      </c>
      <c r="O136" s="57">
        <v>7000</v>
      </c>
      <c r="P136" s="58">
        <f t="shared" si="2"/>
        <v>242681.25000000003</v>
      </c>
    </row>
    <row r="137" spans="1:16" ht="26.25" customHeight="1" x14ac:dyDescent="0.2">
      <c r="A137" s="100"/>
      <c r="B137" s="101"/>
      <c r="C137" s="65" t="s">
        <v>5121</v>
      </c>
      <c r="D137" s="70" t="s">
        <v>57</v>
      </c>
      <c r="E137" s="12">
        <v>44555</v>
      </c>
      <c r="F137" s="68" t="s">
        <v>59</v>
      </c>
      <c r="G137" s="12">
        <v>44559</v>
      </c>
      <c r="H137" s="69" t="s">
        <v>4687</v>
      </c>
      <c r="I137" s="15">
        <v>43</v>
      </c>
      <c r="J137" s="15">
        <v>43</v>
      </c>
      <c r="K137" s="15">
        <v>55</v>
      </c>
      <c r="L137" s="15">
        <v>14</v>
      </c>
      <c r="M137" s="73">
        <v>25.423749999999998</v>
      </c>
      <c r="N137" s="104">
        <v>25.423749999999998</v>
      </c>
      <c r="O137" s="57">
        <v>7000</v>
      </c>
      <c r="P137" s="58">
        <f t="shared" si="2"/>
        <v>177966.25</v>
      </c>
    </row>
    <row r="138" spans="1:16" ht="26.25" customHeight="1" x14ac:dyDescent="0.2">
      <c r="A138" s="100"/>
      <c r="B138" s="100" t="s">
        <v>5122</v>
      </c>
      <c r="C138" s="65" t="s">
        <v>5123</v>
      </c>
      <c r="D138" s="70" t="s">
        <v>57</v>
      </c>
      <c r="E138" s="12">
        <v>44555</v>
      </c>
      <c r="F138" s="68" t="s">
        <v>59</v>
      </c>
      <c r="G138" s="12">
        <v>44559</v>
      </c>
      <c r="H138" s="69" t="s">
        <v>4687</v>
      </c>
      <c r="I138" s="15">
        <v>58</v>
      </c>
      <c r="J138" s="15">
        <v>50</v>
      </c>
      <c r="K138" s="15">
        <v>40</v>
      </c>
      <c r="L138" s="15">
        <v>8</v>
      </c>
      <c r="M138" s="73">
        <v>29</v>
      </c>
      <c r="N138" s="104">
        <v>29</v>
      </c>
      <c r="O138" s="57">
        <v>7000</v>
      </c>
      <c r="P138" s="58">
        <f t="shared" si="2"/>
        <v>203000</v>
      </c>
    </row>
    <row r="139" spans="1:16" ht="22.5" customHeight="1" x14ac:dyDescent="0.2">
      <c r="A139" s="159" t="s">
        <v>30</v>
      </c>
      <c r="B139" s="160"/>
      <c r="C139" s="160"/>
      <c r="D139" s="160"/>
      <c r="E139" s="160"/>
      <c r="F139" s="160"/>
      <c r="G139" s="160"/>
      <c r="H139" s="160"/>
      <c r="I139" s="160"/>
      <c r="J139" s="160"/>
      <c r="K139" s="160"/>
      <c r="L139" s="161"/>
      <c r="M139" s="71">
        <f>SUBTOTAL(109,Table224578910112345678910111213141516171819202122232425262728293031323334353738394041424344454647484950515253545556575859606162636465666768697071727374757677787980[KG VOLUME])</f>
        <v>2823.326</v>
      </c>
      <c r="N139" s="61">
        <f>SUM(N3:N138)</f>
        <v>2920.12925</v>
      </c>
      <c r="O139" s="162">
        <f>SUM(P3:P138)</f>
        <v>20440904.75</v>
      </c>
      <c r="P139" s="163"/>
    </row>
    <row r="140" spans="1:16" ht="18" customHeight="1" x14ac:dyDescent="0.2">
      <c r="A140" s="78"/>
      <c r="B140" s="49" t="s">
        <v>42</v>
      </c>
      <c r="C140" s="48"/>
      <c r="D140" s="50" t="s">
        <v>43</v>
      </c>
      <c r="E140" s="78"/>
      <c r="F140" s="78"/>
      <c r="G140" s="78"/>
      <c r="H140" s="78"/>
      <c r="I140" s="78"/>
      <c r="J140" s="78"/>
      <c r="K140" s="78"/>
      <c r="L140" s="78"/>
      <c r="M140" s="79"/>
      <c r="N140" s="80" t="s">
        <v>52</v>
      </c>
      <c r="O140" s="81"/>
      <c r="P140" s="81">
        <v>0</v>
      </c>
    </row>
    <row r="141" spans="1:16" ht="18" customHeight="1" thickBot="1" x14ac:dyDescent="0.25">
      <c r="A141" s="78"/>
      <c r="B141" s="49"/>
      <c r="C141" s="48"/>
      <c r="D141" s="50"/>
      <c r="E141" s="78"/>
      <c r="F141" s="78"/>
      <c r="G141" s="78"/>
      <c r="H141" s="78"/>
      <c r="I141" s="78"/>
      <c r="J141" s="78"/>
      <c r="K141" s="78"/>
      <c r="L141" s="78"/>
      <c r="M141" s="79"/>
      <c r="N141" s="82" t="s">
        <v>53</v>
      </c>
      <c r="O141" s="83"/>
      <c r="P141" s="83">
        <f>O139-P140</f>
        <v>20440904.75</v>
      </c>
    </row>
    <row r="142" spans="1:16" ht="18" customHeight="1" x14ac:dyDescent="0.2">
      <c r="A142" s="10"/>
      <c r="H142" s="56"/>
      <c r="N142" s="55" t="s">
        <v>31</v>
      </c>
      <c r="P142" s="62">
        <f>P141*1%</f>
        <v>204409.04750000002</v>
      </c>
    </row>
    <row r="143" spans="1:16" ht="18" customHeight="1" thickBot="1" x14ac:dyDescent="0.25">
      <c r="A143" s="10"/>
      <c r="H143" s="56"/>
      <c r="N143" s="55" t="s">
        <v>54</v>
      </c>
      <c r="P143" s="64">
        <f>P141*2%</f>
        <v>408818.09500000003</v>
      </c>
    </row>
    <row r="144" spans="1:16" ht="18" customHeight="1" x14ac:dyDescent="0.2">
      <c r="A144" s="10"/>
      <c r="H144" s="56"/>
      <c r="N144" s="59" t="s">
        <v>32</v>
      </c>
      <c r="O144" s="60"/>
      <c r="P144" s="63">
        <f>P141+P142-P143</f>
        <v>20236495.702500001</v>
      </c>
    </row>
    <row r="146" spans="1:16" x14ac:dyDescent="0.2">
      <c r="A146" s="10"/>
      <c r="H146" s="56"/>
      <c r="P146" s="64"/>
    </row>
    <row r="147" spans="1:16" x14ac:dyDescent="0.2">
      <c r="A147" s="10"/>
      <c r="H147" s="56"/>
      <c r="O147" s="51"/>
      <c r="P147" s="64"/>
    </row>
    <row r="148" spans="1:16" s="3" customFormat="1" x14ac:dyDescent="0.25">
      <c r="A148" s="10"/>
      <c r="B148" s="2"/>
      <c r="C148" s="2"/>
      <c r="E148" s="11"/>
      <c r="H148" s="56"/>
      <c r="N148" s="14"/>
      <c r="O148" s="14"/>
      <c r="P148" s="14"/>
    </row>
    <row r="149" spans="1:16" s="3" customFormat="1" x14ac:dyDescent="0.25">
      <c r="A149" s="10"/>
      <c r="B149" s="2"/>
      <c r="C149" s="2"/>
      <c r="E149" s="11"/>
      <c r="H149" s="56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56"/>
      <c r="N150" s="14"/>
      <c r="O150" s="14"/>
      <c r="P150" s="14"/>
    </row>
    <row r="151" spans="1:16" s="3" customFormat="1" x14ac:dyDescent="0.25">
      <c r="A151" s="10"/>
      <c r="B151" s="2"/>
      <c r="C151" s="2"/>
      <c r="E151" s="11"/>
      <c r="H151" s="56"/>
      <c r="N151" s="14"/>
      <c r="O151" s="14"/>
      <c r="P151" s="14"/>
    </row>
    <row r="152" spans="1:16" s="3" customFormat="1" x14ac:dyDescent="0.25">
      <c r="A152" s="10"/>
      <c r="B152" s="2"/>
      <c r="C152" s="2"/>
      <c r="E152" s="11"/>
      <c r="H152" s="56"/>
      <c r="N152" s="14"/>
      <c r="O152" s="14"/>
      <c r="P152" s="14"/>
    </row>
    <row r="153" spans="1:16" s="3" customFormat="1" x14ac:dyDescent="0.25">
      <c r="A153" s="10"/>
      <c r="B153" s="2"/>
      <c r="C153" s="2"/>
      <c r="E153" s="11"/>
      <c r="H153" s="56"/>
      <c r="N153" s="14"/>
      <c r="O153" s="14"/>
      <c r="P153" s="14"/>
    </row>
    <row r="154" spans="1:16" s="3" customFormat="1" x14ac:dyDescent="0.25">
      <c r="A154" s="10"/>
      <c r="B154" s="2"/>
      <c r="C154" s="2"/>
      <c r="E154" s="11"/>
      <c r="H154" s="56"/>
      <c r="N154" s="14"/>
      <c r="O154" s="14"/>
      <c r="P154" s="14"/>
    </row>
    <row r="155" spans="1:16" s="3" customFormat="1" x14ac:dyDescent="0.25">
      <c r="A155" s="10"/>
      <c r="B155" s="2"/>
      <c r="C155" s="2"/>
      <c r="E155" s="11"/>
      <c r="H155" s="56"/>
      <c r="N155" s="14"/>
      <c r="O155" s="14"/>
      <c r="P155" s="14"/>
    </row>
    <row r="156" spans="1:16" s="3" customFormat="1" x14ac:dyDescent="0.25">
      <c r="A156" s="10"/>
      <c r="B156" s="2"/>
      <c r="C156" s="2"/>
      <c r="E156" s="11"/>
      <c r="H156" s="56"/>
      <c r="N156" s="14"/>
      <c r="O156" s="14"/>
      <c r="P156" s="14"/>
    </row>
    <row r="157" spans="1:16" s="3" customFormat="1" x14ac:dyDescent="0.25">
      <c r="A157" s="10"/>
      <c r="B157" s="2"/>
      <c r="C157" s="2"/>
      <c r="E157" s="11"/>
      <c r="H157" s="56"/>
      <c r="N157" s="14"/>
      <c r="O157" s="14"/>
      <c r="P157" s="14"/>
    </row>
    <row r="158" spans="1:16" s="3" customFormat="1" x14ac:dyDescent="0.25">
      <c r="A158" s="10"/>
      <c r="B158" s="2"/>
      <c r="C158" s="2"/>
      <c r="E158" s="11"/>
      <c r="H158" s="56"/>
      <c r="N158" s="14"/>
      <c r="O158" s="14"/>
      <c r="P158" s="1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</sheetData>
  <mergeCells count="2">
    <mergeCell ref="A139:L139"/>
    <mergeCell ref="O139:P139"/>
  </mergeCells>
  <conditionalFormatting sqref="C3:C138">
    <cfRule type="duplicateValues" dxfId="335" priority="10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0"/>
  <sheetViews>
    <sheetView topLeftCell="A8" workbookViewId="0">
      <selection activeCell="D14" sqref="D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402106</v>
      </c>
      <c r="B3" s="99" t="s">
        <v>5124</v>
      </c>
      <c r="C3" s="90" t="s">
        <v>5125</v>
      </c>
      <c r="D3" s="102" t="s">
        <v>57</v>
      </c>
      <c r="E3" s="91">
        <v>44556</v>
      </c>
      <c r="F3" s="102" t="s">
        <v>59</v>
      </c>
      <c r="G3" s="91">
        <v>44559</v>
      </c>
      <c r="H3" s="90" t="s">
        <v>4687</v>
      </c>
      <c r="I3" s="90">
        <v>54</v>
      </c>
      <c r="J3" s="90">
        <v>37</v>
      </c>
      <c r="K3" s="90">
        <v>13</v>
      </c>
      <c r="L3" s="90">
        <v>3</v>
      </c>
      <c r="M3" s="90">
        <v>6.4935</v>
      </c>
      <c r="N3" s="104">
        <v>7</v>
      </c>
      <c r="O3" s="57">
        <v>7000</v>
      </c>
      <c r="P3" s="58">
        <f t="shared" ref="P3:P19" si="0">N3*O3</f>
        <v>49000</v>
      </c>
    </row>
    <row r="4" spans="1:16" ht="26.25" customHeight="1" x14ac:dyDescent="0.2">
      <c r="A4" s="100"/>
      <c r="B4" s="100"/>
      <c r="C4" s="90" t="s">
        <v>5126</v>
      </c>
      <c r="D4" s="102" t="s">
        <v>57</v>
      </c>
      <c r="E4" s="91">
        <v>44556</v>
      </c>
      <c r="F4" s="102" t="s">
        <v>59</v>
      </c>
      <c r="G4" s="91">
        <v>44559</v>
      </c>
      <c r="H4" s="90" t="s">
        <v>4687</v>
      </c>
      <c r="I4" s="90">
        <v>62</v>
      </c>
      <c r="J4" s="90">
        <v>42</v>
      </c>
      <c r="K4" s="90">
        <v>18</v>
      </c>
      <c r="L4" s="90">
        <v>4</v>
      </c>
      <c r="M4" s="90">
        <v>11.718</v>
      </c>
      <c r="N4" s="104">
        <v>11.718</v>
      </c>
      <c r="O4" s="57">
        <v>7000</v>
      </c>
      <c r="P4" s="58">
        <f t="shared" si="0"/>
        <v>82026</v>
      </c>
    </row>
    <row r="5" spans="1:16" ht="26.25" customHeight="1" x14ac:dyDescent="0.2">
      <c r="A5" s="100"/>
      <c r="B5" s="100"/>
      <c r="C5" s="90" t="s">
        <v>5127</v>
      </c>
      <c r="D5" s="102" t="s">
        <v>57</v>
      </c>
      <c r="E5" s="91">
        <v>44556</v>
      </c>
      <c r="F5" s="102" t="s">
        <v>59</v>
      </c>
      <c r="G5" s="91">
        <v>44559</v>
      </c>
      <c r="H5" s="90" t="s">
        <v>4687</v>
      </c>
      <c r="I5" s="90">
        <v>72</v>
      </c>
      <c r="J5" s="90">
        <v>72</v>
      </c>
      <c r="K5" s="90">
        <v>32</v>
      </c>
      <c r="L5" s="90">
        <v>9</v>
      </c>
      <c r="M5" s="90">
        <v>41.472000000000001</v>
      </c>
      <c r="N5" s="104">
        <v>42</v>
      </c>
      <c r="O5" s="57">
        <v>7000</v>
      </c>
      <c r="P5" s="58">
        <f t="shared" si="0"/>
        <v>294000</v>
      </c>
    </row>
    <row r="6" spans="1:16" ht="26.25" customHeight="1" x14ac:dyDescent="0.2">
      <c r="A6" s="100"/>
      <c r="B6" s="100"/>
      <c r="C6" s="90" t="s">
        <v>5128</v>
      </c>
      <c r="D6" s="102" t="s">
        <v>57</v>
      </c>
      <c r="E6" s="91">
        <v>44556</v>
      </c>
      <c r="F6" s="102" t="s">
        <v>59</v>
      </c>
      <c r="G6" s="91">
        <v>44559</v>
      </c>
      <c r="H6" s="90" t="s">
        <v>4687</v>
      </c>
      <c r="I6" s="90">
        <v>44</v>
      </c>
      <c r="J6" s="90">
        <v>40</v>
      </c>
      <c r="K6" s="90">
        <v>24</v>
      </c>
      <c r="L6" s="90">
        <v>6</v>
      </c>
      <c r="M6" s="90">
        <v>10.56</v>
      </c>
      <c r="N6" s="104">
        <v>10.56</v>
      </c>
      <c r="O6" s="57">
        <v>7000</v>
      </c>
      <c r="P6" s="58">
        <f t="shared" si="0"/>
        <v>73920</v>
      </c>
    </row>
    <row r="7" spans="1:16" ht="26.25" customHeight="1" x14ac:dyDescent="0.2">
      <c r="A7" s="100"/>
      <c r="B7" s="100"/>
      <c r="C7" s="65" t="s">
        <v>5129</v>
      </c>
      <c r="D7" s="70" t="s">
        <v>57</v>
      </c>
      <c r="E7" s="12">
        <v>44556</v>
      </c>
      <c r="F7" s="68" t="s">
        <v>59</v>
      </c>
      <c r="G7" s="12">
        <v>44559</v>
      </c>
      <c r="H7" s="69" t="s">
        <v>4687</v>
      </c>
      <c r="I7" s="15">
        <v>58</v>
      </c>
      <c r="J7" s="15">
        <v>48</v>
      </c>
      <c r="K7" s="15">
        <v>17</v>
      </c>
      <c r="L7" s="15">
        <v>2</v>
      </c>
      <c r="M7" s="73">
        <v>11.832000000000001</v>
      </c>
      <c r="N7" s="104">
        <v>11.832000000000001</v>
      </c>
      <c r="O7" s="57">
        <v>7000</v>
      </c>
      <c r="P7" s="58">
        <f t="shared" si="0"/>
        <v>82824</v>
      </c>
    </row>
    <row r="8" spans="1:16" ht="26.25" customHeight="1" x14ac:dyDescent="0.2">
      <c r="A8" s="100"/>
      <c r="B8" s="100"/>
      <c r="C8" s="65" t="s">
        <v>5130</v>
      </c>
      <c r="D8" s="70" t="s">
        <v>57</v>
      </c>
      <c r="E8" s="12">
        <v>44556</v>
      </c>
      <c r="F8" s="68" t="s">
        <v>59</v>
      </c>
      <c r="G8" s="12">
        <v>44559</v>
      </c>
      <c r="H8" s="69" t="s">
        <v>4687</v>
      </c>
      <c r="I8" s="15">
        <v>52</v>
      </c>
      <c r="J8" s="15">
        <v>44</v>
      </c>
      <c r="K8" s="15">
        <v>20</v>
      </c>
      <c r="L8" s="15">
        <v>2</v>
      </c>
      <c r="M8" s="73">
        <v>11.44</v>
      </c>
      <c r="N8" s="104">
        <v>12</v>
      </c>
      <c r="O8" s="57">
        <v>7000</v>
      </c>
      <c r="P8" s="58">
        <f t="shared" si="0"/>
        <v>84000</v>
      </c>
    </row>
    <row r="9" spans="1:16" ht="26.25" customHeight="1" x14ac:dyDescent="0.2">
      <c r="A9" s="100"/>
      <c r="B9" s="100"/>
      <c r="C9" s="65" t="s">
        <v>5131</v>
      </c>
      <c r="D9" s="70" t="s">
        <v>57</v>
      </c>
      <c r="E9" s="12">
        <v>44556</v>
      </c>
      <c r="F9" s="68" t="s">
        <v>59</v>
      </c>
      <c r="G9" s="12">
        <v>44559</v>
      </c>
      <c r="H9" s="69" t="s">
        <v>4687</v>
      </c>
      <c r="I9" s="15">
        <v>48</v>
      </c>
      <c r="J9" s="15">
        <v>52</v>
      </c>
      <c r="K9" s="15">
        <v>28</v>
      </c>
      <c r="L9" s="15">
        <v>7</v>
      </c>
      <c r="M9" s="73">
        <v>17.472000000000001</v>
      </c>
      <c r="N9" s="104">
        <v>18</v>
      </c>
      <c r="O9" s="57">
        <v>7000</v>
      </c>
      <c r="P9" s="58">
        <f t="shared" si="0"/>
        <v>126000</v>
      </c>
    </row>
    <row r="10" spans="1:16" ht="26.25" customHeight="1" x14ac:dyDescent="0.2">
      <c r="A10" s="100"/>
      <c r="B10" s="100"/>
      <c r="C10" s="65" t="s">
        <v>5132</v>
      </c>
      <c r="D10" s="70" t="s">
        <v>57</v>
      </c>
      <c r="E10" s="12">
        <v>44556</v>
      </c>
      <c r="F10" s="68" t="s">
        <v>59</v>
      </c>
      <c r="G10" s="12">
        <v>44559</v>
      </c>
      <c r="H10" s="69" t="s">
        <v>4687</v>
      </c>
      <c r="I10" s="15">
        <v>56</v>
      </c>
      <c r="J10" s="15">
        <v>26</v>
      </c>
      <c r="K10" s="15">
        <v>21</v>
      </c>
      <c r="L10" s="15">
        <v>1</v>
      </c>
      <c r="M10" s="73">
        <v>7.6440000000000001</v>
      </c>
      <c r="N10" s="104">
        <v>7.6440000000000001</v>
      </c>
      <c r="O10" s="57">
        <v>7000</v>
      </c>
      <c r="P10" s="58">
        <f t="shared" si="0"/>
        <v>53508</v>
      </c>
    </row>
    <row r="11" spans="1:16" ht="26.25" customHeight="1" x14ac:dyDescent="0.2">
      <c r="A11" s="100"/>
      <c r="B11" s="100"/>
      <c r="C11" s="65" t="s">
        <v>5133</v>
      </c>
      <c r="D11" s="70" t="s">
        <v>57</v>
      </c>
      <c r="E11" s="12">
        <v>44556</v>
      </c>
      <c r="F11" s="68" t="s">
        <v>59</v>
      </c>
      <c r="G11" s="12">
        <v>44559</v>
      </c>
      <c r="H11" s="69" t="s">
        <v>4687</v>
      </c>
      <c r="I11" s="15">
        <v>67</v>
      </c>
      <c r="J11" s="15">
        <v>57</v>
      </c>
      <c r="K11" s="15">
        <v>20</v>
      </c>
      <c r="L11" s="15">
        <v>5</v>
      </c>
      <c r="M11" s="73">
        <v>19.094999999999999</v>
      </c>
      <c r="N11" s="104">
        <v>19.094999999999999</v>
      </c>
      <c r="O11" s="57">
        <v>7000</v>
      </c>
      <c r="P11" s="58">
        <f t="shared" si="0"/>
        <v>133665</v>
      </c>
    </row>
    <row r="12" spans="1:16" ht="26.25" customHeight="1" x14ac:dyDescent="0.2">
      <c r="A12" s="100"/>
      <c r="B12" s="100"/>
      <c r="C12" s="65" t="s">
        <v>5134</v>
      </c>
      <c r="D12" s="70" t="s">
        <v>57</v>
      </c>
      <c r="E12" s="12">
        <v>44556</v>
      </c>
      <c r="F12" s="68" t="s">
        <v>59</v>
      </c>
      <c r="G12" s="12">
        <v>44559</v>
      </c>
      <c r="H12" s="69" t="s">
        <v>4687</v>
      </c>
      <c r="I12" s="15">
        <v>78</v>
      </c>
      <c r="J12" s="15">
        <v>56</v>
      </c>
      <c r="K12" s="15">
        <v>28</v>
      </c>
      <c r="L12" s="15">
        <v>5</v>
      </c>
      <c r="M12" s="73">
        <v>30.576000000000001</v>
      </c>
      <c r="N12" s="104">
        <v>30.576000000000001</v>
      </c>
      <c r="O12" s="57">
        <v>7000</v>
      </c>
      <c r="P12" s="58">
        <f t="shared" si="0"/>
        <v>214032</v>
      </c>
    </row>
    <row r="13" spans="1:16" ht="26.25" customHeight="1" x14ac:dyDescent="0.2">
      <c r="A13" s="100"/>
      <c r="B13" s="100"/>
      <c r="C13" s="65" t="s">
        <v>5135</v>
      </c>
      <c r="D13" s="70" t="s">
        <v>57</v>
      </c>
      <c r="E13" s="12">
        <v>44556</v>
      </c>
      <c r="F13" s="68" t="s">
        <v>59</v>
      </c>
      <c r="G13" s="12">
        <v>44559</v>
      </c>
      <c r="H13" s="69" t="s">
        <v>4687</v>
      </c>
      <c r="I13" s="15">
        <v>37</v>
      </c>
      <c r="J13" s="15">
        <v>16</v>
      </c>
      <c r="K13" s="15">
        <v>13</v>
      </c>
      <c r="L13" s="15">
        <v>1</v>
      </c>
      <c r="M13" s="73">
        <v>1.9239999999999999</v>
      </c>
      <c r="N13" s="104">
        <v>1.9239999999999999</v>
      </c>
      <c r="O13" s="57">
        <v>7000</v>
      </c>
      <c r="P13" s="58">
        <f t="shared" si="0"/>
        <v>13468</v>
      </c>
    </row>
    <row r="14" spans="1:16" ht="26.25" customHeight="1" x14ac:dyDescent="0.2">
      <c r="A14" s="100"/>
      <c r="B14" s="100"/>
      <c r="C14" s="65" t="s">
        <v>5136</v>
      </c>
      <c r="D14" s="70" t="s">
        <v>57</v>
      </c>
      <c r="E14" s="12">
        <v>44556</v>
      </c>
      <c r="F14" s="68" t="s">
        <v>59</v>
      </c>
      <c r="G14" s="12">
        <v>44559</v>
      </c>
      <c r="H14" s="69" t="s">
        <v>4687</v>
      </c>
      <c r="I14" s="15">
        <v>58</v>
      </c>
      <c r="J14" s="15">
        <v>38</v>
      </c>
      <c r="K14" s="15">
        <v>15</v>
      </c>
      <c r="L14" s="15">
        <v>2</v>
      </c>
      <c r="M14" s="73">
        <v>8.2650000000000006</v>
      </c>
      <c r="N14" s="104">
        <v>8.2650000000000006</v>
      </c>
      <c r="O14" s="57">
        <v>7000</v>
      </c>
      <c r="P14" s="58">
        <f t="shared" si="0"/>
        <v>57855.000000000007</v>
      </c>
    </row>
    <row r="15" spans="1:16" ht="26.25" customHeight="1" x14ac:dyDescent="0.2">
      <c r="A15" s="100"/>
      <c r="B15" s="100"/>
      <c r="C15" s="65" t="s">
        <v>5137</v>
      </c>
      <c r="D15" s="70" t="s">
        <v>57</v>
      </c>
      <c r="E15" s="12">
        <v>44556</v>
      </c>
      <c r="F15" s="68" t="s">
        <v>59</v>
      </c>
      <c r="G15" s="12">
        <v>44559</v>
      </c>
      <c r="H15" s="69" t="s">
        <v>4687</v>
      </c>
      <c r="I15" s="15">
        <v>16</v>
      </c>
      <c r="J15" s="15">
        <v>23</v>
      </c>
      <c r="K15" s="15">
        <v>10</v>
      </c>
      <c r="L15" s="15">
        <v>1</v>
      </c>
      <c r="M15" s="73">
        <v>0.92</v>
      </c>
      <c r="N15" s="104">
        <v>1</v>
      </c>
      <c r="O15" s="57">
        <v>7000</v>
      </c>
      <c r="P15" s="58">
        <f t="shared" si="0"/>
        <v>7000</v>
      </c>
    </row>
    <row r="16" spans="1:16" ht="26.25" customHeight="1" x14ac:dyDescent="0.2">
      <c r="A16" s="100"/>
      <c r="B16" s="100"/>
      <c r="C16" s="65" t="s">
        <v>5138</v>
      </c>
      <c r="D16" s="70" t="s">
        <v>57</v>
      </c>
      <c r="E16" s="12">
        <v>44556</v>
      </c>
      <c r="F16" s="68" t="s">
        <v>59</v>
      </c>
      <c r="G16" s="12">
        <v>44559</v>
      </c>
      <c r="H16" s="69" t="s">
        <v>4687</v>
      </c>
      <c r="I16" s="15">
        <v>66</v>
      </c>
      <c r="J16" s="15">
        <v>61</v>
      </c>
      <c r="K16" s="15">
        <v>24</v>
      </c>
      <c r="L16" s="15">
        <v>9</v>
      </c>
      <c r="M16" s="73">
        <v>24.155999999999999</v>
      </c>
      <c r="N16" s="104">
        <v>24.155999999999999</v>
      </c>
      <c r="O16" s="57">
        <v>7000</v>
      </c>
      <c r="P16" s="58">
        <f t="shared" si="0"/>
        <v>169092</v>
      </c>
    </row>
    <row r="17" spans="1:16" ht="26.25" customHeight="1" x14ac:dyDescent="0.2">
      <c r="A17" s="100"/>
      <c r="B17" s="101"/>
      <c r="C17" s="65" t="s">
        <v>5139</v>
      </c>
      <c r="D17" s="70" t="s">
        <v>57</v>
      </c>
      <c r="E17" s="12">
        <v>44556</v>
      </c>
      <c r="F17" s="68" t="s">
        <v>59</v>
      </c>
      <c r="G17" s="12">
        <v>44559</v>
      </c>
      <c r="H17" s="69" t="s">
        <v>4687</v>
      </c>
      <c r="I17" s="15">
        <v>40</v>
      </c>
      <c r="J17" s="15">
        <v>37</v>
      </c>
      <c r="K17" s="15">
        <v>30</v>
      </c>
      <c r="L17" s="15">
        <v>5</v>
      </c>
      <c r="M17" s="73">
        <v>11.1</v>
      </c>
      <c r="N17" s="104">
        <v>11.1</v>
      </c>
      <c r="O17" s="57">
        <v>7000</v>
      </c>
      <c r="P17" s="58">
        <f t="shared" si="0"/>
        <v>77700</v>
      </c>
    </row>
    <row r="18" spans="1:16" ht="26.25" customHeight="1" x14ac:dyDescent="0.2">
      <c r="A18" s="100"/>
      <c r="B18" s="100" t="s">
        <v>5140</v>
      </c>
      <c r="C18" s="65" t="s">
        <v>5141</v>
      </c>
      <c r="D18" s="70" t="s">
        <v>57</v>
      </c>
      <c r="E18" s="12">
        <v>44556</v>
      </c>
      <c r="F18" s="68" t="s">
        <v>59</v>
      </c>
      <c r="G18" s="12">
        <v>44559</v>
      </c>
      <c r="H18" s="69" t="s">
        <v>4687</v>
      </c>
      <c r="I18" s="15">
        <v>16</v>
      </c>
      <c r="J18" s="15">
        <v>16</v>
      </c>
      <c r="K18" s="15">
        <v>3</v>
      </c>
      <c r="L18" s="15">
        <v>1</v>
      </c>
      <c r="M18" s="73">
        <v>0.192</v>
      </c>
      <c r="N18" s="104">
        <v>1</v>
      </c>
      <c r="O18" s="57">
        <v>7000</v>
      </c>
      <c r="P18" s="58">
        <f t="shared" si="0"/>
        <v>7000</v>
      </c>
    </row>
    <row r="19" spans="1:16" ht="26.25" customHeight="1" x14ac:dyDescent="0.2">
      <c r="A19" s="100"/>
      <c r="B19" s="100"/>
      <c r="C19" s="65" t="s">
        <v>5142</v>
      </c>
      <c r="D19" s="70" t="s">
        <v>57</v>
      </c>
      <c r="E19" s="12">
        <v>44556</v>
      </c>
      <c r="F19" s="68" t="s">
        <v>59</v>
      </c>
      <c r="G19" s="12">
        <v>44559</v>
      </c>
      <c r="H19" s="69" t="s">
        <v>4687</v>
      </c>
      <c r="I19" s="15">
        <v>80</v>
      </c>
      <c r="J19" s="15">
        <v>54</v>
      </c>
      <c r="K19" s="15">
        <v>22</v>
      </c>
      <c r="L19" s="15">
        <v>12</v>
      </c>
      <c r="M19" s="73">
        <v>23.76</v>
      </c>
      <c r="N19" s="104">
        <v>23.76</v>
      </c>
      <c r="O19" s="57">
        <v>7000</v>
      </c>
      <c r="P19" s="58">
        <f t="shared" si="0"/>
        <v>166320</v>
      </c>
    </row>
    <row r="20" spans="1:16" ht="22.5" customHeight="1" x14ac:dyDescent="0.2">
      <c r="A20" s="159" t="s">
        <v>30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1"/>
      <c r="M20" s="71">
        <f>SUBTOTAL(109,Table22457891011234567891011121314151617181920212223242526272829303132333435373839404142434445464748495051525354555657585960616263646566676869707172737475767778798081[KG VOLUME])</f>
        <v>238.61950000000002</v>
      </c>
      <c r="N20" s="61">
        <f>SUM(N3:N19)</f>
        <v>241.63000000000002</v>
      </c>
      <c r="O20" s="162">
        <f>SUM(P3:P19)</f>
        <v>1691410</v>
      </c>
      <c r="P20" s="163"/>
    </row>
    <row r="21" spans="1:16" ht="18" customHeight="1" x14ac:dyDescent="0.2">
      <c r="A21" s="78"/>
      <c r="B21" s="49" t="s">
        <v>42</v>
      </c>
      <c r="C21" s="48"/>
      <c r="D21" s="50" t="s">
        <v>43</v>
      </c>
      <c r="E21" s="78"/>
      <c r="F21" s="78"/>
      <c r="G21" s="78"/>
      <c r="H21" s="78"/>
      <c r="I21" s="78"/>
      <c r="J21" s="78"/>
      <c r="K21" s="78"/>
      <c r="L21" s="78"/>
      <c r="M21" s="79"/>
      <c r="N21" s="80" t="s">
        <v>52</v>
      </c>
      <c r="O21" s="81"/>
      <c r="P21" s="81">
        <v>0</v>
      </c>
    </row>
    <row r="22" spans="1:16" ht="18" customHeight="1" thickBot="1" x14ac:dyDescent="0.25">
      <c r="A22" s="78"/>
      <c r="B22" s="49"/>
      <c r="C22" s="48"/>
      <c r="D22" s="50"/>
      <c r="E22" s="78"/>
      <c r="F22" s="78"/>
      <c r="G22" s="78"/>
      <c r="H22" s="78"/>
      <c r="I22" s="78"/>
      <c r="J22" s="78"/>
      <c r="K22" s="78"/>
      <c r="L22" s="78"/>
      <c r="M22" s="79"/>
      <c r="N22" s="82" t="s">
        <v>53</v>
      </c>
      <c r="O22" s="83"/>
      <c r="P22" s="83">
        <f>O20-P21</f>
        <v>1691410</v>
      </c>
    </row>
    <row r="23" spans="1:16" ht="18" customHeight="1" x14ac:dyDescent="0.2">
      <c r="A23" s="10"/>
      <c r="H23" s="56"/>
      <c r="N23" s="55" t="s">
        <v>31</v>
      </c>
      <c r="P23" s="62">
        <f>P22*1%</f>
        <v>16914.099999999999</v>
      </c>
    </row>
    <row r="24" spans="1:16" ht="18" customHeight="1" thickBot="1" x14ac:dyDescent="0.25">
      <c r="A24" s="10"/>
      <c r="H24" s="56"/>
      <c r="N24" s="55" t="s">
        <v>54</v>
      </c>
      <c r="P24" s="64">
        <f>P22*2%</f>
        <v>33828.199999999997</v>
      </c>
    </row>
    <row r="25" spans="1:16" ht="18" customHeight="1" x14ac:dyDescent="0.2">
      <c r="A25" s="10"/>
      <c r="H25" s="56"/>
      <c r="N25" s="59" t="s">
        <v>32</v>
      </c>
      <c r="O25" s="60"/>
      <c r="P25" s="63">
        <f>P22+P23-P24</f>
        <v>1674495.9000000001</v>
      </c>
    </row>
    <row r="27" spans="1:16" x14ac:dyDescent="0.2">
      <c r="A27" s="10"/>
      <c r="H27" s="56"/>
      <c r="P27" s="64"/>
    </row>
    <row r="28" spans="1:16" x14ac:dyDescent="0.2">
      <c r="A28" s="10"/>
      <c r="H28" s="56"/>
      <c r="O28" s="51"/>
      <c r="P28" s="6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</sheetData>
  <mergeCells count="2">
    <mergeCell ref="A20:L20"/>
    <mergeCell ref="O20:P20"/>
  </mergeCells>
  <conditionalFormatting sqref="C3:C19">
    <cfRule type="duplicateValues" dxfId="319" priority="11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topLeftCell="A25" workbookViewId="0">
      <selection activeCell="G38" sqref="G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7.75" customHeight="1" x14ac:dyDescent="0.2">
      <c r="A3" s="99">
        <v>403991</v>
      </c>
      <c r="B3" s="99" t="s">
        <v>5143</v>
      </c>
      <c r="C3" s="90" t="s">
        <v>5144</v>
      </c>
      <c r="D3" s="102" t="s">
        <v>57</v>
      </c>
      <c r="E3" s="91">
        <v>44556</v>
      </c>
      <c r="F3" s="102" t="s">
        <v>59</v>
      </c>
      <c r="G3" s="91">
        <v>44559</v>
      </c>
      <c r="H3" s="90" t="s">
        <v>4687</v>
      </c>
      <c r="I3" s="90">
        <v>18</v>
      </c>
      <c r="J3" s="90">
        <v>87</v>
      </c>
      <c r="K3" s="90">
        <v>59</v>
      </c>
      <c r="L3" s="90">
        <v>5</v>
      </c>
      <c r="M3" s="90">
        <v>23.098500000000001</v>
      </c>
      <c r="N3" s="104">
        <v>23.098500000000001</v>
      </c>
      <c r="O3" s="57">
        <v>7000</v>
      </c>
      <c r="P3" s="58">
        <f t="shared" ref="P3:P27" si="0">N3*O3</f>
        <v>161689.5</v>
      </c>
    </row>
    <row r="4" spans="1:16" ht="27.75" customHeight="1" x14ac:dyDescent="0.2">
      <c r="A4" s="100"/>
      <c r="B4" s="100"/>
      <c r="C4" s="90" t="s">
        <v>5145</v>
      </c>
      <c r="D4" s="102" t="s">
        <v>57</v>
      </c>
      <c r="E4" s="91">
        <v>44556</v>
      </c>
      <c r="F4" s="102" t="s">
        <v>59</v>
      </c>
      <c r="G4" s="91">
        <v>44559</v>
      </c>
      <c r="H4" s="90" t="s">
        <v>4687</v>
      </c>
      <c r="I4" s="90">
        <v>85</v>
      </c>
      <c r="J4" s="90">
        <v>53</v>
      </c>
      <c r="K4" s="90">
        <v>45</v>
      </c>
      <c r="L4" s="90">
        <v>16</v>
      </c>
      <c r="M4" s="90">
        <v>50.681249999999999</v>
      </c>
      <c r="N4" s="104">
        <v>50.681249999999999</v>
      </c>
      <c r="O4" s="57">
        <v>7000</v>
      </c>
      <c r="P4" s="58">
        <f t="shared" si="0"/>
        <v>354768.75</v>
      </c>
    </row>
    <row r="5" spans="1:16" ht="27.75" customHeight="1" x14ac:dyDescent="0.2">
      <c r="A5" s="100"/>
      <c r="B5" s="100"/>
      <c r="C5" s="90" t="s">
        <v>5146</v>
      </c>
      <c r="D5" s="102" t="s">
        <v>57</v>
      </c>
      <c r="E5" s="91">
        <v>44556</v>
      </c>
      <c r="F5" s="102" t="s">
        <v>59</v>
      </c>
      <c r="G5" s="91">
        <v>44559</v>
      </c>
      <c r="H5" s="90" t="s">
        <v>4687</v>
      </c>
      <c r="I5" s="90">
        <v>55</v>
      </c>
      <c r="J5" s="90">
        <v>40</v>
      </c>
      <c r="K5" s="90">
        <v>19</v>
      </c>
      <c r="L5" s="90">
        <v>1</v>
      </c>
      <c r="M5" s="90">
        <v>10.45</v>
      </c>
      <c r="N5" s="104">
        <v>11</v>
      </c>
      <c r="O5" s="57">
        <v>7000</v>
      </c>
      <c r="P5" s="58">
        <f t="shared" si="0"/>
        <v>77000</v>
      </c>
    </row>
    <row r="6" spans="1:16" ht="27.75" customHeight="1" x14ac:dyDescent="0.2">
      <c r="A6" s="100"/>
      <c r="B6" s="100"/>
      <c r="C6" s="65" t="s">
        <v>5147</v>
      </c>
      <c r="D6" s="70" t="s">
        <v>57</v>
      </c>
      <c r="E6" s="12">
        <v>44556</v>
      </c>
      <c r="F6" s="68" t="s">
        <v>59</v>
      </c>
      <c r="G6" s="12">
        <v>44559</v>
      </c>
      <c r="H6" s="69" t="s">
        <v>4687</v>
      </c>
      <c r="I6" s="15">
        <v>87</v>
      </c>
      <c r="J6" s="15">
        <v>55</v>
      </c>
      <c r="K6" s="15">
        <v>23</v>
      </c>
      <c r="L6" s="15">
        <v>8</v>
      </c>
      <c r="M6" s="73">
        <v>27.513750000000002</v>
      </c>
      <c r="N6" s="104">
        <v>27.513750000000002</v>
      </c>
      <c r="O6" s="57">
        <v>7000</v>
      </c>
      <c r="P6" s="58">
        <f t="shared" si="0"/>
        <v>192596.25</v>
      </c>
    </row>
    <row r="7" spans="1:16" ht="27.75" customHeight="1" x14ac:dyDescent="0.2">
      <c r="A7" s="100"/>
      <c r="B7" s="100"/>
      <c r="C7" s="65" t="s">
        <v>5148</v>
      </c>
      <c r="D7" s="70" t="s">
        <v>57</v>
      </c>
      <c r="E7" s="12">
        <v>44556</v>
      </c>
      <c r="F7" s="68" t="s">
        <v>59</v>
      </c>
      <c r="G7" s="12">
        <v>44559</v>
      </c>
      <c r="H7" s="69" t="s">
        <v>4687</v>
      </c>
      <c r="I7" s="15">
        <v>100</v>
      </c>
      <c r="J7" s="15">
        <v>5</v>
      </c>
      <c r="K7" s="15">
        <v>5</v>
      </c>
      <c r="L7" s="15">
        <v>1</v>
      </c>
      <c r="M7" s="73">
        <v>0.625</v>
      </c>
      <c r="N7" s="104">
        <v>1</v>
      </c>
      <c r="O7" s="57">
        <v>7000</v>
      </c>
      <c r="P7" s="58">
        <f t="shared" si="0"/>
        <v>7000</v>
      </c>
    </row>
    <row r="8" spans="1:16" ht="27.75" customHeight="1" x14ac:dyDescent="0.2">
      <c r="A8" s="100"/>
      <c r="B8" s="100"/>
      <c r="C8" s="65" t="s">
        <v>5149</v>
      </c>
      <c r="D8" s="70" t="s">
        <v>57</v>
      </c>
      <c r="E8" s="12">
        <v>44556</v>
      </c>
      <c r="F8" s="68" t="s">
        <v>59</v>
      </c>
      <c r="G8" s="12">
        <v>44559</v>
      </c>
      <c r="H8" s="69" t="s">
        <v>4687</v>
      </c>
      <c r="I8" s="15">
        <v>101</v>
      </c>
      <c r="J8" s="15">
        <v>10</v>
      </c>
      <c r="K8" s="15">
        <v>10</v>
      </c>
      <c r="L8" s="15">
        <v>2</v>
      </c>
      <c r="M8" s="73">
        <v>2.5249999999999999</v>
      </c>
      <c r="N8" s="104">
        <v>2.5249999999999999</v>
      </c>
      <c r="O8" s="57">
        <v>7000</v>
      </c>
      <c r="P8" s="58">
        <f t="shared" si="0"/>
        <v>17675</v>
      </c>
    </row>
    <row r="9" spans="1:16" ht="27.75" customHeight="1" x14ac:dyDescent="0.2">
      <c r="A9" s="100"/>
      <c r="B9" s="100"/>
      <c r="C9" s="65" t="s">
        <v>5150</v>
      </c>
      <c r="D9" s="70" t="s">
        <v>57</v>
      </c>
      <c r="E9" s="12">
        <v>44556</v>
      </c>
      <c r="F9" s="68" t="s">
        <v>59</v>
      </c>
      <c r="G9" s="12">
        <v>44559</v>
      </c>
      <c r="H9" s="69" t="s">
        <v>4687</v>
      </c>
      <c r="I9" s="15">
        <v>55</v>
      </c>
      <c r="J9" s="15">
        <v>43</v>
      </c>
      <c r="K9" s="15">
        <v>20</v>
      </c>
      <c r="L9" s="15">
        <v>3</v>
      </c>
      <c r="M9" s="73">
        <v>11.824999999999999</v>
      </c>
      <c r="N9" s="104">
        <v>11.824999999999999</v>
      </c>
      <c r="O9" s="57">
        <v>7000</v>
      </c>
      <c r="P9" s="58">
        <f t="shared" si="0"/>
        <v>82775</v>
      </c>
    </row>
    <row r="10" spans="1:16" ht="27.75" customHeight="1" x14ac:dyDescent="0.2">
      <c r="A10" s="100"/>
      <c r="B10" s="100"/>
      <c r="C10" s="65" t="s">
        <v>5151</v>
      </c>
      <c r="D10" s="70" t="s">
        <v>57</v>
      </c>
      <c r="E10" s="12">
        <v>44556</v>
      </c>
      <c r="F10" s="68" t="s">
        <v>59</v>
      </c>
      <c r="G10" s="12">
        <v>44559</v>
      </c>
      <c r="H10" s="69" t="s">
        <v>4687</v>
      </c>
      <c r="I10" s="15">
        <v>53</v>
      </c>
      <c r="J10" s="15">
        <v>44</v>
      </c>
      <c r="K10" s="15">
        <v>23</v>
      </c>
      <c r="L10" s="15">
        <v>2</v>
      </c>
      <c r="M10" s="73">
        <v>13.409000000000001</v>
      </c>
      <c r="N10" s="104">
        <v>14</v>
      </c>
      <c r="O10" s="57">
        <v>7000</v>
      </c>
      <c r="P10" s="58">
        <f t="shared" si="0"/>
        <v>98000</v>
      </c>
    </row>
    <row r="11" spans="1:16" ht="27.75" customHeight="1" x14ac:dyDescent="0.2">
      <c r="A11" s="100"/>
      <c r="B11" s="100"/>
      <c r="C11" s="65" t="s">
        <v>5152</v>
      </c>
      <c r="D11" s="70" t="s">
        <v>57</v>
      </c>
      <c r="E11" s="12">
        <v>44556</v>
      </c>
      <c r="F11" s="68" t="s">
        <v>59</v>
      </c>
      <c r="G11" s="12">
        <v>44559</v>
      </c>
      <c r="H11" s="69" t="s">
        <v>4687</v>
      </c>
      <c r="I11" s="15">
        <v>58</v>
      </c>
      <c r="J11" s="15">
        <v>54</v>
      </c>
      <c r="K11" s="15">
        <v>15</v>
      </c>
      <c r="L11" s="15">
        <v>6</v>
      </c>
      <c r="M11" s="73">
        <v>11.744999999999999</v>
      </c>
      <c r="N11" s="104">
        <v>11.744999999999999</v>
      </c>
      <c r="O11" s="57">
        <v>7000</v>
      </c>
      <c r="P11" s="58">
        <f t="shared" si="0"/>
        <v>82215</v>
      </c>
    </row>
    <row r="12" spans="1:16" ht="27.75" customHeight="1" x14ac:dyDescent="0.2">
      <c r="A12" s="100"/>
      <c r="B12" s="100"/>
      <c r="C12" s="65" t="s">
        <v>5153</v>
      </c>
      <c r="D12" s="70" t="s">
        <v>57</v>
      </c>
      <c r="E12" s="12">
        <v>44556</v>
      </c>
      <c r="F12" s="68" t="s">
        <v>59</v>
      </c>
      <c r="G12" s="12">
        <v>44559</v>
      </c>
      <c r="H12" s="69" t="s">
        <v>4687</v>
      </c>
      <c r="I12" s="15">
        <v>82</v>
      </c>
      <c r="J12" s="15">
        <v>48</v>
      </c>
      <c r="K12" s="15">
        <v>30</v>
      </c>
      <c r="L12" s="15">
        <v>14</v>
      </c>
      <c r="M12" s="73">
        <v>29.52</v>
      </c>
      <c r="N12" s="104">
        <v>29.52</v>
      </c>
      <c r="O12" s="57">
        <v>7000</v>
      </c>
      <c r="P12" s="58">
        <f t="shared" si="0"/>
        <v>206640</v>
      </c>
    </row>
    <row r="13" spans="1:16" ht="27.75" customHeight="1" x14ac:dyDescent="0.2">
      <c r="A13" s="100"/>
      <c r="B13" s="100"/>
      <c r="C13" s="65" t="s">
        <v>5154</v>
      </c>
      <c r="D13" s="70" t="s">
        <v>57</v>
      </c>
      <c r="E13" s="12">
        <v>44556</v>
      </c>
      <c r="F13" s="68" t="s">
        <v>59</v>
      </c>
      <c r="G13" s="12">
        <v>44559</v>
      </c>
      <c r="H13" s="69" t="s">
        <v>4687</v>
      </c>
      <c r="I13" s="15">
        <v>55</v>
      </c>
      <c r="J13" s="15">
        <v>40</v>
      </c>
      <c r="K13" s="15">
        <v>14</v>
      </c>
      <c r="L13" s="15">
        <v>3</v>
      </c>
      <c r="M13" s="73">
        <v>7.7</v>
      </c>
      <c r="N13" s="104">
        <v>7.7</v>
      </c>
      <c r="O13" s="57">
        <v>7000</v>
      </c>
      <c r="P13" s="58">
        <f t="shared" si="0"/>
        <v>53900</v>
      </c>
    </row>
    <row r="14" spans="1:16" ht="27.75" customHeight="1" x14ac:dyDescent="0.2">
      <c r="A14" s="100"/>
      <c r="B14" s="100"/>
      <c r="C14" s="65" t="s">
        <v>5155</v>
      </c>
      <c r="D14" s="70" t="s">
        <v>57</v>
      </c>
      <c r="E14" s="12">
        <v>44556</v>
      </c>
      <c r="F14" s="68" t="s">
        <v>59</v>
      </c>
      <c r="G14" s="12">
        <v>44559</v>
      </c>
      <c r="H14" s="69" t="s">
        <v>4687</v>
      </c>
      <c r="I14" s="15">
        <v>93</v>
      </c>
      <c r="J14" s="15">
        <v>65</v>
      </c>
      <c r="K14" s="15">
        <v>30</v>
      </c>
      <c r="L14" s="15">
        <v>6</v>
      </c>
      <c r="M14" s="73">
        <v>45.337499999999999</v>
      </c>
      <c r="N14" s="104">
        <v>46</v>
      </c>
      <c r="O14" s="57">
        <v>7000</v>
      </c>
      <c r="P14" s="58">
        <f t="shared" si="0"/>
        <v>322000</v>
      </c>
    </row>
    <row r="15" spans="1:16" ht="27.75" customHeight="1" x14ac:dyDescent="0.2">
      <c r="A15" s="100"/>
      <c r="B15" s="100"/>
      <c r="C15" s="65" t="s">
        <v>5156</v>
      </c>
      <c r="D15" s="70" t="s">
        <v>57</v>
      </c>
      <c r="E15" s="12">
        <v>44556</v>
      </c>
      <c r="F15" s="68" t="s">
        <v>59</v>
      </c>
      <c r="G15" s="12">
        <v>44559</v>
      </c>
      <c r="H15" s="69" t="s">
        <v>4687</v>
      </c>
      <c r="I15" s="15">
        <v>92</v>
      </c>
      <c r="J15" s="15">
        <v>52</v>
      </c>
      <c r="K15" s="15">
        <v>20</v>
      </c>
      <c r="L15" s="15">
        <v>5</v>
      </c>
      <c r="M15" s="73">
        <v>23.92</v>
      </c>
      <c r="N15" s="104">
        <v>23.92</v>
      </c>
      <c r="O15" s="57">
        <v>7000</v>
      </c>
      <c r="P15" s="58">
        <f t="shared" si="0"/>
        <v>167440</v>
      </c>
    </row>
    <row r="16" spans="1:16" ht="27.75" customHeight="1" x14ac:dyDescent="0.2">
      <c r="A16" s="100"/>
      <c r="B16" s="100"/>
      <c r="C16" s="65" t="s">
        <v>5157</v>
      </c>
      <c r="D16" s="70" t="s">
        <v>57</v>
      </c>
      <c r="E16" s="12">
        <v>44556</v>
      </c>
      <c r="F16" s="68" t="s">
        <v>59</v>
      </c>
      <c r="G16" s="12">
        <v>44559</v>
      </c>
      <c r="H16" s="69" t="s">
        <v>4687</v>
      </c>
      <c r="I16" s="15">
        <v>48</v>
      </c>
      <c r="J16" s="15">
        <v>42</v>
      </c>
      <c r="K16" s="15">
        <v>14</v>
      </c>
      <c r="L16" s="15">
        <v>2</v>
      </c>
      <c r="M16" s="73">
        <v>7.056</v>
      </c>
      <c r="N16" s="104">
        <v>7.056</v>
      </c>
      <c r="O16" s="57">
        <v>7000</v>
      </c>
      <c r="P16" s="58">
        <f t="shared" si="0"/>
        <v>49392</v>
      </c>
    </row>
    <row r="17" spans="1:16" ht="27.75" customHeight="1" x14ac:dyDescent="0.2">
      <c r="A17" s="100"/>
      <c r="B17" s="100"/>
      <c r="C17" s="65" t="s">
        <v>5158</v>
      </c>
      <c r="D17" s="70" t="s">
        <v>57</v>
      </c>
      <c r="E17" s="12">
        <v>44556</v>
      </c>
      <c r="F17" s="68" t="s">
        <v>59</v>
      </c>
      <c r="G17" s="12">
        <v>44559</v>
      </c>
      <c r="H17" s="69" t="s">
        <v>4687</v>
      </c>
      <c r="I17" s="15">
        <v>85</v>
      </c>
      <c r="J17" s="15">
        <v>53</v>
      </c>
      <c r="K17" s="15">
        <v>32</v>
      </c>
      <c r="L17" s="15">
        <v>11</v>
      </c>
      <c r="M17" s="73">
        <v>36.04</v>
      </c>
      <c r="N17" s="104">
        <v>36.04</v>
      </c>
      <c r="O17" s="57">
        <v>7000</v>
      </c>
      <c r="P17" s="58">
        <f t="shared" si="0"/>
        <v>252280</v>
      </c>
    </row>
    <row r="18" spans="1:16" ht="27.75" customHeight="1" x14ac:dyDescent="0.2">
      <c r="A18" s="100"/>
      <c r="B18" s="100"/>
      <c r="C18" s="65" t="s">
        <v>5159</v>
      </c>
      <c r="D18" s="70" t="s">
        <v>57</v>
      </c>
      <c r="E18" s="12">
        <v>44556</v>
      </c>
      <c r="F18" s="68" t="s">
        <v>59</v>
      </c>
      <c r="G18" s="12">
        <v>44559</v>
      </c>
      <c r="H18" s="69" t="s">
        <v>4687</v>
      </c>
      <c r="I18" s="15">
        <v>92</v>
      </c>
      <c r="J18" s="15">
        <v>42</v>
      </c>
      <c r="K18" s="15">
        <v>37</v>
      </c>
      <c r="L18" s="15">
        <v>13</v>
      </c>
      <c r="M18" s="73">
        <v>35.741999999999997</v>
      </c>
      <c r="N18" s="104">
        <v>35.741999999999997</v>
      </c>
      <c r="O18" s="57">
        <v>7000</v>
      </c>
      <c r="P18" s="58">
        <f t="shared" si="0"/>
        <v>250193.99999999997</v>
      </c>
    </row>
    <row r="19" spans="1:16" ht="27.75" customHeight="1" x14ac:dyDescent="0.2">
      <c r="A19" s="100"/>
      <c r="B19" s="100"/>
      <c r="C19" s="65" t="s">
        <v>5160</v>
      </c>
      <c r="D19" s="70" t="s">
        <v>57</v>
      </c>
      <c r="E19" s="12">
        <v>44556</v>
      </c>
      <c r="F19" s="68" t="s">
        <v>59</v>
      </c>
      <c r="G19" s="12">
        <v>44559</v>
      </c>
      <c r="H19" s="69" t="s">
        <v>4687</v>
      </c>
      <c r="I19" s="15">
        <v>105</v>
      </c>
      <c r="J19" s="15">
        <v>70</v>
      </c>
      <c r="K19" s="15">
        <v>18</v>
      </c>
      <c r="L19" s="15">
        <v>10</v>
      </c>
      <c r="M19" s="73">
        <v>33.075000000000003</v>
      </c>
      <c r="N19" s="104">
        <v>33.075000000000003</v>
      </c>
      <c r="O19" s="57">
        <v>7000</v>
      </c>
      <c r="P19" s="58">
        <f t="shared" si="0"/>
        <v>231525.00000000003</v>
      </c>
    </row>
    <row r="20" spans="1:16" ht="27.75" customHeight="1" x14ac:dyDescent="0.2">
      <c r="A20" s="100"/>
      <c r="B20" s="100"/>
      <c r="C20" s="65" t="s">
        <v>5161</v>
      </c>
      <c r="D20" s="70" t="s">
        <v>57</v>
      </c>
      <c r="E20" s="12">
        <v>44556</v>
      </c>
      <c r="F20" s="68" t="s">
        <v>59</v>
      </c>
      <c r="G20" s="12">
        <v>44559</v>
      </c>
      <c r="H20" s="69" t="s">
        <v>4687</v>
      </c>
      <c r="I20" s="15">
        <v>83</v>
      </c>
      <c r="J20" s="15">
        <v>54</v>
      </c>
      <c r="K20" s="15">
        <v>54</v>
      </c>
      <c r="L20" s="15">
        <v>40</v>
      </c>
      <c r="M20" s="73">
        <v>60.506999999999998</v>
      </c>
      <c r="N20" s="104">
        <v>60.506999999999998</v>
      </c>
      <c r="O20" s="57">
        <v>7000</v>
      </c>
      <c r="P20" s="58">
        <f t="shared" si="0"/>
        <v>423549</v>
      </c>
    </row>
    <row r="21" spans="1:16" ht="27.75" customHeight="1" x14ac:dyDescent="0.2">
      <c r="A21" s="100"/>
      <c r="B21" s="100"/>
      <c r="C21" s="90" t="s">
        <v>5162</v>
      </c>
      <c r="D21" s="102" t="s">
        <v>57</v>
      </c>
      <c r="E21" s="91">
        <v>44556</v>
      </c>
      <c r="F21" s="102" t="s">
        <v>59</v>
      </c>
      <c r="G21" s="91">
        <v>44559</v>
      </c>
      <c r="H21" s="90" t="s">
        <v>4687</v>
      </c>
      <c r="I21" s="90">
        <v>97</v>
      </c>
      <c r="J21" s="90">
        <v>50</v>
      </c>
      <c r="K21" s="90">
        <v>33</v>
      </c>
      <c r="L21" s="90">
        <v>18</v>
      </c>
      <c r="M21" s="90">
        <v>40.012500000000003</v>
      </c>
      <c r="N21" s="104">
        <v>40.012500000000003</v>
      </c>
      <c r="O21" s="57">
        <v>7000</v>
      </c>
      <c r="P21" s="58">
        <f t="shared" si="0"/>
        <v>280087.5</v>
      </c>
    </row>
    <row r="22" spans="1:16" ht="27.75" customHeight="1" x14ac:dyDescent="0.2">
      <c r="A22" s="100"/>
      <c r="B22" s="100"/>
      <c r="C22" s="65" t="s">
        <v>5163</v>
      </c>
      <c r="D22" s="70" t="s">
        <v>57</v>
      </c>
      <c r="E22" s="12">
        <v>44556</v>
      </c>
      <c r="F22" s="68" t="s">
        <v>59</v>
      </c>
      <c r="G22" s="12">
        <v>44559</v>
      </c>
      <c r="H22" s="69" t="s">
        <v>4687</v>
      </c>
      <c r="I22" s="15">
        <v>77</v>
      </c>
      <c r="J22" s="15">
        <v>47</v>
      </c>
      <c r="K22" s="15">
        <v>28</v>
      </c>
      <c r="L22" s="15">
        <v>6</v>
      </c>
      <c r="M22" s="73">
        <v>25.332999999999998</v>
      </c>
      <c r="N22" s="104">
        <v>26</v>
      </c>
      <c r="O22" s="57">
        <v>7000</v>
      </c>
      <c r="P22" s="58">
        <f t="shared" si="0"/>
        <v>182000</v>
      </c>
    </row>
    <row r="23" spans="1:16" ht="27.75" customHeight="1" x14ac:dyDescent="0.2">
      <c r="A23" s="100"/>
      <c r="B23" s="100"/>
      <c r="C23" s="65" t="s">
        <v>5164</v>
      </c>
      <c r="D23" s="70" t="s">
        <v>57</v>
      </c>
      <c r="E23" s="12">
        <v>44556</v>
      </c>
      <c r="F23" s="68" t="s">
        <v>59</v>
      </c>
      <c r="G23" s="12">
        <v>44559</v>
      </c>
      <c r="H23" s="69" t="s">
        <v>4687</v>
      </c>
      <c r="I23" s="15">
        <v>53</v>
      </c>
      <c r="J23" s="15">
        <v>38</v>
      </c>
      <c r="K23" s="15">
        <v>23</v>
      </c>
      <c r="L23" s="15">
        <v>3</v>
      </c>
      <c r="M23" s="73">
        <v>11.580500000000001</v>
      </c>
      <c r="N23" s="104">
        <v>11.580500000000001</v>
      </c>
      <c r="O23" s="57">
        <v>7000</v>
      </c>
      <c r="P23" s="58">
        <f t="shared" si="0"/>
        <v>81063.5</v>
      </c>
    </row>
    <row r="24" spans="1:16" ht="27.75" customHeight="1" x14ac:dyDescent="0.2">
      <c r="A24" s="100"/>
      <c r="B24" s="100"/>
      <c r="C24" s="65" t="s">
        <v>5165</v>
      </c>
      <c r="D24" s="70" t="s">
        <v>57</v>
      </c>
      <c r="E24" s="12">
        <v>44556</v>
      </c>
      <c r="F24" s="68" t="s">
        <v>59</v>
      </c>
      <c r="G24" s="12">
        <v>44559</v>
      </c>
      <c r="H24" s="69" t="s">
        <v>4687</v>
      </c>
      <c r="I24" s="15">
        <v>100</v>
      </c>
      <c r="J24" s="15">
        <v>54</v>
      </c>
      <c r="K24" s="15">
        <v>30</v>
      </c>
      <c r="L24" s="15">
        <v>10</v>
      </c>
      <c r="M24" s="73">
        <v>40.5</v>
      </c>
      <c r="N24" s="104">
        <v>42</v>
      </c>
      <c r="O24" s="57">
        <v>7000</v>
      </c>
      <c r="P24" s="58">
        <f t="shared" si="0"/>
        <v>294000</v>
      </c>
    </row>
    <row r="25" spans="1:16" ht="27.75" customHeight="1" x14ac:dyDescent="0.2">
      <c r="A25" s="100"/>
      <c r="B25" s="101"/>
      <c r="C25" s="65" t="s">
        <v>5166</v>
      </c>
      <c r="D25" s="70" t="s">
        <v>57</v>
      </c>
      <c r="E25" s="12">
        <v>44556</v>
      </c>
      <c r="F25" s="68" t="s">
        <v>59</v>
      </c>
      <c r="G25" s="12">
        <v>44559</v>
      </c>
      <c r="H25" s="69" t="s">
        <v>4687</v>
      </c>
      <c r="I25" s="15">
        <v>73</v>
      </c>
      <c r="J25" s="15">
        <v>75</v>
      </c>
      <c r="K25" s="15">
        <v>23</v>
      </c>
      <c r="L25" s="15">
        <v>15</v>
      </c>
      <c r="M25" s="73">
        <v>31.481249999999999</v>
      </c>
      <c r="N25" s="104">
        <v>32</v>
      </c>
      <c r="O25" s="57">
        <v>7000</v>
      </c>
      <c r="P25" s="58">
        <f t="shared" si="0"/>
        <v>224000</v>
      </c>
    </row>
    <row r="26" spans="1:16" ht="27.75" customHeight="1" x14ac:dyDescent="0.2">
      <c r="A26" s="100"/>
      <c r="B26" s="100" t="s">
        <v>5167</v>
      </c>
      <c r="C26" s="65" t="s">
        <v>5168</v>
      </c>
      <c r="D26" s="70" t="s">
        <v>57</v>
      </c>
      <c r="E26" s="12">
        <v>44556</v>
      </c>
      <c r="F26" s="68" t="s">
        <v>59</v>
      </c>
      <c r="G26" s="12">
        <v>44559</v>
      </c>
      <c r="H26" s="69" t="s">
        <v>4687</v>
      </c>
      <c r="I26" s="15">
        <v>50</v>
      </c>
      <c r="J26" s="15">
        <v>50</v>
      </c>
      <c r="K26" s="15">
        <v>27</v>
      </c>
      <c r="L26" s="15">
        <v>12</v>
      </c>
      <c r="M26" s="73">
        <v>16.875</v>
      </c>
      <c r="N26" s="104">
        <v>16.875</v>
      </c>
      <c r="O26" s="57">
        <v>7000</v>
      </c>
      <c r="P26" s="58">
        <f t="shared" si="0"/>
        <v>118125</v>
      </c>
    </row>
    <row r="27" spans="1:16" ht="27.75" customHeight="1" x14ac:dyDescent="0.2">
      <c r="A27" s="100"/>
      <c r="B27" s="100"/>
      <c r="C27" s="65" t="s">
        <v>5169</v>
      </c>
      <c r="D27" s="70" t="s">
        <v>57</v>
      </c>
      <c r="E27" s="12">
        <v>44556</v>
      </c>
      <c r="F27" s="68" t="s">
        <v>59</v>
      </c>
      <c r="G27" s="12">
        <v>44559</v>
      </c>
      <c r="H27" s="69" t="s">
        <v>4687</v>
      </c>
      <c r="I27" s="15">
        <v>30</v>
      </c>
      <c r="J27" s="15">
        <v>40</v>
      </c>
      <c r="K27" s="15">
        <v>10</v>
      </c>
      <c r="L27" s="15">
        <v>2</v>
      </c>
      <c r="M27" s="73">
        <v>3</v>
      </c>
      <c r="N27" s="104">
        <v>3</v>
      </c>
      <c r="O27" s="57">
        <v>7000</v>
      </c>
      <c r="P27" s="58">
        <f t="shared" si="0"/>
        <v>21000</v>
      </c>
    </row>
    <row r="28" spans="1:16" ht="22.5" customHeight="1" x14ac:dyDescent="0.2">
      <c r="A28" s="159" t="s">
        <v>30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1"/>
      <c r="M28" s="71">
        <f>SUBTOTAL(109,Table2245789101123456789101112131415161718192021222324252627282930313233343537383940414243444546474849505152535455565758596061626364656667686970717273747576777879808182[KG VOLUME])</f>
        <v>599.55225000000007</v>
      </c>
      <c r="N28" s="61">
        <f>SUM(N3:N27)</f>
        <v>604.41650000000004</v>
      </c>
      <c r="O28" s="162">
        <f>SUM(P3:P27)</f>
        <v>4230915.5</v>
      </c>
      <c r="P28" s="163"/>
    </row>
    <row r="29" spans="1:16" ht="18" customHeight="1" x14ac:dyDescent="0.2">
      <c r="A29" s="78"/>
      <c r="B29" s="49" t="s">
        <v>42</v>
      </c>
      <c r="C29" s="48"/>
      <c r="D29" s="50" t="s">
        <v>43</v>
      </c>
      <c r="E29" s="78"/>
      <c r="F29" s="78"/>
      <c r="G29" s="78"/>
      <c r="H29" s="78"/>
      <c r="I29" s="78"/>
      <c r="J29" s="78"/>
      <c r="K29" s="78"/>
      <c r="L29" s="78"/>
      <c r="M29" s="79"/>
      <c r="N29" s="80" t="s">
        <v>52</v>
      </c>
      <c r="O29" s="81"/>
      <c r="P29" s="81">
        <v>0</v>
      </c>
    </row>
    <row r="30" spans="1:16" ht="18" customHeight="1" thickBot="1" x14ac:dyDescent="0.25">
      <c r="A30" s="78"/>
      <c r="B30" s="49"/>
      <c r="C30" s="48"/>
      <c r="D30" s="50"/>
      <c r="E30" s="78"/>
      <c r="F30" s="78"/>
      <c r="G30" s="78"/>
      <c r="H30" s="78"/>
      <c r="I30" s="78"/>
      <c r="J30" s="78"/>
      <c r="K30" s="78"/>
      <c r="L30" s="78"/>
      <c r="M30" s="79"/>
      <c r="N30" s="82" t="s">
        <v>53</v>
      </c>
      <c r="O30" s="83"/>
      <c r="P30" s="83">
        <f>O28-P29</f>
        <v>4230915.5</v>
      </c>
    </row>
    <row r="31" spans="1:16" ht="18" customHeight="1" x14ac:dyDescent="0.2">
      <c r="A31" s="10"/>
      <c r="H31" s="56"/>
      <c r="N31" s="55" t="s">
        <v>31</v>
      </c>
      <c r="P31" s="62">
        <f>P30*1%</f>
        <v>42309.154999999999</v>
      </c>
    </row>
    <row r="32" spans="1:16" ht="18" customHeight="1" thickBot="1" x14ac:dyDescent="0.25">
      <c r="A32" s="10"/>
      <c r="H32" s="56"/>
      <c r="N32" s="55" t="s">
        <v>54</v>
      </c>
      <c r="P32" s="64">
        <f>P30*2%</f>
        <v>84618.31</v>
      </c>
    </row>
    <row r="33" spans="1:16" ht="18" customHeight="1" x14ac:dyDescent="0.2">
      <c r="A33" s="10"/>
      <c r="H33" s="56"/>
      <c r="N33" s="59" t="s">
        <v>32</v>
      </c>
      <c r="O33" s="60"/>
      <c r="P33" s="63">
        <f>P30+P31-P32</f>
        <v>4188606.3450000002</v>
      </c>
    </row>
    <row r="35" spans="1:16" x14ac:dyDescent="0.2">
      <c r="A35" s="10"/>
      <c r="H35" s="56"/>
      <c r="P35" s="64"/>
    </row>
    <row r="36" spans="1:16" x14ac:dyDescent="0.2">
      <c r="A36" s="10"/>
      <c r="H36" s="56"/>
      <c r="O36" s="51"/>
      <c r="P36" s="6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</sheetData>
  <mergeCells count="2">
    <mergeCell ref="A28:L28"/>
    <mergeCell ref="O28:P28"/>
  </mergeCells>
  <conditionalFormatting sqref="C3:C27">
    <cfRule type="duplicateValues" dxfId="303" priority="11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1"/>
  <sheetViews>
    <sheetView workbookViewId="0">
      <selection activeCell="N90" sqref="N3:N9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402736</v>
      </c>
      <c r="B3" s="99" t="s">
        <v>5170</v>
      </c>
      <c r="C3" s="90" t="s">
        <v>5171</v>
      </c>
      <c r="D3" s="102" t="s">
        <v>57</v>
      </c>
      <c r="E3" s="91">
        <v>44556</v>
      </c>
      <c r="F3" s="102" t="s">
        <v>59</v>
      </c>
      <c r="G3" s="91">
        <v>44559</v>
      </c>
      <c r="H3" s="90" t="s">
        <v>4687</v>
      </c>
      <c r="I3" s="90">
        <v>57</v>
      </c>
      <c r="J3" s="90">
        <v>41</v>
      </c>
      <c r="K3" s="90">
        <v>16</v>
      </c>
      <c r="L3" s="90">
        <v>6</v>
      </c>
      <c r="M3" s="90">
        <v>9.3480000000000008</v>
      </c>
      <c r="N3" s="104">
        <v>10</v>
      </c>
      <c r="O3" s="57">
        <v>7000</v>
      </c>
      <c r="P3" s="58">
        <f t="shared" ref="P3:P66" si="0">N3*O3</f>
        <v>70000</v>
      </c>
    </row>
    <row r="4" spans="1:16" ht="26.25" customHeight="1" x14ac:dyDescent="0.2">
      <c r="A4" s="100"/>
      <c r="B4" s="100"/>
      <c r="C4" s="90" t="s">
        <v>5172</v>
      </c>
      <c r="D4" s="102" t="s">
        <v>57</v>
      </c>
      <c r="E4" s="91">
        <v>44556</v>
      </c>
      <c r="F4" s="102" t="s">
        <v>59</v>
      </c>
      <c r="G4" s="91">
        <v>44559</v>
      </c>
      <c r="H4" s="90" t="s">
        <v>4687</v>
      </c>
      <c r="I4" s="90">
        <v>53</v>
      </c>
      <c r="J4" s="90">
        <v>40</v>
      </c>
      <c r="K4" s="90">
        <v>50</v>
      </c>
      <c r="L4" s="90">
        <v>15</v>
      </c>
      <c r="M4" s="90">
        <v>26.5</v>
      </c>
      <c r="N4" s="104">
        <v>28</v>
      </c>
      <c r="O4" s="57">
        <v>7000</v>
      </c>
      <c r="P4" s="58">
        <f t="shared" si="0"/>
        <v>196000</v>
      </c>
    </row>
    <row r="5" spans="1:16" ht="26.25" customHeight="1" x14ac:dyDescent="0.2">
      <c r="A5" s="100"/>
      <c r="B5" s="100"/>
      <c r="C5" s="65" t="s">
        <v>5173</v>
      </c>
      <c r="D5" s="70" t="s">
        <v>57</v>
      </c>
      <c r="E5" s="12">
        <v>44556</v>
      </c>
      <c r="F5" s="68" t="s">
        <v>59</v>
      </c>
      <c r="G5" s="12">
        <v>44559</v>
      </c>
      <c r="H5" s="69" t="s">
        <v>4687</v>
      </c>
      <c r="I5" s="15">
        <v>93</v>
      </c>
      <c r="J5" s="15">
        <v>51</v>
      </c>
      <c r="K5" s="15">
        <v>40</v>
      </c>
      <c r="L5" s="15">
        <v>19</v>
      </c>
      <c r="M5" s="73">
        <v>47.43</v>
      </c>
      <c r="N5" s="104">
        <v>48</v>
      </c>
      <c r="O5" s="57">
        <v>7000</v>
      </c>
      <c r="P5" s="58">
        <f t="shared" si="0"/>
        <v>336000</v>
      </c>
    </row>
    <row r="6" spans="1:16" ht="26.25" customHeight="1" x14ac:dyDescent="0.2">
      <c r="A6" s="100"/>
      <c r="B6" s="100"/>
      <c r="C6" s="65" t="s">
        <v>5174</v>
      </c>
      <c r="D6" s="70" t="s">
        <v>57</v>
      </c>
      <c r="E6" s="12">
        <v>44556</v>
      </c>
      <c r="F6" s="68" t="s">
        <v>59</v>
      </c>
      <c r="G6" s="12">
        <v>44559</v>
      </c>
      <c r="H6" s="69" t="s">
        <v>4687</v>
      </c>
      <c r="I6" s="15">
        <v>80</v>
      </c>
      <c r="J6" s="15">
        <v>60</v>
      </c>
      <c r="K6" s="15">
        <v>27</v>
      </c>
      <c r="L6" s="15">
        <v>18</v>
      </c>
      <c r="M6" s="73">
        <v>32.4</v>
      </c>
      <c r="N6" s="104">
        <v>33</v>
      </c>
      <c r="O6" s="57">
        <v>7000</v>
      </c>
      <c r="P6" s="58">
        <f t="shared" si="0"/>
        <v>231000</v>
      </c>
    </row>
    <row r="7" spans="1:16" ht="26.25" customHeight="1" x14ac:dyDescent="0.2">
      <c r="A7" s="100"/>
      <c r="B7" s="100"/>
      <c r="C7" s="65" t="s">
        <v>5175</v>
      </c>
      <c r="D7" s="70" t="s">
        <v>57</v>
      </c>
      <c r="E7" s="12">
        <v>44556</v>
      </c>
      <c r="F7" s="68" t="s">
        <v>59</v>
      </c>
      <c r="G7" s="12">
        <v>44559</v>
      </c>
      <c r="H7" s="69" t="s">
        <v>4687</v>
      </c>
      <c r="I7" s="15">
        <v>100</v>
      </c>
      <c r="J7" s="15">
        <v>70</v>
      </c>
      <c r="K7" s="15">
        <v>33</v>
      </c>
      <c r="L7" s="15">
        <v>28</v>
      </c>
      <c r="M7" s="73">
        <v>57.75</v>
      </c>
      <c r="N7" s="104">
        <v>57.75</v>
      </c>
      <c r="O7" s="57">
        <v>7000</v>
      </c>
      <c r="P7" s="58">
        <f t="shared" si="0"/>
        <v>404250</v>
      </c>
    </row>
    <row r="8" spans="1:16" ht="26.25" customHeight="1" x14ac:dyDescent="0.2">
      <c r="A8" s="100"/>
      <c r="B8" s="100"/>
      <c r="C8" s="65" t="s">
        <v>5176</v>
      </c>
      <c r="D8" s="70" t="s">
        <v>57</v>
      </c>
      <c r="E8" s="12">
        <v>44556</v>
      </c>
      <c r="F8" s="68" t="s">
        <v>59</v>
      </c>
      <c r="G8" s="12">
        <v>44559</v>
      </c>
      <c r="H8" s="69" t="s">
        <v>4687</v>
      </c>
      <c r="I8" s="15">
        <v>46</v>
      </c>
      <c r="J8" s="15">
        <v>36</v>
      </c>
      <c r="K8" s="15">
        <v>10</v>
      </c>
      <c r="L8" s="15">
        <v>2</v>
      </c>
      <c r="M8" s="73">
        <v>4.1399999999999997</v>
      </c>
      <c r="N8" s="104">
        <v>4.1399999999999997</v>
      </c>
      <c r="O8" s="57">
        <v>7000</v>
      </c>
      <c r="P8" s="58">
        <f t="shared" si="0"/>
        <v>28979.999999999996</v>
      </c>
    </row>
    <row r="9" spans="1:16" ht="26.25" customHeight="1" x14ac:dyDescent="0.2">
      <c r="A9" s="100"/>
      <c r="B9" s="100"/>
      <c r="C9" s="65" t="s">
        <v>5177</v>
      </c>
      <c r="D9" s="70" t="s">
        <v>57</v>
      </c>
      <c r="E9" s="12">
        <v>44556</v>
      </c>
      <c r="F9" s="68" t="s">
        <v>59</v>
      </c>
      <c r="G9" s="12">
        <v>44559</v>
      </c>
      <c r="H9" s="69" t="s">
        <v>4687</v>
      </c>
      <c r="I9" s="15">
        <v>63</v>
      </c>
      <c r="J9" s="15">
        <v>40</v>
      </c>
      <c r="K9" s="15">
        <v>11</v>
      </c>
      <c r="L9" s="15">
        <v>12</v>
      </c>
      <c r="M9" s="73">
        <v>6.93</v>
      </c>
      <c r="N9" s="104">
        <v>12</v>
      </c>
      <c r="O9" s="57">
        <v>7000</v>
      </c>
      <c r="P9" s="58">
        <f t="shared" si="0"/>
        <v>84000</v>
      </c>
    </row>
    <row r="10" spans="1:16" ht="26.25" customHeight="1" x14ac:dyDescent="0.2">
      <c r="A10" s="100"/>
      <c r="B10" s="100"/>
      <c r="C10" s="65" t="s">
        <v>5178</v>
      </c>
      <c r="D10" s="70" t="s">
        <v>57</v>
      </c>
      <c r="E10" s="12">
        <v>44556</v>
      </c>
      <c r="F10" s="68" t="s">
        <v>59</v>
      </c>
      <c r="G10" s="12">
        <v>44559</v>
      </c>
      <c r="H10" s="69" t="s">
        <v>4687</v>
      </c>
      <c r="I10" s="15">
        <v>100</v>
      </c>
      <c r="J10" s="15">
        <v>50</v>
      </c>
      <c r="K10" s="15">
        <v>50</v>
      </c>
      <c r="L10" s="15">
        <v>24</v>
      </c>
      <c r="M10" s="73">
        <v>62.5</v>
      </c>
      <c r="N10" s="104">
        <v>64</v>
      </c>
      <c r="O10" s="57">
        <v>7000</v>
      </c>
      <c r="P10" s="58">
        <f t="shared" si="0"/>
        <v>448000</v>
      </c>
    </row>
    <row r="11" spans="1:16" ht="26.25" customHeight="1" x14ac:dyDescent="0.2">
      <c r="A11" s="100"/>
      <c r="B11" s="100"/>
      <c r="C11" s="65" t="s">
        <v>5179</v>
      </c>
      <c r="D11" s="70" t="s">
        <v>57</v>
      </c>
      <c r="E11" s="12">
        <v>44556</v>
      </c>
      <c r="F11" s="68" t="s">
        <v>59</v>
      </c>
      <c r="G11" s="12">
        <v>44559</v>
      </c>
      <c r="H11" s="69" t="s">
        <v>4687</v>
      </c>
      <c r="I11" s="15">
        <v>35</v>
      </c>
      <c r="J11" s="15">
        <v>14</v>
      </c>
      <c r="K11" s="15">
        <v>10</v>
      </c>
      <c r="L11" s="15">
        <v>1</v>
      </c>
      <c r="M11" s="73">
        <v>1.2250000000000001</v>
      </c>
      <c r="N11" s="104">
        <v>1.2250000000000001</v>
      </c>
      <c r="O11" s="57">
        <v>7000</v>
      </c>
      <c r="P11" s="58">
        <f t="shared" si="0"/>
        <v>8575</v>
      </c>
    </row>
    <row r="12" spans="1:16" ht="26.25" customHeight="1" x14ac:dyDescent="0.2">
      <c r="A12" s="100"/>
      <c r="B12" s="100"/>
      <c r="C12" s="65" t="s">
        <v>5180</v>
      </c>
      <c r="D12" s="70" t="s">
        <v>57</v>
      </c>
      <c r="E12" s="12">
        <v>44556</v>
      </c>
      <c r="F12" s="68" t="s">
        <v>59</v>
      </c>
      <c r="G12" s="12">
        <v>44559</v>
      </c>
      <c r="H12" s="69" t="s">
        <v>4687</v>
      </c>
      <c r="I12" s="15">
        <v>53</v>
      </c>
      <c r="J12" s="15">
        <v>42</v>
      </c>
      <c r="K12" s="15">
        <v>31</v>
      </c>
      <c r="L12" s="15">
        <v>11</v>
      </c>
      <c r="M12" s="73">
        <v>17.2515</v>
      </c>
      <c r="N12" s="104">
        <v>17.2515</v>
      </c>
      <c r="O12" s="57">
        <v>7000</v>
      </c>
      <c r="P12" s="58">
        <f t="shared" si="0"/>
        <v>120760.5</v>
      </c>
    </row>
    <row r="13" spans="1:16" ht="26.25" customHeight="1" x14ac:dyDescent="0.2">
      <c r="A13" s="100"/>
      <c r="B13" s="100"/>
      <c r="C13" s="65" t="s">
        <v>5181</v>
      </c>
      <c r="D13" s="70" t="s">
        <v>57</v>
      </c>
      <c r="E13" s="12">
        <v>44556</v>
      </c>
      <c r="F13" s="68" t="s">
        <v>59</v>
      </c>
      <c r="G13" s="12">
        <v>44559</v>
      </c>
      <c r="H13" s="69" t="s">
        <v>4687</v>
      </c>
      <c r="I13" s="15">
        <v>90</v>
      </c>
      <c r="J13" s="15">
        <v>61</v>
      </c>
      <c r="K13" s="15">
        <v>35</v>
      </c>
      <c r="L13" s="15">
        <v>14</v>
      </c>
      <c r="M13" s="73">
        <v>48.037500000000001</v>
      </c>
      <c r="N13" s="104">
        <v>48.037500000000001</v>
      </c>
      <c r="O13" s="57">
        <v>7000</v>
      </c>
      <c r="P13" s="58">
        <f t="shared" si="0"/>
        <v>336262.5</v>
      </c>
    </row>
    <row r="14" spans="1:16" ht="26.25" customHeight="1" x14ac:dyDescent="0.2">
      <c r="A14" s="100"/>
      <c r="B14" s="100"/>
      <c r="C14" s="65" t="s">
        <v>5182</v>
      </c>
      <c r="D14" s="70" t="s">
        <v>57</v>
      </c>
      <c r="E14" s="12">
        <v>44556</v>
      </c>
      <c r="F14" s="68" t="s">
        <v>59</v>
      </c>
      <c r="G14" s="12">
        <v>44559</v>
      </c>
      <c r="H14" s="69" t="s">
        <v>4687</v>
      </c>
      <c r="I14" s="15">
        <v>91</v>
      </c>
      <c r="J14" s="15">
        <v>60</v>
      </c>
      <c r="K14" s="15">
        <v>35</v>
      </c>
      <c r="L14" s="15">
        <v>24</v>
      </c>
      <c r="M14" s="73">
        <v>47.774999999999999</v>
      </c>
      <c r="N14" s="104">
        <v>47.774999999999999</v>
      </c>
      <c r="O14" s="57">
        <v>7000</v>
      </c>
      <c r="P14" s="58">
        <f t="shared" si="0"/>
        <v>334425</v>
      </c>
    </row>
    <row r="15" spans="1:16" ht="26.25" customHeight="1" x14ac:dyDescent="0.2">
      <c r="A15" s="100"/>
      <c r="B15" s="100"/>
      <c r="C15" s="65" t="s">
        <v>5183</v>
      </c>
      <c r="D15" s="70" t="s">
        <v>57</v>
      </c>
      <c r="E15" s="12">
        <v>44556</v>
      </c>
      <c r="F15" s="68" t="s">
        <v>59</v>
      </c>
      <c r="G15" s="12">
        <v>44559</v>
      </c>
      <c r="H15" s="69" t="s">
        <v>4687</v>
      </c>
      <c r="I15" s="15">
        <v>78</v>
      </c>
      <c r="J15" s="15">
        <v>60</v>
      </c>
      <c r="K15" s="15">
        <v>11</v>
      </c>
      <c r="L15" s="15">
        <v>4</v>
      </c>
      <c r="M15" s="73">
        <v>12.87</v>
      </c>
      <c r="N15" s="104">
        <v>12.87</v>
      </c>
      <c r="O15" s="57">
        <v>7000</v>
      </c>
      <c r="P15" s="58">
        <f t="shared" si="0"/>
        <v>90090</v>
      </c>
    </row>
    <row r="16" spans="1:16" ht="26.25" customHeight="1" x14ac:dyDescent="0.2">
      <c r="A16" s="100"/>
      <c r="B16" s="100"/>
      <c r="C16" s="65" t="s">
        <v>5184</v>
      </c>
      <c r="D16" s="70" t="s">
        <v>57</v>
      </c>
      <c r="E16" s="12">
        <v>44556</v>
      </c>
      <c r="F16" s="68" t="s">
        <v>59</v>
      </c>
      <c r="G16" s="12">
        <v>44559</v>
      </c>
      <c r="H16" s="69" t="s">
        <v>4687</v>
      </c>
      <c r="I16" s="15">
        <v>100</v>
      </c>
      <c r="J16" s="15">
        <v>50</v>
      </c>
      <c r="K16" s="15">
        <v>38</v>
      </c>
      <c r="L16" s="15">
        <v>21</v>
      </c>
      <c r="M16" s="73">
        <v>47.5</v>
      </c>
      <c r="N16" s="104">
        <v>49</v>
      </c>
      <c r="O16" s="57">
        <v>7000</v>
      </c>
      <c r="P16" s="58">
        <f t="shared" si="0"/>
        <v>343000</v>
      </c>
    </row>
    <row r="17" spans="1:16" ht="26.25" customHeight="1" x14ac:dyDescent="0.2">
      <c r="A17" s="100"/>
      <c r="B17" s="100"/>
      <c r="C17" s="65" t="s">
        <v>5185</v>
      </c>
      <c r="D17" s="70" t="s">
        <v>57</v>
      </c>
      <c r="E17" s="12">
        <v>44556</v>
      </c>
      <c r="F17" s="68" t="s">
        <v>59</v>
      </c>
      <c r="G17" s="12">
        <v>44559</v>
      </c>
      <c r="H17" s="69" t="s">
        <v>4687</v>
      </c>
      <c r="I17" s="15">
        <v>50</v>
      </c>
      <c r="J17" s="15">
        <v>34</v>
      </c>
      <c r="K17" s="15">
        <v>12</v>
      </c>
      <c r="L17" s="15">
        <v>2</v>
      </c>
      <c r="M17" s="73">
        <v>5.0999999999999996</v>
      </c>
      <c r="N17" s="104">
        <v>5.0999999999999996</v>
      </c>
      <c r="O17" s="57">
        <v>7000</v>
      </c>
      <c r="P17" s="58">
        <f t="shared" si="0"/>
        <v>35700</v>
      </c>
    </row>
    <row r="18" spans="1:16" ht="26.25" customHeight="1" x14ac:dyDescent="0.2">
      <c r="A18" s="100"/>
      <c r="B18" s="100"/>
      <c r="C18" s="65" t="s">
        <v>5186</v>
      </c>
      <c r="D18" s="70" t="s">
        <v>57</v>
      </c>
      <c r="E18" s="12">
        <v>44556</v>
      </c>
      <c r="F18" s="68" t="s">
        <v>59</v>
      </c>
      <c r="G18" s="12">
        <v>44559</v>
      </c>
      <c r="H18" s="69" t="s">
        <v>4687</v>
      </c>
      <c r="I18" s="15">
        <v>92</v>
      </c>
      <c r="J18" s="15">
        <v>64</v>
      </c>
      <c r="K18" s="15">
        <v>50</v>
      </c>
      <c r="L18" s="15">
        <v>35</v>
      </c>
      <c r="M18" s="73">
        <v>73.599999999999994</v>
      </c>
      <c r="N18" s="104">
        <v>73.599999999999994</v>
      </c>
      <c r="O18" s="57">
        <v>7000</v>
      </c>
      <c r="P18" s="58">
        <f t="shared" si="0"/>
        <v>515199.99999999994</v>
      </c>
    </row>
    <row r="19" spans="1:16" ht="26.25" customHeight="1" x14ac:dyDescent="0.2">
      <c r="A19" s="100"/>
      <c r="B19" s="100"/>
      <c r="C19" s="65" t="s">
        <v>5187</v>
      </c>
      <c r="D19" s="70" t="s">
        <v>57</v>
      </c>
      <c r="E19" s="12">
        <v>44556</v>
      </c>
      <c r="F19" s="68" t="s">
        <v>59</v>
      </c>
      <c r="G19" s="12">
        <v>44559</v>
      </c>
      <c r="H19" s="69" t="s">
        <v>4687</v>
      </c>
      <c r="I19" s="15">
        <v>70</v>
      </c>
      <c r="J19" s="15">
        <v>48</v>
      </c>
      <c r="K19" s="15">
        <v>35</v>
      </c>
      <c r="L19" s="15">
        <v>18</v>
      </c>
      <c r="M19" s="73">
        <v>29.4</v>
      </c>
      <c r="N19" s="104">
        <v>30</v>
      </c>
      <c r="O19" s="57">
        <v>7000</v>
      </c>
      <c r="P19" s="58">
        <f t="shared" si="0"/>
        <v>210000</v>
      </c>
    </row>
    <row r="20" spans="1:16" ht="26.25" customHeight="1" x14ac:dyDescent="0.2">
      <c r="A20" s="100"/>
      <c r="B20" s="100"/>
      <c r="C20" s="65" t="s">
        <v>5188</v>
      </c>
      <c r="D20" s="70" t="s">
        <v>57</v>
      </c>
      <c r="E20" s="12">
        <v>44556</v>
      </c>
      <c r="F20" s="68" t="s">
        <v>59</v>
      </c>
      <c r="G20" s="12">
        <v>44559</v>
      </c>
      <c r="H20" s="69" t="s">
        <v>4687</v>
      </c>
      <c r="I20" s="15">
        <v>100</v>
      </c>
      <c r="J20" s="15">
        <v>60</v>
      </c>
      <c r="K20" s="15">
        <v>38</v>
      </c>
      <c r="L20" s="15">
        <v>19</v>
      </c>
      <c r="M20" s="73">
        <v>57</v>
      </c>
      <c r="N20" s="104">
        <v>57</v>
      </c>
      <c r="O20" s="57">
        <v>7000</v>
      </c>
      <c r="P20" s="58">
        <f t="shared" si="0"/>
        <v>399000</v>
      </c>
    </row>
    <row r="21" spans="1:16" ht="26.25" customHeight="1" x14ac:dyDescent="0.2">
      <c r="A21" s="100"/>
      <c r="B21" s="100"/>
      <c r="C21" s="65" t="s">
        <v>5189</v>
      </c>
      <c r="D21" s="70" t="s">
        <v>57</v>
      </c>
      <c r="E21" s="12">
        <v>44556</v>
      </c>
      <c r="F21" s="68" t="s">
        <v>59</v>
      </c>
      <c r="G21" s="12">
        <v>44559</v>
      </c>
      <c r="H21" s="69" t="s">
        <v>4687</v>
      </c>
      <c r="I21" s="15">
        <v>50</v>
      </c>
      <c r="J21" s="15">
        <v>40</v>
      </c>
      <c r="K21" s="15">
        <v>20</v>
      </c>
      <c r="L21" s="15">
        <v>2</v>
      </c>
      <c r="M21" s="73">
        <v>10</v>
      </c>
      <c r="N21" s="104">
        <v>10</v>
      </c>
      <c r="O21" s="57">
        <v>7000</v>
      </c>
      <c r="P21" s="58">
        <f t="shared" si="0"/>
        <v>70000</v>
      </c>
    </row>
    <row r="22" spans="1:16" ht="26.25" customHeight="1" x14ac:dyDescent="0.2">
      <c r="A22" s="100"/>
      <c r="B22" s="100"/>
      <c r="C22" s="65" t="s">
        <v>5190</v>
      </c>
      <c r="D22" s="70" t="s">
        <v>57</v>
      </c>
      <c r="E22" s="12">
        <v>44556</v>
      </c>
      <c r="F22" s="68" t="s">
        <v>59</v>
      </c>
      <c r="G22" s="12">
        <v>44559</v>
      </c>
      <c r="H22" s="69" t="s">
        <v>4687</v>
      </c>
      <c r="I22" s="15">
        <v>91</v>
      </c>
      <c r="J22" s="15">
        <v>63</v>
      </c>
      <c r="K22" s="15">
        <v>40</v>
      </c>
      <c r="L22" s="15">
        <v>24</v>
      </c>
      <c r="M22" s="73">
        <v>57.33</v>
      </c>
      <c r="N22" s="104">
        <v>58</v>
      </c>
      <c r="O22" s="57">
        <v>7000</v>
      </c>
      <c r="P22" s="58">
        <f t="shared" si="0"/>
        <v>406000</v>
      </c>
    </row>
    <row r="23" spans="1:16" ht="26.25" customHeight="1" x14ac:dyDescent="0.2">
      <c r="A23" s="100"/>
      <c r="B23" s="100"/>
      <c r="C23" s="65" t="s">
        <v>5191</v>
      </c>
      <c r="D23" s="70" t="s">
        <v>57</v>
      </c>
      <c r="E23" s="12">
        <v>44556</v>
      </c>
      <c r="F23" s="68" t="s">
        <v>59</v>
      </c>
      <c r="G23" s="12">
        <v>44559</v>
      </c>
      <c r="H23" s="69" t="s">
        <v>4687</v>
      </c>
      <c r="I23" s="15">
        <v>101</v>
      </c>
      <c r="J23" s="15">
        <v>65</v>
      </c>
      <c r="K23" s="15">
        <v>37</v>
      </c>
      <c r="L23" s="15">
        <v>40</v>
      </c>
      <c r="M23" s="73">
        <v>60.72625</v>
      </c>
      <c r="N23" s="104">
        <v>60.72625</v>
      </c>
      <c r="O23" s="57">
        <v>7000</v>
      </c>
      <c r="P23" s="58">
        <f t="shared" si="0"/>
        <v>425083.75</v>
      </c>
    </row>
    <row r="24" spans="1:16" ht="26.25" customHeight="1" x14ac:dyDescent="0.2">
      <c r="A24" s="100"/>
      <c r="B24" s="100"/>
      <c r="C24" s="65" t="s">
        <v>5192</v>
      </c>
      <c r="D24" s="70" t="s">
        <v>57</v>
      </c>
      <c r="E24" s="12">
        <v>44556</v>
      </c>
      <c r="F24" s="68" t="s">
        <v>59</v>
      </c>
      <c r="G24" s="12">
        <v>44559</v>
      </c>
      <c r="H24" s="69" t="s">
        <v>4687</v>
      </c>
      <c r="I24" s="15">
        <v>63</v>
      </c>
      <c r="J24" s="15">
        <v>21</v>
      </c>
      <c r="K24" s="15">
        <v>60</v>
      </c>
      <c r="L24" s="15">
        <v>5</v>
      </c>
      <c r="M24" s="73">
        <v>19.844999999999999</v>
      </c>
      <c r="N24" s="104">
        <v>19.844999999999999</v>
      </c>
      <c r="O24" s="57">
        <v>7000</v>
      </c>
      <c r="P24" s="58">
        <f t="shared" si="0"/>
        <v>138915</v>
      </c>
    </row>
    <row r="25" spans="1:16" ht="26.25" customHeight="1" x14ac:dyDescent="0.2">
      <c r="A25" s="100"/>
      <c r="B25" s="100"/>
      <c r="C25" s="65" t="s">
        <v>5193</v>
      </c>
      <c r="D25" s="70" t="s">
        <v>57</v>
      </c>
      <c r="E25" s="12">
        <v>44556</v>
      </c>
      <c r="F25" s="68" t="s">
        <v>59</v>
      </c>
      <c r="G25" s="12">
        <v>44559</v>
      </c>
      <c r="H25" s="69" t="s">
        <v>4687</v>
      </c>
      <c r="I25" s="15">
        <v>70</v>
      </c>
      <c r="J25" s="15">
        <v>52</v>
      </c>
      <c r="K25" s="15">
        <v>21</v>
      </c>
      <c r="L25" s="15">
        <v>8</v>
      </c>
      <c r="M25" s="73">
        <v>19.11</v>
      </c>
      <c r="N25" s="104">
        <v>19.11</v>
      </c>
      <c r="O25" s="57">
        <v>7000</v>
      </c>
      <c r="P25" s="58">
        <f t="shared" si="0"/>
        <v>133770</v>
      </c>
    </row>
    <row r="26" spans="1:16" ht="26.25" customHeight="1" x14ac:dyDescent="0.2">
      <c r="A26" s="100"/>
      <c r="B26" s="100"/>
      <c r="C26" s="65" t="s">
        <v>5194</v>
      </c>
      <c r="D26" s="70" t="s">
        <v>57</v>
      </c>
      <c r="E26" s="12">
        <v>44556</v>
      </c>
      <c r="F26" s="68" t="s">
        <v>59</v>
      </c>
      <c r="G26" s="12">
        <v>44559</v>
      </c>
      <c r="H26" s="69" t="s">
        <v>4687</v>
      </c>
      <c r="I26" s="15">
        <v>90</v>
      </c>
      <c r="J26" s="15">
        <v>60</v>
      </c>
      <c r="K26" s="15">
        <v>32</v>
      </c>
      <c r="L26" s="15">
        <v>26</v>
      </c>
      <c r="M26" s="73">
        <v>43.2</v>
      </c>
      <c r="N26" s="104">
        <v>43.2</v>
      </c>
      <c r="O26" s="57">
        <v>7000</v>
      </c>
      <c r="P26" s="58">
        <f t="shared" si="0"/>
        <v>302400</v>
      </c>
    </row>
    <row r="27" spans="1:16" ht="26.25" customHeight="1" x14ac:dyDescent="0.2">
      <c r="A27" s="100"/>
      <c r="B27" s="100"/>
      <c r="C27" s="65" t="s">
        <v>5195</v>
      </c>
      <c r="D27" s="70" t="s">
        <v>57</v>
      </c>
      <c r="E27" s="12">
        <v>44556</v>
      </c>
      <c r="F27" s="68" t="s">
        <v>59</v>
      </c>
      <c r="G27" s="12">
        <v>44559</v>
      </c>
      <c r="H27" s="69" t="s">
        <v>4687</v>
      </c>
      <c r="I27" s="15">
        <v>61</v>
      </c>
      <c r="J27" s="15">
        <v>100</v>
      </c>
      <c r="K27" s="15">
        <v>32</v>
      </c>
      <c r="L27" s="15">
        <v>26</v>
      </c>
      <c r="M27" s="73">
        <v>48.8</v>
      </c>
      <c r="N27" s="104">
        <v>48.8</v>
      </c>
      <c r="O27" s="57">
        <v>7000</v>
      </c>
      <c r="P27" s="58">
        <f t="shared" si="0"/>
        <v>341600</v>
      </c>
    </row>
    <row r="28" spans="1:16" ht="26.25" customHeight="1" x14ac:dyDescent="0.2">
      <c r="A28" s="100"/>
      <c r="B28" s="100"/>
      <c r="C28" s="65" t="s">
        <v>5196</v>
      </c>
      <c r="D28" s="70" t="s">
        <v>57</v>
      </c>
      <c r="E28" s="12">
        <v>44556</v>
      </c>
      <c r="F28" s="68" t="s">
        <v>59</v>
      </c>
      <c r="G28" s="12">
        <v>44559</v>
      </c>
      <c r="H28" s="69" t="s">
        <v>4687</v>
      </c>
      <c r="I28" s="15">
        <v>50</v>
      </c>
      <c r="J28" s="15">
        <v>30</v>
      </c>
      <c r="K28" s="15">
        <v>12</v>
      </c>
      <c r="L28" s="15">
        <v>1</v>
      </c>
      <c r="M28" s="73">
        <v>4.5</v>
      </c>
      <c r="N28" s="104">
        <v>6</v>
      </c>
      <c r="O28" s="57">
        <v>7000</v>
      </c>
      <c r="P28" s="58">
        <f t="shared" si="0"/>
        <v>42000</v>
      </c>
    </row>
    <row r="29" spans="1:16" ht="26.25" customHeight="1" x14ac:dyDescent="0.2">
      <c r="A29" s="100"/>
      <c r="B29" s="100"/>
      <c r="C29" s="65" t="s">
        <v>5197</v>
      </c>
      <c r="D29" s="70" t="s">
        <v>57</v>
      </c>
      <c r="E29" s="12">
        <v>44556</v>
      </c>
      <c r="F29" s="68" t="s">
        <v>59</v>
      </c>
      <c r="G29" s="12">
        <v>44559</v>
      </c>
      <c r="H29" s="69" t="s">
        <v>4687</v>
      </c>
      <c r="I29" s="15">
        <v>38</v>
      </c>
      <c r="J29" s="15">
        <v>38</v>
      </c>
      <c r="K29" s="15">
        <v>38</v>
      </c>
      <c r="L29" s="15">
        <v>10</v>
      </c>
      <c r="M29" s="73">
        <v>13.718</v>
      </c>
      <c r="N29" s="104">
        <v>13.718</v>
      </c>
      <c r="O29" s="57">
        <v>7000</v>
      </c>
      <c r="P29" s="58">
        <f t="shared" si="0"/>
        <v>96026</v>
      </c>
    </row>
    <row r="30" spans="1:16" ht="26.25" customHeight="1" x14ac:dyDescent="0.2">
      <c r="A30" s="100"/>
      <c r="B30" s="100"/>
      <c r="C30" s="65" t="s">
        <v>5198</v>
      </c>
      <c r="D30" s="70" t="s">
        <v>57</v>
      </c>
      <c r="E30" s="12">
        <v>44556</v>
      </c>
      <c r="F30" s="68" t="s">
        <v>59</v>
      </c>
      <c r="G30" s="12">
        <v>44559</v>
      </c>
      <c r="H30" s="69" t="s">
        <v>4687</v>
      </c>
      <c r="I30" s="15">
        <v>30</v>
      </c>
      <c r="J30" s="15">
        <v>35</v>
      </c>
      <c r="K30" s="15">
        <v>30</v>
      </c>
      <c r="L30" s="15">
        <v>4</v>
      </c>
      <c r="M30" s="73">
        <v>7.875</v>
      </c>
      <c r="N30" s="104">
        <v>7.875</v>
      </c>
      <c r="O30" s="57">
        <v>7000</v>
      </c>
      <c r="P30" s="58">
        <f t="shared" si="0"/>
        <v>55125</v>
      </c>
    </row>
    <row r="31" spans="1:16" ht="26.25" customHeight="1" x14ac:dyDescent="0.2">
      <c r="A31" s="100"/>
      <c r="B31" s="100"/>
      <c r="C31" s="65" t="s">
        <v>5199</v>
      </c>
      <c r="D31" s="70" t="s">
        <v>57</v>
      </c>
      <c r="E31" s="12">
        <v>44556</v>
      </c>
      <c r="F31" s="68" t="s">
        <v>59</v>
      </c>
      <c r="G31" s="12">
        <v>44559</v>
      </c>
      <c r="H31" s="69" t="s">
        <v>4687</v>
      </c>
      <c r="I31" s="15">
        <v>47</v>
      </c>
      <c r="J31" s="15">
        <v>47</v>
      </c>
      <c r="K31" s="15">
        <v>8</v>
      </c>
      <c r="L31" s="15">
        <v>40</v>
      </c>
      <c r="M31" s="73">
        <v>4.4180000000000001</v>
      </c>
      <c r="N31" s="104">
        <v>41</v>
      </c>
      <c r="O31" s="57">
        <v>7000</v>
      </c>
      <c r="P31" s="58">
        <f t="shared" si="0"/>
        <v>287000</v>
      </c>
    </row>
    <row r="32" spans="1:16" ht="26.25" customHeight="1" x14ac:dyDescent="0.2">
      <c r="A32" s="100"/>
      <c r="B32" s="100"/>
      <c r="C32" s="65" t="s">
        <v>5200</v>
      </c>
      <c r="D32" s="70" t="s">
        <v>57</v>
      </c>
      <c r="E32" s="12">
        <v>44556</v>
      </c>
      <c r="F32" s="68" t="s">
        <v>59</v>
      </c>
      <c r="G32" s="12">
        <v>44559</v>
      </c>
      <c r="H32" s="69" t="s">
        <v>4687</v>
      </c>
      <c r="I32" s="15">
        <v>38</v>
      </c>
      <c r="J32" s="15">
        <v>37</v>
      </c>
      <c r="K32" s="15">
        <v>30</v>
      </c>
      <c r="L32" s="15">
        <v>4</v>
      </c>
      <c r="M32" s="73">
        <v>10.545</v>
      </c>
      <c r="N32" s="104">
        <v>10.545</v>
      </c>
      <c r="O32" s="57">
        <v>7000</v>
      </c>
      <c r="P32" s="58">
        <f t="shared" si="0"/>
        <v>73815</v>
      </c>
    </row>
    <row r="33" spans="1:16" ht="26.25" customHeight="1" x14ac:dyDescent="0.2">
      <c r="A33" s="100"/>
      <c r="B33" s="100"/>
      <c r="C33" s="65" t="s">
        <v>5201</v>
      </c>
      <c r="D33" s="70" t="s">
        <v>57</v>
      </c>
      <c r="E33" s="12">
        <v>44556</v>
      </c>
      <c r="F33" s="68" t="s">
        <v>59</v>
      </c>
      <c r="G33" s="12">
        <v>44559</v>
      </c>
      <c r="H33" s="69" t="s">
        <v>4687</v>
      </c>
      <c r="I33" s="15">
        <v>51</v>
      </c>
      <c r="J33" s="15">
        <v>35</v>
      </c>
      <c r="K33" s="15">
        <v>15</v>
      </c>
      <c r="L33" s="15">
        <v>2</v>
      </c>
      <c r="M33" s="73">
        <v>6.6937499999999996</v>
      </c>
      <c r="N33" s="104">
        <v>6.6937499999999996</v>
      </c>
      <c r="O33" s="57">
        <v>7000</v>
      </c>
      <c r="P33" s="58">
        <f t="shared" si="0"/>
        <v>46856.25</v>
      </c>
    </row>
    <row r="34" spans="1:16" ht="26.25" customHeight="1" x14ac:dyDescent="0.2">
      <c r="A34" s="100"/>
      <c r="B34" s="100"/>
      <c r="C34" s="65" t="s">
        <v>5202</v>
      </c>
      <c r="D34" s="70" t="s">
        <v>57</v>
      </c>
      <c r="E34" s="12">
        <v>44556</v>
      </c>
      <c r="F34" s="68" t="s">
        <v>59</v>
      </c>
      <c r="G34" s="12">
        <v>44559</v>
      </c>
      <c r="H34" s="69" t="s">
        <v>4687</v>
      </c>
      <c r="I34" s="15">
        <v>60</v>
      </c>
      <c r="J34" s="15">
        <v>40</v>
      </c>
      <c r="K34" s="15">
        <v>55</v>
      </c>
      <c r="L34" s="15">
        <v>8</v>
      </c>
      <c r="M34" s="73">
        <v>33</v>
      </c>
      <c r="N34" s="104">
        <v>33</v>
      </c>
      <c r="O34" s="57">
        <v>7000</v>
      </c>
      <c r="P34" s="58">
        <f t="shared" si="0"/>
        <v>231000</v>
      </c>
    </row>
    <row r="35" spans="1:16" ht="26.25" customHeight="1" x14ac:dyDescent="0.2">
      <c r="A35" s="100"/>
      <c r="B35" s="100"/>
      <c r="C35" s="65" t="s">
        <v>5203</v>
      </c>
      <c r="D35" s="70" t="s">
        <v>57</v>
      </c>
      <c r="E35" s="12">
        <v>44556</v>
      </c>
      <c r="F35" s="68" t="s">
        <v>59</v>
      </c>
      <c r="G35" s="12">
        <v>44559</v>
      </c>
      <c r="H35" s="69" t="s">
        <v>4687</v>
      </c>
      <c r="I35" s="15">
        <v>90</v>
      </c>
      <c r="J35" s="15">
        <v>50</v>
      </c>
      <c r="K35" s="15">
        <v>30</v>
      </c>
      <c r="L35" s="15">
        <v>17</v>
      </c>
      <c r="M35" s="73">
        <v>33.75</v>
      </c>
      <c r="N35" s="104">
        <v>33.75</v>
      </c>
      <c r="O35" s="57">
        <v>7000</v>
      </c>
      <c r="P35" s="58">
        <f t="shared" si="0"/>
        <v>236250</v>
      </c>
    </row>
    <row r="36" spans="1:16" ht="26.25" customHeight="1" x14ac:dyDescent="0.2">
      <c r="A36" s="100"/>
      <c r="B36" s="100"/>
      <c r="C36" s="65" t="s">
        <v>5204</v>
      </c>
      <c r="D36" s="70" t="s">
        <v>57</v>
      </c>
      <c r="E36" s="12">
        <v>44556</v>
      </c>
      <c r="F36" s="68" t="s">
        <v>59</v>
      </c>
      <c r="G36" s="12">
        <v>44559</v>
      </c>
      <c r="H36" s="69" t="s">
        <v>4687</v>
      </c>
      <c r="I36" s="15">
        <v>90</v>
      </c>
      <c r="J36" s="15">
        <v>49</v>
      </c>
      <c r="K36" s="15">
        <v>20</v>
      </c>
      <c r="L36" s="15">
        <v>12</v>
      </c>
      <c r="M36" s="73">
        <v>22.05</v>
      </c>
      <c r="N36" s="104">
        <v>22.05</v>
      </c>
      <c r="O36" s="57">
        <v>7000</v>
      </c>
      <c r="P36" s="58">
        <f t="shared" si="0"/>
        <v>154350</v>
      </c>
    </row>
    <row r="37" spans="1:16" ht="26.25" customHeight="1" x14ac:dyDescent="0.2">
      <c r="A37" s="100"/>
      <c r="B37" s="100"/>
      <c r="C37" s="65" t="s">
        <v>5205</v>
      </c>
      <c r="D37" s="70" t="s">
        <v>57</v>
      </c>
      <c r="E37" s="12">
        <v>44556</v>
      </c>
      <c r="F37" s="68" t="s">
        <v>59</v>
      </c>
      <c r="G37" s="12">
        <v>44559</v>
      </c>
      <c r="H37" s="69" t="s">
        <v>4687</v>
      </c>
      <c r="I37" s="15">
        <v>66</v>
      </c>
      <c r="J37" s="15">
        <v>62</v>
      </c>
      <c r="K37" s="15">
        <v>20</v>
      </c>
      <c r="L37" s="15">
        <v>5</v>
      </c>
      <c r="M37" s="73">
        <v>20.46</v>
      </c>
      <c r="N37" s="104">
        <v>21</v>
      </c>
      <c r="O37" s="57">
        <v>7000</v>
      </c>
      <c r="P37" s="58">
        <f t="shared" si="0"/>
        <v>147000</v>
      </c>
    </row>
    <row r="38" spans="1:16" ht="26.25" customHeight="1" x14ac:dyDescent="0.2">
      <c r="A38" s="100"/>
      <c r="B38" s="100"/>
      <c r="C38" s="65" t="s">
        <v>5206</v>
      </c>
      <c r="D38" s="70" t="s">
        <v>57</v>
      </c>
      <c r="E38" s="12">
        <v>44556</v>
      </c>
      <c r="F38" s="68" t="s">
        <v>59</v>
      </c>
      <c r="G38" s="12">
        <v>44559</v>
      </c>
      <c r="H38" s="69" t="s">
        <v>4687</v>
      </c>
      <c r="I38" s="15">
        <v>70</v>
      </c>
      <c r="J38" s="15">
        <v>55</v>
      </c>
      <c r="K38" s="15">
        <v>33</v>
      </c>
      <c r="L38" s="15">
        <v>11</v>
      </c>
      <c r="M38" s="73">
        <v>31.762499999999999</v>
      </c>
      <c r="N38" s="104">
        <v>31.762499999999999</v>
      </c>
      <c r="O38" s="57">
        <v>7000</v>
      </c>
      <c r="P38" s="58">
        <f t="shared" si="0"/>
        <v>222337.5</v>
      </c>
    </row>
    <row r="39" spans="1:16" ht="26.25" customHeight="1" x14ac:dyDescent="0.2">
      <c r="A39" s="100"/>
      <c r="B39" s="100"/>
      <c r="C39" s="65" t="s">
        <v>5207</v>
      </c>
      <c r="D39" s="70" t="s">
        <v>57</v>
      </c>
      <c r="E39" s="12">
        <v>44556</v>
      </c>
      <c r="F39" s="68" t="s">
        <v>59</v>
      </c>
      <c r="G39" s="12">
        <v>44559</v>
      </c>
      <c r="H39" s="69" t="s">
        <v>4687</v>
      </c>
      <c r="I39" s="15">
        <v>55</v>
      </c>
      <c r="J39" s="15">
        <v>44</v>
      </c>
      <c r="K39" s="15">
        <v>29</v>
      </c>
      <c r="L39" s="15">
        <v>5</v>
      </c>
      <c r="M39" s="73">
        <v>17.545000000000002</v>
      </c>
      <c r="N39" s="104">
        <v>17.545000000000002</v>
      </c>
      <c r="O39" s="57">
        <v>7000</v>
      </c>
      <c r="P39" s="58">
        <f t="shared" si="0"/>
        <v>122815.00000000001</v>
      </c>
    </row>
    <row r="40" spans="1:16" ht="26.25" customHeight="1" x14ac:dyDescent="0.2">
      <c r="A40" s="100"/>
      <c r="B40" s="100"/>
      <c r="C40" s="65" t="s">
        <v>5208</v>
      </c>
      <c r="D40" s="70" t="s">
        <v>57</v>
      </c>
      <c r="E40" s="12">
        <v>44556</v>
      </c>
      <c r="F40" s="68" t="s">
        <v>59</v>
      </c>
      <c r="G40" s="12">
        <v>44559</v>
      </c>
      <c r="H40" s="69" t="s">
        <v>4687</v>
      </c>
      <c r="I40" s="15">
        <v>100</v>
      </c>
      <c r="J40" s="15">
        <v>60</v>
      </c>
      <c r="K40" s="15">
        <v>28</v>
      </c>
      <c r="L40" s="15">
        <v>28</v>
      </c>
      <c r="M40" s="73">
        <v>42</v>
      </c>
      <c r="N40" s="104">
        <v>42</v>
      </c>
      <c r="O40" s="57">
        <v>7000</v>
      </c>
      <c r="P40" s="58">
        <f t="shared" si="0"/>
        <v>294000</v>
      </c>
    </row>
    <row r="41" spans="1:16" ht="26.25" customHeight="1" x14ac:dyDescent="0.2">
      <c r="A41" s="100"/>
      <c r="B41" s="100"/>
      <c r="C41" s="65" t="s">
        <v>5209</v>
      </c>
      <c r="D41" s="70" t="s">
        <v>57</v>
      </c>
      <c r="E41" s="12">
        <v>44556</v>
      </c>
      <c r="F41" s="68" t="s">
        <v>59</v>
      </c>
      <c r="G41" s="12">
        <v>44559</v>
      </c>
      <c r="H41" s="69" t="s">
        <v>4687</v>
      </c>
      <c r="I41" s="15">
        <v>34</v>
      </c>
      <c r="J41" s="15">
        <v>43</v>
      </c>
      <c r="K41" s="15">
        <v>34</v>
      </c>
      <c r="L41" s="15">
        <v>10</v>
      </c>
      <c r="M41" s="73">
        <v>12.427</v>
      </c>
      <c r="N41" s="104">
        <v>13</v>
      </c>
      <c r="O41" s="57">
        <v>7000</v>
      </c>
      <c r="P41" s="58">
        <f t="shared" si="0"/>
        <v>91000</v>
      </c>
    </row>
    <row r="42" spans="1:16" ht="26.25" customHeight="1" x14ac:dyDescent="0.2">
      <c r="A42" s="100"/>
      <c r="B42" s="100"/>
      <c r="C42" s="65" t="s">
        <v>5210</v>
      </c>
      <c r="D42" s="70" t="s">
        <v>57</v>
      </c>
      <c r="E42" s="12">
        <v>44556</v>
      </c>
      <c r="F42" s="68" t="s">
        <v>59</v>
      </c>
      <c r="G42" s="12">
        <v>44559</v>
      </c>
      <c r="H42" s="69" t="s">
        <v>4687</v>
      </c>
      <c r="I42" s="15">
        <v>93</v>
      </c>
      <c r="J42" s="15">
        <v>52</v>
      </c>
      <c r="K42" s="15">
        <v>15</v>
      </c>
      <c r="L42" s="15">
        <v>13</v>
      </c>
      <c r="M42" s="73">
        <v>18.135000000000002</v>
      </c>
      <c r="N42" s="104">
        <v>18.135000000000002</v>
      </c>
      <c r="O42" s="57">
        <v>7000</v>
      </c>
      <c r="P42" s="58">
        <f t="shared" si="0"/>
        <v>126945.00000000001</v>
      </c>
    </row>
    <row r="43" spans="1:16" ht="26.25" customHeight="1" x14ac:dyDescent="0.2">
      <c r="A43" s="100"/>
      <c r="B43" s="100"/>
      <c r="C43" s="65" t="s">
        <v>5211</v>
      </c>
      <c r="D43" s="70" t="s">
        <v>57</v>
      </c>
      <c r="E43" s="12">
        <v>44556</v>
      </c>
      <c r="F43" s="68" t="s">
        <v>59</v>
      </c>
      <c r="G43" s="12">
        <v>44559</v>
      </c>
      <c r="H43" s="69" t="s">
        <v>4687</v>
      </c>
      <c r="I43" s="15">
        <v>50</v>
      </c>
      <c r="J43" s="15">
        <v>30</v>
      </c>
      <c r="K43" s="15">
        <v>16</v>
      </c>
      <c r="L43" s="15">
        <v>1</v>
      </c>
      <c r="M43" s="73">
        <v>6</v>
      </c>
      <c r="N43" s="104">
        <v>6</v>
      </c>
      <c r="O43" s="57">
        <v>7000</v>
      </c>
      <c r="P43" s="58">
        <f t="shared" si="0"/>
        <v>42000</v>
      </c>
    </row>
    <row r="44" spans="1:16" ht="26.25" customHeight="1" x14ac:dyDescent="0.2">
      <c r="A44" s="100"/>
      <c r="B44" s="100"/>
      <c r="C44" s="65" t="s">
        <v>5212</v>
      </c>
      <c r="D44" s="70" t="s">
        <v>57</v>
      </c>
      <c r="E44" s="12">
        <v>44556</v>
      </c>
      <c r="F44" s="68" t="s">
        <v>59</v>
      </c>
      <c r="G44" s="12">
        <v>44559</v>
      </c>
      <c r="H44" s="69" t="s">
        <v>4687</v>
      </c>
      <c r="I44" s="15">
        <v>105</v>
      </c>
      <c r="J44" s="15">
        <v>63</v>
      </c>
      <c r="K44" s="15">
        <v>27</v>
      </c>
      <c r="L44" s="15">
        <v>23</v>
      </c>
      <c r="M44" s="73">
        <v>44.651249999999997</v>
      </c>
      <c r="N44" s="104">
        <v>44.651249999999997</v>
      </c>
      <c r="O44" s="57">
        <v>7000</v>
      </c>
      <c r="P44" s="58">
        <f t="shared" si="0"/>
        <v>312558.75</v>
      </c>
    </row>
    <row r="45" spans="1:16" ht="26.25" customHeight="1" x14ac:dyDescent="0.2">
      <c r="A45" s="100"/>
      <c r="B45" s="100"/>
      <c r="C45" s="65" t="s">
        <v>5213</v>
      </c>
      <c r="D45" s="70" t="s">
        <v>57</v>
      </c>
      <c r="E45" s="12">
        <v>44556</v>
      </c>
      <c r="F45" s="68" t="s">
        <v>59</v>
      </c>
      <c r="G45" s="12">
        <v>44559</v>
      </c>
      <c r="H45" s="69" t="s">
        <v>4687</v>
      </c>
      <c r="I45" s="15">
        <v>70</v>
      </c>
      <c r="J45" s="15">
        <v>69</v>
      </c>
      <c r="K45" s="15">
        <v>20</v>
      </c>
      <c r="L45" s="15">
        <v>5</v>
      </c>
      <c r="M45" s="73">
        <v>24.15</v>
      </c>
      <c r="N45" s="104">
        <v>24.15</v>
      </c>
      <c r="O45" s="57">
        <v>7000</v>
      </c>
      <c r="P45" s="58">
        <f t="shared" si="0"/>
        <v>169050</v>
      </c>
    </row>
    <row r="46" spans="1:16" ht="26.25" customHeight="1" x14ac:dyDescent="0.2">
      <c r="A46" s="100"/>
      <c r="B46" s="100"/>
      <c r="C46" s="65" t="s">
        <v>5214</v>
      </c>
      <c r="D46" s="70" t="s">
        <v>57</v>
      </c>
      <c r="E46" s="12">
        <v>44556</v>
      </c>
      <c r="F46" s="68" t="s">
        <v>59</v>
      </c>
      <c r="G46" s="12">
        <v>44559</v>
      </c>
      <c r="H46" s="69" t="s">
        <v>4687</v>
      </c>
      <c r="I46" s="15">
        <v>90</v>
      </c>
      <c r="J46" s="15">
        <v>43</v>
      </c>
      <c r="K46" s="15">
        <v>10</v>
      </c>
      <c r="L46" s="15">
        <v>1</v>
      </c>
      <c r="M46" s="73">
        <v>9.6750000000000007</v>
      </c>
      <c r="N46" s="104">
        <v>9.6750000000000007</v>
      </c>
      <c r="O46" s="57">
        <v>7000</v>
      </c>
      <c r="P46" s="58">
        <f t="shared" si="0"/>
        <v>67725</v>
      </c>
    </row>
    <row r="47" spans="1:16" ht="26.25" customHeight="1" x14ac:dyDescent="0.2">
      <c r="A47" s="100"/>
      <c r="B47" s="100"/>
      <c r="C47" s="65" t="s">
        <v>5215</v>
      </c>
      <c r="D47" s="70" t="s">
        <v>57</v>
      </c>
      <c r="E47" s="12">
        <v>44556</v>
      </c>
      <c r="F47" s="68" t="s">
        <v>59</v>
      </c>
      <c r="G47" s="12">
        <v>44559</v>
      </c>
      <c r="H47" s="69" t="s">
        <v>4687</v>
      </c>
      <c r="I47" s="15">
        <v>100</v>
      </c>
      <c r="J47" s="15">
        <v>55</v>
      </c>
      <c r="K47" s="15">
        <v>40</v>
      </c>
      <c r="L47" s="15">
        <v>27</v>
      </c>
      <c r="M47" s="73">
        <v>55</v>
      </c>
      <c r="N47" s="104">
        <v>55</v>
      </c>
      <c r="O47" s="57">
        <v>7000</v>
      </c>
      <c r="P47" s="58">
        <f t="shared" si="0"/>
        <v>385000</v>
      </c>
    </row>
    <row r="48" spans="1:16" ht="26.25" customHeight="1" x14ac:dyDescent="0.2">
      <c r="A48" s="100"/>
      <c r="B48" s="100"/>
      <c r="C48" s="65" t="s">
        <v>5216</v>
      </c>
      <c r="D48" s="70" t="s">
        <v>57</v>
      </c>
      <c r="E48" s="12">
        <v>44556</v>
      </c>
      <c r="F48" s="68" t="s">
        <v>59</v>
      </c>
      <c r="G48" s="12">
        <v>44559</v>
      </c>
      <c r="H48" s="69" t="s">
        <v>4687</v>
      </c>
      <c r="I48" s="15">
        <v>60</v>
      </c>
      <c r="J48" s="15">
        <v>35</v>
      </c>
      <c r="K48" s="15">
        <v>30</v>
      </c>
      <c r="L48" s="15">
        <v>3</v>
      </c>
      <c r="M48" s="73">
        <v>15.75</v>
      </c>
      <c r="N48" s="104">
        <v>15.75</v>
      </c>
      <c r="O48" s="57">
        <v>7000</v>
      </c>
      <c r="P48" s="58">
        <f t="shared" si="0"/>
        <v>110250</v>
      </c>
    </row>
    <row r="49" spans="1:16" ht="26.25" customHeight="1" x14ac:dyDescent="0.2">
      <c r="A49" s="100"/>
      <c r="B49" s="100"/>
      <c r="C49" s="65" t="s">
        <v>5217</v>
      </c>
      <c r="D49" s="70" t="s">
        <v>57</v>
      </c>
      <c r="E49" s="12">
        <v>44556</v>
      </c>
      <c r="F49" s="68" t="s">
        <v>59</v>
      </c>
      <c r="G49" s="12">
        <v>44559</v>
      </c>
      <c r="H49" s="69" t="s">
        <v>4687</v>
      </c>
      <c r="I49" s="15">
        <v>58</v>
      </c>
      <c r="J49" s="15">
        <v>35</v>
      </c>
      <c r="K49" s="15">
        <v>14</v>
      </c>
      <c r="L49" s="15">
        <v>5</v>
      </c>
      <c r="M49" s="73">
        <v>7.1050000000000004</v>
      </c>
      <c r="N49" s="104">
        <v>7.1050000000000004</v>
      </c>
      <c r="O49" s="57">
        <v>7000</v>
      </c>
      <c r="P49" s="58">
        <f t="shared" si="0"/>
        <v>49735</v>
      </c>
    </row>
    <row r="50" spans="1:16" ht="26.25" customHeight="1" x14ac:dyDescent="0.2">
      <c r="A50" s="100"/>
      <c r="B50" s="100"/>
      <c r="C50" s="65" t="s">
        <v>5218</v>
      </c>
      <c r="D50" s="70" t="s">
        <v>57</v>
      </c>
      <c r="E50" s="12">
        <v>44556</v>
      </c>
      <c r="F50" s="68" t="s">
        <v>59</v>
      </c>
      <c r="G50" s="12">
        <v>44559</v>
      </c>
      <c r="H50" s="69" t="s">
        <v>4687</v>
      </c>
      <c r="I50" s="15">
        <v>108</v>
      </c>
      <c r="J50" s="15">
        <v>40</v>
      </c>
      <c r="K50" s="15">
        <v>30</v>
      </c>
      <c r="L50" s="15">
        <v>20</v>
      </c>
      <c r="M50" s="73">
        <v>32.4</v>
      </c>
      <c r="N50" s="104">
        <v>33</v>
      </c>
      <c r="O50" s="57">
        <v>7000</v>
      </c>
      <c r="P50" s="58">
        <f t="shared" si="0"/>
        <v>231000</v>
      </c>
    </row>
    <row r="51" spans="1:16" ht="26.25" customHeight="1" x14ac:dyDescent="0.2">
      <c r="A51" s="100"/>
      <c r="B51" s="100"/>
      <c r="C51" s="65" t="s">
        <v>5219</v>
      </c>
      <c r="D51" s="70" t="s">
        <v>57</v>
      </c>
      <c r="E51" s="12">
        <v>44556</v>
      </c>
      <c r="F51" s="68" t="s">
        <v>59</v>
      </c>
      <c r="G51" s="12">
        <v>44559</v>
      </c>
      <c r="H51" s="69" t="s">
        <v>4687</v>
      </c>
      <c r="I51" s="15">
        <v>57</v>
      </c>
      <c r="J51" s="15">
        <v>40</v>
      </c>
      <c r="K51" s="15">
        <v>10</v>
      </c>
      <c r="L51" s="15">
        <v>23</v>
      </c>
      <c r="M51" s="73">
        <v>5.7</v>
      </c>
      <c r="N51" s="104">
        <v>23</v>
      </c>
      <c r="O51" s="57">
        <v>7000</v>
      </c>
      <c r="P51" s="58">
        <f t="shared" si="0"/>
        <v>161000</v>
      </c>
    </row>
    <row r="52" spans="1:16" ht="26.25" customHeight="1" x14ac:dyDescent="0.2">
      <c r="A52" s="100"/>
      <c r="B52" s="100"/>
      <c r="C52" s="65" t="s">
        <v>5220</v>
      </c>
      <c r="D52" s="70" t="s">
        <v>57</v>
      </c>
      <c r="E52" s="12">
        <v>44556</v>
      </c>
      <c r="F52" s="68" t="s">
        <v>59</v>
      </c>
      <c r="G52" s="12">
        <v>44559</v>
      </c>
      <c r="H52" s="69" t="s">
        <v>4687</v>
      </c>
      <c r="I52" s="15">
        <v>160</v>
      </c>
      <c r="J52" s="15">
        <v>26</v>
      </c>
      <c r="K52" s="15">
        <v>26</v>
      </c>
      <c r="L52" s="15">
        <v>11</v>
      </c>
      <c r="M52" s="73">
        <v>27.04</v>
      </c>
      <c r="N52" s="104">
        <v>27.04</v>
      </c>
      <c r="O52" s="57">
        <v>7000</v>
      </c>
      <c r="P52" s="58">
        <f t="shared" si="0"/>
        <v>189280</v>
      </c>
    </row>
    <row r="53" spans="1:16" ht="26.25" customHeight="1" x14ac:dyDescent="0.2">
      <c r="A53" s="100"/>
      <c r="B53" s="100"/>
      <c r="C53" s="65" t="s">
        <v>5221</v>
      </c>
      <c r="D53" s="70" t="s">
        <v>57</v>
      </c>
      <c r="E53" s="12">
        <v>44556</v>
      </c>
      <c r="F53" s="68" t="s">
        <v>59</v>
      </c>
      <c r="G53" s="12">
        <v>44559</v>
      </c>
      <c r="H53" s="69" t="s">
        <v>4687</v>
      </c>
      <c r="I53" s="15">
        <v>63</v>
      </c>
      <c r="J53" s="15">
        <v>44</v>
      </c>
      <c r="K53" s="15">
        <v>24</v>
      </c>
      <c r="L53" s="15">
        <v>1</v>
      </c>
      <c r="M53" s="73">
        <v>16.632000000000001</v>
      </c>
      <c r="N53" s="104">
        <v>16.632000000000001</v>
      </c>
      <c r="O53" s="57">
        <v>7000</v>
      </c>
      <c r="P53" s="58">
        <f t="shared" si="0"/>
        <v>116424.00000000001</v>
      </c>
    </row>
    <row r="54" spans="1:16" ht="26.25" customHeight="1" x14ac:dyDescent="0.2">
      <c r="A54" s="100"/>
      <c r="B54" s="100"/>
      <c r="C54" s="65" t="s">
        <v>5222</v>
      </c>
      <c r="D54" s="70" t="s">
        <v>57</v>
      </c>
      <c r="E54" s="12">
        <v>44556</v>
      </c>
      <c r="F54" s="68" t="s">
        <v>59</v>
      </c>
      <c r="G54" s="12">
        <v>44559</v>
      </c>
      <c r="H54" s="69" t="s">
        <v>4687</v>
      </c>
      <c r="I54" s="15">
        <v>60</v>
      </c>
      <c r="J54" s="15">
        <v>35</v>
      </c>
      <c r="K54" s="15">
        <v>40</v>
      </c>
      <c r="L54" s="15">
        <v>13</v>
      </c>
      <c r="M54" s="73">
        <v>21</v>
      </c>
      <c r="N54" s="104">
        <v>21</v>
      </c>
      <c r="O54" s="57">
        <v>7000</v>
      </c>
      <c r="P54" s="58">
        <f t="shared" si="0"/>
        <v>147000</v>
      </c>
    </row>
    <row r="55" spans="1:16" ht="26.25" customHeight="1" x14ac:dyDescent="0.2">
      <c r="A55" s="100"/>
      <c r="B55" s="100"/>
      <c r="C55" s="65" t="s">
        <v>5223</v>
      </c>
      <c r="D55" s="70" t="s">
        <v>57</v>
      </c>
      <c r="E55" s="12">
        <v>44556</v>
      </c>
      <c r="F55" s="68" t="s">
        <v>59</v>
      </c>
      <c r="G55" s="12">
        <v>44559</v>
      </c>
      <c r="H55" s="69" t="s">
        <v>4687</v>
      </c>
      <c r="I55" s="15">
        <v>100</v>
      </c>
      <c r="J55" s="15">
        <v>22</v>
      </c>
      <c r="K55" s="15">
        <v>22</v>
      </c>
      <c r="L55" s="15">
        <v>8</v>
      </c>
      <c r="M55" s="73">
        <v>12.1</v>
      </c>
      <c r="N55" s="104">
        <v>12.1</v>
      </c>
      <c r="O55" s="57">
        <v>7000</v>
      </c>
      <c r="P55" s="58">
        <f t="shared" si="0"/>
        <v>84700</v>
      </c>
    </row>
    <row r="56" spans="1:16" ht="26.25" customHeight="1" x14ac:dyDescent="0.2">
      <c r="A56" s="100"/>
      <c r="B56" s="100"/>
      <c r="C56" s="65" t="s">
        <v>4259</v>
      </c>
      <c r="D56" s="70" t="s">
        <v>57</v>
      </c>
      <c r="E56" s="12">
        <v>44556</v>
      </c>
      <c r="F56" s="68" t="s">
        <v>59</v>
      </c>
      <c r="G56" s="12">
        <v>44559</v>
      </c>
      <c r="H56" s="69" t="s">
        <v>4687</v>
      </c>
      <c r="I56" s="15">
        <v>35</v>
      </c>
      <c r="J56" s="15">
        <v>35</v>
      </c>
      <c r="K56" s="15">
        <v>13</v>
      </c>
      <c r="L56" s="15">
        <v>25</v>
      </c>
      <c r="M56" s="73">
        <v>3.9812500000000002</v>
      </c>
      <c r="N56" s="104">
        <v>25</v>
      </c>
      <c r="O56" s="57">
        <v>7000</v>
      </c>
      <c r="P56" s="58">
        <f t="shared" si="0"/>
        <v>175000</v>
      </c>
    </row>
    <row r="57" spans="1:16" ht="26.25" customHeight="1" x14ac:dyDescent="0.2">
      <c r="A57" s="100"/>
      <c r="B57" s="100"/>
      <c r="C57" s="65" t="s">
        <v>5224</v>
      </c>
      <c r="D57" s="70" t="s">
        <v>57</v>
      </c>
      <c r="E57" s="12">
        <v>44556</v>
      </c>
      <c r="F57" s="68" t="s">
        <v>59</v>
      </c>
      <c r="G57" s="12">
        <v>44559</v>
      </c>
      <c r="H57" s="69" t="s">
        <v>4687</v>
      </c>
      <c r="I57" s="15">
        <v>50</v>
      </c>
      <c r="J57" s="15">
        <v>45</v>
      </c>
      <c r="K57" s="15">
        <v>24</v>
      </c>
      <c r="L57" s="15">
        <v>20</v>
      </c>
      <c r="M57" s="73">
        <v>13.5</v>
      </c>
      <c r="N57" s="104">
        <v>21</v>
      </c>
      <c r="O57" s="57">
        <v>7000</v>
      </c>
      <c r="P57" s="58">
        <f t="shared" si="0"/>
        <v>147000</v>
      </c>
    </row>
    <row r="58" spans="1:16" ht="26.25" customHeight="1" x14ac:dyDescent="0.2">
      <c r="A58" s="100"/>
      <c r="B58" s="100"/>
      <c r="C58" s="65" t="s">
        <v>5225</v>
      </c>
      <c r="D58" s="70" t="s">
        <v>57</v>
      </c>
      <c r="E58" s="12">
        <v>44556</v>
      </c>
      <c r="F58" s="68" t="s">
        <v>59</v>
      </c>
      <c r="G58" s="12">
        <v>44559</v>
      </c>
      <c r="H58" s="69" t="s">
        <v>4687</v>
      </c>
      <c r="I58" s="15">
        <v>35</v>
      </c>
      <c r="J58" s="15">
        <v>40</v>
      </c>
      <c r="K58" s="15">
        <v>13</v>
      </c>
      <c r="L58" s="15">
        <v>1</v>
      </c>
      <c r="M58" s="73">
        <v>4.55</v>
      </c>
      <c r="N58" s="104">
        <v>4.55</v>
      </c>
      <c r="O58" s="57">
        <v>7000</v>
      </c>
      <c r="P58" s="58">
        <f t="shared" si="0"/>
        <v>31850</v>
      </c>
    </row>
    <row r="59" spans="1:16" ht="26.25" customHeight="1" x14ac:dyDescent="0.2">
      <c r="A59" s="100"/>
      <c r="B59" s="100"/>
      <c r="C59" s="65" t="s">
        <v>5226</v>
      </c>
      <c r="D59" s="70" t="s">
        <v>57</v>
      </c>
      <c r="E59" s="12">
        <v>44556</v>
      </c>
      <c r="F59" s="68" t="s">
        <v>59</v>
      </c>
      <c r="G59" s="12">
        <v>44559</v>
      </c>
      <c r="H59" s="69" t="s">
        <v>4687</v>
      </c>
      <c r="I59" s="15">
        <v>35</v>
      </c>
      <c r="J59" s="15">
        <v>30</v>
      </c>
      <c r="K59" s="15">
        <v>33</v>
      </c>
      <c r="L59" s="15">
        <v>5</v>
      </c>
      <c r="M59" s="73">
        <v>8.6624999999999996</v>
      </c>
      <c r="N59" s="104">
        <v>8.6624999999999996</v>
      </c>
      <c r="O59" s="57">
        <v>7000</v>
      </c>
      <c r="P59" s="58">
        <f t="shared" si="0"/>
        <v>60637.5</v>
      </c>
    </row>
    <row r="60" spans="1:16" ht="26.25" customHeight="1" x14ac:dyDescent="0.2">
      <c r="A60" s="100"/>
      <c r="B60" s="100"/>
      <c r="C60" s="65" t="s">
        <v>5227</v>
      </c>
      <c r="D60" s="70" t="s">
        <v>57</v>
      </c>
      <c r="E60" s="12">
        <v>44556</v>
      </c>
      <c r="F60" s="68" t="s">
        <v>59</v>
      </c>
      <c r="G60" s="12">
        <v>44559</v>
      </c>
      <c r="H60" s="69" t="s">
        <v>4687</v>
      </c>
      <c r="I60" s="15">
        <v>63</v>
      </c>
      <c r="J60" s="15">
        <v>30</v>
      </c>
      <c r="K60" s="15">
        <v>20</v>
      </c>
      <c r="L60" s="15">
        <v>1</v>
      </c>
      <c r="M60" s="73">
        <v>9.4499999999999993</v>
      </c>
      <c r="N60" s="104">
        <v>10</v>
      </c>
      <c r="O60" s="57">
        <v>7000</v>
      </c>
      <c r="P60" s="58">
        <f t="shared" si="0"/>
        <v>70000</v>
      </c>
    </row>
    <row r="61" spans="1:16" ht="26.25" customHeight="1" x14ac:dyDescent="0.2">
      <c r="A61" s="100"/>
      <c r="B61" s="100"/>
      <c r="C61" s="65" t="s">
        <v>5228</v>
      </c>
      <c r="D61" s="70" t="s">
        <v>57</v>
      </c>
      <c r="E61" s="12">
        <v>44556</v>
      </c>
      <c r="F61" s="68" t="s">
        <v>59</v>
      </c>
      <c r="G61" s="12">
        <v>44559</v>
      </c>
      <c r="H61" s="69" t="s">
        <v>4687</v>
      </c>
      <c r="I61" s="15">
        <v>52</v>
      </c>
      <c r="J61" s="15">
        <v>44</v>
      </c>
      <c r="K61" s="15">
        <v>15</v>
      </c>
      <c r="L61" s="15">
        <v>1</v>
      </c>
      <c r="M61" s="73">
        <v>8.58</v>
      </c>
      <c r="N61" s="104">
        <v>8.58</v>
      </c>
      <c r="O61" s="57">
        <v>7000</v>
      </c>
      <c r="P61" s="58">
        <f t="shared" si="0"/>
        <v>60060</v>
      </c>
    </row>
    <row r="62" spans="1:16" ht="26.25" customHeight="1" x14ac:dyDescent="0.2">
      <c r="A62" s="100"/>
      <c r="B62" s="100"/>
      <c r="C62" s="65" t="s">
        <v>5229</v>
      </c>
      <c r="D62" s="70" t="s">
        <v>57</v>
      </c>
      <c r="E62" s="12">
        <v>44556</v>
      </c>
      <c r="F62" s="68" t="s">
        <v>59</v>
      </c>
      <c r="G62" s="12">
        <v>44559</v>
      </c>
      <c r="H62" s="69" t="s">
        <v>4687</v>
      </c>
      <c r="I62" s="15">
        <v>60</v>
      </c>
      <c r="J62" s="15">
        <v>50</v>
      </c>
      <c r="K62" s="15">
        <v>41</v>
      </c>
      <c r="L62" s="15">
        <v>2</v>
      </c>
      <c r="M62" s="73">
        <v>30.75</v>
      </c>
      <c r="N62" s="104">
        <v>30.75</v>
      </c>
      <c r="O62" s="57">
        <v>7000</v>
      </c>
      <c r="P62" s="58">
        <f t="shared" si="0"/>
        <v>215250</v>
      </c>
    </row>
    <row r="63" spans="1:16" ht="26.25" customHeight="1" x14ac:dyDescent="0.2">
      <c r="A63" s="100"/>
      <c r="B63" s="100"/>
      <c r="C63" s="65" t="s">
        <v>5230</v>
      </c>
      <c r="D63" s="70" t="s">
        <v>57</v>
      </c>
      <c r="E63" s="12">
        <v>44556</v>
      </c>
      <c r="F63" s="68" t="s">
        <v>59</v>
      </c>
      <c r="G63" s="12">
        <v>44559</v>
      </c>
      <c r="H63" s="69" t="s">
        <v>4687</v>
      </c>
      <c r="I63" s="15">
        <v>80</v>
      </c>
      <c r="J63" s="15">
        <v>63</v>
      </c>
      <c r="K63" s="15">
        <v>26</v>
      </c>
      <c r="L63" s="15">
        <v>14</v>
      </c>
      <c r="M63" s="73">
        <v>32.76</v>
      </c>
      <c r="N63" s="104">
        <v>32.76</v>
      </c>
      <c r="O63" s="57">
        <v>7000</v>
      </c>
      <c r="P63" s="58">
        <f t="shared" si="0"/>
        <v>229320</v>
      </c>
    </row>
    <row r="64" spans="1:16" ht="26.25" customHeight="1" x14ac:dyDescent="0.2">
      <c r="A64" s="100"/>
      <c r="B64" s="100"/>
      <c r="C64" s="65" t="s">
        <v>5231</v>
      </c>
      <c r="D64" s="70" t="s">
        <v>57</v>
      </c>
      <c r="E64" s="12">
        <v>44556</v>
      </c>
      <c r="F64" s="68" t="s">
        <v>59</v>
      </c>
      <c r="G64" s="12">
        <v>44559</v>
      </c>
      <c r="H64" s="69" t="s">
        <v>4687</v>
      </c>
      <c r="I64" s="15">
        <v>38</v>
      </c>
      <c r="J64" s="15">
        <v>35</v>
      </c>
      <c r="K64" s="15">
        <v>30</v>
      </c>
      <c r="L64" s="15">
        <v>9</v>
      </c>
      <c r="M64" s="73">
        <v>9.9749999999999996</v>
      </c>
      <c r="N64" s="104">
        <v>9.9749999999999996</v>
      </c>
      <c r="O64" s="57">
        <v>7000</v>
      </c>
      <c r="P64" s="58">
        <f t="shared" si="0"/>
        <v>69825</v>
      </c>
    </row>
    <row r="65" spans="1:16" ht="26.25" customHeight="1" x14ac:dyDescent="0.2">
      <c r="A65" s="100"/>
      <c r="B65" s="100"/>
      <c r="C65" s="65" t="s">
        <v>5232</v>
      </c>
      <c r="D65" s="70" t="s">
        <v>57</v>
      </c>
      <c r="E65" s="12">
        <v>44556</v>
      </c>
      <c r="F65" s="68" t="s">
        <v>59</v>
      </c>
      <c r="G65" s="12">
        <v>44559</v>
      </c>
      <c r="H65" s="69" t="s">
        <v>4687</v>
      </c>
      <c r="I65" s="15">
        <v>28</v>
      </c>
      <c r="J65" s="15">
        <v>28</v>
      </c>
      <c r="K65" s="15">
        <v>35</v>
      </c>
      <c r="L65" s="15">
        <v>32</v>
      </c>
      <c r="M65" s="73">
        <v>6.86</v>
      </c>
      <c r="N65" s="104">
        <v>32</v>
      </c>
      <c r="O65" s="57">
        <v>7000</v>
      </c>
      <c r="P65" s="58">
        <f t="shared" si="0"/>
        <v>224000</v>
      </c>
    </row>
    <row r="66" spans="1:16" ht="26.25" customHeight="1" x14ac:dyDescent="0.2">
      <c r="A66" s="100"/>
      <c r="B66" s="100"/>
      <c r="C66" s="65" t="s">
        <v>5233</v>
      </c>
      <c r="D66" s="70" t="s">
        <v>57</v>
      </c>
      <c r="E66" s="12">
        <v>44556</v>
      </c>
      <c r="F66" s="68" t="s">
        <v>59</v>
      </c>
      <c r="G66" s="12">
        <v>44559</v>
      </c>
      <c r="H66" s="69" t="s">
        <v>4687</v>
      </c>
      <c r="I66" s="15">
        <v>77</v>
      </c>
      <c r="J66" s="15">
        <v>53</v>
      </c>
      <c r="K66" s="15">
        <v>39</v>
      </c>
      <c r="L66" s="15">
        <v>16</v>
      </c>
      <c r="M66" s="73">
        <v>39.789749999999998</v>
      </c>
      <c r="N66" s="104">
        <v>39.789749999999998</v>
      </c>
      <c r="O66" s="57">
        <v>7000</v>
      </c>
      <c r="P66" s="58">
        <f t="shared" si="0"/>
        <v>278528.25</v>
      </c>
    </row>
    <row r="67" spans="1:16" ht="26.25" customHeight="1" x14ac:dyDescent="0.2">
      <c r="A67" s="100"/>
      <c r="B67" s="100"/>
      <c r="C67" s="65" t="s">
        <v>5234</v>
      </c>
      <c r="D67" s="70" t="s">
        <v>57</v>
      </c>
      <c r="E67" s="12">
        <v>44556</v>
      </c>
      <c r="F67" s="68" t="s">
        <v>59</v>
      </c>
      <c r="G67" s="12">
        <v>44559</v>
      </c>
      <c r="H67" s="69" t="s">
        <v>4687</v>
      </c>
      <c r="I67" s="15">
        <v>70</v>
      </c>
      <c r="J67" s="15">
        <v>33</v>
      </c>
      <c r="K67" s="15">
        <v>28</v>
      </c>
      <c r="L67" s="15">
        <v>9</v>
      </c>
      <c r="M67" s="73">
        <v>16.170000000000002</v>
      </c>
      <c r="N67" s="104">
        <v>16.170000000000002</v>
      </c>
      <c r="O67" s="57">
        <v>7000</v>
      </c>
      <c r="P67" s="58">
        <f t="shared" ref="P67:P90" si="1">N67*O67</f>
        <v>113190.00000000001</v>
      </c>
    </row>
    <row r="68" spans="1:16" ht="26.25" customHeight="1" x14ac:dyDescent="0.2">
      <c r="A68" s="100"/>
      <c r="B68" s="100"/>
      <c r="C68" s="65" t="s">
        <v>5235</v>
      </c>
      <c r="D68" s="70" t="s">
        <v>57</v>
      </c>
      <c r="E68" s="12">
        <v>44556</v>
      </c>
      <c r="F68" s="68" t="s">
        <v>59</v>
      </c>
      <c r="G68" s="12">
        <v>44559</v>
      </c>
      <c r="H68" s="69" t="s">
        <v>4687</v>
      </c>
      <c r="I68" s="15">
        <v>93</v>
      </c>
      <c r="J68" s="15">
        <v>63</v>
      </c>
      <c r="K68" s="15">
        <v>20</v>
      </c>
      <c r="L68" s="15">
        <v>17</v>
      </c>
      <c r="M68" s="73">
        <v>29.295000000000002</v>
      </c>
      <c r="N68" s="104">
        <v>30</v>
      </c>
      <c r="O68" s="57">
        <v>7000</v>
      </c>
      <c r="P68" s="58">
        <f t="shared" si="1"/>
        <v>210000</v>
      </c>
    </row>
    <row r="69" spans="1:16" ht="26.25" customHeight="1" x14ac:dyDescent="0.2">
      <c r="A69" s="100"/>
      <c r="B69" s="100"/>
      <c r="C69" s="65" t="s">
        <v>5236</v>
      </c>
      <c r="D69" s="70" t="s">
        <v>57</v>
      </c>
      <c r="E69" s="12">
        <v>44556</v>
      </c>
      <c r="F69" s="68" t="s">
        <v>59</v>
      </c>
      <c r="G69" s="12">
        <v>44559</v>
      </c>
      <c r="H69" s="69" t="s">
        <v>4687</v>
      </c>
      <c r="I69" s="15">
        <v>74</v>
      </c>
      <c r="J69" s="15">
        <v>84</v>
      </c>
      <c r="K69" s="15">
        <v>20</v>
      </c>
      <c r="L69" s="15">
        <v>8</v>
      </c>
      <c r="M69" s="73">
        <v>31.08</v>
      </c>
      <c r="N69" s="104">
        <v>31.08</v>
      </c>
      <c r="O69" s="57">
        <v>7000</v>
      </c>
      <c r="P69" s="58">
        <f t="shared" si="1"/>
        <v>217560</v>
      </c>
    </row>
    <row r="70" spans="1:16" ht="26.25" customHeight="1" x14ac:dyDescent="0.2">
      <c r="A70" s="100"/>
      <c r="B70" s="100"/>
      <c r="C70" s="65" t="s">
        <v>5237</v>
      </c>
      <c r="D70" s="70" t="s">
        <v>57</v>
      </c>
      <c r="E70" s="12">
        <v>44556</v>
      </c>
      <c r="F70" s="68" t="s">
        <v>59</v>
      </c>
      <c r="G70" s="12">
        <v>44559</v>
      </c>
      <c r="H70" s="69" t="s">
        <v>4687</v>
      </c>
      <c r="I70" s="15">
        <v>173</v>
      </c>
      <c r="J70" s="15">
        <v>6</v>
      </c>
      <c r="K70" s="15">
        <v>6</v>
      </c>
      <c r="L70" s="15">
        <v>1</v>
      </c>
      <c r="M70" s="73">
        <v>1.5569999999999999</v>
      </c>
      <c r="N70" s="104">
        <v>1.5569999999999999</v>
      </c>
      <c r="O70" s="57">
        <v>7000</v>
      </c>
      <c r="P70" s="58">
        <f t="shared" si="1"/>
        <v>10899</v>
      </c>
    </row>
    <row r="71" spans="1:16" ht="26.25" customHeight="1" x14ac:dyDescent="0.2">
      <c r="A71" s="100"/>
      <c r="B71" s="100"/>
      <c r="C71" s="65" t="s">
        <v>5238</v>
      </c>
      <c r="D71" s="70" t="s">
        <v>57</v>
      </c>
      <c r="E71" s="12">
        <v>44556</v>
      </c>
      <c r="F71" s="68" t="s">
        <v>59</v>
      </c>
      <c r="G71" s="12">
        <v>44559</v>
      </c>
      <c r="H71" s="69" t="s">
        <v>4687</v>
      </c>
      <c r="I71" s="15">
        <v>70</v>
      </c>
      <c r="J71" s="15">
        <v>16</v>
      </c>
      <c r="K71" s="15">
        <v>7</v>
      </c>
      <c r="L71" s="15">
        <v>1</v>
      </c>
      <c r="M71" s="73">
        <v>1.96</v>
      </c>
      <c r="N71" s="104">
        <v>1.96</v>
      </c>
      <c r="O71" s="57">
        <v>7000</v>
      </c>
      <c r="P71" s="58">
        <f t="shared" si="1"/>
        <v>13720</v>
      </c>
    </row>
    <row r="72" spans="1:16" ht="26.25" customHeight="1" x14ac:dyDescent="0.2">
      <c r="A72" s="100"/>
      <c r="B72" s="100"/>
      <c r="C72" s="65" t="s">
        <v>5239</v>
      </c>
      <c r="D72" s="70" t="s">
        <v>57</v>
      </c>
      <c r="E72" s="12">
        <v>44556</v>
      </c>
      <c r="F72" s="68" t="s">
        <v>59</v>
      </c>
      <c r="G72" s="12">
        <v>44559</v>
      </c>
      <c r="H72" s="69" t="s">
        <v>4687</v>
      </c>
      <c r="I72" s="15">
        <v>110</v>
      </c>
      <c r="J72" s="15">
        <v>28</v>
      </c>
      <c r="K72" s="15">
        <v>59</v>
      </c>
      <c r="L72" s="15">
        <v>17</v>
      </c>
      <c r="M72" s="73">
        <v>45.43</v>
      </c>
      <c r="N72" s="104">
        <v>46</v>
      </c>
      <c r="O72" s="57">
        <v>7000</v>
      </c>
      <c r="P72" s="58">
        <f t="shared" si="1"/>
        <v>322000</v>
      </c>
    </row>
    <row r="73" spans="1:16" ht="26.25" customHeight="1" x14ac:dyDescent="0.2">
      <c r="A73" s="100"/>
      <c r="B73" s="100"/>
      <c r="C73" s="65" t="s">
        <v>5240</v>
      </c>
      <c r="D73" s="70" t="s">
        <v>57</v>
      </c>
      <c r="E73" s="12">
        <v>44556</v>
      </c>
      <c r="F73" s="68" t="s">
        <v>59</v>
      </c>
      <c r="G73" s="12">
        <v>44559</v>
      </c>
      <c r="H73" s="69" t="s">
        <v>4687</v>
      </c>
      <c r="I73" s="15">
        <v>30</v>
      </c>
      <c r="J73" s="15">
        <v>22</v>
      </c>
      <c r="K73" s="15">
        <v>22</v>
      </c>
      <c r="L73" s="15">
        <v>21</v>
      </c>
      <c r="M73" s="73">
        <v>3.63</v>
      </c>
      <c r="N73" s="104">
        <v>21</v>
      </c>
      <c r="O73" s="57">
        <v>7000</v>
      </c>
      <c r="P73" s="58">
        <f t="shared" si="1"/>
        <v>147000</v>
      </c>
    </row>
    <row r="74" spans="1:16" ht="26.25" customHeight="1" x14ac:dyDescent="0.2">
      <c r="A74" s="100"/>
      <c r="B74" s="100"/>
      <c r="C74" s="65" t="s">
        <v>5241</v>
      </c>
      <c r="D74" s="70" t="s">
        <v>57</v>
      </c>
      <c r="E74" s="12">
        <v>44556</v>
      </c>
      <c r="F74" s="68" t="s">
        <v>59</v>
      </c>
      <c r="G74" s="12">
        <v>44559</v>
      </c>
      <c r="H74" s="69" t="s">
        <v>4687</v>
      </c>
      <c r="I74" s="15">
        <v>30</v>
      </c>
      <c r="J74" s="15">
        <v>25</v>
      </c>
      <c r="K74" s="15">
        <v>25</v>
      </c>
      <c r="L74" s="15">
        <v>1</v>
      </c>
      <c r="M74" s="73">
        <v>4.6875</v>
      </c>
      <c r="N74" s="104">
        <v>4.6875</v>
      </c>
      <c r="O74" s="57">
        <v>7000</v>
      </c>
      <c r="P74" s="58">
        <f t="shared" si="1"/>
        <v>32812.5</v>
      </c>
    </row>
    <row r="75" spans="1:16" ht="26.25" customHeight="1" x14ac:dyDescent="0.2">
      <c r="A75" s="100"/>
      <c r="B75" s="100"/>
      <c r="C75" s="65" t="s">
        <v>5242</v>
      </c>
      <c r="D75" s="70" t="s">
        <v>57</v>
      </c>
      <c r="E75" s="12">
        <v>44556</v>
      </c>
      <c r="F75" s="68" t="s">
        <v>59</v>
      </c>
      <c r="G75" s="12">
        <v>44559</v>
      </c>
      <c r="H75" s="69" t="s">
        <v>4687</v>
      </c>
      <c r="I75" s="15">
        <v>47</v>
      </c>
      <c r="J75" s="15">
        <v>47</v>
      </c>
      <c r="K75" s="15">
        <v>32</v>
      </c>
      <c r="L75" s="15">
        <v>23</v>
      </c>
      <c r="M75" s="73">
        <v>17.672000000000001</v>
      </c>
      <c r="N75" s="104">
        <v>23</v>
      </c>
      <c r="O75" s="57">
        <v>7000</v>
      </c>
      <c r="P75" s="58">
        <f t="shared" si="1"/>
        <v>161000</v>
      </c>
    </row>
    <row r="76" spans="1:16" ht="26.25" customHeight="1" x14ac:dyDescent="0.2">
      <c r="A76" s="100"/>
      <c r="B76" s="100"/>
      <c r="C76" s="65" t="s">
        <v>5243</v>
      </c>
      <c r="D76" s="70" t="s">
        <v>57</v>
      </c>
      <c r="E76" s="12">
        <v>44556</v>
      </c>
      <c r="F76" s="68" t="s">
        <v>59</v>
      </c>
      <c r="G76" s="12">
        <v>44559</v>
      </c>
      <c r="H76" s="69" t="s">
        <v>4687</v>
      </c>
      <c r="I76" s="15">
        <v>92</v>
      </c>
      <c r="J76" s="15">
        <v>66</v>
      </c>
      <c r="K76" s="15">
        <v>20</v>
      </c>
      <c r="L76" s="15">
        <v>17</v>
      </c>
      <c r="M76" s="73">
        <v>30.36</v>
      </c>
      <c r="N76" s="104">
        <v>31</v>
      </c>
      <c r="O76" s="57">
        <v>7000</v>
      </c>
      <c r="P76" s="58">
        <f t="shared" si="1"/>
        <v>217000</v>
      </c>
    </row>
    <row r="77" spans="1:16" ht="26.25" customHeight="1" x14ac:dyDescent="0.2">
      <c r="A77" s="100"/>
      <c r="B77" s="100"/>
      <c r="C77" s="65" t="s">
        <v>5244</v>
      </c>
      <c r="D77" s="70" t="s">
        <v>57</v>
      </c>
      <c r="E77" s="12">
        <v>44556</v>
      </c>
      <c r="F77" s="68" t="s">
        <v>59</v>
      </c>
      <c r="G77" s="12">
        <v>44559</v>
      </c>
      <c r="H77" s="69" t="s">
        <v>4687</v>
      </c>
      <c r="I77" s="15">
        <v>102</v>
      </c>
      <c r="J77" s="15">
        <v>62</v>
      </c>
      <c r="K77" s="15">
        <v>25</v>
      </c>
      <c r="L77" s="15">
        <v>14</v>
      </c>
      <c r="M77" s="73">
        <v>39.524999999999999</v>
      </c>
      <c r="N77" s="104">
        <v>39.524999999999999</v>
      </c>
      <c r="O77" s="57">
        <v>7000</v>
      </c>
      <c r="P77" s="58">
        <f t="shared" si="1"/>
        <v>276675</v>
      </c>
    </row>
    <row r="78" spans="1:16" ht="26.25" customHeight="1" x14ac:dyDescent="0.2">
      <c r="A78" s="100"/>
      <c r="B78" s="100"/>
      <c r="C78" s="65" t="s">
        <v>5245</v>
      </c>
      <c r="D78" s="70" t="s">
        <v>57</v>
      </c>
      <c r="E78" s="12">
        <v>44556</v>
      </c>
      <c r="F78" s="68" t="s">
        <v>59</v>
      </c>
      <c r="G78" s="12">
        <v>44559</v>
      </c>
      <c r="H78" s="69" t="s">
        <v>4687</v>
      </c>
      <c r="I78" s="15">
        <v>75</v>
      </c>
      <c r="J78" s="15">
        <v>50</v>
      </c>
      <c r="K78" s="15">
        <v>15</v>
      </c>
      <c r="L78" s="15">
        <v>9</v>
      </c>
      <c r="M78" s="73">
        <v>14.0625</v>
      </c>
      <c r="N78" s="104">
        <v>14.0625</v>
      </c>
      <c r="O78" s="57">
        <v>7000</v>
      </c>
      <c r="P78" s="58">
        <f t="shared" si="1"/>
        <v>98437.5</v>
      </c>
    </row>
    <row r="79" spans="1:16" ht="26.25" customHeight="1" x14ac:dyDescent="0.2">
      <c r="A79" s="100"/>
      <c r="B79" s="100"/>
      <c r="C79" s="65" t="s">
        <v>5246</v>
      </c>
      <c r="D79" s="70" t="s">
        <v>57</v>
      </c>
      <c r="E79" s="12">
        <v>44556</v>
      </c>
      <c r="F79" s="68" t="s">
        <v>59</v>
      </c>
      <c r="G79" s="12">
        <v>44559</v>
      </c>
      <c r="H79" s="69" t="s">
        <v>4687</v>
      </c>
      <c r="I79" s="15">
        <v>77</v>
      </c>
      <c r="J79" s="15">
        <v>60</v>
      </c>
      <c r="K79" s="15">
        <v>20</v>
      </c>
      <c r="L79" s="15">
        <v>17</v>
      </c>
      <c r="M79" s="73">
        <v>23.1</v>
      </c>
      <c r="N79" s="104">
        <v>23.1</v>
      </c>
      <c r="O79" s="57">
        <v>7000</v>
      </c>
      <c r="P79" s="58">
        <f t="shared" si="1"/>
        <v>161700</v>
      </c>
    </row>
    <row r="80" spans="1:16" ht="26.25" customHeight="1" x14ac:dyDescent="0.2">
      <c r="A80" s="100"/>
      <c r="B80" s="100"/>
      <c r="C80" s="65" t="s">
        <v>5247</v>
      </c>
      <c r="D80" s="70" t="s">
        <v>57</v>
      </c>
      <c r="E80" s="12">
        <v>44556</v>
      </c>
      <c r="F80" s="68" t="s">
        <v>59</v>
      </c>
      <c r="G80" s="12">
        <v>44559</v>
      </c>
      <c r="H80" s="69" t="s">
        <v>4687</v>
      </c>
      <c r="I80" s="15">
        <v>53</v>
      </c>
      <c r="J80" s="15">
        <v>61</v>
      </c>
      <c r="K80" s="15">
        <v>22</v>
      </c>
      <c r="L80" s="15">
        <v>8</v>
      </c>
      <c r="M80" s="73">
        <v>17.781500000000001</v>
      </c>
      <c r="N80" s="104">
        <v>17.781500000000001</v>
      </c>
      <c r="O80" s="57">
        <v>7000</v>
      </c>
      <c r="P80" s="58">
        <f t="shared" si="1"/>
        <v>124470.50000000001</v>
      </c>
    </row>
    <row r="81" spans="1:16" ht="26.25" customHeight="1" x14ac:dyDescent="0.2">
      <c r="A81" s="100"/>
      <c r="B81" s="100"/>
      <c r="C81" s="65" t="s">
        <v>5248</v>
      </c>
      <c r="D81" s="70" t="s">
        <v>57</v>
      </c>
      <c r="E81" s="12">
        <v>44556</v>
      </c>
      <c r="F81" s="68" t="s">
        <v>59</v>
      </c>
      <c r="G81" s="12">
        <v>44559</v>
      </c>
      <c r="H81" s="69" t="s">
        <v>4687</v>
      </c>
      <c r="I81" s="15">
        <v>45</v>
      </c>
      <c r="J81" s="15">
        <v>63</v>
      </c>
      <c r="K81" s="15">
        <v>26</v>
      </c>
      <c r="L81" s="15">
        <v>13</v>
      </c>
      <c r="M81" s="73">
        <v>18.427499999999998</v>
      </c>
      <c r="N81" s="104">
        <v>19</v>
      </c>
      <c r="O81" s="57">
        <v>7000</v>
      </c>
      <c r="P81" s="58">
        <f t="shared" si="1"/>
        <v>133000</v>
      </c>
    </row>
    <row r="82" spans="1:16" ht="26.25" customHeight="1" x14ac:dyDescent="0.2">
      <c r="A82" s="100"/>
      <c r="B82" s="100"/>
      <c r="C82" s="65" t="s">
        <v>5249</v>
      </c>
      <c r="D82" s="70" t="s">
        <v>57</v>
      </c>
      <c r="E82" s="12">
        <v>44556</v>
      </c>
      <c r="F82" s="68" t="s">
        <v>59</v>
      </c>
      <c r="G82" s="12">
        <v>44559</v>
      </c>
      <c r="H82" s="69" t="s">
        <v>4687</v>
      </c>
      <c r="I82" s="15">
        <v>75</v>
      </c>
      <c r="J82" s="15">
        <v>62</v>
      </c>
      <c r="K82" s="15">
        <v>23</v>
      </c>
      <c r="L82" s="15">
        <v>4</v>
      </c>
      <c r="M82" s="73">
        <v>26.737500000000001</v>
      </c>
      <c r="N82" s="104">
        <v>26.737500000000001</v>
      </c>
      <c r="O82" s="57">
        <v>7000</v>
      </c>
      <c r="P82" s="58">
        <f t="shared" si="1"/>
        <v>187162.5</v>
      </c>
    </row>
    <row r="83" spans="1:16" ht="26.25" customHeight="1" x14ac:dyDescent="0.2">
      <c r="A83" s="100"/>
      <c r="B83" s="101"/>
      <c r="C83" s="65" t="s">
        <v>5250</v>
      </c>
      <c r="D83" s="70" t="s">
        <v>57</v>
      </c>
      <c r="E83" s="12">
        <v>44556</v>
      </c>
      <c r="F83" s="68" t="s">
        <v>59</v>
      </c>
      <c r="G83" s="12">
        <v>44559</v>
      </c>
      <c r="H83" s="69" t="s">
        <v>4687</v>
      </c>
      <c r="I83" s="15">
        <v>10</v>
      </c>
      <c r="J83" s="15">
        <v>10</v>
      </c>
      <c r="K83" s="15">
        <v>10</v>
      </c>
      <c r="L83" s="15">
        <v>1</v>
      </c>
      <c r="M83" s="73">
        <v>0.25</v>
      </c>
      <c r="N83" s="104">
        <v>1</v>
      </c>
      <c r="O83" s="57">
        <v>7000</v>
      </c>
      <c r="P83" s="58">
        <f t="shared" si="1"/>
        <v>7000</v>
      </c>
    </row>
    <row r="84" spans="1:16" ht="26.25" customHeight="1" x14ac:dyDescent="0.2">
      <c r="A84" s="100"/>
      <c r="B84" s="100" t="s">
        <v>5251</v>
      </c>
      <c r="C84" s="65" t="s">
        <v>5252</v>
      </c>
      <c r="D84" s="70" t="s">
        <v>57</v>
      </c>
      <c r="E84" s="12">
        <v>44556</v>
      </c>
      <c r="F84" s="68" t="s">
        <v>59</v>
      </c>
      <c r="G84" s="12">
        <v>44559</v>
      </c>
      <c r="H84" s="69" t="s">
        <v>4687</v>
      </c>
      <c r="I84" s="15">
        <v>50</v>
      </c>
      <c r="J84" s="15">
        <v>50</v>
      </c>
      <c r="K84" s="15">
        <v>30</v>
      </c>
      <c r="L84" s="15">
        <v>7</v>
      </c>
      <c r="M84" s="73">
        <v>18.75</v>
      </c>
      <c r="N84" s="104">
        <v>18.75</v>
      </c>
      <c r="O84" s="57">
        <v>7000</v>
      </c>
      <c r="P84" s="58">
        <f t="shared" si="1"/>
        <v>131250</v>
      </c>
    </row>
    <row r="85" spans="1:16" ht="26.25" customHeight="1" x14ac:dyDescent="0.2">
      <c r="A85" s="100"/>
      <c r="B85" s="100"/>
      <c r="C85" s="65" t="s">
        <v>5253</v>
      </c>
      <c r="D85" s="70" t="s">
        <v>57</v>
      </c>
      <c r="E85" s="12">
        <v>44556</v>
      </c>
      <c r="F85" s="68" t="s">
        <v>59</v>
      </c>
      <c r="G85" s="12">
        <v>44559</v>
      </c>
      <c r="H85" s="69" t="s">
        <v>4687</v>
      </c>
      <c r="I85" s="15">
        <v>53</v>
      </c>
      <c r="J85" s="15">
        <v>43</v>
      </c>
      <c r="K85" s="15">
        <v>25</v>
      </c>
      <c r="L85" s="15">
        <v>5</v>
      </c>
      <c r="M85" s="73">
        <v>14.24375</v>
      </c>
      <c r="N85" s="104">
        <v>14.24375</v>
      </c>
      <c r="O85" s="57">
        <v>7000</v>
      </c>
      <c r="P85" s="58">
        <f t="shared" si="1"/>
        <v>99706.25</v>
      </c>
    </row>
    <row r="86" spans="1:16" ht="26.25" customHeight="1" x14ac:dyDescent="0.2">
      <c r="A86" s="100"/>
      <c r="B86" s="100"/>
      <c r="C86" s="65" t="s">
        <v>5254</v>
      </c>
      <c r="D86" s="70" t="s">
        <v>57</v>
      </c>
      <c r="E86" s="12">
        <v>44556</v>
      </c>
      <c r="F86" s="68" t="s">
        <v>59</v>
      </c>
      <c r="G86" s="12">
        <v>44559</v>
      </c>
      <c r="H86" s="69" t="s">
        <v>4687</v>
      </c>
      <c r="I86" s="15">
        <v>60</v>
      </c>
      <c r="J86" s="15">
        <v>60</v>
      </c>
      <c r="K86" s="15">
        <v>11</v>
      </c>
      <c r="L86" s="15">
        <v>3</v>
      </c>
      <c r="M86" s="73">
        <v>9.9</v>
      </c>
      <c r="N86" s="104">
        <v>9.9</v>
      </c>
      <c r="O86" s="57">
        <v>7000</v>
      </c>
      <c r="P86" s="58">
        <f t="shared" si="1"/>
        <v>69300</v>
      </c>
    </row>
    <row r="87" spans="1:16" ht="26.25" customHeight="1" x14ac:dyDescent="0.2">
      <c r="A87" s="100"/>
      <c r="B87" s="100"/>
      <c r="C87" s="65" t="s">
        <v>5255</v>
      </c>
      <c r="D87" s="70" t="s">
        <v>57</v>
      </c>
      <c r="E87" s="12">
        <v>44556</v>
      </c>
      <c r="F87" s="68" t="s">
        <v>59</v>
      </c>
      <c r="G87" s="12">
        <v>44559</v>
      </c>
      <c r="H87" s="69" t="s">
        <v>4687</v>
      </c>
      <c r="I87" s="15">
        <v>47</v>
      </c>
      <c r="J87" s="15">
        <v>50</v>
      </c>
      <c r="K87" s="15">
        <v>30</v>
      </c>
      <c r="L87" s="15">
        <v>9</v>
      </c>
      <c r="M87" s="73">
        <v>17.625</v>
      </c>
      <c r="N87" s="104">
        <v>17.625</v>
      </c>
      <c r="O87" s="57">
        <v>7000</v>
      </c>
      <c r="P87" s="58">
        <f t="shared" si="1"/>
        <v>123375</v>
      </c>
    </row>
    <row r="88" spans="1:16" ht="26.25" customHeight="1" x14ac:dyDescent="0.2">
      <c r="A88" s="100"/>
      <c r="B88" s="100"/>
      <c r="C88" s="65" t="s">
        <v>5256</v>
      </c>
      <c r="D88" s="70" t="s">
        <v>57</v>
      </c>
      <c r="E88" s="12">
        <v>44556</v>
      </c>
      <c r="F88" s="68" t="s">
        <v>59</v>
      </c>
      <c r="G88" s="12">
        <v>44559</v>
      </c>
      <c r="H88" s="69" t="s">
        <v>4687</v>
      </c>
      <c r="I88" s="15">
        <v>98</v>
      </c>
      <c r="J88" s="15">
        <v>68</v>
      </c>
      <c r="K88" s="15">
        <v>52</v>
      </c>
      <c r="L88" s="15">
        <v>16</v>
      </c>
      <c r="M88" s="73">
        <v>86.632000000000005</v>
      </c>
      <c r="N88" s="104">
        <v>86.632000000000005</v>
      </c>
      <c r="O88" s="57">
        <v>7000</v>
      </c>
      <c r="P88" s="58">
        <f t="shared" si="1"/>
        <v>606424</v>
      </c>
    </row>
    <row r="89" spans="1:16" ht="26.25" customHeight="1" x14ac:dyDescent="0.2">
      <c r="A89" s="100"/>
      <c r="B89" s="100"/>
      <c r="C89" s="65" t="s">
        <v>5257</v>
      </c>
      <c r="D89" s="70" t="s">
        <v>57</v>
      </c>
      <c r="E89" s="12">
        <v>44556</v>
      </c>
      <c r="F89" s="68" t="s">
        <v>59</v>
      </c>
      <c r="G89" s="12">
        <v>44559</v>
      </c>
      <c r="H89" s="69" t="s">
        <v>4687</v>
      </c>
      <c r="I89" s="15">
        <v>35</v>
      </c>
      <c r="J89" s="15">
        <v>25</v>
      </c>
      <c r="K89" s="15">
        <v>10</v>
      </c>
      <c r="L89" s="15">
        <v>2</v>
      </c>
      <c r="M89" s="73">
        <v>2.1875</v>
      </c>
      <c r="N89" s="104">
        <v>2.1875</v>
      </c>
      <c r="O89" s="57">
        <v>7000</v>
      </c>
      <c r="P89" s="58">
        <f t="shared" si="1"/>
        <v>15312.5</v>
      </c>
    </row>
    <row r="90" spans="1:16" ht="26.25" customHeight="1" x14ac:dyDescent="0.2">
      <c r="A90" s="100"/>
      <c r="B90" s="100"/>
      <c r="C90" s="65" t="s">
        <v>5258</v>
      </c>
      <c r="D90" s="70" t="s">
        <v>57</v>
      </c>
      <c r="E90" s="12">
        <v>44556</v>
      </c>
      <c r="F90" s="68" t="s">
        <v>59</v>
      </c>
      <c r="G90" s="12">
        <v>44559</v>
      </c>
      <c r="H90" s="69" t="s">
        <v>4687</v>
      </c>
      <c r="I90" s="15">
        <v>200</v>
      </c>
      <c r="J90" s="15">
        <v>60</v>
      </c>
      <c r="K90" s="15">
        <v>64</v>
      </c>
      <c r="L90" s="15">
        <v>17</v>
      </c>
      <c r="M90" s="73">
        <v>192</v>
      </c>
      <c r="N90" s="104">
        <v>192</v>
      </c>
      <c r="O90" s="57">
        <v>7000</v>
      </c>
      <c r="P90" s="58">
        <f t="shared" si="1"/>
        <v>1344000</v>
      </c>
    </row>
    <row r="91" spans="1:16" ht="22.5" customHeight="1" x14ac:dyDescent="0.2">
      <c r="A91" s="159" t="s">
        <v>30</v>
      </c>
      <c r="B91" s="160"/>
      <c r="C91" s="160"/>
      <c r="D91" s="160"/>
      <c r="E91" s="160"/>
      <c r="F91" s="160"/>
      <c r="G91" s="160"/>
      <c r="H91" s="160"/>
      <c r="I91" s="160"/>
      <c r="J91" s="160"/>
      <c r="K91" s="160"/>
      <c r="L91" s="161"/>
      <c r="M91" s="71">
        <f>SUBTOTAL(109,Table224578910112345678910111213141516171819202122232425262728293031323334353738394041424344454647484950515253545556575859606162636465666768697071727374757677787980818283[KG VOLUME])</f>
        <v>2233.7730000000001</v>
      </c>
      <c r="N91" s="61">
        <f>SUM(N3:N90)</f>
        <v>2383.67425</v>
      </c>
      <c r="O91" s="162">
        <f>SUM(P3:P90)</f>
        <v>16685719.75</v>
      </c>
      <c r="P91" s="163"/>
    </row>
    <row r="92" spans="1:16" ht="18" customHeight="1" x14ac:dyDescent="0.2">
      <c r="A92" s="78"/>
      <c r="B92" s="49" t="s">
        <v>42</v>
      </c>
      <c r="C92" s="48"/>
      <c r="D92" s="50" t="s">
        <v>43</v>
      </c>
      <c r="E92" s="78"/>
      <c r="F92" s="78"/>
      <c r="G92" s="78"/>
      <c r="H92" s="78"/>
      <c r="I92" s="78"/>
      <c r="J92" s="78"/>
      <c r="K92" s="78"/>
      <c r="L92" s="78"/>
      <c r="M92" s="79"/>
      <c r="N92" s="80" t="s">
        <v>52</v>
      </c>
      <c r="O92" s="81"/>
      <c r="P92" s="81">
        <v>0</v>
      </c>
    </row>
    <row r="93" spans="1:16" ht="18" customHeight="1" thickBot="1" x14ac:dyDescent="0.25">
      <c r="A93" s="78"/>
      <c r="B93" s="49"/>
      <c r="C93" s="48"/>
      <c r="D93" s="50"/>
      <c r="E93" s="78"/>
      <c r="F93" s="78"/>
      <c r="G93" s="78"/>
      <c r="H93" s="78"/>
      <c r="I93" s="78"/>
      <c r="J93" s="78"/>
      <c r="K93" s="78"/>
      <c r="L93" s="78"/>
      <c r="M93" s="79"/>
      <c r="N93" s="82" t="s">
        <v>53</v>
      </c>
      <c r="O93" s="83"/>
      <c r="P93" s="83">
        <f>O91-P92</f>
        <v>16685719.75</v>
      </c>
    </row>
    <row r="94" spans="1:16" ht="18" customHeight="1" x14ac:dyDescent="0.2">
      <c r="A94" s="10"/>
      <c r="H94" s="56"/>
      <c r="N94" s="55" t="s">
        <v>31</v>
      </c>
      <c r="P94" s="62">
        <f>P93*1%</f>
        <v>166857.19750000001</v>
      </c>
    </row>
    <row r="95" spans="1:16" ht="18" customHeight="1" thickBot="1" x14ac:dyDescent="0.25">
      <c r="A95" s="10"/>
      <c r="H95" s="56"/>
      <c r="N95" s="55" t="s">
        <v>54</v>
      </c>
      <c r="P95" s="64">
        <f>P93*2%</f>
        <v>333714.39500000002</v>
      </c>
    </row>
    <row r="96" spans="1:16" ht="18" customHeight="1" x14ac:dyDescent="0.2">
      <c r="A96" s="10"/>
      <c r="H96" s="56"/>
      <c r="N96" s="59" t="s">
        <v>32</v>
      </c>
      <c r="O96" s="60"/>
      <c r="P96" s="63">
        <f>P93+P94-P95</f>
        <v>16518862.552500002</v>
      </c>
    </row>
    <row r="98" spans="1:16" x14ac:dyDescent="0.2">
      <c r="A98" s="10"/>
      <c r="H98" s="56"/>
      <c r="P98" s="64"/>
    </row>
    <row r="99" spans="1:16" x14ac:dyDescent="0.2">
      <c r="A99" s="10"/>
      <c r="H99" s="56"/>
      <c r="O99" s="51"/>
      <c r="P99" s="64"/>
    </row>
    <row r="100" spans="1:16" s="3" customFormat="1" x14ac:dyDescent="0.25">
      <c r="A100" s="10"/>
      <c r="B100" s="2"/>
      <c r="C100" s="2"/>
      <c r="E100" s="11"/>
      <c r="H100" s="56"/>
      <c r="N100" s="14"/>
      <c r="O100" s="14"/>
      <c r="P100" s="14"/>
    </row>
    <row r="101" spans="1:16" s="3" customFormat="1" x14ac:dyDescent="0.25">
      <c r="A101" s="10"/>
      <c r="B101" s="2"/>
      <c r="C101" s="2"/>
      <c r="E101" s="11"/>
      <c r="H101" s="56"/>
      <c r="N101" s="14"/>
      <c r="O101" s="14"/>
      <c r="P101" s="14"/>
    </row>
    <row r="102" spans="1:16" s="3" customFormat="1" x14ac:dyDescent="0.25">
      <c r="A102" s="10"/>
      <c r="B102" s="2"/>
      <c r="C102" s="2"/>
      <c r="E102" s="11"/>
      <c r="H102" s="56"/>
      <c r="N102" s="14"/>
      <c r="O102" s="14"/>
      <c r="P102" s="14"/>
    </row>
    <row r="103" spans="1:16" s="3" customFormat="1" x14ac:dyDescent="0.25">
      <c r="A103" s="10"/>
      <c r="B103" s="2"/>
      <c r="C103" s="2"/>
      <c r="E103" s="11"/>
      <c r="H103" s="56"/>
      <c r="N103" s="14"/>
      <c r="O103" s="14"/>
      <c r="P103" s="14"/>
    </row>
    <row r="104" spans="1:16" s="3" customFormat="1" x14ac:dyDescent="0.25">
      <c r="A104" s="10"/>
      <c r="B104" s="2"/>
      <c r="C104" s="2"/>
      <c r="E104" s="11"/>
      <c r="H104" s="56"/>
      <c r="N104" s="14"/>
      <c r="O104" s="14"/>
      <c r="P104" s="14"/>
    </row>
    <row r="105" spans="1:16" s="3" customFormat="1" x14ac:dyDescent="0.25">
      <c r="A105" s="10"/>
      <c r="B105" s="2"/>
      <c r="C105" s="2"/>
      <c r="E105" s="11"/>
      <c r="H105" s="56"/>
      <c r="N105" s="14"/>
      <c r="O105" s="14"/>
      <c r="P105" s="14"/>
    </row>
    <row r="106" spans="1:16" s="3" customFormat="1" x14ac:dyDescent="0.25">
      <c r="A106" s="10"/>
      <c r="B106" s="2"/>
      <c r="C106" s="2"/>
      <c r="E106" s="11"/>
      <c r="H106" s="56"/>
      <c r="N106" s="14"/>
      <c r="O106" s="14"/>
      <c r="P106" s="14"/>
    </row>
    <row r="107" spans="1:16" s="3" customFormat="1" x14ac:dyDescent="0.25">
      <c r="A107" s="10"/>
      <c r="B107" s="2"/>
      <c r="C107" s="2"/>
      <c r="E107" s="11"/>
      <c r="H107" s="56"/>
      <c r="N107" s="14"/>
      <c r="O107" s="14"/>
      <c r="P107" s="14"/>
    </row>
    <row r="108" spans="1:16" s="3" customFormat="1" x14ac:dyDescent="0.25">
      <c r="A108" s="10"/>
      <c r="B108" s="2"/>
      <c r="C108" s="2"/>
      <c r="E108" s="11"/>
      <c r="H108" s="56"/>
      <c r="N108" s="14"/>
      <c r="O108" s="14"/>
      <c r="P108" s="14"/>
    </row>
    <row r="109" spans="1:16" s="3" customFormat="1" x14ac:dyDescent="0.25">
      <c r="A109" s="10"/>
      <c r="B109" s="2"/>
      <c r="C109" s="2"/>
      <c r="E109" s="11"/>
      <c r="H109" s="56"/>
      <c r="N109" s="14"/>
      <c r="O109" s="14"/>
      <c r="P109" s="14"/>
    </row>
    <row r="110" spans="1:16" s="3" customFormat="1" x14ac:dyDescent="0.25">
      <c r="A110" s="10"/>
      <c r="B110" s="2"/>
      <c r="C110" s="2"/>
      <c r="E110" s="11"/>
      <c r="H110" s="56"/>
      <c r="N110" s="14"/>
      <c r="O110" s="14"/>
      <c r="P110" s="14"/>
    </row>
    <row r="111" spans="1:16" s="3" customFormat="1" x14ac:dyDescent="0.25">
      <c r="A111" s="10"/>
      <c r="B111" s="2"/>
      <c r="C111" s="2"/>
      <c r="E111" s="11"/>
      <c r="H111" s="56"/>
      <c r="N111" s="14"/>
      <c r="O111" s="14"/>
      <c r="P111" s="14"/>
    </row>
  </sheetData>
  <mergeCells count="2">
    <mergeCell ref="A91:L91"/>
    <mergeCell ref="O91:P91"/>
  </mergeCells>
  <conditionalFormatting sqref="C3:C90">
    <cfRule type="duplicateValues" dxfId="287" priority="1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workbookViewId="0">
      <selection activeCell="N16" sqref="N3:N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406130</v>
      </c>
      <c r="B3" s="99" t="s">
        <v>5259</v>
      </c>
      <c r="C3" s="90" t="s">
        <v>5260</v>
      </c>
      <c r="D3" s="102" t="s">
        <v>57</v>
      </c>
      <c r="E3" s="91">
        <v>44557</v>
      </c>
      <c r="F3" s="102" t="s">
        <v>59</v>
      </c>
      <c r="G3" s="91">
        <v>44562</v>
      </c>
      <c r="H3" s="90" t="s">
        <v>5275</v>
      </c>
      <c r="I3" s="90">
        <v>85</v>
      </c>
      <c r="J3" s="90">
        <v>54</v>
      </c>
      <c r="K3" s="90">
        <v>19</v>
      </c>
      <c r="L3" s="90">
        <v>2</v>
      </c>
      <c r="M3" s="90">
        <v>21.802499999999998</v>
      </c>
      <c r="N3" s="104">
        <v>21.802499999999998</v>
      </c>
      <c r="O3" s="57">
        <v>7000</v>
      </c>
      <c r="P3" s="58">
        <f t="shared" ref="P3:P16" si="0">N3*O3</f>
        <v>152617.5</v>
      </c>
    </row>
    <row r="4" spans="1:16" ht="26.25" customHeight="1" x14ac:dyDescent="0.2">
      <c r="A4" s="100"/>
      <c r="B4" s="100"/>
      <c r="C4" s="90" t="s">
        <v>5261</v>
      </c>
      <c r="D4" s="102" t="s">
        <v>57</v>
      </c>
      <c r="E4" s="91">
        <v>44557</v>
      </c>
      <c r="F4" s="102" t="s">
        <v>59</v>
      </c>
      <c r="G4" s="91">
        <v>44562</v>
      </c>
      <c r="H4" s="90" t="s">
        <v>5275</v>
      </c>
      <c r="I4" s="90">
        <v>20</v>
      </c>
      <c r="J4" s="90">
        <v>23</v>
      </c>
      <c r="K4" s="90">
        <v>16</v>
      </c>
      <c r="L4" s="90">
        <v>1</v>
      </c>
      <c r="M4" s="90">
        <v>1.84</v>
      </c>
      <c r="N4" s="104">
        <v>1.84</v>
      </c>
      <c r="O4" s="57">
        <v>7000</v>
      </c>
      <c r="P4" s="58">
        <f t="shared" si="0"/>
        <v>12880</v>
      </c>
    </row>
    <row r="5" spans="1:16" ht="26.25" customHeight="1" x14ac:dyDescent="0.2">
      <c r="A5" s="100"/>
      <c r="B5" s="100"/>
      <c r="C5" s="90" t="s">
        <v>5262</v>
      </c>
      <c r="D5" s="102" t="s">
        <v>57</v>
      </c>
      <c r="E5" s="91">
        <v>44557</v>
      </c>
      <c r="F5" s="102" t="s">
        <v>59</v>
      </c>
      <c r="G5" s="91">
        <v>44562</v>
      </c>
      <c r="H5" s="90" t="s">
        <v>5275</v>
      </c>
      <c r="I5" s="90">
        <v>97</v>
      </c>
      <c r="J5" s="90">
        <v>65</v>
      </c>
      <c r="K5" s="90">
        <v>38</v>
      </c>
      <c r="L5" s="90">
        <v>17</v>
      </c>
      <c r="M5" s="90">
        <v>59.897500000000001</v>
      </c>
      <c r="N5" s="104">
        <v>59.897500000000001</v>
      </c>
      <c r="O5" s="57">
        <v>7000</v>
      </c>
      <c r="P5" s="58">
        <f t="shared" si="0"/>
        <v>419282.5</v>
      </c>
    </row>
    <row r="6" spans="1:16" ht="26.25" customHeight="1" x14ac:dyDescent="0.2">
      <c r="A6" s="100"/>
      <c r="B6" s="100"/>
      <c r="C6" s="90" t="s">
        <v>5263</v>
      </c>
      <c r="D6" s="102" t="s">
        <v>57</v>
      </c>
      <c r="E6" s="91">
        <v>44557</v>
      </c>
      <c r="F6" s="102" t="s">
        <v>59</v>
      </c>
      <c r="G6" s="91">
        <v>44562</v>
      </c>
      <c r="H6" s="90" t="s">
        <v>5275</v>
      </c>
      <c r="I6" s="90">
        <v>65</v>
      </c>
      <c r="J6" s="90">
        <v>64</v>
      </c>
      <c r="K6" s="90">
        <v>24</v>
      </c>
      <c r="L6" s="90">
        <v>21</v>
      </c>
      <c r="M6" s="90">
        <v>24.96</v>
      </c>
      <c r="N6" s="104">
        <v>24.96</v>
      </c>
      <c r="O6" s="57">
        <v>7000</v>
      </c>
      <c r="P6" s="58">
        <f t="shared" si="0"/>
        <v>174720</v>
      </c>
    </row>
    <row r="7" spans="1:16" ht="26.25" customHeight="1" x14ac:dyDescent="0.2">
      <c r="A7" s="100"/>
      <c r="B7" s="100"/>
      <c r="C7" s="65" t="s">
        <v>5264</v>
      </c>
      <c r="D7" s="70" t="s">
        <v>57</v>
      </c>
      <c r="E7" s="12">
        <v>44557</v>
      </c>
      <c r="F7" s="68" t="s">
        <v>59</v>
      </c>
      <c r="G7" s="12">
        <v>44562</v>
      </c>
      <c r="H7" s="69" t="s">
        <v>5275</v>
      </c>
      <c r="I7" s="15">
        <v>40</v>
      </c>
      <c r="J7" s="15">
        <v>33</v>
      </c>
      <c r="K7" s="15">
        <v>15</v>
      </c>
      <c r="L7" s="15">
        <v>2</v>
      </c>
      <c r="M7" s="73">
        <v>4.95</v>
      </c>
      <c r="N7" s="104">
        <v>4.95</v>
      </c>
      <c r="O7" s="57">
        <v>7000</v>
      </c>
      <c r="P7" s="58">
        <f t="shared" si="0"/>
        <v>34650</v>
      </c>
    </row>
    <row r="8" spans="1:16" ht="26.25" customHeight="1" x14ac:dyDescent="0.2">
      <c r="A8" s="100"/>
      <c r="B8" s="100"/>
      <c r="C8" s="65" t="s">
        <v>5265</v>
      </c>
      <c r="D8" s="70" t="s">
        <v>57</v>
      </c>
      <c r="E8" s="12">
        <v>44557</v>
      </c>
      <c r="F8" s="68" t="s">
        <v>59</v>
      </c>
      <c r="G8" s="12">
        <v>44562</v>
      </c>
      <c r="H8" s="69" t="s">
        <v>5275</v>
      </c>
      <c r="I8" s="15">
        <v>64</v>
      </c>
      <c r="J8" s="15">
        <v>58</v>
      </c>
      <c r="K8" s="15">
        <v>32</v>
      </c>
      <c r="L8" s="15">
        <v>10</v>
      </c>
      <c r="M8" s="73">
        <v>29.696000000000002</v>
      </c>
      <c r="N8" s="104">
        <v>29.696000000000002</v>
      </c>
      <c r="O8" s="57">
        <v>7000</v>
      </c>
      <c r="P8" s="58">
        <f t="shared" si="0"/>
        <v>207872</v>
      </c>
    </row>
    <row r="9" spans="1:16" ht="26.25" customHeight="1" x14ac:dyDescent="0.2">
      <c r="A9" s="100"/>
      <c r="B9" s="100"/>
      <c r="C9" s="65" t="s">
        <v>5266</v>
      </c>
      <c r="D9" s="70" t="s">
        <v>57</v>
      </c>
      <c r="E9" s="12">
        <v>44557</v>
      </c>
      <c r="F9" s="68" t="s">
        <v>59</v>
      </c>
      <c r="G9" s="12">
        <v>44562</v>
      </c>
      <c r="H9" s="69" t="s">
        <v>5275</v>
      </c>
      <c r="I9" s="15">
        <v>53</v>
      </c>
      <c r="J9" s="15">
        <v>42</v>
      </c>
      <c r="K9" s="15">
        <v>18</v>
      </c>
      <c r="L9" s="15">
        <v>4</v>
      </c>
      <c r="M9" s="73">
        <v>10.016999999999999</v>
      </c>
      <c r="N9" s="104">
        <v>10.016999999999999</v>
      </c>
      <c r="O9" s="57">
        <v>7000</v>
      </c>
      <c r="P9" s="58">
        <f t="shared" si="0"/>
        <v>70119</v>
      </c>
    </row>
    <row r="10" spans="1:16" ht="26.25" customHeight="1" x14ac:dyDescent="0.2">
      <c r="A10" s="100"/>
      <c r="B10" s="100"/>
      <c r="C10" s="65" t="s">
        <v>5267</v>
      </c>
      <c r="D10" s="70" t="s">
        <v>57</v>
      </c>
      <c r="E10" s="12">
        <v>44557</v>
      </c>
      <c r="F10" s="68" t="s">
        <v>59</v>
      </c>
      <c r="G10" s="12">
        <v>44562</v>
      </c>
      <c r="H10" s="69" t="s">
        <v>5275</v>
      </c>
      <c r="I10" s="15">
        <v>84</v>
      </c>
      <c r="J10" s="15">
        <v>68</v>
      </c>
      <c r="K10" s="15">
        <v>35</v>
      </c>
      <c r="L10" s="15">
        <v>9</v>
      </c>
      <c r="M10" s="73">
        <v>49.98</v>
      </c>
      <c r="N10" s="104">
        <v>49.98</v>
      </c>
      <c r="O10" s="57">
        <v>7000</v>
      </c>
      <c r="P10" s="58">
        <f t="shared" si="0"/>
        <v>349860</v>
      </c>
    </row>
    <row r="11" spans="1:16" ht="26.25" customHeight="1" x14ac:dyDescent="0.2">
      <c r="A11" s="100"/>
      <c r="B11" s="100"/>
      <c r="C11" s="65" t="s">
        <v>5268</v>
      </c>
      <c r="D11" s="70" t="s">
        <v>57</v>
      </c>
      <c r="E11" s="12">
        <v>44557</v>
      </c>
      <c r="F11" s="68" t="s">
        <v>59</v>
      </c>
      <c r="G11" s="12">
        <v>44562</v>
      </c>
      <c r="H11" s="69" t="s">
        <v>5275</v>
      </c>
      <c r="I11" s="15">
        <v>74</v>
      </c>
      <c r="J11" s="15">
        <v>48</v>
      </c>
      <c r="K11" s="15">
        <v>23</v>
      </c>
      <c r="L11" s="15">
        <v>2</v>
      </c>
      <c r="M11" s="73">
        <v>20.423999999999999</v>
      </c>
      <c r="N11" s="104">
        <v>21</v>
      </c>
      <c r="O11" s="57">
        <v>7000</v>
      </c>
      <c r="P11" s="58">
        <f t="shared" si="0"/>
        <v>147000</v>
      </c>
    </row>
    <row r="12" spans="1:16" ht="26.25" customHeight="1" x14ac:dyDescent="0.2">
      <c r="A12" s="100"/>
      <c r="B12" s="100"/>
      <c r="C12" s="65" t="s">
        <v>5269</v>
      </c>
      <c r="D12" s="70" t="s">
        <v>57</v>
      </c>
      <c r="E12" s="12">
        <v>44557</v>
      </c>
      <c r="F12" s="68" t="s">
        <v>59</v>
      </c>
      <c r="G12" s="12">
        <v>44562</v>
      </c>
      <c r="H12" s="69" t="s">
        <v>5275</v>
      </c>
      <c r="I12" s="15">
        <v>43</v>
      </c>
      <c r="J12" s="15">
        <v>38</v>
      </c>
      <c r="K12" s="15">
        <v>10</v>
      </c>
      <c r="L12" s="15">
        <v>2</v>
      </c>
      <c r="M12" s="73">
        <v>4.085</v>
      </c>
      <c r="N12" s="104">
        <v>4.085</v>
      </c>
      <c r="O12" s="57">
        <v>7000</v>
      </c>
      <c r="P12" s="58">
        <f t="shared" si="0"/>
        <v>28595</v>
      </c>
    </row>
    <row r="13" spans="1:16" ht="26.25" customHeight="1" x14ac:dyDescent="0.2">
      <c r="A13" s="100"/>
      <c r="B13" s="100"/>
      <c r="C13" s="65" t="s">
        <v>5270</v>
      </c>
      <c r="D13" s="70" t="s">
        <v>57</v>
      </c>
      <c r="E13" s="12">
        <v>44557</v>
      </c>
      <c r="F13" s="68" t="s">
        <v>59</v>
      </c>
      <c r="G13" s="12">
        <v>44562</v>
      </c>
      <c r="H13" s="69" t="s">
        <v>5275</v>
      </c>
      <c r="I13" s="15">
        <v>78</v>
      </c>
      <c r="J13" s="15">
        <v>25</v>
      </c>
      <c r="K13" s="15">
        <v>15</v>
      </c>
      <c r="L13" s="15">
        <v>4</v>
      </c>
      <c r="M13" s="73">
        <v>7.3125</v>
      </c>
      <c r="N13" s="104">
        <v>8</v>
      </c>
      <c r="O13" s="57">
        <v>7000</v>
      </c>
      <c r="P13" s="58">
        <f t="shared" si="0"/>
        <v>56000</v>
      </c>
    </row>
    <row r="14" spans="1:16" ht="26.25" customHeight="1" x14ac:dyDescent="0.2">
      <c r="A14" s="100"/>
      <c r="B14" s="100"/>
      <c r="C14" s="65" t="s">
        <v>5271</v>
      </c>
      <c r="D14" s="70" t="s">
        <v>57</v>
      </c>
      <c r="E14" s="12">
        <v>44557</v>
      </c>
      <c r="F14" s="68" t="s">
        <v>59</v>
      </c>
      <c r="G14" s="12">
        <v>44562</v>
      </c>
      <c r="H14" s="69" t="s">
        <v>5275</v>
      </c>
      <c r="I14" s="15">
        <v>54</v>
      </c>
      <c r="J14" s="15">
        <v>25</v>
      </c>
      <c r="K14" s="15">
        <v>15</v>
      </c>
      <c r="L14" s="15">
        <v>4</v>
      </c>
      <c r="M14" s="73">
        <v>5.0625</v>
      </c>
      <c r="N14" s="104">
        <v>5.0625</v>
      </c>
      <c r="O14" s="57">
        <v>7000</v>
      </c>
      <c r="P14" s="58">
        <f t="shared" si="0"/>
        <v>35437.5</v>
      </c>
    </row>
    <row r="15" spans="1:16" ht="26.25" customHeight="1" x14ac:dyDescent="0.2">
      <c r="A15" s="100"/>
      <c r="B15" s="101"/>
      <c r="C15" s="65" t="s">
        <v>5272</v>
      </c>
      <c r="D15" s="70" t="s">
        <v>57</v>
      </c>
      <c r="E15" s="12">
        <v>44557</v>
      </c>
      <c r="F15" s="68" t="s">
        <v>59</v>
      </c>
      <c r="G15" s="12">
        <v>44562</v>
      </c>
      <c r="H15" s="69" t="s">
        <v>5275</v>
      </c>
      <c r="I15" s="15">
        <v>63</v>
      </c>
      <c r="J15" s="15">
        <v>43</v>
      </c>
      <c r="K15" s="15">
        <v>46</v>
      </c>
      <c r="L15" s="15">
        <v>10</v>
      </c>
      <c r="M15" s="73">
        <v>31.153500000000001</v>
      </c>
      <c r="N15" s="104">
        <v>31.153500000000001</v>
      </c>
      <c r="O15" s="57">
        <v>7000</v>
      </c>
      <c r="P15" s="58">
        <f t="shared" si="0"/>
        <v>218074.5</v>
      </c>
    </row>
    <row r="16" spans="1:16" ht="26.25" customHeight="1" x14ac:dyDescent="0.2">
      <c r="A16" s="100"/>
      <c r="B16" s="100" t="s">
        <v>5273</v>
      </c>
      <c r="C16" s="65" t="s">
        <v>5274</v>
      </c>
      <c r="D16" s="70" t="s">
        <v>57</v>
      </c>
      <c r="E16" s="12">
        <v>44557</v>
      </c>
      <c r="F16" s="68" t="s">
        <v>59</v>
      </c>
      <c r="G16" s="12">
        <v>44562</v>
      </c>
      <c r="H16" s="69" t="s">
        <v>5275</v>
      </c>
      <c r="I16" s="15">
        <v>21</v>
      </c>
      <c r="J16" s="15">
        <v>19</v>
      </c>
      <c r="K16" s="15">
        <v>7</v>
      </c>
      <c r="L16" s="15">
        <v>1</v>
      </c>
      <c r="M16" s="73">
        <v>0.69825000000000004</v>
      </c>
      <c r="N16" s="104">
        <v>1</v>
      </c>
      <c r="O16" s="57">
        <v>7000</v>
      </c>
      <c r="P16" s="58">
        <f t="shared" si="0"/>
        <v>7000</v>
      </c>
    </row>
    <row r="17" spans="1:16" ht="22.5" customHeight="1" x14ac:dyDescent="0.2">
      <c r="A17" s="159" t="s">
        <v>30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1"/>
      <c r="M17" s="71">
        <f>SUBTOTAL(109,Table22457891011234567891011121314151617181920212223242526272829303132333435373839404142434445464748495051525354555657585960616263646566676869707172737475767778798081828384[KG VOLUME])</f>
        <v>271.87874999999997</v>
      </c>
      <c r="N17" s="61">
        <f>SUM(N3:N16)</f>
        <v>273.44400000000002</v>
      </c>
      <c r="O17" s="162">
        <f>SUM(P3:P16)</f>
        <v>1914108</v>
      </c>
      <c r="P17" s="163"/>
    </row>
    <row r="18" spans="1:16" ht="18" customHeight="1" x14ac:dyDescent="0.2">
      <c r="A18" s="78"/>
      <c r="B18" s="49" t="s">
        <v>42</v>
      </c>
      <c r="C18" s="48"/>
      <c r="D18" s="50" t="s">
        <v>43</v>
      </c>
      <c r="E18" s="78"/>
      <c r="F18" s="78"/>
      <c r="G18" s="78"/>
      <c r="H18" s="78"/>
      <c r="I18" s="78"/>
      <c r="J18" s="78"/>
      <c r="K18" s="78"/>
      <c r="L18" s="78"/>
      <c r="M18" s="79"/>
      <c r="N18" s="80" t="s">
        <v>52</v>
      </c>
      <c r="O18" s="81"/>
      <c r="P18" s="81">
        <v>0</v>
      </c>
    </row>
    <row r="19" spans="1:16" ht="18" customHeight="1" thickBot="1" x14ac:dyDescent="0.25">
      <c r="A19" s="78"/>
      <c r="B19" s="49"/>
      <c r="C19" s="48"/>
      <c r="D19" s="50"/>
      <c r="E19" s="78"/>
      <c r="F19" s="78"/>
      <c r="G19" s="78"/>
      <c r="H19" s="78"/>
      <c r="I19" s="78"/>
      <c r="J19" s="78"/>
      <c r="K19" s="78"/>
      <c r="L19" s="78"/>
      <c r="M19" s="79"/>
      <c r="N19" s="82" t="s">
        <v>53</v>
      </c>
      <c r="O19" s="83"/>
      <c r="P19" s="83">
        <f>O17-P18</f>
        <v>1914108</v>
      </c>
    </row>
    <row r="20" spans="1:16" ht="18" customHeight="1" x14ac:dyDescent="0.2">
      <c r="A20" s="10"/>
      <c r="H20" s="56"/>
      <c r="N20" s="55" t="s">
        <v>31</v>
      </c>
      <c r="P20" s="62">
        <f>P19*1%</f>
        <v>19141.080000000002</v>
      </c>
    </row>
    <row r="21" spans="1:16" ht="18" customHeight="1" thickBot="1" x14ac:dyDescent="0.25">
      <c r="A21" s="10"/>
      <c r="H21" s="56"/>
      <c r="N21" s="55" t="s">
        <v>54</v>
      </c>
      <c r="P21" s="64">
        <f>P19*2%</f>
        <v>38282.160000000003</v>
      </c>
    </row>
    <row r="22" spans="1:16" ht="18" customHeight="1" x14ac:dyDescent="0.2">
      <c r="A22" s="10"/>
      <c r="H22" s="56"/>
      <c r="N22" s="59" t="s">
        <v>32</v>
      </c>
      <c r="O22" s="60"/>
      <c r="P22" s="63">
        <f>P19+P20-P21</f>
        <v>1894966.9200000002</v>
      </c>
    </row>
    <row r="24" spans="1:16" x14ac:dyDescent="0.2">
      <c r="A24" s="10"/>
      <c r="H24" s="56"/>
      <c r="P24" s="64"/>
    </row>
    <row r="25" spans="1:16" x14ac:dyDescent="0.2">
      <c r="A25" s="10"/>
      <c r="H25" s="56"/>
      <c r="O25" s="51"/>
      <c r="P25" s="6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</sheetData>
  <mergeCells count="2">
    <mergeCell ref="A17:L17"/>
    <mergeCell ref="O17:P17"/>
  </mergeCells>
  <conditionalFormatting sqref="C3:C16">
    <cfRule type="duplicateValues" dxfId="271" priority="1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6"/>
  <sheetViews>
    <sheetView topLeftCell="A13" workbookViewId="0">
      <selection activeCell="N15" sqref="N3:N1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403933</v>
      </c>
      <c r="B3" s="99" t="s">
        <v>5276</v>
      </c>
      <c r="C3" s="90" t="s">
        <v>5277</v>
      </c>
      <c r="D3" s="102" t="s">
        <v>57</v>
      </c>
      <c r="E3" s="91">
        <v>44557</v>
      </c>
      <c r="F3" s="102" t="s">
        <v>59</v>
      </c>
      <c r="G3" s="91">
        <v>44562</v>
      </c>
      <c r="H3" s="90" t="s">
        <v>5275</v>
      </c>
      <c r="I3" s="90">
        <v>111</v>
      </c>
      <c r="J3" s="90">
        <v>57</v>
      </c>
      <c r="K3" s="90">
        <v>14</v>
      </c>
      <c r="L3" s="90">
        <v>13</v>
      </c>
      <c r="M3" s="90">
        <v>22.144500000000001</v>
      </c>
      <c r="N3" s="104">
        <v>22.144500000000001</v>
      </c>
      <c r="O3" s="57">
        <v>7000</v>
      </c>
      <c r="P3" s="58">
        <f t="shared" ref="P3:P15" si="0">N3*O3</f>
        <v>155011.5</v>
      </c>
    </row>
    <row r="4" spans="1:16" ht="26.25" customHeight="1" x14ac:dyDescent="0.2">
      <c r="A4" s="100"/>
      <c r="B4" s="100"/>
      <c r="C4" s="90" t="s">
        <v>5278</v>
      </c>
      <c r="D4" s="102" t="s">
        <v>57</v>
      </c>
      <c r="E4" s="91">
        <v>44557</v>
      </c>
      <c r="F4" s="102" t="s">
        <v>59</v>
      </c>
      <c r="G4" s="91">
        <v>44562</v>
      </c>
      <c r="H4" s="90" t="s">
        <v>5275</v>
      </c>
      <c r="I4" s="90">
        <v>114</v>
      </c>
      <c r="J4" s="90">
        <v>22</v>
      </c>
      <c r="K4" s="90">
        <v>6</v>
      </c>
      <c r="L4" s="90">
        <v>3</v>
      </c>
      <c r="M4" s="90">
        <v>3.762</v>
      </c>
      <c r="N4" s="104">
        <v>3.762</v>
      </c>
      <c r="O4" s="57">
        <v>7000</v>
      </c>
      <c r="P4" s="58">
        <f t="shared" si="0"/>
        <v>26334</v>
      </c>
    </row>
    <row r="5" spans="1:16" ht="26.25" customHeight="1" x14ac:dyDescent="0.2">
      <c r="A5" s="100"/>
      <c r="B5" s="100"/>
      <c r="C5" s="90" t="s">
        <v>5279</v>
      </c>
      <c r="D5" s="102" t="s">
        <v>57</v>
      </c>
      <c r="E5" s="91">
        <v>44557</v>
      </c>
      <c r="F5" s="102" t="s">
        <v>59</v>
      </c>
      <c r="G5" s="91">
        <v>44562</v>
      </c>
      <c r="H5" s="90" t="s">
        <v>5275</v>
      </c>
      <c r="I5" s="90">
        <v>42</v>
      </c>
      <c r="J5" s="90">
        <v>34</v>
      </c>
      <c r="K5" s="90">
        <v>27</v>
      </c>
      <c r="L5" s="90">
        <v>4</v>
      </c>
      <c r="M5" s="90">
        <v>9.6389999999999993</v>
      </c>
      <c r="N5" s="104">
        <v>9.6389999999999993</v>
      </c>
      <c r="O5" s="57">
        <v>7000</v>
      </c>
      <c r="P5" s="58">
        <f t="shared" si="0"/>
        <v>67473</v>
      </c>
    </row>
    <row r="6" spans="1:16" ht="26.25" customHeight="1" x14ac:dyDescent="0.2">
      <c r="A6" s="100"/>
      <c r="B6" s="100"/>
      <c r="C6" s="90" t="s">
        <v>5280</v>
      </c>
      <c r="D6" s="102" t="s">
        <v>57</v>
      </c>
      <c r="E6" s="91">
        <v>44557</v>
      </c>
      <c r="F6" s="102" t="s">
        <v>59</v>
      </c>
      <c r="G6" s="91">
        <v>44562</v>
      </c>
      <c r="H6" s="90" t="s">
        <v>5275</v>
      </c>
      <c r="I6" s="90">
        <v>68</v>
      </c>
      <c r="J6" s="90">
        <v>57</v>
      </c>
      <c r="K6" s="90">
        <v>13</v>
      </c>
      <c r="L6" s="90">
        <v>4</v>
      </c>
      <c r="M6" s="90">
        <v>12.597</v>
      </c>
      <c r="N6" s="104">
        <v>12.597</v>
      </c>
      <c r="O6" s="57">
        <v>7000</v>
      </c>
      <c r="P6" s="58">
        <f t="shared" si="0"/>
        <v>88179</v>
      </c>
    </row>
    <row r="7" spans="1:16" ht="26.25" customHeight="1" x14ac:dyDescent="0.2">
      <c r="A7" s="100"/>
      <c r="B7" s="100"/>
      <c r="C7" s="65" t="s">
        <v>5281</v>
      </c>
      <c r="D7" s="70" t="s">
        <v>57</v>
      </c>
      <c r="E7" s="12">
        <v>44557</v>
      </c>
      <c r="F7" s="68" t="s">
        <v>59</v>
      </c>
      <c r="G7" s="12">
        <v>44562</v>
      </c>
      <c r="H7" s="69" t="s">
        <v>5275</v>
      </c>
      <c r="I7" s="15">
        <v>68</v>
      </c>
      <c r="J7" s="15">
        <v>61</v>
      </c>
      <c r="K7" s="15">
        <v>28</v>
      </c>
      <c r="L7" s="15">
        <v>6</v>
      </c>
      <c r="M7" s="73">
        <v>29.036000000000001</v>
      </c>
      <c r="N7" s="104">
        <v>29.036000000000001</v>
      </c>
      <c r="O7" s="57">
        <v>7000</v>
      </c>
      <c r="P7" s="58">
        <f t="shared" si="0"/>
        <v>203252</v>
      </c>
    </row>
    <row r="8" spans="1:16" ht="26.25" customHeight="1" x14ac:dyDescent="0.2">
      <c r="A8" s="100"/>
      <c r="B8" s="100"/>
      <c r="C8" s="65" t="s">
        <v>5282</v>
      </c>
      <c r="D8" s="70" t="s">
        <v>57</v>
      </c>
      <c r="E8" s="12">
        <v>44557</v>
      </c>
      <c r="F8" s="68" t="s">
        <v>59</v>
      </c>
      <c r="G8" s="12">
        <v>44562</v>
      </c>
      <c r="H8" s="69" t="s">
        <v>5275</v>
      </c>
      <c r="I8" s="15">
        <v>33</v>
      </c>
      <c r="J8" s="15">
        <v>28</v>
      </c>
      <c r="K8" s="15">
        <v>6</v>
      </c>
      <c r="L8" s="15">
        <v>1</v>
      </c>
      <c r="M8" s="73">
        <v>1.3859999999999999</v>
      </c>
      <c r="N8" s="104">
        <v>2</v>
      </c>
      <c r="O8" s="57">
        <v>7000</v>
      </c>
      <c r="P8" s="58">
        <f t="shared" si="0"/>
        <v>14000</v>
      </c>
    </row>
    <row r="9" spans="1:16" ht="26.25" customHeight="1" x14ac:dyDescent="0.2">
      <c r="A9" s="100"/>
      <c r="B9" s="100"/>
      <c r="C9" s="65" t="s">
        <v>5283</v>
      </c>
      <c r="D9" s="70" t="s">
        <v>57</v>
      </c>
      <c r="E9" s="12">
        <v>44557</v>
      </c>
      <c r="F9" s="68" t="s">
        <v>59</v>
      </c>
      <c r="G9" s="12">
        <v>44562</v>
      </c>
      <c r="H9" s="69" t="s">
        <v>5275</v>
      </c>
      <c r="I9" s="15">
        <v>78</v>
      </c>
      <c r="J9" s="15">
        <v>44</v>
      </c>
      <c r="K9" s="15">
        <v>23</v>
      </c>
      <c r="L9" s="15">
        <v>4</v>
      </c>
      <c r="M9" s="73">
        <v>19.734000000000002</v>
      </c>
      <c r="N9" s="104">
        <v>19.734000000000002</v>
      </c>
      <c r="O9" s="57">
        <v>7000</v>
      </c>
      <c r="P9" s="58">
        <f t="shared" si="0"/>
        <v>138138</v>
      </c>
    </row>
    <row r="10" spans="1:16" ht="26.25" customHeight="1" x14ac:dyDescent="0.2">
      <c r="A10" s="100"/>
      <c r="B10" s="100"/>
      <c r="C10" s="65" t="s">
        <v>5284</v>
      </c>
      <c r="D10" s="70" t="s">
        <v>57</v>
      </c>
      <c r="E10" s="12">
        <v>44557</v>
      </c>
      <c r="F10" s="68" t="s">
        <v>59</v>
      </c>
      <c r="G10" s="12">
        <v>44562</v>
      </c>
      <c r="H10" s="69" t="s">
        <v>5275</v>
      </c>
      <c r="I10" s="15">
        <v>42</v>
      </c>
      <c r="J10" s="15">
        <v>39</v>
      </c>
      <c r="K10" s="15">
        <v>15</v>
      </c>
      <c r="L10" s="15">
        <v>1</v>
      </c>
      <c r="M10" s="73">
        <v>6.1425000000000001</v>
      </c>
      <c r="N10" s="104">
        <v>6.1425000000000001</v>
      </c>
      <c r="O10" s="57">
        <v>7000</v>
      </c>
      <c r="P10" s="58">
        <f t="shared" si="0"/>
        <v>42997.5</v>
      </c>
    </row>
    <row r="11" spans="1:16" ht="26.25" customHeight="1" x14ac:dyDescent="0.2">
      <c r="A11" s="100"/>
      <c r="B11" s="100"/>
      <c r="C11" s="65" t="s">
        <v>5285</v>
      </c>
      <c r="D11" s="70" t="s">
        <v>57</v>
      </c>
      <c r="E11" s="12">
        <v>44557</v>
      </c>
      <c r="F11" s="68" t="s">
        <v>59</v>
      </c>
      <c r="G11" s="12">
        <v>44562</v>
      </c>
      <c r="H11" s="69" t="s">
        <v>5275</v>
      </c>
      <c r="I11" s="15">
        <v>28</v>
      </c>
      <c r="J11" s="15">
        <v>21</v>
      </c>
      <c r="K11" s="15">
        <v>4</v>
      </c>
      <c r="L11" s="15">
        <v>1</v>
      </c>
      <c r="M11" s="73">
        <v>0.58799999999999997</v>
      </c>
      <c r="N11" s="104">
        <v>1</v>
      </c>
      <c r="O11" s="57">
        <v>7000</v>
      </c>
      <c r="P11" s="58">
        <f t="shared" si="0"/>
        <v>7000</v>
      </c>
    </row>
    <row r="12" spans="1:16" ht="26.25" customHeight="1" x14ac:dyDescent="0.2">
      <c r="A12" s="100"/>
      <c r="B12" s="100"/>
      <c r="C12" s="65" t="s">
        <v>5286</v>
      </c>
      <c r="D12" s="70" t="s">
        <v>57</v>
      </c>
      <c r="E12" s="12">
        <v>44557</v>
      </c>
      <c r="F12" s="68" t="s">
        <v>59</v>
      </c>
      <c r="G12" s="12">
        <v>44562</v>
      </c>
      <c r="H12" s="69" t="s">
        <v>5275</v>
      </c>
      <c r="I12" s="15">
        <v>9</v>
      </c>
      <c r="J12" s="15">
        <v>9</v>
      </c>
      <c r="K12" s="15">
        <v>11</v>
      </c>
      <c r="L12" s="15">
        <v>1</v>
      </c>
      <c r="M12" s="73">
        <v>0.22275</v>
      </c>
      <c r="N12" s="104">
        <v>1</v>
      </c>
      <c r="O12" s="57">
        <v>7000</v>
      </c>
      <c r="P12" s="58">
        <f t="shared" si="0"/>
        <v>7000</v>
      </c>
    </row>
    <row r="13" spans="1:16" ht="26.25" customHeight="1" x14ac:dyDescent="0.2">
      <c r="A13" s="100"/>
      <c r="B13" s="100"/>
      <c r="C13" s="65" t="s">
        <v>5287</v>
      </c>
      <c r="D13" s="70" t="s">
        <v>57</v>
      </c>
      <c r="E13" s="12">
        <v>44557</v>
      </c>
      <c r="F13" s="68" t="s">
        <v>59</v>
      </c>
      <c r="G13" s="12">
        <v>44562</v>
      </c>
      <c r="H13" s="69" t="s">
        <v>5275</v>
      </c>
      <c r="I13" s="15">
        <v>71</v>
      </c>
      <c r="J13" s="15">
        <v>55</v>
      </c>
      <c r="K13" s="15">
        <v>13</v>
      </c>
      <c r="L13" s="15">
        <v>8</v>
      </c>
      <c r="M13" s="73">
        <v>12.69125</v>
      </c>
      <c r="N13" s="104">
        <v>12.69125</v>
      </c>
      <c r="O13" s="57">
        <v>7000</v>
      </c>
      <c r="P13" s="58">
        <f t="shared" si="0"/>
        <v>88838.75</v>
      </c>
    </row>
    <row r="14" spans="1:16" ht="26.25" customHeight="1" x14ac:dyDescent="0.2">
      <c r="A14" s="100"/>
      <c r="B14" s="100"/>
      <c r="C14" s="65" t="s">
        <v>5288</v>
      </c>
      <c r="D14" s="70" t="s">
        <v>57</v>
      </c>
      <c r="E14" s="12">
        <v>44557</v>
      </c>
      <c r="F14" s="68" t="s">
        <v>59</v>
      </c>
      <c r="G14" s="12">
        <v>44562</v>
      </c>
      <c r="H14" s="69" t="s">
        <v>5275</v>
      </c>
      <c r="I14" s="15">
        <v>76</v>
      </c>
      <c r="J14" s="15">
        <v>61</v>
      </c>
      <c r="K14" s="15">
        <v>15</v>
      </c>
      <c r="L14" s="15">
        <v>14</v>
      </c>
      <c r="M14" s="73">
        <v>17.385000000000002</v>
      </c>
      <c r="N14" s="104">
        <v>18</v>
      </c>
      <c r="O14" s="57">
        <v>7000</v>
      </c>
      <c r="P14" s="58">
        <f t="shared" si="0"/>
        <v>126000</v>
      </c>
    </row>
    <row r="15" spans="1:16" ht="26.25" customHeight="1" x14ac:dyDescent="0.2">
      <c r="A15" s="100"/>
      <c r="B15" s="100"/>
      <c r="C15" s="65" t="s">
        <v>5289</v>
      </c>
      <c r="D15" s="70" t="s">
        <v>57</v>
      </c>
      <c r="E15" s="12">
        <v>44557</v>
      </c>
      <c r="F15" s="68" t="s">
        <v>59</v>
      </c>
      <c r="G15" s="12">
        <v>44562</v>
      </c>
      <c r="H15" s="69" t="s">
        <v>5275</v>
      </c>
      <c r="I15" s="15">
        <v>64</v>
      </c>
      <c r="J15" s="15">
        <v>51</v>
      </c>
      <c r="K15" s="15">
        <v>9</v>
      </c>
      <c r="L15" s="15">
        <v>3</v>
      </c>
      <c r="M15" s="73">
        <v>7.3440000000000003</v>
      </c>
      <c r="N15" s="104">
        <v>8</v>
      </c>
      <c r="O15" s="57">
        <v>7000</v>
      </c>
      <c r="P15" s="58">
        <f t="shared" si="0"/>
        <v>56000</v>
      </c>
    </row>
    <row r="16" spans="1:16" ht="22.5" customHeight="1" x14ac:dyDescent="0.2">
      <c r="A16" s="159" t="s">
        <v>30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1"/>
      <c r="M16" s="71">
        <f>SUBTOTAL(109,Table2245789101123456789101112131415161718192021222324252627282930313233343537383940414243444546474849505152535455565758596061626364656667686970717273747576777879808182838485[KG VOLUME])</f>
        <v>142.672</v>
      </c>
      <c r="N16" s="61">
        <f>SUM(N3:N15)</f>
        <v>145.74625000000003</v>
      </c>
      <c r="O16" s="162">
        <f>SUM(P3:P15)</f>
        <v>1020223.75</v>
      </c>
      <c r="P16" s="163"/>
    </row>
    <row r="17" spans="1:16" ht="18" customHeight="1" x14ac:dyDescent="0.2">
      <c r="A17" s="78"/>
      <c r="B17" s="49" t="s">
        <v>42</v>
      </c>
      <c r="C17" s="48"/>
      <c r="D17" s="50" t="s">
        <v>43</v>
      </c>
      <c r="E17" s="78"/>
      <c r="F17" s="78"/>
      <c r="G17" s="78"/>
      <c r="H17" s="78"/>
      <c r="I17" s="78"/>
      <c r="J17" s="78"/>
      <c r="K17" s="78"/>
      <c r="L17" s="78"/>
      <c r="M17" s="79"/>
      <c r="N17" s="80" t="s">
        <v>52</v>
      </c>
      <c r="O17" s="81"/>
      <c r="P17" s="81">
        <v>0</v>
      </c>
    </row>
    <row r="18" spans="1:16" ht="18" customHeight="1" thickBot="1" x14ac:dyDescent="0.25">
      <c r="A18" s="78"/>
      <c r="B18" s="49"/>
      <c r="C18" s="48"/>
      <c r="D18" s="50"/>
      <c r="E18" s="78"/>
      <c r="F18" s="78"/>
      <c r="G18" s="78"/>
      <c r="H18" s="78"/>
      <c r="I18" s="78"/>
      <c r="J18" s="78"/>
      <c r="K18" s="78"/>
      <c r="L18" s="78"/>
      <c r="M18" s="79"/>
      <c r="N18" s="82" t="s">
        <v>53</v>
      </c>
      <c r="O18" s="83"/>
      <c r="P18" s="83">
        <f>O16-P17</f>
        <v>1020223.75</v>
      </c>
    </row>
    <row r="19" spans="1:16" ht="18" customHeight="1" x14ac:dyDescent="0.2">
      <c r="A19" s="10"/>
      <c r="H19" s="56"/>
      <c r="N19" s="55" t="s">
        <v>31</v>
      </c>
      <c r="P19" s="62">
        <f>P18*1%</f>
        <v>10202.237500000001</v>
      </c>
    </row>
    <row r="20" spans="1:16" ht="18" customHeight="1" thickBot="1" x14ac:dyDescent="0.25">
      <c r="A20" s="10"/>
      <c r="H20" s="56"/>
      <c r="N20" s="55" t="s">
        <v>54</v>
      </c>
      <c r="P20" s="64">
        <f>P18*2%</f>
        <v>20404.475000000002</v>
      </c>
    </row>
    <row r="21" spans="1:16" ht="18" customHeight="1" x14ac:dyDescent="0.2">
      <c r="A21" s="10"/>
      <c r="H21" s="56"/>
      <c r="N21" s="59" t="s">
        <v>32</v>
      </c>
      <c r="O21" s="60"/>
      <c r="P21" s="63">
        <f>P18+P19-P20</f>
        <v>1010021.5125000001</v>
      </c>
    </row>
    <row r="23" spans="1:16" x14ac:dyDescent="0.2">
      <c r="A23" s="10"/>
      <c r="H23" s="56"/>
      <c r="P23" s="64"/>
    </row>
    <row r="24" spans="1:16" x14ac:dyDescent="0.2">
      <c r="A24" s="10"/>
      <c r="H24" s="56"/>
      <c r="O24" s="51"/>
      <c r="P24" s="6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</sheetData>
  <mergeCells count="2">
    <mergeCell ref="A16:L16"/>
    <mergeCell ref="O16:P16"/>
  </mergeCells>
  <conditionalFormatting sqref="C3:C15">
    <cfRule type="duplicateValues" dxfId="255" priority="11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topLeftCell="A37" workbookViewId="0">
      <selection activeCell="N38" sqref="N3:N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402745</v>
      </c>
      <c r="B3" s="99" t="s">
        <v>5290</v>
      </c>
      <c r="C3" s="90" t="s">
        <v>5291</v>
      </c>
      <c r="D3" s="102" t="s">
        <v>57</v>
      </c>
      <c r="E3" s="91">
        <v>44557</v>
      </c>
      <c r="F3" s="102" t="s">
        <v>59</v>
      </c>
      <c r="G3" s="91">
        <v>44562</v>
      </c>
      <c r="H3" s="90" t="s">
        <v>5275</v>
      </c>
      <c r="I3" s="90">
        <v>61</v>
      </c>
      <c r="J3" s="90">
        <v>23</v>
      </c>
      <c r="K3" s="90">
        <v>22</v>
      </c>
      <c r="L3" s="90">
        <v>2</v>
      </c>
      <c r="M3" s="90">
        <v>7.7164999999999999</v>
      </c>
      <c r="N3" s="104">
        <v>7.7164999999999999</v>
      </c>
      <c r="O3" s="57">
        <v>7000</v>
      </c>
      <c r="P3" s="58">
        <f t="shared" ref="P3:P38" si="0">N3*O3</f>
        <v>54015.5</v>
      </c>
    </row>
    <row r="4" spans="1:16" ht="26.25" customHeight="1" x14ac:dyDescent="0.2">
      <c r="A4" s="100"/>
      <c r="B4" s="100"/>
      <c r="C4" s="90" t="s">
        <v>5292</v>
      </c>
      <c r="D4" s="102" t="s">
        <v>57</v>
      </c>
      <c r="E4" s="91">
        <v>44557</v>
      </c>
      <c r="F4" s="102" t="s">
        <v>59</v>
      </c>
      <c r="G4" s="91">
        <v>44562</v>
      </c>
      <c r="H4" s="90" t="s">
        <v>5275</v>
      </c>
      <c r="I4" s="90">
        <v>78</v>
      </c>
      <c r="J4" s="90">
        <v>61</v>
      </c>
      <c r="K4" s="90">
        <v>23</v>
      </c>
      <c r="L4" s="90">
        <v>7</v>
      </c>
      <c r="M4" s="90">
        <v>27.358499999999999</v>
      </c>
      <c r="N4" s="104">
        <v>28</v>
      </c>
      <c r="O4" s="57">
        <v>7000</v>
      </c>
      <c r="P4" s="58">
        <f t="shared" si="0"/>
        <v>196000</v>
      </c>
    </row>
    <row r="5" spans="1:16" ht="26.25" customHeight="1" x14ac:dyDescent="0.2">
      <c r="A5" s="100"/>
      <c r="B5" s="100"/>
      <c r="C5" s="90" t="s">
        <v>5293</v>
      </c>
      <c r="D5" s="102" t="s">
        <v>57</v>
      </c>
      <c r="E5" s="91">
        <v>44557</v>
      </c>
      <c r="F5" s="102" t="s">
        <v>59</v>
      </c>
      <c r="G5" s="91">
        <v>44562</v>
      </c>
      <c r="H5" s="90" t="s">
        <v>5275</v>
      </c>
      <c r="I5" s="90">
        <v>81</v>
      </c>
      <c r="J5" s="90">
        <v>60</v>
      </c>
      <c r="K5" s="90">
        <v>20</v>
      </c>
      <c r="L5" s="90">
        <v>7</v>
      </c>
      <c r="M5" s="90">
        <v>24.3</v>
      </c>
      <c r="N5" s="104">
        <v>25</v>
      </c>
      <c r="O5" s="57">
        <v>7000</v>
      </c>
      <c r="P5" s="58">
        <f t="shared" si="0"/>
        <v>175000</v>
      </c>
    </row>
    <row r="6" spans="1:16" ht="26.25" customHeight="1" x14ac:dyDescent="0.2">
      <c r="A6" s="100"/>
      <c r="B6" s="100"/>
      <c r="C6" s="90" t="s">
        <v>5294</v>
      </c>
      <c r="D6" s="102" t="s">
        <v>57</v>
      </c>
      <c r="E6" s="91">
        <v>44557</v>
      </c>
      <c r="F6" s="102" t="s">
        <v>59</v>
      </c>
      <c r="G6" s="91">
        <v>44562</v>
      </c>
      <c r="H6" s="90" t="s">
        <v>5275</v>
      </c>
      <c r="I6" s="90">
        <v>28</v>
      </c>
      <c r="J6" s="90">
        <v>26</v>
      </c>
      <c r="K6" s="90">
        <v>30</v>
      </c>
      <c r="L6" s="90">
        <v>1</v>
      </c>
      <c r="M6" s="90">
        <v>5.46</v>
      </c>
      <c r="N6" s="104">
        <v>6</v>
      </c>
      <c r="O6" s="57">
        <v>7000</v>
      </c>
      <c r="P6" s="58">
        <f t="shared" si="0"/>
        <v>42000</v>
      </c>
    </row>
    <row r="7" spans="1:16" ht="26.25" customHeight="1" x14ac:dyDescent="0.2">
      <c r="A7" s="100"/>
      <c r="B7" s="100"/>
      <c r="C7" s="65" t="s">
        <v>5295</v>
      </c>
      <c r="D7" s="70" t="s">
        <v>57</v>
      </c>
      <c r="E7" s="12">
        <v>44557</v>
      </c>
      <c r="F7" s="68" t="s">
        <v>59</v>
      </c>
      <c r="G7" s="12">
        <v>44562</v>
      </c>
      <c r="H7" s="69" t="s">
        <v>5275</v>
      </c>
      <c r="I7" s="15">
        <v>59</v>
      </c>
      <c r="J7" s="15">
        <v>34</v>
      </c>
      <c r="K7" s="15">
        <v>22</v>
      </c>
      <c r="L7" s="15">
        <v>7</v>
      </c>
      <c r="M7" s="73">
        <v>11.032999999999999</v>
      </c>
      <c r="N7" s="104">
        <v>11.032999999999999</v>
      </c>
      <c r="O7" s="57">
        <v>7000</v>
      </c>
      <c r="P7" s="58">
        <f t="shared" si="0"/>
        <v>77231</v>
      </c>
    </row>
    <row r="8" spans="1:16" ht="26.25" customHeight="1" x14ac:dyDescent="0.2">
      <c r="A8" s="100"/>
      <c r="B8" s="100"/>
      <c r="C8" s="65" t="s">
        <v>5296</v>
      </c>
      <c r="D8" s="70" t="s">
        <v>57</v>
      </c>
      <c r="E8" s="12">
        <v>44557</v>
      </c>
      <c r="F8" s="68" t="s">
        <v>59</v>
      </c>
      <c r="G8" s="12">
        <v>44562</v>
      </c>
      <c r="H8" s="69" t="s">
        <v>5275</v>
      </c>
      <c r="I8" s="15">
        <v>18</v>
      </c>
      <c r="J8" s="15">
        <v>8</v>
      </c>
      <c r="K8" s="15">
        <v>3</v>
      </c>
      <c r="L8" s="15">
        <v>1</v>
      </c>
      <c r="M8" s="73">
        <v>0.108</v>
      </c>
      <c r="N8" s="104">
        <v>1</v>
      </c>
      <c r="O8" s="57">
        <v>7000</v>
      </c>
      <c r="P8" s="58">
        <f t="shared" si="0"/>
        <v>7000</v>
      </c>
    </row>
    <row r="9" spans="1:16" ht="26.25" customHeight="1" x14ac:dyDescent="0.2">
      <c r="A9" s="100"/>
      <c r="B9" s="100"/>
      <c r="C9" s="65" t="s">
        <v>5297</v>
      </c>
      <c r="D9" s="70" t="s">
        <v>57</v>
      </c>
      <c r="E9" s="12">
        <v>44557</v>
      </c>
      <c r="F9" s="68" t="s">
        <v>59</v>
      </c>
      <c r="G9" s="12">
        <v>44562</v>
      </c>
      <c r="H9" s="69" t="s">
        <v>5275</v>
      </c>
      <c r="I9" s="15">
        <v>33</v>
      </c>
      <c r="J9" s="15">
        <v>28</v>
      </c>
      <c r="K9" s="15">
        <v>27</v>
      </c>
      <c r="L9" s="15">
        <v>6</v>
      </c>
      <c r="M9" s="73">
        <v>6.2370000000000001</v>
      </c>
      <c r="N9" s="104">
        <v>6.2370000000000001</v>
      </c>
      <c r="O9" s="57">
        <v>7000</v>
      </c>
      <c r="P9" s="58">
        <f t="shared" si="0"/>
        <v>43659</v>
      </c>
    </row>
    <row r="10" spans="1:16" ht="26.25" customHeight="1" x14ac:dyDescent="0.2">
      <c r="A10" s="100"/>
      <c r="B10" s="100"/>
      <c r="C10" s="65" t="s">
        <v>5298</v>
      </c>
      <c r="D10" s="70" t="s">
        <v>57</v>
      </c>
      <c r="E10" s="12">
        <v>44557</v>
      </c>
      <c r="F10" s="68" t="s">
        <v>59</v>
      </c>
      <c r="G10" s="12">
        <v>44562</v>
      </c>
      <c r="H10" s="69" t="s">
        <v>5275</v>
      </c>
      <c r="I10" s="15">
        <v>63</v>
      </c>
      <c r="J10" s="15">
        <v>37</v>
      </c>
      <c r="K10" s="15">
        <v>26</v>
      </c>
      <c r="L10" s="15">
        <v>2</v>
      </c>
      <c r="M10" s="73">
        <v>15.1515</v>
      </c>
      <c r="N10" s="104">
        <v>15.1515</v>
      </c>
      <c r="O10" s="57">
        <v>7000</v>
      </c>
      <c r="P10" s="58">
        <f t="shared" si="0"/>
        <v>106060.5</v>
      </c>
    </row>
    <row r="11" spans="1:16" ht="26.25" customHeight="1" x14ac:dyDescent="0.2">
      <c r="A11" s="100"/>
      <c r="B11" s="100"/>
      <c r="C11" s="65" t="s">
        <v>5299</v>
      </c>
      <c r="D11" s="70" t="s">
        <v>57</v>
      </c>
      <c r="E11" s="12">
        <v>44557</v>
      </c>
      <c r="F11" s="68" t="s">
        <v>59</v>
      </c>
      <c r="G11" s="12">
        <v>44562</v>
      </c>
      <c r="H11" s="69" t="s">
        <v>5275</v>
      </c>
      <c r="I11" s="15">
        <v>79</v>
      </c>
      <c r="J11" s="15">
        <v>64</v>
      </c>
      <c r="K11" s="15">
        <v>23</v>
      </c>
      <c r="L11" s="15">
        <v>10</v>
      </c>
      <c r="M11" s="73">
        <v>29.071999999999999</v>
      </c>
      <c r="N11" s="104">
        <v>29.071999999999999</v>
      </c>
      <c r="O11" s="57">
        <v>7000</v>
      </c>
      <c r="P11" s="58">
        <f t="shared" si="0"/>
        <v>203504</v>
      </c>
    </row>
    <row r="12" spans="1:16" ht="26.25" customHeight="1" x14ac:dyDescent="0.2">
      <c r="A12" s="100"/>
      <c r="B12" s="100"/>
      <c r="C12" s="65" t="s">
        <v>5300</v>
      </c>
      <c r="D12" s="70" t="s">
        <v>57</v>
      </c>
      <c r="E12" s="12">
        <v>44557</v>
      </c>
      <c r="F12" s="68" t="s">
        <v>59</v>
      </c>
      <c r="G12" s="12">
        <v>44562</v>
      </c>
      <c r="H12" s="69" t="s">
        <v>5275</v>
      </c>
      <c r="I12" s="15">
        <v>18</v>
      </c>
      <c r="J12" s="15">
        <v>13</v>
      </c>
      <c r="K12" s="15">
        <v>5</v>
      </c>
      <c r="L12" s="15">
        <v>1</v>
      </c>
      <c r="M12" s="73">
        <v>0.29249999999999998</v>
      </c>
      <c r="N12" s="104">
        <v>1</v>
      </c>
      <c r="O12" s="57">
        <v>7000</v>
      </c>
      <c r="P12" s="58">
        <f t="shared" si="0"/>
        <v>7000</v>
      </c>
    </row>
    <row r="13" spans="1:16" ht="26.25" customHeight="1" x14ac:dyDescent="0.2">
      <c r="A13" s="100"/>
      <c r="B13" s="100"/>
      <c r="C13" s="65" t="s">
        <v>5301</v>
      </c>
      <c r="D13" s="70" t="s">
        <v>57</v>
      </c>
      <c r="E13" s="12">
        <v>44557</v>
      </c>
      <c r="F13" s="68" t="s">
        <v>59</v>
      </c>
      <c r="G13" s="12">
        <v>44562</v>
      </c>
      <c r="H13" s="69" t="s">
        <v>5275</v>
      </c>
      <c r="I13" s="15">
        <v>66</v>
      </c>
      <c r="J13" s="15">
        <v>59</v>
      </c>
      <c r="K13" s="15">
        <v>34</v>
      </c>
      <c r="L13" s="15">
        <v>18</v>
      </c>
      <c r="M13" s="73">
        <v>33.098999999999997</v>
      </c>
      <c r="N13" s="104">
        <v>33.098999999999997</v>
      </c>
      <c r="O13" s="57">
        <v>7000</v>
      </c>
      <c r="P13" s="58">
        <f t="shared" si="0"/>
        <v>231692.99999999997</v>
      </c>
    </row>
    <row r="14" spans="1:16" ht="26.25" customHeight="1" x14ac:dyDescent="0.2">
      <c r="A14" s="100"/>
      <c r="B14" s="100"/>
      <c r="C14" s="65" t="s">
        <v>5302</v>
      </c>
      <c r="D14" s="70" t="s">
        <v>57</v>
      </c>
      <c r="E14" s="12">
        <v>44557</v>
      </c>
      <c r="F14" s="68" t="s">
        <v>59</v>
      </c>
      <c r="G14" s="12">
        <v>44562</v>
      </c>
      <c r="H14" s="69" t="s">
        <v>5275</v>
      </c>
      <c r="I14" s="15">
        <v>29</v>
      </c>
      <c r="J14" s="15">
        <v>20</v>
      </c>
      <c r="K14" s="15">
        <v>19</v>
      </c>
      <c r="L14" s="15">
        <v>5</v>
      </c>
      <c r="M14" s="73">
        <v>2.7549999999999999</v>
      </c>
      <c r="N14" s="104">
        <v>5</v>
      </c>
      <c r="O14" s="57">
        <v>7000</v>
      </c>
      <c r="P14" s="58">
        <f t="shared" si="0"/>
        <v>35000</v>
      </c>
    </row>
    <row r="15" spans="1:16" ht="26.25" customHeight="1" x14ac:dyDescent="0.2">
      <c r="A15" s="100"/>
      <c r="B15" s="100"/>
      <c r="C15" s="65" t="s">
        <v>5303</v>
      </c>
      <c r="D15" s="70" t="s">
        <v>57</v>
      </c>
      <c r="E15" s="12">
        <v>44557</v>
      </c>
      <c r="F15" s="68" t="s">
        <v>59</v>
      </c>
      <c r="G15" s="12">
        <v>44562</v>
      </c>
      <c r="H15" s="69" t="s">
        <v>5275</v>
      </c>
      <c r="I15" s="15">
        <v>71</v>
      </c>
      <c r="J15" s="15">
        <v>46</v>
      </c>
      <c r="K15" s="15">
        <v>27</v>
      </c>
      <c r="L15" s="15">
        <v>7</v>
      </c>
      <c r="M15" s="73">
        <v>22.045500000000001</v>
      </c>
      <c r="N15" s="104">
        <v>22.045500000000001</v>
      </c>
      <c r="O15" s="57">
        <v>7000</v>
      </c>
      <c r="P15" s="58">
        <f t="shared" si="0"/>
        <v>154318.5</v>
      </c>
    </row>
    <row r="16" spans="1:16" ht="26.25" customHeight="1" x14ac:dyDescent="0.2">
      <c r="A16" s="100"/>
      <c r="B16" s="100"/>
      <c r="C16" s="65" t="s">
        <v>5304</v>
      </c>
      <c r="D16" s="70" t="s">
        <v>57</v>
      </c>
      <c r="E16" s="12">
        <v>44557</v>
      </c>
      <c r="F16" s="68" t="s">
        <v>59</v>
      </c>
      <c r="G16" s="12">
        <v>44562</v>
      </c>
      <c r="H16" s="69" t="s">
        <v>5275</v>
      </c>
      <c r="I16" s="15">
        <v>66</v>
      </c>
      <c r="J16" s="15">
        <v>57</v>
      </c>
      <c r="K16" s="15">
        <v>312</v>
      </c>
      <c r="L16" s="15">
        <v>9</v>
      </c>
      <c r="M16" s="73">
        <v>293.43599999999998</v>
      </c>
      <c r="N16" s="104">
        <v>294</v>
      </c>
      <c r="O16" s="57">
        <v>7000</v>
      </c>
      <c r="P16" s="58">
        <f t="shared" si="0"/>
        <v>2058000</v>
      </c>
    </row>
    <row r="17" spans="1:16" ht="26.25" customHeight="1" x14ac:dyDescent="0.2">
      <c r="A17" s="100"/>
      <c r="B17" s="100"/>
      <c r="C17" s="65" t="s">
        <v>5305</v>
      </c>
      <c r="D17" s="70" t="s">
        <v>57</v>
      </c>
      <c r="E17" s="12">
        <v>44557</v>
      </c>
      <c r="F17" s="68" t="s">
        <v>59</v>
      </c>
      <c r="G17" s="12">
        <v>44562</v>
      </c>
      <c r="H17" s="69" t="s">
        <v>5275</v>
      </c>
      <c r="I17" s="15">
        <v>98</v>
      </c>
      <c r="J17" s="15">
        <v>61</v>
      </c>
      <c r="K17" s="15">
        <v>32</v>
      </c>
      <c r="L17" s="15">
        <v>23</v>
      </c>
      <c r="M17" s="73">
        <v>47.823999999999998</v>
      </c>
      <c r="N17" s="104">
        <v>47.823999999999998</v>
      </c>
      <c r="O17" s="57">
        <v>7000</v>
      </c>
      <c r="P17" s="58">
        <f t="shared" si="0"/>
        <v>334768</v>
      </c>
    </row>
    <row r="18" spans="1:16" ht="26.25" customHeight="1" x14ac:dyDescent="0.2">
      <c r="A18" s="100"/>
      <c r="B18" s="100"/>
      <c r="C18" s="65" t="s">
        <v>5306</v>
      </c>
      <c r="D18" s="70" t="s">
        <v>57</v>
      </c>
      <c r="E18" s="12">
        <v>44557</v>
      </c>
      <c r="F18" s="68" t="s">
        <v>59</v>
      </c>
      <c r="G18" s="12">
        <v>44562</v>
      </c>
      <c r="H18" s="69" t="s">
        <v>5275</v>
      </c>
      <c r="I18" s="15">
        <v>40</v>
      </c>
      <c r="J18" s="15">
        <v>28</v>
      </c>
      <c r="K18" s="15">
        <v>24</v>
      </c>
      <c r="L18" s="15">
        <v>6</v>
      </c>
      <c r="M18" s="73">
        <v>6.72</v>
      </c>
      <c r="N18" s="104">
        <v>6.72</v>
      </c>
      <c r="O18" s="57">
        <v>7000</v>
      </c>
      <c r="P18" s="58">
        <f t="shared" si="0"/>
        <v>47040</v>
      </c>
    </row>
    <row r="19" spans="1:16" ht="26.25" customHeight="1" x14ac:dyDescent="0.2">
      <c r="A19" s="100"/>
      <c r="B19" s="100"/>
      <c r="C19" s="65" t="s">
        <v>5307</v>
      </c>
      <c r="D19" s="70" t="s">
        <v>57</v>
      </c>
      <c r="E19" s="12">
        <v>44557</v>
      </c>
      <c r="F19" s="68" t="s">
        <v>59</v>
      </c>
      <c r="G19" s="12">
        <v>44562</v>
      </c>
      <c r="H19" s="69" t="s">
        <v>5275</v>
      </c>
      <c r="I19" s="15">
        <v>45</v>
      </c>
      <c r="J19" s="15">
        <v>32</v>
      </c>
      <c r="K19" s="15">
        <v>28</v>
      </c>
      <c r="L19" s="15">
        <v>2</v>
      </c>
      <c r="M19" s="73">
        <v>10.08</v>
      </c>
      <c r="N19" s="104">
        <v>10.08</v>
      </c>
      <c r="O19" s="57">
        <v>7000</v>
      </c>
      <c r="P19" s="58">
        <f t="shared" si="0"/>
        <v>70560</v>
      </c>
    </row>
    <row r="20" spans="1:16" ht="26.25" customHeight="1" x14ac:dyDescent="0.2">
      <c r="A20" s="100"/>
      <c r="B20" s="100"/>
      <c r="C20" s="65" t="s">
        <v>5308</v>
      </c>
      <c r="D20" s="70" t="s">
        <v>57</v>
      </c>
      <c r="E20" s="12">
        <v>44557</v>
      </c>
      <c r="F20" s="68" t="s">
        <v>59</v>
      </c>
      <c r="G20" s="12">
        <v>44562</v>
      </c>
      <c r="H20" s="69" t="s">
        <v>5275</v>
      </c>
      <c r="I20" s="15">
        <v>27</v>
      </c>
      <c r="J20" s="15">
        <v>27</v>
      </c>
      <c r="K20" s="15">
        <v>20</v>
      </c>
      <c r="L20" s="15">
        <v>1</v>
      </c>
      <c r="M20" s="73">
        <v>3.645</v>
      </c>
      <c r="N20" s="104">
        <v>3.645</v>
      </c>
      <c r="O20" s="57">
        <v>7000</v>
      </c>
      <c r="P20" s="58">
        <f t="shared" si="0"/>
        <v>25515</v>
      </c>
    </row>
    <row r="21" spans="1:16" ht="26.25" customHeight="1" x14ac:dyDescent="0.2">
      <c r="A21" s="100"/>
      <c r="B21" s="100"/>
      <c r="C21" s="65" t="s">
        <v>5309</v>
      </c>
      <c r="D21" s="70" t="s">
        <v>57</v>
      </c>
      <c r="E21" s="12">
        <v>44557</v>
      </c>
      <c r="F21" s="68" t="s">
        <v>59</v>
      </c>
      <c r="G21" s="12">
        <v>44562</v>
      </c>
      <c r="H21" s="69" t="s">
        <v>5275</v>
      </c>
      <c r="I21" s="15">
        <v>30</v>
      </c>
      <c r="J21" s="15">
        <v>21</v>
      </c>
      <c r="K21" s="15">
        <v>8</v>
      </c>
      <c r="L21" s="15">
        <v>1</v>
      </c>
      <c r="M21" s="73">
        <v>1.26</v>
      </c>
      <c r="N21" s="104">
        <v>1.26</v>
      </c>
      <c r="O21" s="57">
        <v>7000</v>
      </c>
      <c r="P21" s="58">
        <f t="shared" si="0"/>
        <v>8820</v>
      </c>
    </row>
    <row r="22" spans="1:16" ht="26.25" customHeight="1" x14ac:dyDescent="0.2">
      <c r="A22" s="100"/>
      <c r="B22" s="100"/>
      <c r="C22" s="65" t="s">
        <v>5310</v>
      </c>
      <c r="D22" s="70" t="s">
        <v>57</v>
      </c>
      <c r="E22" s="12">
        <v>44557</v>
      </c>
      <c r="F22" s="68" t="s">
        <v>59</v>
      </c>
      <c r="G22" s="12">
        <v>44562</v>
      </c>
      <c r="H22" s="69" t="s">
        <v>5275</v>
      </c>
      <c r="I22" s="15">
        <v>54</v>
      </c>
      <c r="J22" s="15">
        <v>27</v>
      </c>
      <c r="K22" s="15">
        <v>27</v>
      </c>
      <c r="L22" s="15">
        <v>5</v>
      </c>
      <c r="M22" s="73">
        <v>9.8414999999999999</v>
      </c>
      <c r="N22" s="104">
        <v>9.8414999999999999</v>
      </c>
      <c r="O22" s="57">
        <v>7000</v>
      </c>
      <c r="P22" s="58">
        <f t="shared" si="0"/>
        <v>68890.5</v>
      </c>
    </row>
    <row r="23" spans="1:16" ht="26.25" customHeight="1" x14ac:dyDescent="0.2">
      <c r="A23" s="100"/>
      <c r="B23" s="100"/>
      <c r="C23" s="65" t="s">
        <v>5311</v>
      </c>
      <c r="D23" s="70" t="s">
        <v>57</v>
      </c>
      <c r="E23" s="12">
        <v>44557</v>
      </c>
      <c r="F23" s="68" t="s">
        <v>59</v>
      </c>
      <c r="G23" s="12">
        <v>44562</v>
      </c>
      <c r="H23" s="69" t="s">
        <v>5275</v>
      </c>
      <c r="I23" s="15">
        <v>52</v>
      </c>
      <c r="J23" s="15">
        <v>38</v>
      </c>
      <c r="K23" s="15">
        <v>21</v>
      </c>
      <c r="L23" s="15">
        <v>7</v>
      </c>
      <c r="M23" s="73">
        <v>10.374000000000001</v>
      </c>
      <c r="N23" s="104">
        <v>11</v>
      </c>
      <c r="O23" s="57">
        <v>7000</v>
      </c>
      <c r="P23" s="58">
        <f t="shared" si="0"/>
        <v>77000</v>
      </c>
    </row>
    <row r="24" spans="1:16" ht="26.25" customHeight="1" x14ac:dyDescent="0.2">
      <c r="A24" s="100"/>
      <c r="B24" s="100"/>
      <c r="C24" s="65" t="s">
        <v>5312</v>
      </c>
      <c r="D24" s="70" t="s">
        <v>57</v>
      </c>
      <c r="E24" s="12">
        <v>44557</v>
      </c>
      <c r="F24" s="68" t="s">
        <v>59</v>
      </c>
      <c r="G24" s="12">
        <v>44562</v>
      </c>
      <c r="H24" s="69" t="s">
        <v>5275</v>
      </c>
      <c r="I24" s="15">
        <v>40</v>
      </c>
      <c r="J24" s="15">
        <v>32</v>
      </c>
      <c r="K24" s="15">
        <v>15</v>
      </c>
      <c r="L24" s="15">
        <v>3</v>
      </c>
      <c r="M24" s="73">
        <v>4.8</v>
      </c>
      <c r="N24" s="104">
        <v>4.8</v>
      </c>
      <c r="O24" s="57">
        <v>7000</v>
      </c>
      <c r="P24" s="58">
        <f t="shared" si="0"/>
        <v>33600</v>
      </c>
    </row>
    <row r="25" spans="1:16" ht="26.25" customHeight="1" x14ac:dyDescent="0.2">
      <c r="A25" s="100"/>
      <c r="B25" s="100"/>
      <c r="C25" s="65" t="s">
        <v>5313</v>
      </c>
      <c r="D25" s="70" t="s">
        <v>57</v>
      </c>
      <c r="E25" s="12">
        <v>44557</v>
      </c>
      <c r="F25" s="68" t="s">
        <v>59</v>
      </c>
      <c r="G25" s="12">
        <v>44562</v>
      </c>
      <c r="H25" s="69" t="s">
        <v>5275</v>
      </c>
      <c r="I25" s="15">
        <v>57</v>
      </c>
      <c r="J25" s="15">
        <v>51</v>
      </c>
      <c r="K25" s="15">
        <v>14</v>
      </c>
      <c r="L25" s="15">
        <v>4</v>
      </c>
      <c r="M25" s="73">
        <v>10.1745</v>
      </c>
      <c r="N25" s="104">
        <v>10.1745</v>
      </c>
      <c r="O25" s="57">
        <v>7000</v>
      </c>
      <c r="P25" s="58">
        <f t="shared" si="0"/>
        <v>71221.5</v>
      </c>
    </row>
    <row r="26" spans="1:16" ht="26.25" customHeight="1" x14ac:dyDescent="0.2">
      <c r="A26" s="100"/>
      <c r="B26" s="100"/>
      <c r="C26" s="65" t="s">
        <v>5314</v>
      </c>
      <c r="D26" s="70" t="s">
        <v>57</v>
      </c>
      <c r="E26" s="12">
        <v>44557</v>
      </c>
      <c r="F26" s="68" t="s">
        <v>59</v>
      </c>
      <c r="G26" s="12">
        <v>44562</v>
      </c>
      <c r="H26" s="69" t="s">
        <v>5275</v>
      </c>
      <c r="I26" s="15">
        <v>92</v>
      </c>
      <c r="J26" s="15">
        <v>56</v>
      </c>
      <c r="K26" s="15">
        <v>41</v>
      </c>
      <c r="L26" s="15">
        <v>22</v>
      </c>
      <c r="M26" s="73">
        <v>52.808</v>
      </c>
      <c r="N26" s="104">
        <v>52.808</v>
      </c>
      <c r="O26" s="57">
        <v>7000</v>
      </c>
      <c r="P26" s="58">
        <f t="shared" si="0"/>
        <v>369656</v>
      </c>
    </row>
    <row r="27" spans="1:16" ht="26.25" customHeight="1" x14ac:dyDescent="0.2">
      <c r="A27" s="100"/>
      <c r="B27" s="100"/>
      <c r="C27" s="65" t="s">
        <v>5315</v>
      </c>
      <c r="D27" s="70" t="s">
        <v>57</v>
      </c>
      <c r="E27" s="12">
        <v>44557</v>
      </c>
      <c r="F27" s="68" t="s">
        <v>59</v>
      </c>
      <c r="G27" s="12">
        <v>44562</v>
      </c>
      <c r="H27" s="69" t="s">
        <v>5275</v>
      </c>
      <c r="I27" s="15">
        <v>78</v>
      </c>
      <c r="J27" s="15">
        <v>62</v>
      </c>
      <c r="K27" s="15">
        <v>22</v>
      </c>
      <c r="L27" s="15">
        <v>13</v>
      </c>
      <c r="M27" s="73">
        <v>26.597999999999999</v>
      </c>
      <c r="N27" s="104">
        <v>26.597999999999999</v>
      </c>
      <c r="O27" s="57">
        <v>7000</v>
      </c>
      <c r="P27" s="58">
        <f t="shared" si="0"/>
        <v>186186</v>
      </c>
    </row>
    <row r="28" spans="1:16" ht="26.25" customHeight="1" x14ac:dyDescent="0.2">
      <c r="A28" s="100"/>
      <c r="B28" s="100"/>
      <c r="C28" s="65" t="s">
        <v>5316</v>
      </c>
      <c r="D28" s="70" t="s">
        <v>57</v>
      </c>
      <c r="E28" s="12">
        <v>44557</v>
      </c>
      <c r="F28" s="68" t="s">
        <v>59</v>
      </c>
      <c r="G28" s="12">
        <v>44562</v>
      </c>
      <c r="H28" s="69" t="s">
        <v>5275</v>
      </c>
      <c r="I28" s="15">
        <v>82</v>
      </c>
      <c r="J28" s="15">
        <v>80</v>
      </c>
      <c r="K28" s="15">
        <v>13</v>
      </c>
      <c r="L28" s="15">
        <v>5</v>
      </c>
      <c r="M28" s="73">
        <v>21.32</v>
      </c>
      <c r="N28" s="104">
        <v>22</v>
      </c>
      <c r="O28" s="57">
        <v>7000</v>
      </c>
      <c r="P28" s="58">
        <f t="shared" si="0"/>
        <v>154000</v>
      </c>
    </row>
    <row r="29" spans="1:16" ht="26.25" customHeight="1" x14ac:dyDescent="0.2">
      <c r="A29" s="100"/>
      <c r="B29" s="100"/>
      <c r="C29" s="65" t="s">
        <v>5317</v>
      </c>
      <c r="D29" s="70" t="s">
        <v>57</v>
      </c>
      <c r="E29" s="12">
        <v>44557</v>
      </c>
      <c r="F29" s="68" t="s">
        <v>59</v>
      </c>
      <c r="G29" s="12">
        <v>44562</v>
      </c>
      <c r="H29" s="69" t="s">
        <v>5275</v>
      </c>
      <c r="I29" s="15">
        <v>72</v>
      </c>
      <c r="J29" s="15">
        <v>47</v>
      </c>
      <c r="K29" s="15">
        <v>44</v>
      </c>
      <c r="L29" s="15">
        <v>15</v>
      </c>
      <c r="M29" s="73">
        <v>37.223999999999997</v>
      </c>
      <c r="N29" s="104">
        <v>37.223999999999997</v>
      </c>
      <c r="O29" s="57">
        <v>7000</v>
      </c>
      <c r="P29" s="58">
        <f t="shared" si="0"/>
        <v>260567.99999999997</v>
      </c>
    </row>
    <row r="30" spans="1:16" ht="26.25" customHeight="1" x14ac:dyDescent="0.2">
      <c r="A30" s="100"/>
      <c r="B30" s="100"/>
      <c r="C30" s="65" t="s">
        <v>5318</v>
      </c>
      <c r="D30" s="70" t="s">
        <v>57</v>
      </c>
      <c r="E30" s="12">
        <v>44557</v>
      </c>
      <c r="F30" s="68" t="s">
        <v>59</v>
      </c>
      <c r="G30" s="12">
        <v>44562</v>
      </c>
      <c r="H30" s="69" t="s">
        <v>5275</v>
      </c>
      <c r="I30" s="15">
        <v>92</v>
      </c>
      <c r="J30" s="15">
        <v>51</v>
      </c>
      <c r="K30" s="15">
        <v>35</v>
      </c>
      <c r="L30" s="15">
        <v>21</v>
      </c>
      <c r="M30" s="73">
        <v>41.055</v>
      </c>
      <c r="N30" s="104">
        <v>41.055</v>
      </c>
      <c r="O30" s="57">
        <v>7000</v>
      </c>
      <c r="P30" s="58">
        <f t="shared" si="0"/>
        <v>287385</v>
      </c>
    </row>
    <row r="31" spans="1:16" ht="26.25" customHeight="1" x14ac:dyDescent="0.2">
      <c r="A31" s="100"/>
      <c r="B31" s="100"/>
      <c r="C31" s="65" t="s">
        <v>5319</v>
      </c>
      <c r="D31" s="70" t="s">
        <v>57</v>
      </c>
      <c r="E31" s="12">
        <v>44557</v>
      </c>
      <c r="F31" s="68" t="s">
        <v>59</v>
      </c>
      <c r="G31" s="12">
        <v>44562</v>
      </c>
      <c r="H31" s="69" t="s">
        <v>5275</v>
      </c>
      <c r="I31" s="15">
        <v>60</v>
      </c>
      <c r="J31" s="15">
        <v>34</v>
      </c>
      <c r="K31" s="15">
        <v>27</v>
      </c>
      <c r="L31" s="15">
        <v>5</v>
      </c>
      <c r="M31" s="73">
        <v>13.77</v>
      </c>
      <c r="N31" s="104">
        <v>13.77</v>
      </c>
      <c r="O31" s="57">
        <v>7000</v>
      </c>
      <c r="P31" s="58">
        <f t="shared" si="0"/>
        <v>96390</v>
      </c>
    </row>
    <row r="32" spans="1:16" ht="26.25" customHeight="1" x14ac:dyDescent="0.2">
      <c r="A32" s="100"/>
      <c r="B32" s="101"/>
      <c r="C32" s="65" t="s">
        <v>5320</v>
      </c>
      <c r="D32" s="70" t="s">
        <v>57</v>
      </c>
      <c r="E32" s="12">
        <v>44557</v>
      </c>
      <c r="F32" s="68" t="s">
        <v>59</v>
      </c>
      <c r="G32" s="12">
        <v>44562</v>
      </c>
      <c r="H32" s="69" t="s">
        <v>5275</v>
      </c>
      <c r="I32" s="15">
        <v>95</v>
      </c>
      <c r="J32" s="15">
        <v>56</v>
      </c>
      <c r="K32" s="15">
        <v>43</v>
      </c>
      <c r="L32" s="15">
        <v>23</v>
      </c>
      <c r="M32" s="73">
        <v>57.19</v>
      </c>
      <c r="N32" s="104">
        <v>57.19</v>
      </c>
      <c r="O32" s="57">
        <v>7000</v>
      </c>
      <c r="P32" s="58">
        <f t="shared" si="0"/>
        <v>400330</v>
      </c>
    </row>
    <row r="33" spans="1:16" ht="26.25" customHeight="1" x14ac:dyDescent="0.2">
      <c r="A33" s="100"/>
      <c r="B33" s="100" t="s">
        <v>5321</v>
      </c>
      <c r="C33" s="65" t="s">
        <v>5322</v>
      </c>
      <c r="D33" s="70" t="s">
        <v>57</v>
      </c>
      <c r="E33" s="12">
        <v>44557</v>
      </c>
      <c r="F33" s="68" t="s">
        <v>59</v>
      </c>
      <c r="G33" s="12">
        <v>44562</v>
      </c>
      <c r="H33" s="69" t="s">
        <v>5275</v>
      </c>
      <c r="I33" s="15">
        <v>124</v>
      </c>
      <c r="J33" s="15">
        <v>10</v>
      </c>
      <c r="K33" s="15">
        <v>10</v>
      </c>
      <c r="L33" s="15">
        <v>1</v>
      </c>
      <c r="M33" s="73">
        <v>3.1</v>
      </c>
      <c r="N33" s="104">
        <v>3.1</v>
      </c>
      <c r="O33" s="57">
        <v>7000</v>
      </c>
      <c r="P33" s="58">
        <f t="shared" si="0"/>
        <v>21700</v>
      </c>
    </row>
    <row r="34" spans="1:16" ht="26.25" customHeight="1" x14ac:dyDescent="0.2">
      <c r="A34" s="100"/>
      <c r="B34" s="101"/>
      <c r="C34" s="65" t="s">
        <v>5323</v>
      </c>
      <c r="D34" s="70" t="s">
        <v>57</v>
      </c>
      <c r="E34" s="12">
        <v>44557</v>
      </c>
      <c r="F34" s="68" t="s">
        <v>59</v>
      </c>
      <c r="G34" s="12">
        <v>44562</v>
      </c>
      <c r="H34" s="69" t="s">
        <v>5275</v>
      </c>
      <c r="I34" s="15">
        <v>124</v>
      </c>
      <c r="J34" s="15">
        <v>10</v>
      </c>
      <c r="K34" s="15">
        <v>10</v>
      </c>
      <c r="L34" s="15">
        <v>1</v>
      </c>
      <c r="M34" s="73">
        <v>3.1</v>
      </c>
      <c r="N34" s="104">
        <v>3.1</v>
      </c>
      <c r="O34" s="57">
        <v>7000</v>
      </c>
      <c r="P34" s="58">
        <f t="shared" si="0"/>
        <v>21700</v>
      </c>
    </row>
    <row r="35" spans="1:16" ht="26.25" customHeight="1" x14ac:dyDescent="0.2">
      <c r="A35" s="100"/>
      <c r="B35" s="100" t="s">
        <v>5324</v>
      </c>
      <c r="C35" s="65" t="s">
        <v>5325</v>
      </c>
      <c r="D35" s="70" t="s">
        <v>57</v>
      </c>
      <c r="E35" s="12">
        <v>44557</v>
      </c>
      <c r="F35" s="68" t="s">
        <v>59</v>
      </c>
      <c r="G35" s="12">
        <v>44562</v>
      </c>
      <c r="H35" s="69" t="s">
        <v>5275</v>
      </c>
      <c r="I35" s="15">
        <v>68</v>
      </c>
      <c r="J35" s="15">
        <v>56</v>
      </c>
      <c r="K35" s="15">
        <v>28</v>
      </c>
      <c r="L35" s="15">
        <v>14</v>
      </c>
      <c r="M35" s="73">
        <v>26.655999999999999</v>
      </c>
      <c r="N35" s="104">
        <v>26.655999999999999</v>
      </c>
      <c r="O35" s="57">
        <v>7000</v>
      </c>
      <c r="P35" s="58">
        <f t="shared" si="0"/>
        <v>186592</v>
      </c>
    </row>
    <row r="36" spans="1:16" ht="26.25" customHeight="1" x14ac:dyDescent="0.2">
      <c r="A36" s="100"/>
      <c r="B36" s="100"/>
      <c r="C36" s="65" t="s">
        <v>5326</v>
      </c>
      <c r="D36" s="70" t="s">
        <v>57</v>
      </c>
      <c r="E36" s="12">
        <v>44557</v>
      </c>
      <c r="F36" s="68" t="s">
        <v>59</v>
      </c>
      <c r="G36" s="12">
        <v>44562</v>
      </c>
      <c r="H36" s="69" t="s">
        <v>5275</v>
      </c>
      <c r="I36" s="15">
        <v>34</v>
      </c>
      <c r="J36" s="15">
        <v>32</v>
      </c>
      <c r="K36" s="15">
        <v>26</v>
      </c>
      <c r="L36" s="15">
        <v>6</v>
      </c>
      <c r="M36" s="73">
        <v>7.0720000000000001</v>
      </c>
      <c r="N36" s="104">
        <v>7.0720000000000001</v>
      </c>
      <c r="O36" s="57">
        <v>7000</v>
      </c>
      <c r="P36" s="58">
        <f t="shared" si="0"/>
        <v>49504</v>
      </c>
    </row>
    <row r="37" spans="1:16" ht="26.25" customHeight="1" x14ac:dyDescent="0.2">
      <c r="A37" s="100"/>
      <c r="B37" s="100"/>
      <c r="C37" s="65" t="s">
        <v>5327</v>
      </c>
      <c r="D37" s="70" t="s">
        <v>57</v>
      </c>
      <c r="E37" s="12">
        <v>44557</v>
      </c>
      <c r="F37" s="68" t="s">
        <v>59</v>
      </c>
      <c r="G37" s="12">
        <v>44562</v>
      </c>
      <c r="H37" s="69" t="s">
        <v>5275</v>
      </c>
      <c r="I37" s="15">
        <v>26</v>
      </c>
      <c r="J37" s="15">
        <v>21</v>
      </c>
      <c r="K37" s="15">
        <v>7</v>
      </c>
      <c r="L37" s="15">
        <v>1</v>
      </c>
      <c r="M37" s="73">
        <v>0.95550000000000002</v>
      </c>
      <c r="N37" s="104">
        <v>1</v>
      </c>
      <c r="O37" s="57">
        <v>7000</v>
      </c>
      <c r="P37" s="58">
        <f t="shared" si="0"/>
        <v>7000</v>
      </c>
    </row>
    <row r="38" spans="1:16" ht="26.25" customHeight="1" x14ac:dyDescent="0.2">
      <c r="A38" s="100"/>
      <c r="B38" s="100"/>
      <c r="C38" s="65" t="s">
        <v>5328</v>
      </c>
      <c r="D38" s="70" t="s">
        <v>57</v>
      </c>
      <c r="E38" s="12">
        <v>44557</v>
      </c>
      <c r="F38" s="68" t="s">
        <v>59</v>
      </c>
      <c r="G38" s="12">
        <v>44562</v>
      </c>
      <c r="H38" s="69" t="s">
        <v>5275</v>
      </c>
      <c r="I38" s="15">
        <v>30</v>
      </c>
      <c r="J38" s="15">
        <v>30</v>
      </c>
      <c r="K38" s="15">
        <v>13</v>
      </c>
      <c r="L38" s="15">
        <v>2</v>
      </c>
      <c r="M38" s="73">
        <v>2.9249999999999998</v>
      </c>
      <c r="N38" s="104">
        <v>2.9249999999999998</v>
      </c>
      <c r="O38" s="57">
        <v>7000</v>
      </c>
      <c r="P38" s="58">
        <f t="shared" si="0"/>
        <v>20475</v>
      </c>
    </row>
    <row r="39" spans="1:16" ht="22.5" customHeight="1" x14ac:dyDescent="0.2">
      <c r="A39" s="159" t="s">
        <v>30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1"/>
      <c r="M39" s="71">
        <f>SUBTOTAL(109,Table224578910112345678910111213141516171819202122232425262728293031323334353738394041424344454647484950515253545556575859606162636465666768697071727374757677787980818283848586[KG VOLUME])</f>
        <v>876.5569999999999</v>
      </c>
      <c r="N39" s="61">
        <f>SUM(N3:N38)</f>
        <v>884.19749999999988</v>
      </c>
      <c r="O39" s="162">
        <f>SUM(P3:P38)</f>
        <v>6189382.5</v>
      </c>
      <c r="P39" s="163"/>
    </row>
    <row r="40" spans="1:16" ht="18" customHeight="1" x14ac:dyDescent="0.2">
      <c r="A40" s="78"/>
      <c r="B40" s="49" t="s">
        <v>42</v>
      </c>
      <c r="C40" s="48"/>
      <c r="D40" s="50" t="s">
        <v>43</v>
      </c>
      <c r="E40" s="78"/>
      <c r="F40" s="78"/>
      <c r="G40" s="78"/>
      <c r="H40" s="78"/>
      <c r="I40" s="78"/>
      <c r="J40" s="78"/>
      <c r="K40" s="78"/>
      <c r="L40" s="78"/>
      <c r="M40" s="79"/>
      <c r="N40" s="80" t="s">
        <v>52</v>
      </c>
      <c r="O40" s="81"/>
      <c r="P40" s="81">
        <v>0</v>
      </c>
    </row>
    <row r="41" spans="1:16" ht="18" customHeight="1" thickBot="1" x14ac:dyDescent="0.25">
      <c r="A41" s="78"/>
      <c r="B41" s="49"/>
      <c r="C41" s="48"/>
      <c r="D41" s="50"/>
      <c r="E41" s="78"/>
      <c r="F41" s="78"/>
      <c r="G41" s="78"/>
      <c r="H41" s="78"/>
      <c r="I41" s="78"/>
      <c r="J41" s="78"/>
      <c r="K41" s="78"/>
      <c r="L41" s="78"/>
      <c r="M41" s="79"/>
      <c r="N41" s="82" t="s">
        <v>53</v>
      </c>
      <c r="O41" s="83"/>
      <c r="P41" s="83">
        <f>O39-P40</f>
        <v>6189382.5</v>
      </c>
    </row>
    <row r="42" spans="1:16" ht="18" customHeight="1" x14ac:dyDescent="0.2">
      <c r="A42" s="10"/>
      <c r="H42" s="56"/>
      <c r="N42" s="55" t="s">
        <v>31</v>
      </c>
      <c r="P42" s="62">
        <f>P41*1%</f>
        <v>61893.825000000004</v>
      </c>
    </row>
    <row r="43" spans="1:16" ht="18" customHeight="1" thickBot="1" x14ac:dyDescent="0.25">
      <c r="A43" s="10"/>
      <c r="H43" s="56"/>
      <c r="N43" s="55" t="s">
        <v>54</v>
      </c>
      <c r="P43" s="64">
        <f>P41*2%</f>
        <v>123787.65000000001</v>
      </c>
    </row>
    <row r="44" spans="1:16" ht="18" customHeight="1" x14ac:dyDescent="0.2">
      <c r="A44" s="10"/>
      <c r="H44" s="56"/>
      <c r="N44" s="59" t="s">
        <v>32</v>
      </c>
      <c r="O44" s="60"/>
      <c r="P44" s="63">
        <f>P41+P42-P43</f>
        <v>6127488.6749999998</v>
      </c>
    </row>
    <row r="46" spans="1:16" x14ac:dyDescent="0.2">
      <c r="A46" s="10"/>
      <c r="H46" s="56"/>
      <c r="P46" s="64"/>
    </row>
    <row r="47" spans="1:16" x14ac:dyDescent="0.2">
      <c r="A47" s="10"/>
      <c r="H47" s="56"/>
      <c r="O47" s="51"/>
      <c r="P47" s="6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</sheetData>
  <mergeCells count="2">
    <mergeCell ref="A39:L39"/>
    <mergeCell ref="O39:P39"/>
  </mergeCells>
  <conditionalFormatting sqref="C3:C38">
    <cfRule type="duplicateValues" dxfId="23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8"/>
  <sheetViews>
    <sheetView topLeftCell="A34" workbookViewId="0">
      <selection activeCell="N37" sqref="N3:N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406132</v>
      </c>
      <c r="B3" s="99" t="s">
        <v>5329</v>
      </c>
      <c r="C3" s="90" t="s">
        <v>5330</v>
      </c>
      <c r="D3" s="102" t="s">
        <v>57</v>
      </c>
      <c r="E3" s="91">
        <v>44558</v>
      </c>
      <c r="F3" s="102" t="s">
        <v>59</v>
      </c>
      <c r="G3" s="91">
        <v>44562</v>
      </c>
      <c r="H3" s="90" t="s">
        <v>5275</v>
      </c>
      <c r="I3" s="90">
        <v>70</v>
      </c>
      <c r="J3" s="90">
        <v>60</v>
      </c>
      <c r="K3" s="90">
        <v>35</v>
      </c>
      <c r="L3" s="90">
        <v>20</v>
      </c>
      <c r="M3" s="90">
        <v>36.75</v>
      </c>
      <c r="N3" s="104">
        <v>36.75</v>
      </c>
      <c r="O3" s="57">
        <v>7000</v>
      </c>
      <c r="P3" s="58">
        <f t="shared" ref="P3:P37" si="0">N3*O3</f>
        <v>257250</v>
      </c>
    </row>
    <row r="4" spans="1:16" ht="26.25" customHeight="1" x14ac:dyDescent="0.2">
      <c r="A4" s="100"/>
      <c r="B4" s="100"/>
      <c r="C4" s="90" t="s">
        <v>5331</v>
      </c>
      <c r="D4" s="102" t="s">
        <v>57</v>
      </c>
      <c r="E4" s="91">
        <v>44558</v>
      </c>
      <c r="F4" s="102" t="s">
        <v>59</v>
      </c>
      <c r="G4" s="91">
        <v>44562</v>
      </c>
      <c r="H4" s="90" t="s">
        <v>5275</v>
      </c>
      <c r="I4" s="90">
        <v>80</v>
      </c>
      <c r="J4" s="90">
        <v>60</v>
      </c>
      <c r="K4" s="90">
        <v>28</v>
      </c>
      <c r="L4" s="90">
        <v>22</v>
      </c>
      <c r="M4" s="90">
        <v>33.6</v>
      </c>
      <c r="N4" s="104">
        <v>33.6</v>
      </c>
      <c r="O4" s="57">
        <v>7000</v>
      </c>
      <c r="P4" s="58">
        <f t="shared" si="0"/>
        <v>235200</v>
      </c>
    </row>
    <row r="5" spans="1:16" ht="26.25" customHeight="1" x14ac:dyDescent="0.2">
      <c r="A5" s="100"/>
      <c r="B5" s="100"/>
      <c r="C5" s="90" t="s">
        <v>5332</v>
      </c>
      <c r="D5" s="102" t="s">
        <v>57</v>
      </c>
      <c r="E5" s="91">
        <v>44558</v>
      </c>
      <c r="F5" s="102" t="s">
        <v>59</v>
      </c>
      <c r="G5" s="91">
        <v>44562</v>
      </c>
      <c r="H5" s="90" t="s">
        <v>5275</v>
      </c>
      <c r="I5" s="90">
        <v>58</v>
      </c>
      <c r="J5" s="90">
        <v>48</v>
      </c>
      <c r="K5" s="90">
        <v>40</v>
      </c>
      <c r="L5" s="90">
        <v>20</v>
      </c>
      <c r="M5" s="90">
        <v>27.84</v>
      </c>
      <c r="N5" s="104">
        <v>27.84</v>
      </c>
      <c r="O5" s="57">
        <v>7000</v>
      </c>
      <c r="P5" s="58">
        <f t="shared" si="0"/>
        <v>194880</v>
      </c>
    </row>
    <row r="6" spans="1:16" ht="26.25" customHeight="1" x14ac:dyDescent="0.2">
      <c r="A6" s="100"/>
      <c r="B6" s="100"/>
      <c r="C6" s="90" t="s">
        <v>5333</v>
      </c>
      <c r="D6" s="102" t="s">
        <v>57</v>
      </c>
      <c r="E6" s="91">
        <v>44558</v>
      </c>
      <c r="F6" s="102" t="s">
        <v>59</v>
      </c>
      <c r="G6" s="91">
        <v>44562</v>
      </c>
      <c r="H6" s="90" t="s">
        <v>5275</v>
      </c>
      <c r="I6" s="90">
        <v>58</v>
      </c>
      <c r="J6" s="90">
        <v>35</v>
      </c>
      <c r="K6" s="90">
        <v>22</v>
      </c>
      <c r="L6" s="90">
        <v>3</v>
      </c>
      <c r="M6" s="90">
        <v>11.164999999999999</v>
      </c>
      <c r="N6" s="104">
        <v>11.164999999999999</v>
      </c>
      <c r="O6" s="57">
        <v>7000</v>
      </c>
      <c r="P6" s="58">
        <f t="shared" si="0"/>
        <v>78155</v>
      </c>
    </row>
    <row r="7" spans="1:16" ht="26.25" customHeight="1" x14ac:dyDescent="0.2">
      <c r="A7" s="100"/>
      <c r="B7" s="100"/>
      <c r="C7" s="65" t="s">
        <v>5334</v>
      </c>
      <c r="D7" s="70" t="s">
        <v>57</v>
      </c>
      <c r="E7" s="12">
        <v>44558</v>
      </c>
      <c r="F7" s="68" t="s">
        <v>59</v>
      </c>
      <c r="G7" s="12">
        <v>44562</v>
      </c>
      <c r="H7" s="69" t="s">
        <v>5275</v>
      </c>
      <c r="I7" s="15">
        <v>89</v>
      </c>
      <c r="J7" s="15">
        <v>62</v>
      </c>
      <c r="K7" s="15">
        <v>26</v>
      </c>
      <c r="L7" s="15">
        <v>9</v>
      </c>
      <c r="M7" s="73">
        <v>35.866999999999997</v>
      </c>
      <c r="N7" s="104">
        <v>35.866999999999997</v>
      </c>
      <c r="O7" s="57">
        <v>7000</v>
      </c>
      <c r="P7" s="58">
        <f t="shared" si="0"/>
        <v>251068.99999999997</v>
      </c>
    </row>
    <row r="8" spans="1:16" ht="26.25" customHeight="1" x14ac:dyDescent="0.2">
      <c r="A8" s="100"/>
      <c r="B8" s="100"/>
      <c r="C8" s="65" t="s">
        <v>5335</v>
      </c>
      <c r="D8" s="70" t="s">
        <v>57</v>
      </c>
      <c r="E8" s="12">
        <v>44558</v>
      </c>
      <c r="F8" s="68" t="s">
        <v>59</v>
      </c>
      <c r="G8" s="12">
        <v>44562</v>
      </c>
      <c r="H8" s="69" t="s">
        <v>5275</v>
      </c>
      <c r="I8" s="15">
        <v>69</v>
      </c>
      <c r="J8" s="15">
        <v>25</v>
      </c>
      <c r="K8" s="15">
        <v>22</v>
      </c>
      <c r="L8" s="15">
        <v>2</v>
      </c>
      <c r="M8" s="73">
        <v>9.4875000000000007</v>
      </c>
      <c r="N8" s="104">
        <v>10</v>
      </c>
      <c r="O8" s="57">
        <v>7000</v>
      </c>
      <c r="P8" s="58">
        <f t="shared" si="0"/>
        <v>70000</v>
      </c>
    </row>
    <row r="9" spans="1:16" ht="26.25" customHeight="1" x14ac:dyDescent="0.2">
      <c r="A9" s="100"/>
      <c r="B9" s="100"/>
      <c r="C9" s="65" t="s">
        <v>5336</v>
      </c>
      <c r="D9" s="70" t="s">
        <v>57</v>
      </c>
      <c r="E9" s="12">
        <v>44558</v>
      </c>
      <c r="F9" s="68" t="s">
        <v>59</v>
      </c>
      <c r="G9" s="12">
        <v>44562</v>
      </c>
      <c r="H9" s="69" t="s">
        <v>5275</v>
      </c>
      <c r="I9" s="15">
        <v>34</v>
      </c>
      <c r="J9" s="15">
        <v>23</v>
      </c>
      <c r="K9" s="15">
        <v>22</v>
      </c>
      <c r="L9" s="15">
        <v>4</v>
      </c>
      <c r="M9" s="73">
        <v>4.3010000000000002</v>
      </c>
      <c r="N9" s="104">
        <v>5</v>
      </c>
      <c r="O9" s="57">
        <v>7000</v>
      </c>
      <c r="P9" s="58">
        <f t="shared" si="0"/>
        <v>35000</v>
      </c>
    </row>
    <row r="10" spans="1:16" ht="26.25" customHeight="1" x14ac:dyDescent="0.2">
      <c r="A10" s="100"/>
      <c r="B10" s="100"/>
      <c r="C10" s="65" t="s">
        <v>5337</v>
      </c>
      <c r="D10" s="70" t="s">
        <v>57</v>
      </c>
      <c r="E10" s="12">
        <v>44558</v>
      </c>
      <c r="F10" s="68" t="s">
        <v>59</v>
      </c>
      <c r="G10" s="12">
        <v>44562</v>
      </c>
      <c r="H10" s="69" t="s">
        <v>5275</v>
      </c>
      <c r="I10" s="15">
        <v>75</v>
      </c>
      <c r="J10" s="15">
        <v>61</v>
      </c>
      <c r="K10" s="15">
        <v>15</v>
      </c>
      <c r="L10" s="15">
        <v>3</v>
      </c>
      <c r="M10" s="73">
        <v>17.15625</v>
      </c>
      <c r="N10" s="104">
        <v>17.15625</v>
      </c>
      <c r="O10" s="57">
        <v>7000</v>
      </c>
      <c r="P10" s="58">
        <f t="shared" si="0"/>
        <v>120093.75</v>
      </c>
    </row>
    <row r="11" spans="1:16" ht="26.25" customHeight="1" x14ac:dyDescent="0.2">
      <c r="A11" s="100"/>
      <c r="B11" s="100"/>
      <c r="C11" s="65" t="s">
        <v>5338</v>
      </c>
      <c r="D11" s="70" t="s">
        <v>57</v>
      </c>
      <c r="E11" s="12">
        <v>44558</v>
      </c>
      <c r="F11" s="68" t="s">
        <v>59</v>
      </c>
      <c r="G11" s="12">
        <v>44562</v>
      </c>
      <c r="H11" s="69" t="s">
        <v>5275</v>
      </c>
      <c r="I11" s="15">
        <v>76</v>
      </c>
      <c r="J11" s="15">
        <v>40</v>
      </c>
      <c r="K11" s="15">
        <v>11</v>
      </c>
      <c r="L11" s="15">
        <v>1</v>
      </c>
      <c r="M11" s="73">
        <v>8.36</v>
      </c>
      <c r="N11" s="104">
        <v>9</v>
      </c>
      <c r="O11" s="57">
        <v>7000</v>
      </c>
      <c r="P11" s="58">
        <f t="shared" si="0"/>
        <v>63000</v>
      </c>
    </row>
    <row r="12" spans="1:16" ht="26.25" customHeight="1" x14ac:dyDescent="0.2">
      <c r="A12" s="100"/>
      <c r="B12" s="100"/>
      <c r="C12" s="65" t="s">
        <v>5339</v>
      </c>
      <c r="D12" s="70" t="s">
        <v>57</v>
      </c>
      <c r="E12" s="12">
        <v>44558</v>
      </c>
      <c r="F12" s="68" t="s">
        <v>59</v>
      </c>
      <c r="G12" s="12">
        <v>44562</v>
      </c>
      <c r="H12" s="69" t="s">
        <v>5275</v>
      </c>
      <c r="I12" s="15">
        <v>90</v>
      </c>
      <c r="J12" s="15">
        <v>56</v>
      </c>
      <c r="K12" s="15">
        <v>32</v>
      </c>
      <c r="L12" s="15">
        <v>19</v>
      </c>
      <c r="M12" s="73">
        <v>40.32</v>
      </c>
      <c r="N12" s="104">
        <v>41</v>
      </c>
      <c r="O12" s="57">
        <v>7000</v>
      </c>
      <c r="P12" s="58">
        <f t="shared" si="0"/>
        <v>287000</v>
      </c>
    </row>
    <row r="13" spans="1:16" ht="26.25" customHeight="1" x14ac:dyDescent="0.2">
      <c r="A13" s="100"/>
      <c r="B13" s="100"/>
      <c r="C13" s="65" t="s">
        <v>5340</v>
      </c>
      <c r="D13" s="70" t="s">
        <v>57</v>
      </c>
      <c r="E13" s="12">
        <v>44558</v>
      </c>
      <c r="F13" s="68" t="s">
        <v>59</v>
      </c>
      <c r="G13" s="12">
        <v>44562</v>
      </c>
      <c r="H13" s="69" t="s">
        <v>5275</v>
      </c>
      <c r="I13" s="15">
        <v>87</v>
      </c>
      <c r="J13" s="15">
        <v>57</v>
      </c>
      <c r="K13" s="15">
        <v>17</v>
      </c>
      <c r="L13" s="15">
        <v>11</v>
      </c>
      <c r="M13" s="73">
        <v>21.075749999999999</v>
      </c>
      <c r="N13" s="104">
        <v>21.075749999999999</v>
      </c>
      <c r="O13" s="57">
        <v>7000</v>
      </c>
      <c r="P13" s="58">
        <f t="shared" si="0"/>
        <v>147530.25</v>
      </c>
    </row>
    <row r="14" spans="1:16" ht="26.25" customHeight="1" x14ac:dyDescent="0.2">
      <c r="A14" s="100"/>
      <c r="B14" s="100"/>
      <c r="C14" s="65" t="s">
        <v>5341</v>
      </c>
      <c r="D14" s="70" t="s">
        <v>57</v>
      </c>
      <c r="E14" s="12">
        <v>44558</v>
      </c>
      <c r="F14" s="68" t="s">
        <v>59</v>
      </c>
      <c r="G14" s="12">
        <v>44562</v>
      </c>
      <c r="H14" s="69" t="s">
        <v>5275</v>
      </c>
      <c r="I14" s="15">
        <v>32</v>
      </c>
      <c r="J14" s="15">
        <v>25</v>
      </c>
      <c r="K14" s="15">
        <v>15</v>
      </c>
      <c r="L14" s="15">
        <v>1</v>
      </c>
      <c r="M14" s="73">
        <v>3</v>
      </c>
      <c r="N14" s="104">
        <v>3</v>
      </c>
      <c r="O14" s="57">
        <v>7000</v>
      </c>
      <c r="P14" s="58">
        <f t="shared" si="0"/>
        <v>21000</v>
      </c>
    </row>
    <row r="15" spans="1:16" ht="26.25" customHeight="1" x14ac:dyDescent="0.2">
      <c r="A15" s="100"/>
      <c r="B15" s="100"/>
      <c r="C15" s="65" t="s">
        <v>5342</v>
      </c>
      <c r="D15" s="70" t="s">
        <v>57</v>
      </c>
      <c r="E15" s="12">
        <v>44558</v>
      </c>
      <c r="F15" s="68" t="s">
        <v>59</v>
      </c>
      <c r="G15" s="12">
        <v>44562</v>
      </c>
      <c r="H15" s="69" t="s">
        <v>5275</v>
      </c>
      <c r="I15" s="15">
        <v>74</v>
      </c>
      <c r="J15" s="15">
        <v>52</v>
      </c>
      <c r="K15" s="15">
        <v>25</v>
      </c>
      <c r="L15" s="15">
        <v>8</v>
      </c>
      <c r="M15" s="73">
        <v>24.05</v>
      </c>
      <c r="N15" s="104">
        <v>24.05</v>
      </c>
      <c r="O15" s="57">
        <v>7000</v>
      </c>
      <c r="P15" s="58">
        <f t="shared" si="0"/>
        <v>168350</v>
      </c>
    </row>
    <row r="16" spans="1:16" ht="26.25" customHeight="1" x14ac:dyDescent="0.2">
      <c r="A16" s="100"/>
      <c r="B16" s="100"/>
      <c r="C16" s="65" t="s">
        <v>5343</v>
      </c>
      <c r="D16" s="70" t="s">
        <v>57</v>
      </c>
      <c r="E16" s="12">
        <v>44558</v>
      </c>
      <c r="F16" s="68" t="s">
        <v>59</v>
      </c>
      <c r="G16" s="12">
        <v>44562</v>
      </c>
      <c r="H16" s="69" t="s">
        <v>5275</v>
      </c>
      <c r="I16" s="15">
        <v>81</v>
      </c>
      <c r="J16" s="15">
        <v>53</v>
      </c>
      <c r="K16" s="15">
        <v>22</v>
      </c>
      <c r="L16" s="15">
        <v>7</v>
      </c>
      <c r="M16" s="73">
        <v>23.611499999999999</v>
      </c>
      <c r="N16" s="104">
        <v>23.611499999999999</v>
      </c>
      <c r="O16" s="57">
        <v>7000</v>
      </c>
      <c r="P16" s="58">
        <f t="shared" si="0"/>
        <v>165280.5</v>
      </c>
    </row>
    <row r="17" spans="1:16" ht="26.25" customHeight="1" x14ac:dyDescent="0.2">
      <c r="A17" s="100"/>
      <c r="B17" s="100"/>
      <c r="C17" s="65" t="s">
        <v>5344</v>
      </c>
      <c r="D17" s="70" t="s">
        <v>57</v>
      </c>
      <c r="E17" s="12">
        <v>44558</v>
      </c>
      <c r="F17" s="68" t="s">
        <v>59</v>
      </c>
      <c r="G17" s="12">
        <v>44562</v>
      </c>
      <c r="H17" s="69" t="s">
        <v>5275</v>
      </c>
      <c r="I17" s="15">
        <v>54</v>
      </c>
      <c r="J17" s="15">
        <v>35</v>
      </c>
      <c r="K17" s="15">
        <v>22</v>
      </c>
      <c r="L17" s="15">
        <v>3</v>
      </c>
      <c r="M17" s="73">
        <v>10.395</v>
      </c>
      <c r="N17" s="104">
        <v>11</v>
      </c>
      <c r="O17" s="57">
        <v>7000</v>
      </c>
      <c r="P17" s="58">
        <f t="shared" si="0"/>
        <v>77000</v>
      </c>
    </row>
    <row r="18" spans="1:16" ht="26.25" customHeight="1" x14ac:dyDescent="0.2">
      <c r="A18" s="100"/>
      <c r="B18" s="100"/>
      <c r="C18" s="65" t="s">
        <v>5345</v>
      </c>
      <c r="D18" s="70" t="s">
        <v>57</v>
      </c>
      <c r="E18" s="12">
        <v>44558</v>
      </c>
      <c r="F18" s="68" t="s">
        <v>59</v>
      </c>
      <c r="G18" s="12">
        <v>44562</v>
      </c>
      <c r="H18" s="69" t="s">
        <v>5275</v>
      </c>
      <c r="I18" s="15">
        <v>80</v>
      </c>
      <c r="J18" s="15">
        <v>58</v>
      </c>
      <c r="K18" s="15">
        <v>32</v>
      </c>
      <c r="L18" s="15">
        <v>5</v>
      </c>
      <c r="M18" s="73">
        <v>37.119999999999997</v>
      </c>
      <c r="N18" s="104">
        <v>37.119999999999997</v>
      </c>
      <c r="O18" s="57">
        <v>7000</v>
      </c>
      <c r="P18" s="58">
        <f t="shared" si="0"/>
        <v>259839.99999999997</v>
      </c>
    </row>
    <row r="19" spans="1:16" ht="26.25" customHeight="1" x14ac:dyDescent="0.2">
      <c r="A19" s="100"/>
      <c r="B19" s="100"/>
      <c r="C19" s="65" t="s">
        <v>5346</v>
      </c>
      <c r="D19" s="70" t="s">
        <v>57</v>
      </c>
      <c r="E19" s="12">
        <v>44558</v>
      </c>
      <c r="F19" s="68" t="s">
        <v>59</v>
      </c>
      <c r="G19" s="12">
        <v>44562</v>
      </c>
      <c r="H19" s="69" t="s">
        <v>5275</v>
      </c>
      <c r="I19" s="15">
        <v>65</v>
      </c>
      <c r="J19" s="15">
        <v>45</v>
      </c>
      <c r="K19" s="15">
        <v>25</v>
      </c>
      <c r="L19" s="15">
        <v>7</v>
      </c>
      <c r="M19" s="73">
        <v>18.28125</v>
      </c>
      <c r="N19" s="104">
        <v>18.28125</v>
      </c>
      <c r="O19" s="57">
        <v>7000</v>
      </c>
      <c r="P19" s="58">
        <f t="shared" si="0"/>
        <v>127968.75</v>
      </c>
    </row>
    <row r="20" spans="1:16" ht="26.25" customHeight="1" x14ac:dyDescent="0.2">
      <c r="A20" s="100"/>
      <c r="B20" s="100"/>
      <c r="C20" s="65" t="s">
        <v>5347</v>
      </c>
      <c r="D20" s="70" t="s">
        <v>57</v>
      </c>
      <c r="E20" s="12">
        <v>44558</v>
      </c>
      <c r="F20" s="68" t="s">
        <v>59</v>
      </c>
      <c r="G20" s="12">
        <v>44562</v>
      </c>
      <c r="H20" s="69" t="s">
        <v>5275</v>
      </c>
      <c r="I20" s="15">
        <v>82</v>
      </c>
      <c r="J20" s="15">
        <v>54</v>
      </c>
      <c r="K20" s="15">
        <v>27</v>
      </c>
      <c r="L20" s="15">
        <v>21</v>
      </c>
      <c r="M20" s="73">
        <v>29.888999999999999</v>
      </c>
      <c r="N20" s="104">
        <v>29.888999999999999</v>
      </c>
      <c r="O20" s="57">
        <v>7000</v>
      </c>
      <c r="P20" s="58">
        <f t="shared" si="0"/>
        <v>209223</v>
      </c>
    </row>
    <row r="21" spans="1:16" ht="26.25" customHeight="1" x14ac:dyDescent="0.2">
      <c r="A21" s="100"/>
      <c r="B21" s="100"/>
      <c r="C21" s="65" t="s">
        <v>5348</v>
      </c>
      <c r="D21" s="70" t="s">
        <v>57</v>
      </c>
      <c r="E21" s="12">
        <v>44558</v>
      </c>
      <c r="F21" s="68" t="s">
        <v>59</v>
      </c>
      <c r="G21" s="12">
        <v>44562</v>
      </c>
      <c r="H21" s="69" t="s">
        <v>5275</v>
      </c>
      <c r="I21" s="15">
        <v>40</v>
      </c>
      <c r="J21" s="15">
        <v>40</v>
      </c>
      <c r="K21" s="15">
        <v>40</v>
      </c>
      <c r="L21" s="15">
        <v>19</v>
      </c>
      <c r="M21" s="73">
        <v>16</v>
      </c>
      <c r="N21" s="104">
        <v>19</v>
      </c>
      <c r="O21" s="57">
        <v>7000</v>
      </c>
      <c r="P21" s="58">
        <f t="shared" si="0"/>
        <v>133000</v>
      </c>
    </row>
    <row r="22" spans="1:16" ht="26.25" customHeight="1" x14ac:dyDescent="0.2">
      <c r="A22" s="100"/>
      <c r="B22" s="100"/>
      <c r="C22" s="65" t="s">
        <v>5349</v>
      </c>
      <c r="D22" s="70" t="s">
        <v>57</v>
      </c>
      <c r="E22" s="12">
        <v>44558</v>
      </c>
      <c r="F22" s="68" t="s">
        <v>59</v>
      </c>
      <c r="G22" s="12">
        <v>44562</v>
      </c>
      <c r="H22" s="69" t="s">
        <v>5275</v>
      </c>
      <c r="I22" s="15">
        <v>35</v>
      </c>
      <c r="J22" s="15">
        <v>25</v>
      </c>
      <c r="K22" s="15">
        <v>11</v>
      </c>
      <c r="L22" s="15">
        <v>1</v>
      </c>
      <c r="M22" s="73">
        <v>2.40625</v>
      </c>
      <c r="N22" s="104">
        <v>3</v>
      </c>
      <c r="O22" s="57">
        <v>7000</v>
      </c>
      <c r="P22" s="58">
        <f t="shared" si="0"/>
        <v>21000</v>
      </c>
    </row>
    <row r="23" spans="1:16" ht="26.25" customHeight="1" x14ac:dyDescent="0.2">
      <c r="A23" s="100"/>
      <c r="B23" s="100"/>
      <c r="C23" s="65" t="s">
        <v>5350</v>
      </c>
      <c r="D23" s="70" t="s">
        <v>57</v>
      </c>
      <c r="E23" s="12">
        <v>44558</v>
      </c>
      <c r="F23" s="68" t="s">
        <v>59</v>
      </c>
      <c r="G23" s="12">
        <v>44562</v>
      </c>
      <c r="H23" s="69" t="s">
        <v>5275</v>
      </c>
      <c r="I23" s="15">
        <v>15</v>
      </c>
      <c r="J23" s="15">
        <v>10</v>
      </c>
      <c r="K23" s="15">
        <v>8</v>
      </c>
      <c r="L23" s="15">
        <v>1</v>
      </c>
      <c r="M23" s="73">
        <v>0.3</v>
      </c>
      <c r="N23" s="104">
        <v>2</v>
      </c>
      <c r="O23" s="57">
        <v>7000</v>
      </c>
      <c r="P23" s="58">
        <f t="shared" si="0"/>
        <v>14000</v>
      </c>
    </row>
    <row r="24" spans="1:16" ht="26.25" customHeight="1" x14ac:dyDescent="0.2">
      <c r="A24" s="100"/>
      <c r="B24" s="100"/>
      <c r="C24" s="65" t="s">
        <v>5351</v>
      </c>
      <c r="D24" s="70" t="s">
        <v>57</v>
      </c>
      <c r="E24" s="12">
        <v>44558</v>
      </c>
      <c r="F24" s="68" t="s">
        <v>59</v>
      </c>
      <c r="G24" s="12">
        <v>44562</v>
      </c>
      <c r="H24" s="69" t="s">
        <v>5275</v>
      </c>
      <c r="I24" s="15">
        <v>74</v>
      </c>
      <c r="J24" s="15">
        <v>50</v>
      </c>
      <c r="K24" s="15">
        <v>32</v>
      </c>
      <c r="L24" s="15">
        <v>6</v>
      </c>
      <c r="M24" s="73">
        <v>29.6</v>
      </c>
      <c r="N24" s="104">
        <v>29.6</v>
      </c>
      <c r="O24" s="57">
        <v>7000</v>
      </c>
      <c r="P24" s="58">
        <f t="shared" si="0"/>
        <v>207200</v>
      </c>
    </row>
    <row r="25" spans="1:16" ht="26.25" customHeight="1" x14ac:dyDescent="0.2">
      <c r="A25" s="100"/>
      <c r="B25" s="100"/>
      <c r="C25" s="65" t="s">
        <v>5352</v>
      </c>
      <c r="D25" s="70" t="s">
        <v>57</v>
      </c>
      <c r="E25" s="12">
        <v>44558</v>
      </c>
      <c r="F25" s="68" t="s">
        <v>59</v>
      </c>
      <c r="G25" s="12">
        <v>44562</v>
      </c>
      <c r="H25" s="69" t="s">
        <v>5275</v>
      </c>
      <c r="I25" s="15">
        <v>46</v>
      </c>
      <c r="J25" s="15">
        <v>30</v>
      </c>
      <c r="K25" s="15">
        <v>12</v>
      </c>
      <c r="L25" s="15">
        <v>5</v>
      </c>
      <c r="M25" s="73">
        <v>4.1399999999999997</v>
      </c>
      <c r="N25" s="104">
        <v>5</v>
      </c>
      <c r="O25" s="57">
        <v>7000</v>
      </c>
      <c r="P25" s="58">
        <f t="shared" si="0"/>
        <v>35000</v>
      </c>
    </row>
    <row r="26" spans="1:16" ht="26.25" customHeight="1" x14ac:dyDescent="0.2">
      <c r="A26" s="100"/>
      <c r="B26" s="100"/>
      <c r="C26" s="65" t="s">
        <v>5353</v>
      </c>
      <c r="D26" s="70" t="s">
        <v>57</v>
      </c>
      <c r="E26" s="12">
        <v>44558</v>
      </c>
      <c r="F26" s="68" t="s">
        <v>59</v>
      </c>
      <c r="G26" s="12">
        <v>44562</v>
      </c>
      <c r="H26" s="69" t="s">
        <v>5275</v>
      </c>
      <c r="I26" s="15">
        <v>52</v>
      </c>
      <c r="J26" s="15">
        <v>32</v>
      </c>
      <c r="K26" s="15">
        <v>14</v>
      </c>
      <c r="L26" s="15">
        <v>5</v>
      </c>
      <c r="M26" s="73">
        <v>5.8239999999999998</v>
      </c>
      <c r="N26" s="104">
        <v>5.8239999999999998</v>
      </c>
      <c r="O26" s="57">
        <v>7000</v>
      </c>
      <c r="P26" s="58">
        <f t="shared" si="0"/>
        <v>40768</v>
      </c>
    </row>
    <row r="27" spans="1:16" ht="26.25" customHeight="1" x14ac:dyDescent="0.2">
      <c r="A27" s="100"/>
      <c r="B27" s="100"/>
      <c r="C27" s="65" t="s">
        <v>5354</v>
      </c>
      <c r="D27" s="70" t="s">
        <v>57</v>
      </c>
      <c r="E27" s="12">
        <v>44558</v>
      </c>
      <c r="F27" s="68" t="s">
        <v>59</v>
      </c>
      <c r="G27" s="12">
        <v>44562</v>
      </c>
      <c r="H27" s="69" t="s">
        <v>5275</v>
      </c>
      <c r="I27" s="15">
        <v>78</v>
      </c>
      <c r="J27" s="15">
        <v>56</v>
      </c>
      <c r="K27" s="15">
        <v>22</v>
      </c>
      <c r="L27" s="15">
        <v>5</v>
      </c>
      <c r="M27" s="73">
        <v>24.024000000000001</v>
      </c>
      <c r="N27" s="104">
        <v>24.024000000000001</v>
      </c>
      <c r="O27" s="57">
        <v>7000</v>
      </c>
      <c r="P27" s="58">
        <f t="shared" si="0"/>
        <v>168168</v>
      </c>
    </row>
    <row r="28" spans="1:16" ht="26.25" customHeight="1" x14ac:dyDescent="0.2">
      <c r="A28" s="100"/>
      <c r="B28" s="100"/>
      <c r="C28" s="65" t="s">
        <v>5355</v>
      </c>
      <c r="D28" s="70" t="s">
        <v>57</v>
      </c>
      <c r="E28" s="12">
        <v>44558</v>
      </c>
      <c r="F28" s="68" t="s">
        <v>59</v>
      </c>
      <c r="G28" s="12">
        <v>44562</v>
      </c>
      <c r="H28" s="69" t="s">
        <v>5275</v>
      </c>
      <c r="I28" s="15">
        <v>45</v>
      </c>
      <c r="J28" s="15">
        <v>36</v>
      </c>
      <c r="K28" s="15">
        <v>16</v>
      </c>
      <c r="L28" s="15">
        <v>2</v>
      </c>
      <c r="M28" s="73">
        <v>6.48</v>
      </c>
      <c r="N28" s="104">
        <v>7</v>
      </c>
      <c r="O28" s="57">
        <v>7000</v>
      </c>
      <c r="P28" s="58">
        <f t="shared" si="0"/>
        <v>49000</v>
      </c>
    </row>
    <row r="29" spans="1:16" ht="26.25" customHeight="1" x14ac:dyDescent="0.2">
      <c r="A29" s="100"/>
      <c r="B29" s="100"/>
      <c r="C29" s="65" t="s">
        <v>5356</v>
      </c>
      <c r="D29" s="70" t="s">
        <v>57</v>
      </c>
      <c r="E29" s="12">
        <v>44558</v>
      </c>
      <c r="F29" s="68" t="s">
        <v>59</v>
      </c>
      <c r="G29" s="12">
        <v>44562</v>
      </c>
      <c r="H29" s="69" t="s">
        <v>5275</v>
      </c>
      <c r="I29" s="15">
        <v>50</v>
      </c>
      <c r="J29" s="15">
        <v>35</v>
      </c>
      <c r="K29" s="15">
        <v>17</v>
      </c>
      <c r="L29" s="15">
        <v>3</v>
      </c>
      <c r="M29" s="73">
        <v>7.4375</v>
      </c>
      <c r="N29" s="104">
        <v>8</v>
      </c>
      <c r="O29" s="57">
        <v>7000</v>
      </c>
      <c r="P29" s="58">
        <f t="shared" si="0"/>
        <v>56000</v>
      </c>
    </row>
    <row r="30" spans="1:16" ht="26.25" customHeight="1" x14ac:dyDescent="0.2">
      <c r="A30" s="100"/>
      <c r="B30" s="100"/>
      <c r="C30" s="65" t="s">
        <v>5357</v>
      </c>
      <c r="D30" s="70" t="s">
        <v>57</v>
      </c>
      <c r="E30" s="12">
        <v>44558</v>
      </c>
      <c r="F30" s="68" t="s">
        <v>59</v>
      </c>
      <c r="G30" s="12">
        <v>44562</v>
      </c>
      <c r="H30" s="69" t="s">
        <v>5275</v>
      </c>
      <c r="I30" s="15">
        <v>45</v>
      </c>
      <c r="J30" s="15">
        <v>28</v>
      </c>
      <c r="K30" s="15">
        <v>13</v>
      </c>
      <c r="L30" s="15">
        <v>1</v>
      </c>
      <c r="M30" s="73">
        <v>4.0949999999999998</v>
      </c>
      <c r="N30" s="104">
        <v>4.0949999999999998</v>
      </c>
      <c r="O30" s="57">
        <v>7000</v>
      </c>
      <c r="P30" s="58">
        <f t="shared" si="0"/>
        <v>28665</v>
      </c>
    </row>
    <row r="31" spans="1:16" ht="26.25" customHeight="1" x14ac:dyDescent="0.2">
      <c r="A31" s="100"/>
      <c r="B31" s="100"/>
      <c r="C31" s="65" t="s">
        <v>5358</v>
      </c>
      <c r="D31" s="70" t="s">
        <v>57</v>
      </c>
      <c r="E31" s="12">
        <v>44558</v>
      </c>
      <c r="F31" s="68" t="s">
        <v>59</v>
      </c>
      <c r="G31" s="12">
        <v>44562</v>
      </c>
      <c r="H31" s="69" t="s">
        <v>5275</v>
      </c>
      <c r="I31" s="15">
        <v>50</v>
      </c>
      <c r="J31" s="15">
        <v>21</v>
      </c>
      <c r="K31" s="15">
        <v>11</v>
      </c>
      <c r="L31" s="15">
        <v>1</v>
      </c>
      <c r="M31" s="73">
        <v>2.8875000000000002</v>
      </c>
      <c r="N31" s="104">
        <v>2.8875000000000002</v>
      </c>
      <c r="O31" s="57">
        <v>7000</v>
      </c>
      <c r="P31" s="58">
        <f t="shared" si="0"/>
        <v>20212.5</v>
      </c>
    </row>
    <row r="32" spans="1:16" ht="26.25" customHeight="1" x14ac:dyDescent="0.2">
      <c r="A32" s="100"/>
      <c r="B32" s="100"/>
      <c r="C32" s="65" t="s">
        <v>5359</v>
      </c>
      <c r="D32" s="70" t="s">
        <v>57</v>
      </c>
      <c r="E32" s="12">
        <v>44558</v>
      </c>
      <c r="F32" s="68" t="s">
        <v>59</v>
      </c>
      <c r="G32" s="12">
        <v>44562</v>
      </c>
      <c r="H32" s="69" t="s">
        <v>5275</v>
      </c>
      <c r="I32" s="15">
        <v>58</v>
      </c>
      <c r="J32" s="15">
        <v>32</v>
      </c>
      <c r="K32" s="15">
        <v>16</v>
      </c>
      <c r="L32" s="15">
        <v>7</v>
      </c>
      <c r="M32" s="73">
        <v>7.4240000000000004</v>
      </c>
      <c r="N32" s="104">
        <v>8</v>
      </c>
      <c r="O32" s="57">
        <v>7000</v>
      </c>
      <c r="P32" s="58">
        <f t="shared" si="0"/>
        <v>56000</v>
      </c>
    </row>
    <row r="33" spans="1:16" ht="26.25" customHeight="1" x14ac:dyDescent="0.2">
      <c r="A33" s="100"/>
      <c r="B33" s="100"/>
      <c r="C33" s="65" t="s">
        <v>5360</v>
      </c>
      <c r="D33" s="70" t="s">
        <v>57</v>
      </c>
      <c r="E33" s="12">
        <v>44558</v>
      </c>
      <c r="F33" s="68" t="s">
        <v>59</v>
      </c>
      <c r="G33" s="12">
        <v>44562</v>
      </c>
      <c r="H33" s="69" t="s">
        <v>5275</v>
      </c>
      <c r="I33" s="15">
        <v>90</v>
      </c>
      <c r="J33" s="15">
        <v>53</v>
      </c>
      <c r="K33" s="15">
        <v>25</v>
      </c>
      <c r="L33" s="15">
        <v>29</v>
      </c>
      <c r="M33" s="73">
        <v>29.8125</v>
      </c>
      <c r="N33" s="104">
        <v>29.8125</v>
      </c>
      <c r="O33" s="57">
        <v>7000</v>
      </c>
      <c r="P33" s="58">
        <f t="shared" si="0"/>
        <v>208687.5</v>
      </c>
    </row>
    <row r="34" spans="1:16" ht="26.25" customHeight="1" x14ac:dyDescent="0.2">
      <c r="A34" s="100"/>
      <c r="B34" s="100"/>
      <c r="C34" s="65" t="s">
        <v>5361</v>
      </c>
      <c r="D34" s="70" t="s">
        <v>57</v>
      </c>
      <c r="E34" s="12">
        <v>44558</v>
      </c>
      <c r="F34" s="68" t="s">
        <v>59</v>
      </c>
      <c r="G34" s="12">
        <v>44562</v>
      </c>
      <c r="H34" s="69" t="s">
        <v>5275</v>
      </c>
      <c r="I34" s="15">
        <v>73</v>
      </c>
      <c r="J34" s="15">
        <v>51</v>
      </c>
      <c r="K34" s="15">
        <v>22</v>
      </c>
      <c r="L34" s="15">
        <v>7</v>
      </c>
      <c r="M34" s="73">
        <v>20.476500000000001</v>
      </c>
      <c r="N34" s="104">
        <v>21</v>
      </c>
      <c r="O34" s="57">
        <v>7000</v>
      </c>
      <c r="P34" s="58">
        <f t="shared" si="0"/>
        <v>147000</v>
      </c>
    </row>
    <row r="35" spans="1:16" ht="26.25" customHeight="1" x14ac:dyDescent="0.2">
      <c r="A35" s="100"/>
      <c r="B35" s="100"/>
      <c r="C35" s="65" t="s">
        <v>5362</v>
      </c>
      <c r="D35" s="70" t="s">
        <v>57</v>
      </c>
      <c r="E35" s="12">
        <v>44558</v>
      </c>
      <c r="F35" s="68" t="s">
        <v>59</v>
      </c>
      <c r="G35" s="12">
        <v>44562</v>
      </c>
      <c r="H35" s="69" t="s">
        <v>5275</v>
      </c>
      <c r="I35" s="15">
        <v>45</v>
      </c>
      <c r="J35" s="15">
        <v>28</v>
      </c>
      <c r="K35" s="15">
        <v>13</v>
      </c>
      <c r="L35" s="15">
        <v>1</v>
      </c>
      <c r="M35" s="73">
        <v>4.0949999999999998</v>
      </c>
      <c r="N35" s="104">
        <v>4.0949999999999998</v>
      </c>
      <c r="O35" s="57">
        <v>7000</v>
      </c>
      <c r="P35" s="58">
        <f t="shared" si="0"/>
        <v>28665</v>
      </c>
    </row>
    <row r="36" spans="1:16" ht="26.25" customHeight="1" x14ac:dyDescent="0.2">
      <c r="A36" s="100"/>
      <c r="B36" s="101"/>
      <c r="C36" s="65" t="s">
        <v>5363</v>
      </c>
      <c r="D36" s="70" t="s">
        <v>57</v>
      </c>
      <c r="E36" s="12">
        <v>44558</v>
      </c>
      <c r="F36" s="68" t="s">
        <v>59</v>
      </c>
      <c r="G36" s="12">
        <v>44562</v>
      </c>
      <c r="H36" s="69" t="s">
        <v>5275</v>
      </c>
      <c r="I36" s="15">
        <v>96</v>
      </c>
      <c r="J36" s="15">
        <v>51</v>
      </c>
      <c r="K36" s="15">
        <v>28</v>
      </c>
      <c r="L36" s="15">
        <v>11</v>
      </c>
      <c r="M36" s="73">
        <v>34.271999999999998</v>
      </c>
      <c r="N36" s="104">
        <v>34.271999999999998</v>
      </c>
      <c r="O36" s="57">
        <v>7000</v>
      </c>
      <c r="P36" s="58">
        <f t="shared" si="0"/>
        <v>239904</v>
      </c>
    </row>
    <row r="37" spans="1:16" ht="26.25" customHeight="1" x14ac:dyDescent="0.2">
      <c r="A37" s="100"/>
      <c r="B37" s="100" t="s">
        <v>5364</v>
      </c>
      <c r="C37" s="65" t="s">
        <v>5365</v>
      </c>
      <c r="D37" s="70" t="s">
        <v>57</v>
      </c>
      <c r="E37" s="12">
        <v>44558</v>
      </c>
      <c r="F37" s="68" t="s">
        <v>59</v>
      </c>
      <c r="G37" s="12">
        <v>44562</v>
      </c>
      <c r="H37" s="69" t="s">
        <v>5275</v>
      </c>
      <c r="I37" s="15">
        <v>61</v>
      </c>
      <c r="J37" s="15">
        <v>30</v>
      </c>
      <c r="K37" s="15">
        <v>22</v>
      </c>
      <c r="L37" s="15">
        <v>3</v>
      </c>
      <c r="M37" s="73">
        <v>10.065</v>
      </c>
      <c r="N37" s="104">
        <v>10.065</v>
      </c>
      <c r="O37" s="57">
        <v>7000</v>
      </c>
      <c r="P37" s="58">
        <f t="shared" si="0"/>
        <v>70455</v>
      </c>
    </row>
    <row r="38" spans="1:16" ht="22.5" customHeight="1" x14ac:dyDescent="0.2">
      <c r="A38" s="159" t="s">
        <v>30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1"/>
      <c r="M38" s="71">
        <f>SUBTOTAL(109,Table22457891011234567891011121314151617181920212223242526272829303132333435373839404142434445464748495051525354555657585960616263646566676869707172737475767778798081828384858687[KG VOLUME])</f>
        <v>601.60850000000016</v>
      </c>
      <c r="N38" s="61">
        <f>SUM(N3:N37)</f>
        <v>613.08075000000019</v>
      </c>
      <c r="O38" s="162">
        <f>SUM(P3:P37)</f>
        <v>4291565.25</v>
      </c>
      <c r="P38" s="163"/>
    </row>
    <row r="39" spans="1:16" ht="18" customHeight="1" x14ac:dyDescent="0.2">
      <c r="A39" s="78"/>
      <c r="B39" s="49" t="s">
        <v>42</v>
      </c>
      <c r="C39" s="48"/>
      <c r="D39" s="50" t="s">
        <v>43</v>
      </c>
      <c r="E39" s="78"/>
      <c r="F39" s="78"/>
      <c r="G39" s="78"/>
      <c r="H39" s="78"/>
      <c r="I39" s="78"/>
      <c r="J39" s="78"/>
      <c r="K39" s="78"/>
      <c r="L39" s="78"/>
      <c r="M39" s="79"/>
      <c r="N39" s="80" t="s">
        <v>52</v>
      </c>
      <c r="O39" s="81"/>
      <c r="P39" s="81">
        <v>0</v>
      </c>
    </row>
    <row r="40" spans="1:16" ht="18" customHeight="1" thickBot="1" x14ac:dyDescent="0.25">
      <c r="A40" s="78"/>
      <c r="B40" s="49"/>
      <c r="C40" s="48"/>
      <c r="D40" s="50"/>
      <c r="E40" s="78"/>
      <c r="F40" s="78"/>
      <c r="G40" s="78"/>
      <c r="H40" s="78"/>
      <c r="I40" s="78"/>
      <c r="J40" s="78"/>
      <c r="K40" s="78"/>
      <c r="L40" s="78"/>
      <c r="M40" s="79"/>
      <c r="N40" s="82" t="s">
        <v>53</v>
      </c>
      <c r="O40" s="83"/>
      <c r="P40" s="83">
        <f>O38-P39</f>
        <v>4291565.25</v>
      </c>
    </row>
    <row r="41" spans="1:16" ht="18" customHeight="1" x14ac:dyDescent="0.2">
      <c r="A41" s="10"/>
      <c r="H41" s="56"/>
      <c r="N41" s="55" t="s">
        <v>31</v>
      </c>
      <c r="P41" s="62">
        <f>P40*1%</f>
        <v>42915.652500000004</v>
      </c>
    </row>
    <row r="42" spans="1:16" ht="18" customHeight="1" thickBot="1" x14ac:dyDescent="0.25">
      <c r="A42" s="10"/>
      <c r="H42" s="56"/>
      <c r="N42" s="55" t="s">
        <v>54</v>
      </c>
      <c r="P42" s="64">
        <f>P40*2%</f>
        <v>85831.305000000008</v>
      </c>
    </row>
    <row r="43" spans="1:16" ht="18" customHeight="1" x14ac:dyDescent="0.2">
      <c r="A43" s="10"/>
      <c r="H43" s="56"/>
      <c r="N43" s="59" t="s">
        <v>32</v>
      </c>
      <c r="O43" s="60"/>
      <c r="P43" s="63">
        <f>P40+P41-P42</f>
        <v>4248649.5975000001</v>
      </c>
    </row>
    <row r="45" spans="1:16" x14ac:dyDescent="0.2">
      <c r="A45" s="10"/>
      <c r="H45" s="56"/>
      <c r="P45" s="64"/>
    </row>
    <row r="46" spans="1:16" x14ac:dyDescent="0.2">
      <c r="A46" s="10"/>
      <c r="H46" s="56"/>
      <c r="O46" s="51"/>
      <c r="P46" s="6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</sheetData>
  <mergeCells count="2">
    <mergeCell ref="A38:L38"/>
    <mergeCell ref="O38:P38"/>
  </mergeCells>
  <conditionalFormatting sqref="C3:C37">
    <cfRule type="duplicateValues" dxfId="223" priority="11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9"/>
  <sheetViews>
    <sheetView workbookViewId="0">
      <selection activeCell="N38" sqref="N3:N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402111</v>
      </c>
      <c r="B3" s="99" t="s">
        <v>5366</v>
      </c>
      <c r="C3" s="90" t="s">
        <v>5367</v>
      </c>
      <c r="D3" s="102" t="s">
        <v>57</v>
      </c>
      <c r="E3" s="91">
        <v>44558</v>
      </c>
      <c r="F3" s="102" t="s">
        <v>59</v>
      </c>
      <c r="G3" s="91">
        <v>44562</v>
      </c>
      <c r="H3" s="90" t="s">
        <v>5275</v>
      </c>
      <c r="I3" s="90">
        <v>100</v>
      </c>
      <c r="J3" s="90">
        <v>57</v>
      </c>
      <c r="K3" s="90">
        <v>31</v>
      </c>
      <c r="L3" s="90">
        <v>16</v>
      </c>
      <c r="M3" s="90">
        <v>44.174999999999997</v>
      </c>
      <c r="N3" s="104">
        <v>44.174999999999997</v>
      </c>
      <c r="O3" s="57">
        <v>7000</v>
      </c>
      <c r="P3" s="58">
        <f t="shared" ref="P3:P38" si="0">N3*O3</f>
        <v>309225</v>
      </c>
    </row>
    <row r="4" spans="1:16" ht="26.25" customHeight="1" x14ac:dyDescent="0.2">
      <c r="A4" s="100"/>
      <c r="B4" s="100"/>
      <c r="C4" s="90" t="s">
        <v>5368</v>
      </c>
      <c r="D4" s="102" t="s">
        <v>57</v>
      </c>
      <c r="E4" s="91">
        <v>44558</v>
      </c>
      <c r="F4" s="102" t="s">
        <v>59</v>
      </c>
      <c r="G4" s="91">
        <v>44562</v>
      </c>
      <c r="H4" s="90" t="s">
        <v>5275</v>
      </c>
      <c r="I4" s="90">
        <v>80</v>
      </c>
      <c r="J4" s="90">
        <v>63</v>
      </c>
      <c r="K4" s="90">
        <v>25</v>
      </c>
      <c r="L4" s="90">
        <v>12</v>
      </c>
      <c r="M4" s="90">
        <v>31.5</v>
      </c>
      <c r="N4" s="104">
        <v>33</v>
      </c>
      <c r="O4" s="57">
        <v>7000</v>
      </c>
      <c r="P4" s="58">
        <f t="shared" si="0"/>
        <v>231000</v>
      </c>
    </row>
    <row r="5" spans="1:16" ht="26.25" customHeight="1" x14ac:dyDescent="0.2">
      <c r="A5" s="100"/>
      <c r="B5" s="100"/>
      <c r="C5" s="90" t="s">
        <v>5369</v>
      </c>
      <c r="D5" s="102" t="s">
        <v>57</v>
      </c>
      <c r="E5" s="91">
        <v>44558</v>
      </c>
      <c r="F5" s="102" t="s">
        <v>59</v>
      </c>
      <c r="G5" s="91">
        <v>44562</v>
      </c>
      <c r="H5" s="90" t="s">
        <v>5275</v>
      </c>
      <c r="I5" s="90">
        <v>62</v>
      </c>
      <c r="J5" s="90">
        <v>47</v>
      </c>
      <c r="K5" s="90">
        <v>12</v>
      </c>
      <c r="L5" s="90">
        <v>3</v>
      </c>
      <c r="M5" s="90">
        <v>8.7420000000000009</v>
      </c>
      <c r="N5" s="104">
        <v>8.7420000000000009</v>
      </c>
      <c r="O5" s="57">
        <v>7000</v>
      </c>
      <c r="P5" s="58">
        <f t="shared" si="0"/>
        <v>61194.000000000007</v>
      </c>
    </row>
    <row r="6" spans="1:16" ht="26.25" customHeight="1" x14ac:dyDescent="0.2">
      <c r="A6" s="100"/>
      <c r="B6" s="100"/>
      <c r="C6" s="90" t="s">
        <v>5370</v>
      </c>
      <c r="D6" s="102" t="s">
        <v>57</v>
      </c>
      <c r="E6" s="91">
        <v>44558</v>
      </c>
      <c r="F6" s="102" t="s">
        <v>59</v>
      </c>
      <c r="G6" s="91">
        <v>44562</v>
      </c>
      <c r="H6" s="90" t="s">
        <v>5275</v>
      </c>
      <c r="I6" s="90">
        <v>95</v>
      </c>
      <c r="J6" s="90">
        <v>60</v>
      </c>
      <c r="K6" s="90">
        <v>32</v>
      </c>
      <c r="L6" s="90">
        <v>20</v>
      </c>
      <c r="M6" s="90">
        <v>45.6</v>
      </c>
      <c r="N6" s="104">
        <v>45.6</v>
      </c>
      <c r="O6" s="57">
        <v>7000</v>
      </c>
      <c r="P6" s="58">
        <f t="shared" si="0"/>
        <v>319200</v>
      </c>
    </row>
    <row r="7" spans="1:16" ht="26.25" customHeight="1" x14ac:dyDescent="0.2">
      <c r="A7" s="100"/>
      <c r="B7" s="100"/>
      <c r="C7" s="65" t="s">
        <v>5371</v>
      </c>
      <c r="D7" s="70" t="s">
        <v>57</v>
      </c>
      <c r="E7" s="12">
        <v>44558</v>
      </c>
      <c r="F7" s="68" t="s">
        <v>59</v>
      </c>
      <c r="G7" s="12">
        <v>44562</v>
      </c>
      <c r="H7" s="69" t="s">
        <v>5275</v>
      </c>
      <c r="I7" s="15">
        <v>87</v>
      </c>
      <c r="J7" s="15">
        <v>62</v>
      </c>
      <c r="K7" s="15">
        <v>33</v>
      </c>
      <c r="L7" s="15">
        <v>12</v>
      </c>
      <c r="M7" s="73">
        <v>44.500500000000002</v>
      </c>
      <c r="N7" s="104">
        <v>46</v>
      </c>
      <c r="O7" s="57">
        <v>7000</v>
      </c>
      <c r="P7" s="58">
        <f t="shared" si="0"/>
        <v>322000</v>
      </c>
    </row>
    <row r="8" spans="1:16" ht="26.25" customHeight="1" x14ac:dyDescent="0.2">
      <c r="A8" s="100"/>
      <c r="B8" s="100"/>
      <c r="C8" s="65" t="s">
        <v>5372</v>
      </c>
      <c r="D8" s="70" t="s">
        <v>57</v>
      </c>
      <c r="E8" s="12">
        <v>44558</v>
      </c>
      <c r="F8" s="68" t="s">
        <v>59</v>
      </c>
      <c r="G8" s="12">
        <v>44562</v>
      </c>
      <c r="H8" s="69" t="s">
        <v>5275</v>
      </c>
      <c r="I8" s="15">
        <v>47</v>
      </c>
      <c r="J8" s="15">
        <v>40</v>
      </c>
      <c r="K8" s="15">
        <v>13</v>
      </c>
      <c r="L8" s="15">
        <v>5</v>
      </c>
      <c r="M8" s="73">
        <v>6.11</v>
      </c>
      <c r="N8" s="104">
        <v>6.11</v>
      </c>
      <c r="O8" s="57">
        <v>7000</v>
      </c>
      <c r="P8" s="58">
        <f t="shared" si="0"/>
        <v>42770</v>
      </c>
    </row>
    <row r="9" spans="1:16" ht="26.25" customHeight="1" x14ac:dyDescent="0.2">
      <c r="A9" s="100"/>
      <c r="B9" s="100"/>
      <c r="C9" s="65" t="s">
        <v>5373</v>
      </c>
      <c r="D9" s="70" t="s">
        <v>57</v>
      </c>
      <c r="E9" s="12">
        <v>44558</v>
      </c>
      <c r="F9" s="68" t="s">
        <v>59</v>
      </c>
      <c r="G9" s="12">
        <v>44562</v>
      </c>
      <c r="H9" s="69" t="s">
        <v>5275</v>
      </c>
      <c r="I9" s="15">
        <v>54</v>
      </c>
      <c r="J9" s="15">
        <v>41</v>
      </c>
      <c r="K9" s="15">
        <v>23</v>
      </c>
      <c r="L9" s="15">
        <v>3</v>
      </c>
      <c r="M9" s="73">
        <v>12.730499999999999</v>
      </c>
      <c r="N9" s="104">
        <v>12.730499999999999</v>
      </c>
      <c r="O9" s="57">
        <v>7000</v>
      </c>
      <c r="P9" s="58">
        <f t="shared" si="0"/>
        <v>89113.5</v>
      </c>
    </row>
    <row r="10" spans="1:16" ht="26.25" customHeight="1" x14ac:dyDescent="0.2">
      <c r="A10" s="100"/>
      <c r="B10" s="100"/>
      <c r="C10" s="65" t="s">
        <v>5374</v>
      </c>
      <c r="D10" s="70" t="s">
        <v>57</v>
      </c>
      <c r="E10" s="12">
        <v>44558</v>
      </c>
      <c r="F10" s="68" t="s">
        <v>59</v>
      </c>
      <c r="G10" s="12">
        <v>44562</v>
      </c>
      <c r="H10" s="69" t="s">
        <v>5275</v>
      </c>
      <c r="I10" s="15">
        <v>55</v>
      </c>
      <c r="J10" s="15">
        <v>42</v>
      </c>
      <c r="K10" s="15">
        <v>11</v>
      </c>
      <c r="L10" s="15">
        <v>4</v>
      </c>
      <c r="M10" s="73">
        <v>6.3525</v>
      </c>
      <c r="N10" s="104">
        <v>7</v>
      </c>
      <c r="O10" s="57">
        <v>7000</v>
      </c>
      <c r="P10" s="58">
        <f t="shared" si="0"/>
        <v>49000</v>
      </c>
    </row>
    <row r="11" spans="1:16" ht="26.25" customHeight="1" x14ac:dyDescent="0.2">
      <c r="A11" s="100"/>
      <c r="B11" s="100"/>
      <c r="C11" s="65" t="s">
        <v>5375</v>
      </c>
      <c r="D11" s="70" t="s">
        <v>57</v>
      </c>
      <c r="E11" s="12">
        <v>44558</v>
      </c>
      <c r="F11" s="68" t="s">
        <v>59</v>
      </c>
      <c r="G11" s="12">
        <v>44562</v>
      </c>
      <c r="H11" s="69" t="s">
        <v>5275</v>
      </c>
      <c r="I11" s="15">
        <v>64</v>
      </c>
      <c r="J11" s="15">
        <v>64</v>
      </c>
      <c r="K11" s="15">
        <v>20</v>
      </c>
      <c r="L11" s="15">
        <v>5</v>
      </c>
      <c r="M11" s="73">
        <v>20.48</v>
      </c>
      <c r="N11" s="104">
        <v>21</v>
      </c>
      <c r="O11" s="57">
        <v>7000</v>
      </c>
      <c r="P11" s="58">
        <f t="shared" si="0"/>
        <v>147000</v>
      </c>
    </row>
    <row r="12" spans="1:16" ht="26.25" customHeight="1" x14ac:dyDescent="0.2">
      <c r="A12" s="100"/>
      <c r="B12" s="100"/>
      <c r="C12" s="65" t="s">
        <v>5376</v>
      </c>
      <c r="D12" s="70" t="s">
        <v>57</v>
      </c>
      <c r="E12" s="12">
        <v>44558</v>
      </c>
      <c r="F12" s="68" t="s">
        <v>59</v>
      </c>
      <c r="G12" s="12">
        <v>44562</v>
      </c>
      <c r="H12" s="69" t="s">
        <v>5275</v>
      </c>
      <c r="I12" s="15">
        <v>77</v>
      </c>
      <c r="J12" s="15">
        <v>65</v>
      </c>
      <c r="K12" s="15">
        <v>28</v>
      </c>
      <c r="L12" s="15">
        <v>13</v>
      </c>
      <c r="M12" s="73">
        <v>35.034999999999997</v>
      </c>
      <c r="N12" s="104">
        <v>35.034999999999997</v>
      </c>
      <c r="O12" s="57">
        <v>7000</v>
      </c>
      <c r="P12" s="58">
        <f t="shared" si="0"/>
        <v>245244.99999999997</v>
      </c>
    </row>
    <row r="13" spans="1:16" ht="26.25" customHeight="1" x14ac:dyDescent="0.2">
      <c r="A13" s="100"/>
      <c r="B13" s="100"/>
      <c r="C13" s="65" t="s">
        <v>5377</v>
      </c>
      <c r="D13" s="70" t="s">
        <v>57</v>
      </c>
      <c r="E13" s="12">
        <v>44558</v>
      </c>
      <c r="F13" s="68" t="s">
        <v>59</v>
      </c>
      <c r="G13" s="12">
        <v>44562</v>
      </c>
      <c r="H13" s="69" t="s">
        <v>5275</v>
      </c>
      <c r="I13" s="15">
        <v>104</v>
      </c>
      <c r="J13" s="15">
        <v>54</v>
      </c>
      <c r="K13" s="15">
        <v>30</v>
      </c>
      <c r="L13" s="15">
        <v>21</v>
      </c>
      <c r="M13" s="73">
        <v>42.12</v>
      </c>
      <c r="N13" s="104">
        <v>42.12</v>
      </c>
      <c r="O13" s="57">
        <v>7000</v>
      </c>
      <c r="P13" s="58">
        <f t="shared" si="0"/>
        <v>294840</v>
      </c>
    </row>
    <row r="14" spans="1:16" ht="26.25" customHeight="1" x14ac:dyDescent="0.2">
      <c r="A14" s="100"/>
      <c r="B14" s="100"/>
      <c r="C14" s="65" t="s">
        <v>5378</v>
      </c>
      <c r="D14" s="70" t="s">
        <v>57</v>
      </c>
      <c r="E14" s="12">
        <v>44558</v>
      </c>
      <c r="F14" s="68" t="s">
        <v>59</v>
      </c>
      <c r="G14" s="12">
        <v>44562</v>
      </c>
      <c r="H14" s="69" t="s">
        <v>5275</v>
      </c>
      <c r="I14" s="15">
        <v>65</v>
      </c>
      <c r="J14" s="15">
        <v>58</v>
      </c>
      <c r="K14" s="15">
        <v>13</v>
      </c>
      <c r="L14" s="15">
        <v>7</v>
      </c>
      <c r="M14" s="73">
        <v>12.2525</v>
      </c>
      <c r="N14" s="104">
        <v>12.2525</v>
      </c>
      <c r="O14" s="57">
        <v>7000</v>
      </c>
      <c r="P14" s="58">
        <f t="shared" si="0"/>
        <v>85767.5</v>
      </c>
    </row>
    <row r="15" spans="1:16" ht="26.25" customHeight="1" x14ac:dyDescent="0.2">
      <c r="A15" s="100"/>
      <c r="B15" s="100"/>
      <c r="C15" s="65" t="s">
        <v>5379</v>
      </c>
      <c r="D15" s="70" t="s">
        <v>57</v>
      </c>
      <c r="E15" s="12">
        <v>44558</v>
      </c>
      <c r="F15" s="68" t="s">
        <v>59</v>
      </c>
      <c r="G15" s="12">
        <v>44562</v>
      </c>
      <c r="H15" s="69" t="s">
        <v>5275</v>
      </c>
      <c r="I15" s="15">
        <v>53</v>
      </c>
      <c r="J15" s="15">
        <v>41</v>
      </c>
      <c r="K15" s="15">
        <v>25</v>
      </c>
      <c r="L15" s="15">
        <v>6</v>
      </c>
      <c r="M15" s="73">
        <v>13.581250000000001</v>
      </c>
      <c r="N15" s="104">
        <v>13.581250000000001</v>
      </c>
      <c r="O15" s="57">
        <v>7000</v>
      </c>
      <c r="P15" s="58">
        <f t="shared" si="0"/>
        <v>95068.75</v>
      </c>
    </row>
    <row r="16" spans="1:16" ht="26.25" customHeight="1" x14ac:dyDescent="0.2">
      <c r="A16" s="100"/>
      <c r="B16" s="100"/>
      <c r="C16" s="65" t="s">
        <v>5380</v>
      </c>
      <c r="D16" s="70" t="s">
        <v>57</v>
      </c>
      <c r="E16" s="12">
        <v>44558</v>
      </c>
      <c r="F16" s="68" t="s">
        <v>59</v>
      </c>
      <c r="G16" s="12">
        <v>44562</v>
      </c>
      <c r="H16" s="69" t="s">
        <v>5275</v>
      </c>
      <c r="I16" s="15">
        <v>60</v>
      </c>
      <c r="J16" s="15">
        <v>36</v>
      </c>
      <c r="K16" s="15">
        <v>14</v>
      </c>
      <c r="L16" s="15">
        <v>19</v>
      </c>
      <c r="M16" s="73">
        <v>7.56</v>
      </c>
      <c r="N16" s="104">
        <v>19</v>
      </c>
      <c r="O16" s="57">
        <v>7000</v>
      </c>
      <c r="P16" s="58">
        <f t="shared" si="0"/>
        <v>133000</v>
      </c>
    </row>
    <row r="17" spans="1:16" ht="26.25" customHeight="1" x14ac:dyDescent="0.2">
      <c r="A17" s="100"/>
      <c r="B17" s="100"/>
      <c r="C17" s="65" t="s">
        <v>5381</v>
      </c>
      <c r="D17" s="70" t="s">
        <v>57</v>
      </c>
      <c r="E17" s="12">
        <v>44558</v>
      </c>
      <c r="F17" s="68" t="s">
        <v>59</v>
      </c>
      <c r="G17" s="12">
        <v>44562</v>
      </c>
      <c r="H17" s="69" t="s">
        <v>5275</v>
      </c>
      <c r="I17" s="15">
        <v>55</v>
      </c>
      <c r="J17" s="15">
        <v>40</v>
      </c>
      <c r="K17" s="15">
        <v>20</v>
      </c>
      <c r="L17" s="15">
        <v>5</v>
      </c>
      <c r="M17" s="73">
        <v>11</v>
      </c>
      <c r="N17" s="104">
        <v>11</v>
      </c>
      <c r="O17" s="57">
        <v>7000</v>
      </c>
      <c r="P17" s="58">
        <f t="shared" si="0"/>
        <v>77000</v>
      </c>
    </row>
    <row r="18" spans="1:16" ht="26.25" customHeight="1" x14ac:dyDescent="0.2">
      <c r="A18" s="100"/>
      <c r="B18" s="100"/>
      <c r="C18" s="65" t="s">
        <v>5382</v>
      </c>
      <c r="D18" s="70" t="s">
        <v>57</v>
      </c>
      <c r="E18" s="12">
        <v>44558</v>
      </c>
      <c r="F18" s="68" t="s">
        <v>59</v>
      </c>
      <c r="G18" s="12">
        <v>44562</v>
      </c>
      <c r="H18" s="69" t="s">
        <v>5275</v>
      </c>
      <c r="I18" s="15">
        <v>35</v>
      </c>
      <c r="J18" s="15">
        <v>30</v>
      </c>
      <c r="K18" s="15">
        <v>14</v>
      </c>
      <c r="L18" s="15">
        <v>1</v>
      </c>
      <c r="M18" s="73">
        <v>3.6749999999999998</v>
      </c>
      <c r="N18" s="104">
        <v>3.6749999999999998</v>
      </c>
      <c r="O18" s="57">
        <v>7000</v>
      </c>
      <c r="P18" s="58">
        <f t="shared" si="0"/>
        <v>25725</v>
      </c>
    </row>
    <row r="19" spans="1:16" ht="26.25" customHeight="1" x14ac:dyDescent="0.2">
      <c r="A19" s="100"/>
      <c r="B19" s="100"/>
      <c r="C19" s="65" t="s">
        <v>5383</v>
      </c>
      <c r="D19" s="70" t="s">
        <v>57</v>
      </c>
      <c r="E19" s="12">
        <v>44558</v>
      </c>
      <c r="F19" s="68" t="s">
        <v>59</v>
      </c>
      <c r="G19" s="12">
        <v>44562</v>
      </c>
      <c r="H19" s="69" t="s">
        <v>5275</v>
      </c>
      <c r="I19" s="15">
        <v>45</v>
      </c>
      <c r="J19" s="15">
        <v>46</v>
      </c>
      <c r="K19" s="15">
        <v>15</v>
      </c>
      <c r="L19" s="15">
        <v>5</v>
      </c>
      <c r="M19" s="73">
        <v>7.7625000000000002</v>
      </c>
      <c r="N19" s="104">
        <v>7.7625000000000002</v>
      </c>
      <c r="O19" s="57">
        <v>7000</v>
      </c>
      <c r="P19" s="58">
        <f t="shared" si="0"/>
        <v>54337.5</v>
      </c>
    </row>
    <row r="20" spans="1:16" ht="26.25" customHeight="1" x14ac:dyDescent="0.2">
      <c r="A20" s="100"/>
      <c r="B20" s="100"/>
      <c r="C20" s="65" t="s">
        <v>5384</v>
      </c>
      <c r="D20" s="70" t="s">
        <v>57</v>
      </c>
      <c r="E20" s="12">
        <v>44558</v>
      </c>
      <c r="F20" s="68" t="s">
        <v>59</v>
      </c>
      <c r="G20" s="12">
        <v>44562</v>
      </c>
      <c r="H20" s="69" t="s">
        <v>5275</v>
      </c>
      <c r="I20" s="15">
        <v>38</v>
      </c>
      <c r="J20" s="15">
        <v>42</v>
      </c>
      <c r="K20" s="15">
        <v>6</v>
      </c>
      <c r="L20" s="15">
        <v>1</v>
      </c>
      <c r="M20" s="73">
        <v>2.3940000000000001</v>
      </c>
      <c r="N20" s="104">
        <v>3</v>
      </c>
      <c r="O20" s="57">
        <v>7000</v>
      </c>
      <c r="P20" s="58">
        <f t="shared" si="0"/>
        <v>21000</v>
      </c>
    </row>
    <row r="21" spans="1:16" ht="26.25" customHeight="1" x14ac:dyDescent="0.2">
      <c r="A21" s="100"/>
      <c r="B21" s="100"/>
      <c r="C21" s="65" t="s">
        <v>5385</v>
      </c>
      <c r="D21" s="70" t="s">
        <v>57</v>
      </c>
      <c r="E21" s="12">
        <v>44558</v>
      </c>
      <c r="F21" s="68" t="s">
        <v>59</v>
      </c>
      <c r="G21" s="12">
        <v>44562</v>
      </c>
      <c r="H21" s="69" t="s">
        <v>5275</v>
      </c>
      <c r="I21" s="15">
        <v>37</v>
      </c>
      <c r="J21" s="15">
        <v>215</v>
      </c>
      <c r="K21" s="15">
        <v>26</v>
      </c>
      <c r="L21" s="15">
        <v>8</v>
      </c>
      <c r="M21" s="73">
        <v>51.707500000000003</v>
      </c>
      <c r="N21" s="104">
        <v>51.707500000000003</v>
      </c>
      <c r="O21" s="57">
        <v>7000</v>
      </c>
      <c r="P21" s="58">
        <f t="shared" si="0"/>
        <v>361952.5</v>
      </c>
    </row>
    <row r="22" spans="1:16" ht="26.25" customHeight="1" x14ac:dyDescent="0.2">
      <c r="A22" s="100"/>
      <c r="B22" s="100"/>
      <c r="C22" s="65" t="s">
        <v>5386</v>
      </c>
      <c r="D22" s="70" t="s">
        <v>57</v>
      </c>
      <c r="E22" s="12">
        <v>44558</v>
      </c>
      <c r="F22" s="68" t="s">
        <v>59</v>
      </c>
      <c r="G22" s="12">
        <v>44562</v>
      </c>
      <c r="H22" s="69" t="s">
        <v>5275</v>
      </c>
      <c r="I22" s="15">
        <v>55</v>
      </c>
      <c r="J22" s="15">
        <v>57</v>
      </c>
      <c r="K22" s="15">
        <v>16</v>
      </c>
      <c r="L22" s="15">
        <v>5</v>
      </c>
      <c r="M22" s="73">
        <v>12.54</v>
      </c>
      <c r="N22" s="104">
        <v>12.54</v>
      </c>
      <c r="O22" s="57">
        <v>7000</v>
      </c>
      <c r="P22" s="58">
        <f t="shared" si="0"/>
        <v>87780</v>
      </c>
    </row>
    <row r="23" spans="1:16" ht="26.25" customHeight="1" x14ac:dyDescent="0.2">
      <c r="A23" s="100"/>
      <c r="B23" s="100"/>
      <c r="C23" s="65" t="s">
        <v>5387</v>
      </c>
      <c r="D23" s="70" t="s">
        <v>57</v>
      </c>
      <c r="E23" s="12">
        <v>44558</v>
      </c>
      <c r="F23" s="68" t="s">
        <v>59</v>
      </c>
      <c r="G23" s="12">
        <v>44562</v>
      </c>
      <c r="H23" s="69" t="s">
        <v>5275</v>
      </c>
      <c r="I23" s="15">
        <v>36</v>
      </c>
      <c r="J23" s="15">
        <v>21</v>
      </c>
      <c r="K23" s="15">
        <v>14</v>
      </c>
      <c r="L23" s="15">
        <v>2</v>
      </c>
      <c r="M23" s="73">
        <v>2.6459999999999999</v>
      </c>
      <c r="N23" s="104">
        <v>2.6459999999999999</v>
      </c>
      <c r="O23" s="57">
        <v>7000</v>
      </c>
      <c r="P23" s="58">
        <f t="shared" si="0"/>
        <v>18522</v>
      </c>
    </row>
    <row r="24" spans="1:16" ht="26.25" customHeight="1" x14ac:dyDescent="0.2">
      <c r="A24" s="100"/>
      <c r="B24" s="100"/>
      <c r="C24" s="65" t="s">
        <v>5388</v>
      </c>
      <c r="D24" s="70" t="s">
        <v>57</v>
      </c>
      <c r="E24" s="12">
        <v>44558</v>
      </c>
      <c r="F24" s="68" t="s">
        <v>59</v>
      </c>
      <c r="G24" s="12">
        <v>44562</v>
      </c>
      <c r="H24" s="69" t="s">
        <v>5275</v>
      </c>
      <c r="I24" s="15">
        <v>10</v>
      </c>
      <c r="J24" s="15">
        <v>13</v>
      </c>
      <c r="K24" s="15">
        <v>10</v>
      </c>
      <c r="L24" s="15">
        <v>1</v>
      </c>
      <c r="M24" s="73">
        <v>0.32500000000000001</v>
      </c>
      <c r="N24" s="104">
        <v>2</v>
      </c>
      <c r="O24" s="57">
        <v>7000</v>
      </c>
      <c r="P24" s="58">
        <f t="shared" si="0"/>
        <v>14000</v>
      </c>
    </row>
    <row r="25" spans="1:16" ht="26.25" customHeight="1" x14ac:dyDescent="0.2">
      <c r="A25" s="100"/>
      <c r="B25" s="100"/>
      <c r="C25" s="65" t="s">
        <v>5389</v>
      </c>
      <c r="D25" s="70" t="s">
        <v>57</v>
      </c>
      <c r="E25" s="12">
        <v>44558</v>
      </c>
      <c r="F25" s="68" t="s">
        <v>59</v>
      </c>
      <c r="G25" s="12">
        <v>44562</v>
      </c>
      <c r="H25" s="69" t="s">
        <v>5275</v>
      </c>
      <c r="I25" s="15">
        <v>58</v>
      </c>
      <c r="J25" s="15">
        <v>37</v>
      </c>
      <c r="K25" s="15">
        <v>15</v>
      </c>
      <c r="L25" s="15">
        <v>3</v>
      </c>
      <c r="M25" s="73">
        <v>8.0474999999999994</v>
      </c>
      <c r="N25" s="104">
        <v>8.0474999999999994</v>
      </c>
      <c r="O25" s="57">
        <v>7000</v>
      </c>
      <c r="P25" s="58">
        <f t="shared" si="0"/>
        <v>56332.499999999993</v>
      </c>
    </row>
    <row r="26" spans="1:16" ht="26.25" customHeight="1" x14ac:dyDescent="0.2">
      <c r="A26" s="100"/>
      <c r="B26" s="100"/>
      <c r="C26" s="65" t="s">
        <v>5390</v>
      </c>
      <c r="D26" s="70" t="s">
        <v>57</v>
      </c>
      <c r="E26" s="12">
        <v>44558</v>
      </c>
      <c r="F26" s="68" t="s">
        <v>59</v>
      </c>
      <c r="G26" s="12">
        <v>44562</v>
      </c>
      <c r="H26" s="69" t="s">
        <v>5275</v>
      </c>
      <c r="I26" s="15">
        <v>50</v>
      </c>
      <c r="J26" s="15">
        <v>33</v>
      </c>
      <c r="K26" s="15">
        <v>30</v>
      </c>
      <c r="L26" s="15">
        <v>5</v>
      </c>
      <c r="M26" s="73">
        <v>12.375</v>
      </c>
      <c r="N26" s="104">
        <v>13</v>
      </c>
      <c r="O26" s="57">
        <v>7000</v>
      </c>
      <c r="P26" s="58">
        <f t="shared" si="0"/>
        <v>91000</v>
      </c>
    </row>
    <row r="27" spans="1:16" ht="26.25" customHeight="1" x14ac:dyDescent="0.2">
      <c r="A27" s="100"/>
      <c r="B27" s="100"/>
      <c r="C27" s="65" t="s">
        <v>5391</v>
      </c>
      <c r="D27" s="70" t="s">
        <v>57</v>
      </c>
      <c r="E27" s="12">
        <v>44558</v>
      </c>
      <c r="F27" s="68" t="s">
        <v>59</v>
      </c>
      <c r="G27" s="12">
        <v>44562</v>
      </c>
      <c r="H27" s="69" t="s">
        <v>5275</v>
      </c>
      <c r="I27" s="15">
        <v>69</v>
      </c>
      <c r="J27" s="15">
        <v>25</v>
      </c>
      <c r="K27" s="15">
        <v>20</v>
      </c>
      <c r="L27" s="15">
        <v>6</v>
      </c>
      <c r="M27" s="73">
        <v>8.625</v>
      </c>
      <c r="N27" s="104">
        <v>8.625</v>
      </c>
      <c r="O27" s="57">
        <v>7000</v>
      </c>
      <c r="P27" s="58">
        <f t="shared" si="0"/>
        <v>60375</v>
      </c>
    </row>
    <row r="28" spans="1:16" ht="26.25" customHeight="1" x14ac:dyDescent="0.2">
      <c r="A28" s="100"/>
      <c r="B28" s="100"/>
      <c r="C28" s="65" t="s">
        <v>5392</v>
      </c>
      <c r="D28" s="70" t="s">
        <v>57</v>
      </c>
      <c r="E28" s="12">
        <v>44558</v>
      </c>
      <c r="F28" s="68" t="s">
        <v>59</v>
      </c>
      <c r="G28" s="12">
        <v>44562</v>
      </c>
      <c r="H28" s="69" t="s">
        <v>5275</v>
      </c>
      <c r="I28" s="15">
        <v>60</v>
      </c>
      <c r="J28" s="15">
        <v>60</v>
      </c>
      <c r="K28" s="15">
        <v>10</v>
      </c>
      <c r="L28" s="15">
        <v>7</v>
      </c>
      <c r="M28" s="73">
        <v>9</v>
      </c>
      <c r="N28" s="104">
        <v>9</v>
      </c>
      <c r="O28" s="57">
        <v>7000</v>
      </c>
      <c r="P28" s="58">
        <f t="shared" si="0"/>
        <v>63000</v>
      </c>
    </row>
    <row r="29" spans="1:16" ht="26.25" customHeight="1" x14ac:dyDescent="0.2">
      <c r="A29" s="100"/>
      <c r="B29" s="100"/>
      <c r="C29" s="65" t="s">
        <v>5393</v>
      </c>
      <c r="D29" s="70" t="s">
        <v>57</v>
      </c>
      <c r="E29" s="12">
        <v>44558</v>
      </c>
      <c r="F29" s="68" t="s">
        <v>59</v>
      </c>
      <c r="G29" s="12">
        <v>44562</v>
      </c>
      <c r="H29" s="69" t="s">
        <v>5275</v>
      </c>
      <c r="I29" s="15">
        <v>105</v>
      </c>
      <c r="J29" s="15">
        <v>58</v>
      </c>
      <c r="K29" s="15">
        <v>14</v>
      </c>
      <c r="L29" s="15">
        <v>7</v>
      </c>
      <c r="M29" s="73">
        <v>21.315000000000001</v>
      </c>
      <c r="N29" s="104">
        <v>22</v>
      </c>
      <c r="O29" s="57">
        <v>7000</v>
      </c>
      <c r="P29" s="58">
        <f t="shared" si="0"/>
        <v>154000</v>
      </c>
    </row>
    <row r="30" spans="1:16" ht="26.25" customHeight="1" x14ac:dyDescent="0.2">
      <c r="A30" s="100"/>
      <c r="B30" s="100"/>
      <c r="C30" s="65" t="s">
        <v>5394</v>
      </c>
      <c r="D30" s="70" t="s">
        <v>57</v>
      </c>
      <c r="E30" s="12">
        <v>44558</v>
      </c>
      <c r="F30" s="68" t="s">
        <v>59</v>
      </c>
      <c r="G30" s="12">
        <v>44562</v>
      </c>
      <c r="H30" s="69" t="s">
        <v>5275</v>
      </c>
      <c r="I30" s="15">
        <v>48</v>
      </c>
      <c r="J30" s="15">
        <v>40</v>
      </c>
      <c r="K30" s="15">
        <v>6</v>
      </c>
      <c r="L30" s="15">
        <v>2</v>
      </c>
      <c r="M30" s="73">
        <v>2.88</v>
      </c>
      <c r="N30" s="104">
        <v>2.88</v>
      </c>
      <c r="O30" s="57">
        <v>7000</v>
      </c>
      <c r="P30" s="58">
        <f t="shared" si="0"/>
        <v>20160</v>
      </c>
    </row>
    <row r="31" spans="1:16" ht="26.25" customHeight="1" x14ac:dyDescent="0.2">
      <c r="A31" s="100"/>
      <c r="B31" s="100"/>
      <c r="C31" s="65" t="s">
        <v>5395</v>
      </c>
      <c r="D31" s="70" t="s">
        <v>57</v>
      </c>
      <c r="E31" s="12">
        <v>44558</v>
      </c>
      <c r="F31" s="68" t="s">
        <v>59</v>
      </c>
      <c r="G31" s="12">
        <v>44562</v>
      </c>
      <c r="H31" s="69" t="s">
        <v>5275</v>
      </c>
      <c r="I31" s="15">
        <v>43</v>
      </c>
      <c r="J31" s="15">
        <v>33</v>
      </c>
      <c r="K31" s="15">
        <v>16</v>
      </c>
      <c r="L31" s="15">
        <v>3</v>
      </c>
      <c r="M31" s="73">
        <v>5.6760000000000002</v>
      </c>
      <c r="N31" s="104">
        <v>5.6760000000000002</v>
      </c>
      <c r="O31" s="57">
        <v>7000</v>
      </c>
      <c r="P31" s="58">
        <f t="shared" si="0"/>
        <v>39732</v>
      </c>
    </row>
    <row r="32" spans="1:16" ht="26.25" customHeight="1" x14ac:dyDescent="0.2">
      <c r="A32" s="100"/>
      <c r="B32" s="100"/>
      <c r="C32" s="65" t="s">
        <v>5396</v>
      </c>
      <c r="D32" s="70" t="s">
        <v>57</v>
      </c>
      <c r="E32" s="12">
        <v>44558</v>
      </c>
      <c r="F32" s="68" t="s">
        <v>59</v>
      </c>
      <c r="G32" s="12">
        <v>44562</v>
      </c>
      <c r="H32" s="69" t="s">
        <v>5275</v>
      </c>
      <c r="I32" s="15">
        <v>45</v>
      </c>
      <c r="J32" s="15">
        <v>45</v>
      </c>
      <c r="K32" s="15">
        <v>13</v>
      </c>
      <c r="L32" s="15">
        <v>6</v>
      </c>
      <c r="M32" s="73">
        <v>6.5812499999999998</v>
      </c>
      <c r="N32" s="104">
        <v>6.5812499999999998</v>
      </c>
      <c r="O32" s="57">
        <v>7000</v>
      </c>
      <c r="P32" s="58">
        <f t="shared" si="0"/>
        <v>46068.75</v>
      </c>
    </row>
    <row r="33" spans="1:16" ht="26.25" customHeight="1" x14ac:dyDescent="0.2">
      <c r="A33" s="100"/>
      <c r="B33" s="100"/>
      <c r="C33" s="65" t="s">
        <v>5397</v>
      </c>
      <c r="D33" s="70" t="s">
        <v>57</v>
      </c>
      <c r="E33" s="12">
        <v>44558</v>
      </c>
      <c r="F33" s="68" t="s">
        <v>59</v>
      </c>
      <c r="G33" s="12">
        <v>44562</v>
      </c>
      <c r="H33" s="69" t="s">
        <v>5275</v>
      </c>
      <c r="I33" s="15">
        <v>89</v>
      </c>
      <c r="J33" s="15">
        <v>55</v>
      </c>
      <c r="K33" s="15">
        <v>23</v>
      </c>
      <c r="L33" s="15">
        <v>6</v>
      </c>
      <c r="M33" s="73">
        <v>28.146249999999998</v>
      </c>
      <c r="N33" s="104">
        <v>28.146249999999998</v>
      </c>
      <c r="O33" s="57">
        <v>7000</v>
      </c>
      <c r="P33" s="58">
        <f t="shared" si="0"/>
        <v>197023.75</v>
      </c>
    </row>
    <row r="34" spans="1:16" ht="26.25" customHeight="1" x14ac:dyDescent="0.2">
      <c r="A34" s="100"/>
      <c r="B34" s="100"/>
      <c r="C34" s="65" t="s">
        <v>5398</v>
      </c>
      <c r="D34" s="70" t="s">
        <v>57</v>
      </c>
      <c r="E34" s="12">
        <v>44558</v>
      </c>
      <c r="F34" s="68" t="s">
        <v>59</v>
      </c>
      <c r="G34" s="12">
        <v>44562</v>
      </c>
      <c r="H34" s="69" t="s">
        <v>5275</v>
      </c>
      <c r="I34" s="15">
        <v>55</v>
      </c>
      <c r="J34" s="15">
        <v>26</v>
      </c>
      <c r="K34" s="15">
        <v>25</v>
      </c>
      <c r="L34" s="15">
        <v>7</v>
      </c>
      <c r="M34" s="73">
        <v>8.9375</v>
      </c>
      <c r="N34" s="104">
        <v>8.9375</v>
      </c>
      <c r="O34" s="57">
        <v>7000</v>
      </c>
      <c r="P34" s="58">
        <f t="shared" si="0"/>
        <v>62562.5</v>
      </c>
    </row>
    <row r="35" spans="1:16" ht="26.25" customHeight="1" x14ac:dyDescent="0.2">
      <c r="A35" s="100"/>
      <c r="B35" s="100"/>
      <c r="C35" s="65" t="s">
        <v>5399</v>
      </c>
      <c r="D35" s="70" t="s">
        <v>57</v>
      </c>
      <c r="E35" s="12">
        <v>44558</v>
      </c>
      <c r="F35" s="68" t="s">
        <v>59</v>
      </c>
      <c r="G35" s="12">
        <v>44562</v>
      </c>
      <c r="H35" s="69" t="s">
        <v>5275</v>
      </c>
      <c r="I35" s="15">
        <v>75</v>
      </c>
      <c r="J35" s="15">
        <v>45</v>
      </c>
      <c r="K35" s="15">
        <v>25</v>
      </c>
      <c r="L35" s="15">
        <v>8</v>
      </c>
      <c r="M35" s="73">
        <v>21.09375</v>
      </c>
      <c r="N35" s="104">
        <v>21.09375</v>
      </c>
      <c r="O35" s="57">
        <v>7000</v>
      </c>
      <c r="P35" s="58">
        <f t="shared" si="0"/>
        <v>147656.25</v>
      </c>
    </row>
    <row r="36" spans="1:16" ht="26.25" customHeight="1" x14ac:dyDescent="0.2">
      <c r="A36" s="100"/>
      <c r="B36" s="101"/>
      <c r="C36" s="65" t="s">
        <v>5400</v>
      </c>
      <c r="D36" s="70" t="s">
        <v>57</v>
      </c>
      <c r="E36" s="12">
        <v>44558</v>
      </c>
      <c r="F36" s="68" t="s">
        <v>59</v>
      </c>
      <c r="G36" s="12">
        <v>44562</v>
      </c>
      <c r="H36" s="69" t="s">
        <v>5275</v>
      </c>
      <c r="I36" s="15">
        <v>172</v>
      </c>
      <c r="J36" s="15">
        <v>57</v>
      </c>
      <c r="K36" s="15">
        <v>34</v>
      </c>
      <c r="L36" s="15">
        <v>10</v>
      </c>
      <c r="M36" s="73">
        <v>83.334000000000003</v>
      </c>
      <c r="N36" s="104">
        <v>84</v>
      </c>
      <c r="O36" s="57">
        <v>7000</v>
      </c>
      <c r="P36" s="58">
        <f t="shared" si="0"/>
        <v>588000</v>
      </c>
    </row>
    <row r="37" spans="1:16" ht="26.25" customHeight="1" x14ac:dyDescent="0.2">
      <c r="A37" s="100"/>
      <c r="B37" s="100" t="s">
        <v>5401</v>
      </c>
      <c r="C37" s="65" t="s">
        <v>5402</v>
      </c>
      <c r="D37" s="70" t="s">
        <v>57</v>
      </c>
      <c r="E37" s="12">
        <v>44558</v>
      </c>
      <c r="F37" s="68" t="s">
        <v>59</v>
      </c>
      <c r="G37" s="12">
        <v>44562</v>
      </c>
      <c r="H37" s="69" t="s">
        <v>5275</v>
      </c>
      <c r="I37" s="15">
        <v>48</v>
      </c>
      <c r="J37" s="15">
        <v>40</v>
      </c>
      <c r="K37" s="15">
        <v>48</v>
      </c>
      <c r="L37" s="15">
        <v>16</v>
      </c>
      <c r="M37" s="73">
        <v>23.04</v>
      </c>
      <c r="N37" s="104">
        <v>23.04</v>
      </c>
      <c r="O37" s="57">
        <v>7000</v>
      </c>
      <c r="P37" s="58">
        <f t="shared" si="0"/>
        <v>161280</v>
      </c>
    </row>
    <row r="38" spans="1:16" ht="26.25" customHeight="1" x14ac:dyDescent="0.2">
      <c r="A38" s="100"/>
      <c r="B38" s="100"/>
      <c r="C38" s="65" t="s">
        <v>5403</v>
      </c>
      <c r="D38" s="70" t="s">
        <v>57</v>
      </c>
      <c r="E38" s="12">
        <v>44558</v>
      </c>
      <c r="F38" s="68" t="s">
        <v>59</v>
      </c>
      <c r="G38" s="12">
        <v>44562</v>
      </c>
      <c r="H38" s="69" t="s">
        <v>5275</v>
      </c>
      <c r="I38" s="15">
        <v>56</v>
      </c>
      <c r="J38" s="15">
        <v>55</v>
      </c>
      <c r="K38" s="15">
        <v>42</v>
      </c>
      <c r="L38" s="15">
        <v>14</v>
      </c>
      <c r="M38" s="73">
        <v>32.340000000000003</v>
      </c>
      <c r="N38" s="104">
        <v>33</v>
      </c>
      <c r="O38" s="57">
        <v>7000</v>
      </c>
      <c r="P38" s="58">
        <f t="shared" si="0"/>
        <v>231000</v>
      </c>
    </row>
    <row r="39" spans="1:16" ht="22.5" customHeight="1" x14ac:dyDescent="0.2">
      <c r="A39" s="159" t="s">
        <v>30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1"/>
      <c r="M39" s="71">
        <f>SUBTOTAL(109,Table2245789101123456789101112131415161718192021222324252627282930313233343537383940414243444546474849505152535455565758596061626364656667686970717273747576777879808182838485868788[KG VOLUME])</f>
        <v>694.18050000000005</v>
      </c>
      <c r="N39" s="61">
        <f>SUM(N3:N38)</f>
        <v>714.70450000000005</v>
      </c>
      <c r="O39" s="162">
        <f>SUM(P3:P38)</f>
        <v>5002931.5</v>
      </c>
      <c r="P39" s="163"/>
    </row>
    <row r="40" spans="1:16" ht="18" customHeight="1" x14ac:dyDescent="0.2">
      <c r="A40" s="78"/>
      <c r="B40" s="49" t="s">
        <v>42</v>
      </c>
      <c r="C40" s="48"/>
      <c r="D40" s="50" t="s">
        <v>43</v>
      </c>
      <c r="E40" s="78"/>
      <c r="F40" s="78"/>
      <c r="G40" s="78"/>
      <c r="H40" s="78"/>
      <c r="I40" s="78"/>
      <c r="J40" s="78"/>
      <c r="K40" s="78"/>
      <c r="L40" s="78"/>
      <c r="M40" s="79"/>
      <c r="N40" s="80" t="s">
        <v>52</v>
      </c>
      <c r="O40" s="81"/>
      <c r="P40" s="81">
        <v>0</v>
      </c>
    </row>
    <row r="41" spans="1:16" ht="18" customHeight="1" thickBot="1" x14ac:dyDescent="0.25">
      <c r="A41" s="78"/>
      <c r="B41" s="49"/>
      <c r="C41" s="48"/>
      <c r="D41" s="50"/>
      <c r="E41" s="78"/>
      <c r="F41" s="78"/>
      <c r="G41" s="78"/>
      <c r="H41" s="78"/>
      <c r="I41" s="78"/>
      <c r="J41" s="78"/>
      <c r="K41" s="78"/>
      <c r="L41" s="78"/>
      <c r="M41" s="79"/>
      <c r="N41" s="82" t="s">
        <v>53</v>
      </c>
      <c r="O41" s="83"/>
      <c r="P41" s="83">
        <f>O39-P40</f>
        <v>5002931.5</v>
      </c>
    </row>
    <row r="42" spans="1:16" ht="18" customHeight="1" x14ac:dyDescent="0.2">
      <c r="A42" s="10"/>
      <c r="H42" s="56"/>
      <c r="N42" s="55" t="s">
        <v>31</v>
      </c>
      <c r="P42" s="62">
        <f>P41*1%</f>
        <v>50029.315000000002</v>
      </c>
    </row>
    <row r="43" spans="1:16" ht="18" customHeight="1" thickBot="1" x14ac:dyDescent="0.25">
      <c r="A43" s="10"/>
      <c r="H43" s="56"/>
      <c r="N43" s="55" t="s">
        <v>54</v>
      </c>
      <c r="P43" s="64">
        <f>P41*2%</f>
        <v>100058.63</v>
      </c>
    </row>
    <row r="44" spans="1:16" ht="18" customHeight="1" x14ac:dyDescent="0.2">
      <c r="A44" s="10"/>
      <c r="H44" s="56"/>
      <c r="N44" s="59" t="s">
        <v>32</v>
      </c>
      <c r="O44" s="60"/>
      <c r="P44" s="63">
        <f>P41+P42-P43</f>
        <v>4952902.1850000005</v>
      </c>
    </row>
    <row r="46" spans="1:16" x14ac:dyDescent="0.2">
      <c r="A46" s="10"/>
      <c r="H46" s="56"/>
      <c r="P46" s="64"/>
    </row>
    <row r="47" spans="1:16" x14ac:dyDescent="0.2">
      <c r="A47" s="10"/>
      <c r="H47" s="56"/>
      <c r="O47" s="51"/>
      <c r="P47" s="6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56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</sheetData>
  <mergeCells count="2">
    <mergeCell ref="A39:L39"/>
    <mergeCell ref="O39:P39"/>
  </mergeCells>
  <conditionalFormatting sqref="C3:C38">
    <cfRule type="duplicateValues" dxfId="207" priority="11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78"/>
  <sheetViews>
    <sheetView topLeftCell="A155" workbookViewId="0">
      <selection activeCell="N157" sqref="N3:N15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402746</v>
      </c>
      <c r="B3" s="99" t="s">
        <v>5404</v>
      </c>
      <c r="C3" s="90" t="s">
        <v>5405</v>
      </c>
      <c r="D3" s="102" t="s">
        <v>57</v>
      </c>
      <c r="E3" s="91">
        <v>44558</v>
      </c>
      <c r="F3" s="102" t="s">
        <v>58</v>
      </c>
      <c r="G3" s="91">
        <v>44565</v>
      </c>
      <c r="H3" s="90" t="s">
        <v>5561</v>
      </c>
      <c r="I3" s="90">
        <v>73</v>
      </c>
      <c r="J3" s="90">
        <v>40</v>
      </c>
      <c r="K3" s="90">
        <v>70</v>
      </c>
      <c r="L3" s="90">
        <v>30</v>
      </c>
      <c r="M3" s="90">
        <v>51.1</v>
      </c>
      <c r="N3" s="104">
        <v>51.1</v>
      </c>
      <c r="O3" s="57">
        <v>7000</v>
      </c>
      <c r="P3" s="58">
        <f t="shared" ref="P3:P66" si="0">N3*O3</f>
        <v>357700</v>
      </c>
    </row>
    <row r="4" spans="1:16" ht="26.25" customHeight="1" x14ac:dyDescent="0.2">
      <c r="A4" s="100"/>
      <c r="B4" s="100"/>
      <c r="C4" s="90" t="s">
        <v>5406</v>
      </c>
      <c r="D4" s="102" t="s">
        <v>57</v>
      </c>
      <c r="E4" s="91">
        <v>44558</v>
      </c>
      <c r="F4" s="102" t="s">
        <v>58</v>
      </c>
      <c r="G4" s="91">
        <v>44565</v>
      </c>
      <c r="H4" s="90" t="s">
        <v>5561</v>
      </c>
      <c r="I4" s="90">
        <v>133</v>
      </c>
      <c r="J4" s="90">
        <v>16</v>
      </c>
      <c r="K4" s="90">
        <v>10</v>
      </c>
      <c r="L4" s="90">
        <v>1</v>
      </c>
      <c r="M4" s="90">
        <v>5.32</v>
      </c>
      <c r="N4" s="104">
        <v>6</v>
      </c>
      <c r="O4" s="57">
        <v>7000</v>
      </c>
      <c r="P4" s="58">
        <f t="shared" si="0"/>
        <v>42000</v>
      </c>
    </row>
    <row r="5" spans="1:16" ht="26.25" customHeight="1" x14ac:dyDescent="0.2">
      <c r="A5" s="100"/>
      <c r="B5" s="100"/>
      <c r="C5" s="65" t="s">
        <v>5407</v>
      </c>
      <c r="D5" s="70" t="s">
        <v>57</v>
      </c>
      <c r="E5" s="12">
        <v>44558</v>
      </c>
      <c r="F5" s="68" t="s">
        <v>58</v>
      </c>
      <c r="G5" s="12">
        <v>44565</v>
      </c>
      <c r="H5" s="69" t="s">
        <v>5561</v>
      </c>
      <c r="I5" s="15">
        <v>56</v>
      </c>
      <c r="J5" s="15">
        <v>36</v>
      </c>
      <c r="K5" s="15">
        <v>23</v>
      </c>
      <c r="L5" s="15">
        <v>13</v>
      </c>
      <c r="M5" s="73">
        <v>11.592000000000001</v>
      </c>
      <c r="N5" s="104">
        <v>13</v>
      </c>
      <c r="O5" s="57">
        <v>7000</v>
      </c>
      <c r="P5" s="58">
        <f t="shared" si="0"/>
        <v>91000</v>
      </c>
    </row>
    <row r="6" spans="1:16" ht="26.25" customHeight="1" x14ac:dyDescent="0.2">
      <c r="A6" s="100"/>
      <c r="B6" s="100"/>
      <c r="C6" s="65" t="s">
        <v>5408</v>
      </c>
      <c r="D6" s="70" t="s">
        <v>57</v>
      </c>
      <c r="E6" s="12">
        <v>44558</v>
      </c>
      <c r="F6" s="68" t="s">
        <v>58</v>
      </c>
      <c r="G6" s="12">
        <v>44565</v>
      </c>
      <c r="H6" s="69" t="s">
        <v>5561</v>
      </c>
      <c r="I6" s="15">
        <v>38</v>
      </c>
      <c r="J6" s="15">
        <v>38</v>
      </c>
      <c r="K6" s="15">
        <v>30</v>
      </c>
      <c r="L6" s="15">
        <v>6</v>
      </c>
      <c r="M6" s="73">
        <v>10.83</v>
      </c>
      <c r="N6" s="104">
        <v>10.83</v>
      </c>
      <c r="O6" s="57">
        <v>7000</v>
      </c>
      <c r="P6" s="58">
        <f t="shared" si="0"/>
        <v>75810</v>
      </c>
    </row>
    <row r="7" spans="1:16" ht="26.25" customHeight="1" x14ac:dyDescent="0.2">
      <c r="A7" s="100"/>
      <c r="B7" s="100"/>
      <c r="C7" s="65" t="s">
        <v>5409</v>
      </c>
      <c r="D7" s="70" t="s">
        <v>57</v>
      </c>
      <c r="E7" s="12">
        <v>44558</v>
      </c>
      <c r="F7" s="68" t="s">
        <v>58</v>
      </c>
      <c r="G7" s="12">
        <v>44565</v>
      </c>
      <c r="H7" s="69" t="s">
        <v>5561</v>
      </c>
      <c r="I7" s="15">
        <v>94</v>
      </c>
      <c r="J7" s="15">
        <v>40</v>
      </c>
      <c r="K7" s="15">
        <v>27</v>
      </c>
      <c r="L7" s="15">
        <v>9</v>
      </c>
      <c r="M7" s="73">
        <v>25.38</v>
      </c>
      <c r="N7" s="104">
        <v>26</v>
      </c>
      <c r="O7" s="57">
        <v>7000</v>
      </c>
      <c r="P7" s="58">
        <f t="shared" si="0"/>
        <v>182000</v>
      </c>
    </row>
    <row r="8" spans="1:16" ht="26.25" customHeight="1" x14ac:dyDescent="0.2">
      <c r="A8" s="100"/>
      <c r="B8" s="100"/>
      <c r="C8" s="65" t="s">
        <v>5410</v>
      </c>
      <c r="D8" s="70" t="s">
        <v>57</v>
      </c>
      <c r="E8" s="12">
        <v>44558</v>
      </c>
      <c r="F8" s="68" t="s">
        <v>58</v>
      </c>
      <c r="G8" s="12">
        <v>44565</v>
      </c>
      <c r="H8" s="69" t="s">
        <v>5561</v>
      </c>
      <c r="I8" s="15">
        <v>80</v>
      </c>
      <c r="J8" s="15">
        <v>24</v>
      </c>
      <c r="K8" s="15">
        <v>32</v>
      </c>
      <c r="L8" s="15">
        <v>3</v>
      </c>
      <c r="M8" s="73">
        <v>15.36</v>
      </c>
      <c r="N8" s="104">
        <v>16</v>
      </c>
      <c r="O8" s="57">
        <v>7000</v>
      </c>
      <c r="P8" s="58">
        <f t="shared" si="0"/>
        <v>112000</v>
      </c>
    </row>
    <row r="9" spans="1:16" ht="26.25" customHeight="1" x14ac:dyDescent="0.2">
      <c r="A9" s="100"/>
      <c r="B9" s="100"/>
      <c r="C9" s="65" t="s">
        <v>5411</v>
      </c>
      <c r="D9" s="70" t="s">
        <v>57</v>
      </c>
      <c r="E9" s="12">
        <v>44558</v>
      </c>
      <c r="F9" s="68" t="s">
        <v>58</v>
      </c>
      <c r="G9" s="12">
        <v>44565</v>
      </c>
      <c r="H9" s="69" t="s">
        <v>5561</v>
      </c>
      <c r="I9" s="15">
        <v>101</v>
      </c>
      <c r="J9" s="15">
        <v>10</v>
      </c>
      <c r="K9" s="15">
        <v>4</v>
      </c>
      <c r="L9" s="15">
        <v>2</v>
      </c>
      <c r="M9" s="73">
        <v>1.01</v>
      </c>
      <c r="N9" s="104">
        <v>2</v>
      </c>
      <c r="O9" s="57">
        <v>7000</v>
      </c>
      <c r="P9" s="58">
        <f t="shared" si="0"/>
        <v>14000</v>
      </c>
    </row>
    <row r="10" spans="1:16" ht="26.25" customHeight="1" x14ac:dyDescent="0.2">
      <c r="A10" s="100"/>
      <c r="B10" s="100"/>
      <c r="C10" s="65" t="s">
        <v>5412</v>
      </c>
      <c r="D10" s="70" t="s">
        <v>57</v>
      </c>
      <c r="E10" s="12">
        <v>44558</v>
      </c>
      <c r="F10" s="68" t="s">
        <v>58</v>
      </c>
      <c r="G10" s="12">
        <v>44565</v>
      </c>
      <c r="H10" s="69" t="s">
        <v>5561</v>
      </c>
      <c r="I10" s="15">
        <v>80</v>
      </c>
      <c r="J10" s="15">
        <v>10</v>
      </c>
      <c r="K10" s="15">
        <v>10</v>
      </c>
      <c r="L10" s="15">
        <v>1</v>
      </c>
      <c r="M10" s="73">
        <v>2</v>
      </c>
      <c r="N10" s="104">
        <v>2</v>
      </c>
      <c r="O10" s="57">
        <v>7000</v>
      </c>
      <c r="P10" s="58">
        <f t="shared" si="0"/>
        <v>14000</v>
      </c>
    </row>
    <row r="11" spans="1:16" ht="26.25" customHeight="1" x14ac:dyDescent="0.2">
      <c r="A11" s="100"/>
      <c r="B11" s="100"/>
      <c r="C11" s="65" t="s">
        <v>5413</v>
      </c>
      <c r="D11" s="70" t="s">
        <v>57</v>
      </c>
      <c r="E11" s="12">
        <v>44558</v>
      </c>
      <c r="F11" s="68" t="s">
        <v>58</v>
      </c>
      <c r="G11" s="12">
        <v>44565</v>
      </c>
      <c r="H11" s="69" t="s">
        <v>5561</v>
      </c>
      <c r="I11" s="15">
        <v>113</v>
      </c>
      <c r="J11" s="15">
        <v>10</v>
      </c>
      <c r="K11" s="15">
        <v>4</v>
      </c>
      <c r="L11" s="15">
        <v>1</v>
      </c>
      <c r="M11" s="73">
        <v>1.1299999999999999</v>
      </c>
      <c r="N11" s="104">
        <v>1.1299999999999999</v>
      </c>
      <c r="O11" s="57">
        <v>7000</v>
      </c>
      <c r="P11" s="58">
        <f t="shared" si="0"/>
        <v>7909.9999999999991</v>
      </c>
    </row>
    <row r="12" spans="1:16" ht="26.25" customHeight="1" x14ac:dyDescent="0.2">
      <c r="A12" s="100"/>
      <c r="B12" s="100"/>
      <c r="C12" s="65" t="s">
        <v>5414</v>
      </c>
      <c r="D12" s="70" t="s">
        <v>57</v>
      </c>
      <c r="E12" s="12">
        <v>44558</v>
      </c>
      <c r="F12" s="68" t="s">
        <v>58</v>
      </c>
      <c r="G12" s="12">
        <v>44565</v>
      </c>
      <c r="H12" s="69" t="s">
        <v>5561</v>
      </c>
      <c r="I12" s="15">
        <v>39</v>
      </c>
      <c r="J12" s="15">
        <v>28</v>
      </c>
      <c r="K12" s="15">
        <v>14</v>
      </c>
      <c r="L12" s="15">
        <v>1</v>
      </c>
      <c r="M12" s="73">
        <v>3.8220000000000001</v>
      </c>
      <c r="N12" s="104">
        <v>3.8220000000000001</v>
      </c>
      <c r="O12" s="57">
        <v>7000</v>
      </c>
      <c r="P12" s="58">
        <f t="shared" si="0"/>
        <v>26754</v>
      </c>
    </row>
    <row r="13" spans="1:16" ht="26.25" customHeight="1" x14ac:dyDescent="0.2">
      <c r="A13" s="100"/>
      <c r="B13" s="100"/>
      <c r="C13" s="65" t="s">
        <v>5415</v>
      </c>
      <c r="D13" s="70" t="s">
        <v>57</v>
      </c>
      <c r="E13" s="12">
        <v>44558</v>
      </c>
      <c r="F13" s="68" t="s">
        <v>58</v>
      </c>
      <c r="G13" s="12">
        <v>44565</v>
      </c>
      <c r="H13" s="69" t="s">
        <v>5561</v>
      </c>
      <c r="I13" s="15">
        <v>80</v>
      </c>
      <c r="J13" s="15">
        <v>20</v>
      </c>
      <c r="K13" s="15">
        <v>10</v>
      </c>
      <c r="L13" s="15">
        <v>2</v>
      </c>
      <c r="M13" s="73">
        <v>4</v>
      </c>
      <c r="N13" s="104">
        <v>4</v>
      </c>
      <c r="O13" s="57">
        <v>7000</v>
      </c>
      <c r="P13" s="58">
        <f t="shared" si="0"/>
        <v>28000</v>
      </c>
    </row>
    <row r="14" spans="1:16" ht="26.25" customHeight="1" x14ac:dyDescent="0.2">
      <c r="A14" s="100"/>
      <c r="B14" s="100"/>
      <c r="C14" s="65" t="s">
        <v>5416</v>
      </c>
      <c r="D14" s="70" t="s">
        <v>57</v>
      </c>
      <c r="E14" s="12">
        <v>44558</v>
      </c>
      <c r="F14" s="68" t="s">
        <v>58</v>
      </c>
      <c r="G14" s="12">
        <v>44565</v>
      </c>
      <c r="H14" s="69" t="s">
        <v>5561</v>
      </c>
      <c r="I14" s="15">
        <v>43</v>
      </c>
      <c r="J14" s="15">
        <v>22</v>
      </c>
      <c r="K14" s="15">
        <v>19</v>
      </c>
      <c r="L14" s="15">
        <v>5</v>
      </c>
      <c r="M14" s="73">
        <v>4.4935</v>
      </c>
      <c r="N14" s="104">
        <v>6</v>
      </c>
      <c r="O14" s="57">
        <v>7000</v>
      </c>
      <c r="P14" s="58">
        <f t="shared" si="0"/>
        <v>42000</v>
      </c>
    </row>
    <row r="15" spans="1:16" ht="26.25" customHeight="1" x14ac:dyDescent="0.2">
      <c r="A15" s="100"/>
      <c r="B15" s="100"/>
      <c r="C15" s="65" t="s">
        <v>5417</v>
      </c>
      <c r="D15" s="70" t="s">
        <v>57</v>
      </c>
      <c r="E15" s="12">
        <v>44558</v>
      </c>
      <c r="F15" s="68" t="s">
        <v>58</v>
      </c>
      <c r="G15" s="12">
        <v>44565</v>
      </c>
      <c r="H15" s="69" t="s">
        <v>5561</v>
      </c>
      <c r="I15" s="15">
        <v>85</v>
      </c>
      <c r="J15" s="15">
        <v>9</v>
      </c>
      <c r="K15" s="15">
        <v>9</v>
      </c>
      <c r="L15" s="15">
        <v>1</v>
      </c>
      <c r="M15" s="73">
        <v>1.7212499999999999</v>
      </c>
      <c r="N15" s="104">
        <v>1.7212499999999999</v>
      </c>
      <c r="O15" s="57">
        <v>7000</v>
      </c>
      <c r="P15" s="58">
        <f t="shared" si="0"/>
        <v>12048.75</v>
      </c>
    </row>
    <row r="16" spans="1:16" ht="26.25" customHeight="1" x14ac:dyDescent="0.2">
      <c r="A16" s="100"/>
      <c r="B16" s="100"/>
      <c r="C16" s="65" t="s">
        <v>5418</v>
      </c>
      <c r="D16" s="70" t="s">
        <v>57</v>
      </c>
      <c r="E16" s="12">
        <v>44558</v>
      </c>
      <c r="F16" s="68" t="s">
        <v>58</v>
      </c>
      <c r="G16" s="12">
        <v>44565</v>
      </c>
      <c r="H16" s="69" t="s">
        <v>5561</v>
      </c>
      <c r="I16" s="15">
        <v>72</v>
      </c>
      <c r="J16" s="15">
        <v>28</v>
      </c>
      <c r="K16" s="15">
        <v>5</v>
      </c>
      <c r="L16" s="15">
        <v>1</v>
      </c>
      <c r="M16" s="73">
        <v>2.52</v>
      </c>
      <c r="N16" s="104">
        <v>2.52</v>
      </c>
      <c r="O16" s="57">
        <v>7000</v>
      </c>
      <c r="P16" s="58">
        <f t="shared" si="0"/>
        <v>17640</v>
      </c>
    </row>
    <row r="17" spans="1:16" ht="26.25" customHeight="1" x14ac:dyDescent="0.2">
      <c r="A17" s="100"/>
      <c r="B17" s="100"/>
      <c r="C17" s="65" t="s">
        <v>5419</v>
      </c>
      <c r="D17" s="70" t="s">
        <v>57</v>
      </c>
      <c r="E17" s="12">
        <v>44558</v>
      </c>
      <c r="F17" s="68" t="s">
        <v>58</v>
      </c>
      <c r="G17" s="12">
        <v>44565</v>
      </c>
      <c r="H17" s="69" t="s">
        <v>5561</v>
      </c>
      <c r="I17" s="15">
        <v>96</v>
      </c>
      <c r="J17" s="15">
        <v>10</v>
      </c>
      <c r="K17" s="15">
        <v>10</v>
      </c>
      <c r="L17" s="15">
        <v>1</v>
      </c>
      <c r="M17" s="73">
        <v>2.4</v>
      </c>
      <c r="N17" s="104">
        <v>3</v>
      </c>
      <c r="O17" s="57">
        <v>7000</v>
      </c>
      <c r="P17" s="58">
        <f t="shared" si="0"/>
        <v>21000</v>
      </c>
    </row>
    <row r="18" spans="1:16" ht="26.25" customHeight="1" x14ac:dyDescent="0.2">
      <c r="A18" s="100"/>
      <c r="B18" s="100"/>
      <c r="C18" s="65" t="s">
        <v>5420</v>
      </c>
      <c r="D18" s="70" t="s">
        <v>57</v>
      </c>
      <c r="E18" s="12">
        <v>44558</v>
      </c>
      <c r="F18" s="68" t="s">
        <v>58</v>
      </c>
      <c r="G18" s="12">
        <v>44565</v>
      </c>
      <c r="H18" s="69" t="s">
        <v>5561</v>
      </c>
      <c r="I18" s="15">
        <v>42</v>
      </c>
      <c r="J18" s="15">
        <v>42</v>
      </c>
      <c r="K18" s="15">
        <v>9</v>
      </c>
      <c r="L18" s="15">
        <v>5</v>
      </c>
      <c r="M18" s="73">
        <v>3.9689999999999999</v>
      </c>
      <c r="N18" s="104">
        <v>5</v>
      </c>
      <c r="O18" s="57">
        <v>7000</v>
      </c>
      <c r="P18" s="58">
        <f t="shared" si="0"/>
        <v>35000</v>
      </c>
    </row>
    <row r="19" spans="1:16" ht="26.25" customHeight="1" x14ac:dyDescent="0.2">
      <c r="A19" s="100"/>
      <c r="B19" s="100"/>
      <c r="C19" s="65" t="s">
        <v>5421</v>
      </c>
      <c r="D19" s="70" t="s">
        <v>57</v>
      </c>
      <c r="E19" s="12">
        <v>44558</v>
      </c>
      <c r="F19" s="68" t="s">
        <v>58</v>
      </c>
      <c r="G19" s="12">
        <v>44565</v>
      </c>
      <c r="H19" s="69" t="s">
        <v>5561</v>
      </c>
      <c r="I19" s="15">
        <v>152</v>
      </c>
      <c r="J19" s="15">
        <v>13</v>
      </c>
      <c r="K19" s="15">
        <v>13</v>
      </c>
      <c r="L19" s="15">
        <v>3</v>
      </c>
      <c r="M19" s="73">
        <v>6.4219999999999997</v>
      </c>
      <c r="N19" s="104">
        <v>7</v>
      </c>
      <c r="O19" s="57">
        <v>7000</v>
      </c>
      <c r="P19" s="58">
        <f t="shared" si="0"/>
        <v>49000</v>
      </c>
    </row>
    <row r="20" spans="1:16" ht="26.25" customHeight="1" x14ac:dyDescent="0.2">
      <c r="A20" s="100"/>
      <c r="B20" s="100"/>
      <c r="C20" s="65" t="s">
        <v>5422</v>
      </c>
      <c r="D20" s="70" t="s">
        <v>57</v>
      </c>
      <c r="E20" s="12">
        <v>44558</v>
      </c>
      <c r="F20" s="68" t="s">
        <v>58</v>
      </c>
      <c r="G20" s="12">
        <v>44565</v>
      </c>
      <c r="H20" s="69" t="s">
        <v>5561</v>
      </c>
      <c r="I20" s="15">
        <v>30</v>
      </c>
      <c r="J20" s="15">
        <v>22</v>
      </c>
      <c r="K20" s="15">
        <v>19</v>
      </c>
      <c r="L20" s="15">
        <v>2</v>
      </c>
      <c r="M20" s="73">
        <v>3.1349999999999998</v>
      </c>
      <c r="N20" s="104">
        <v>3.1349999999999998</v>
      </c>
      <c r="O20" s="57">
        <v>7000</v>
      </c>
      <c r="P20" s="58">
        <f t="shared" si="0"/>
        <v>21945</v>
      </c>
    </row>
    <row r="21" spans="1:16" ht="26.25" customHeight="1" x14ac:dyDescent="0.2">
      <c r="A21" s="100"/>
      <c r="B21" s="100"/>
      <c r="C21" s="65" t="s">
        <v>5423</v>
      </c>
      <c r="D21" s="70" t="s">
        <v>57</v>
      </c>
      <c r="E21" s="12">
        <v>44558</v>
      </c>
      <c r="F21" s="68" t="s">
        <v>58</v>
      </c>
      <c r="G21" s="12">
        <v>44565</v>
      </c>
      <c r="H21" s="69" t="s">
        <v>5561</v>
      </c>
      <c r="I21" s="15">
        <v>67</v>
      </c>
      <c r="J21" s="15">
        <v>37</v>
      </c>
      <c r="K21" s="15">
        <v>16</v>
      </c>
      <c r="L21" s="15">
        <v>5</v>
      </c>
      <c r="M21" s="73">
        <v>9.9160000000000004</v>
      </c>
      <c r="N21" s="104">
        <v>9.9160000000000004</v>
      </c>
      <c r="O21" s="57">
        <v>7000</v>
      </c>
      <c r="P21" s="58">
        <f t="shared" si="0"/>
        <v>69412</v>
      </c>
    </row>
    <row r="22" spans="1:16" ht="26.25" customHeight="1" x14ac:dyDescent="0.2">
      <c r="A22" s="100"/>
      <c r="B22" s="100"/>
      <c r="C22" s="65" t="s">
        <v>5424</v>
      </c>
      <c r="D22" s="70" t="s">
        <v>57</v>
      </c>
      <c r="E22" s="12">
        <v>44558</v>
      </c>
      <c r="F22" s="68" t="s">
        <v>58</v>
      </c>
      <c r="G22" s="12">
        <v>44565</v>
      </c>
      <c r="H22" s="69" t="s">
        <v>5561</v>
      </c>
      <c r="I22" s="15">
        <v>40</v>
      </c>
      <c r="J22" s="15">
        <v>26</v>
      </c>
      <c r="K22" s="15">
        <v>27</v>
      </c>
      <c r="L22" s="15">
        <v>1</v>
      </c>
      <c r="M22" s="73">
        <v>7.02</v>
      </c>
      <c r="N22" s="104">
        <v>7.02</v>
      </c>
      <c r="O22" s="57">
        <v>7000</v>
      </c>
      <c r="P22" s="58">
        <f t="shared" si="0"/>
        <v>49140</v>
      </c>
    </row>
    <row r="23" spans="1:16" ht="26.25" customHeight="1" x14ac:dyDescent="0.2">
      <c r="A23" s="100"/>
      <c r="B23" s="100"/>
      <c r="C23" s="65" t="s">
        <v>5425</v>
      </c>
      <c r="D23" s="70" t="s">
        <v>57</v>
      </c>
      <c r="E23" s="12">
        <v>44558</v>
      </c>
      <c r="F23" s="68" t="s">
        <v>58</v>
      </c>
      <c r="G23" s="12">
        <v>44565</v>
      </c>
      <c r="H23" s="69" t="s">
        <v>5561</v>
      </c>
      <c r="I23" s="15">
        <v>102</v>
      </c>
      <c r="J23" s="15">
        <v>10</v>
      </c>
      <c r="K23" s="15">
        <v>15</v>
      </c>
      <c r="L23" s="15">
        <v>3</v>
      </c>
      <c r="M23" s="73">
        <v>3.8250000000000002</v>
      </c>
      <c r="N23" s="104">
        <v>3.8250000000000002</v>
      </c>
      <c r="O23" s="57">
        <v>7000</v>
      </c>
      <c r="P23" s="58">
        <f t="shared" si="0"/>
        <v>26775</v>
      </c>
    </row>
    <row r="24" spans="1:16" ht="26.25" customHeight="1" x14ac:dyDescent="0.2">
      <c r="A24" s="100"/>
      <c r="B24" s="100"/>
      <c r="C24" s="65" t="s">
        <v>5426</v>
      </c>
      <c r="D24" s="70" t="s">
        <v>57</v>
      </c>
      <c r="E24" s="12">
        <v>44558</v>
      </c>
      <c r="F24" s="68" t="s">
        <v>58</v>
      </c>
      <c r="G24" s="12">
        <v>44565</v>
      </c>
      <c r="H24" s="69" t="s">
        <v>5561</v>
      </c>
      <c r="I24" s="15">
        <v>57</v>
      </c>
      <c r="J24" s="15">
        <v>47</v>
      </c>
      <c r="K24" s="15">
        <v>27</v>
      </c>
      <c r="L24" s="15">
        <v>15</v>
      </c>
      <c r="M24" s="73">
        <v>18.08325</v>
      </c>
      <c r="N24" s="104">
        <v>18.08325</v>
      </c>
      <c r="O24" s="57">
        <v>7000</v>
      </c>
      <c r="P24" s="58">
        <f t="shared" si="0"/>
        <v>126582.75</v>
      </c>
    </row>
    <row r="25" spans="1:16" ht="26.25" customHeight="1" x14ac:dyDescent="0.2">
      <c r="A25" s="100"/>
      <c r="B25" s="100"/>
      <c r="C25" s="65" t="s">
        <v>5427</v>
      </c>
      <c r="D25" s="70" t="s">
        <v>57</v>
      </c>
      <c r="E25" s="12">
        <v>44558</v>
      </c>
      <c r="F25" s="68" t="s">
        <v>58</v>
      </c>
      <c r="G25" s="12">
        <v>44565</v>
      </c>
      <c r="H25" s="69" t="s">
        <v>5561</v>
      </c>
      <c r="I25" s="15">
        <v>50</v>
      </c>
      <c r="J25" s="15">
        <v>31</v>
      </c>
      <c r="K25" s="15">
        <v>25</v>
      </c>
      <c r="L25" s="15">
        <v>12</v>
      </c>
      <c r="M25" s="73">
        <v>9.6875</v>
      </c>
      <c r="N25" s="104">
        <v>12</v>
      </c>
      <c r="O25" s="57">
        <v>7000</v>
      </c>
      <c r="P25" s="58">
        <f t="shared" si="0"/>
        <v>84000</v>
      </c>
    </row>
    <row r="26" spans="1:16" ht="26.25" customHeight="1" x14ac:dyDescent="0.2">
      <c r="A26" s="100"/>
      <c r="B26" s="100"/>
      <c r="C26" s="65" t="s">
        <v>5428</v>
      </c>
      <c r="D26" s="70" t="s">
        <v>57</v>
      </c>
      <c r="E26" s="12">
        <v>44558</v>
      </c>
      <c r="F26" s="68" t="s">
        <v>58</v>
      </c>
      <c r="G26" s="12">
        <v>44565</v>
      </c>
      <c r="H26" s="69" t="s">
        <v>5561</v>
      </c>
      <c r="I26" s="15">
        <v>58</v>
      </c>
      <c r="J26" s="15">
        <v>39</v>
      </c>
      <c r="K26" s="15">
        <v>25</v>
      </c>
      <c r="L26" s="15">
        <v>9</v>
      </c>
      <c r="M26" s="73">
        <v>14.137499999999999</v>
      </c>
      <c r="N26" s="104">
        <v>14.137499999999999</v>
      </c>
      <c r="O26" s="57">
        <v>7000</v>
      </c>
      <c r="P26" s="58">
        <f t="shared" si="0"/>
        <v>98962.5</v>
      </c>
    </row>
    <row r="27" spans="1:16" ht="26.25" customHeight="1" x14ac:dyDescent="0.2">
      <c r="A27" s="100"/>
      <c r="B27" s="100"/>
      <c r="C27" s="65" t="s">
        <v>5429</v>
      </c>
      <c r="D27" s="70" t="s">
        <v>57</v>
      </c>
      <c r="E27" s="12">
        <v>44558</v>
      </c>
      <c r="F27" s="68" t="s">
        <v>58</v>
      </c>
      <c r="G27" s="12">
        <v>44565</v>
      </c>
      <c r="H27" s="69" t="s">
        <v>5561</v>
      </c>
      <c r="I27" s="15">
        <v>50</v>
      </c>
      <c r="J27" s="15">
        <v>32</v>
      </c>
      <c r="K27" s="15">
        <v>5</v>
      </c>
      <c r="L27" s="15">
        <v>1</v>
      </c>
      <c r="M27" s="73">
        <v>2</v>
      </c>
      <c r="N27" s="104">
        <v>2</v>
      </c>
      <c r="O27" s="57">
        <v>7000</v>
      </c>
      <c r="P27" s="58">
        <f t="shared" si="0"/>
        <v>14000</v>
      </c>
    </row>
    <row r="28" spans="1:16" ht="26.25" customHeight="1" x14ac:dyDescent="0.2">
      <c r="A28" s="100"/>
      <c r="B28" s="100"/>
      <c r="C28" s="65" t="s">
        <v>5430</v>
      </c>
      <c r="D28" s="70" t="s">
        <v>57</v>
      </c>
      <c r="E28" s="12">
        <v>44558</v>
      </c>
      <c r="F28" s="68" t="s">
        <v>58</v>
      </c>
      <c r="G28" s="12">
        <v>44565</v>
      </c>
      <c r="H28" s="69" t="s">
        <v>5561</v>
      </c>
      <c r="I28" s="15">
        <v>46</v>
      </c>
      <c r="J28" s="15">
        <v>37</v>
      </c>
      <c r="K28" s="15">
        <v>21</v>
      </c>
      <c r="L28" s="15">
        <v>2</v>
      </c>
      <c r="M28" s="73">
        <v>8.9354999999999993</v>
      </c>
      <c r="N28" s="104">
        <v>8.9354999999999993</v>
      </c>
      <c r="O28" s="57">
        <v>7000</v>
      </c>
      <c r="P28" s="58">
        <f t="shared" si="0"/>
        <v>62548.499999999993</v>
      </c>
    </row>
    <row r="29" spans="1:16" ht="26.25" customHeight="1" x14ac:dyDescent="0.2">
      <c r="A29" s="100"/>
      <c r="B29" s="100"/>
      <c r="C29" s="65" t="s">
        <v>5431</v>
      </c>
      <c r="D29" s="70" t="s">
        <v>57</v>
      </c>
      <c r="E29" s="12">
        <v>44558</v>
      </c>
      <c r="F29" s="68" t="s">
        <v>58</v>
      </c>
      <c r="G29" s="12">
        <v>44565</v>
      </c>
      <c r="H29" s="69" t="s">
        <v>5561</v>
      </c>
      <c r="I29" s="15">
        <v>59</v>
      </c>
      <c r="J29" s="15">
        <v>30</v>
      </c>
      <c r="K29" s="15">
        <v>30</v>
      </c>
      <c r="L29" s="15">
        <v>7</v>
      </c>
      <c r="M29" s="73">
        <v>13.275</v>
      </c>
      <c r="N29" s="104">
        <v>13.275</v>
      </c>
      <c r="O29" s="57">
        <v>7000</v>
      </c>
      <c r="P29" s="58">
        <f t="shared" si="0"/>
        <v>92925</v>
      </c>
    </row>
    <row r="30" spans="1:16" ht="26.25" customHeight="1" x14ac:dyDescent="0.2">
      <c r="A30" s="100"/>
      <c r="B30" s="100"/>
      <c r="C30" s="65" t="s">
        <v>5432</v>
      </c>
      <c r="D30" s="70" t="s">
        <v>57</v>
      </c>
      <c r="E30" s="12">
        <v>44558</v>
      </c>
      <c r="F30" s="68" t="s">
        <v>58</v>
      </c>
      <c r="G30" s="12">
        <v>44565</v>
      </c>
      <c r="H30" s="69" t="s">
        <v>5561</v>
      </c>
      <c r="I30" s="15">
        <v>55</v>
      </c>
      <c r="J30" s="15">
        <v>46</v>
      </c>
      <c r="K30" s="15">
        <v>17</v>
      </c>
      <c r="L30" s="15">
        <v>8</v>
      </c>
      <c r="M30" s="73">
        <v>10.7525</v>
      </c>
      <c r="N30" s="104">
        <v>10.7525</v>
      </c>
      <c r="O30" s="57">
        <v>7000</v>
      </c>
      <c r="P30" s="58">
        <f t="shared" si="0"/>
        <v>75267.5</v>
      </c>
    </row>
    <row r="31" spans="1:16" ht="26.25" customHeight="1" x14ac:dyDescent="0.2">
      <c r="A31" s="100"/>
      <c r="B31" s="100"/>
      <c r="C31" s="65" t="s">
        <v>5433</v>
      </c>
      <c r="D31" s="70" t="s">
        <v>57</v>
      </c>
      <c r="E31" s="12">
        <v>44558</v>
      </c>
      <c r="F31" s="68" t="s">
        <v>58</v>
      </c>
      <c r="G31" s="12">
        <v>44565</v>
      </c>
      <c r="H31" s="69" t="s">
        <v>5561</v>
      </c>
      <c r="I31" s="15">
        <v>72</v>
      </c>
      <c r="J31" s="15">
        <v>50</v>
      </c>
      <c r="K31" s="15">
        <v>15</v>
      </c>
      <c r="L31" s="15">
        <v>4</v>
      </c>
      <c r="M31" s="73">
        <v>13.5</v>
      </c>
      <c r="N31" s="104">
        <v>15</v>
      </c>
      <c r="O31" s="57">
        <v>7000</v>
      </c>
      <c r="P31" s="58">
        <f t="shared" si="0"/>
        <v>105000</v>
      </c>
    </row>
    <row r="32" spans="1:16" ht="26.25" customHeight="1" x14ac:dyDescent="0.2">
      <c r="A32" s="100"/>
      <c r="B32" s="100"/>
      <c r="C32" s="65" t="s">
        <v>5434</v>
      </c>
      <c r="D32" s="70" t="s">
        <v>57</v>
      </c>
      <c r="E32" s="12">
        <v>44558</v>
      </c>
      <c r="F32" s="68" t="s">
        <v>58</v>
      </c>
      <c r="G32" s="12">
        <v>44565</v>
      </c>
      <c r="H32" s="69" t="s">
        <v>5561</v>
      </c>
      <c r="I32" s="15">
        <v>53</v>
      </c>
      <c r="J32" s="15">
        <v>40</v>
      </c>
      <c r="K32" s="15">
        <v>15</v>
      </c>
      <c r="L32" s="15">
        <v>11</v>
      </c>
      <c r="M32" s="73">
        <v>7.95</v>
      </c>
      <c r="N32" s="104">
        <v>11</v>
      </c>
      <c r="O32" s="57">
        <v>7000</v>
      </c>
      <c r="P32" s="58">
        <f t="shared" si="0"/>
        <v>77000</v>
      </c>
    </row>
    <row r="33" spans="1:16" ht="26.25" customHeight="1" x14ac:dyDescent="0.2">
      <c r="A33" s="100"/>
      <c r="B33" s="100"/>
      <c r="C33" s="65" t="s">
        <v>5435</v>
      </c>
      <c r="D33" s="70" t="s">
        <v>57</v>
      </c>
      <c r="E33" s="12">
        <v>44558</v>
      </c>
      <c r="F33" s="68" t="s">
        <v>58</v>
      </c>
      <c r="G33" s="12">
        <v>44565</v>
      </c>
      <c r="H33" s="69" t="s">
        <v>5561</v>
      </c>
      <c r="I33" s="15">
        <v>39</v>
      </c>
      <c r="J33" s="15">
        <v>36</v>
      </c>
      <c r="K33" s="15">
        <v>25</v>
      </c>
      <c r="L33" s="15">
        <v>9</v>
      </c>
      <c r="M33" s="73">
        <v>8.7750000000000004</v>
      </c>
      <c r="N33" s="104">
        <v>9</v>
      </c>
      <c r="O33" s="57">
        <v>7000</v>
      </c>
      <c r="P33" s="58">
        <f t="shared" si="0"/>
        <v>63000</v>
      </c>
    </row>
    <row r="34" spans="1:16" ht="26.25" customHeight="1" x14ac:dyDescent="0.2">
      <c r="A34" s="100"/>
      <c r="B34" s="100"/>
      <c r="C34" s="65" t="s">
        <v>5436</v>
      </c>
      <c r="D34" s="70" t="s">
        <v>57</v>
      </c>
      <c r="E34" s="12">
        <v>44558</v>
      </c>
      <c r="F34" s="68" t="s">
        <v>58</v>
      </c>
      <c r="G34" s="12">
        <v>44565</v>
      </c>
      <c r="H34" s="69" t="s">
        <v>5561</v>
      </c>
      <c r="I34" s="15">
        <v>53</v>
      </c>
      <c r="J34" s="15">
        <v>40</v>
      </c>
      <c r="K34" s="15">
        <v>30</v>
      </c>
      <c r="L34" s="15">
        <v>15</v>
      </c>
      <c r="M34" s="73">
        <v>15.9</v>
      </c>
      <c r="N34" s="104">
        <v>15.9</v>
      </c>
      <c r="O34" s="57">
        <v>7000</v>
      </c>
      <c r="P34" s="58">
        <f t="shared" si="0"/>
        <v>111300</v>
      </c>
    </row>
    <row r="35" spans="1:16" ht="26.25" customHeight="1" x14ac:dyDescent="0.2">
      <c r="A35" s="100"/>
      <c r="B35" s="100"/>
      <c r="C35" s="65" t="s">
        <v>5437</v>
      </c>
      <c r="D35" s="70" t="s">
        <v>57</v>
      </c>
      <c r="E35" s="12">
        <v>44558</v>
      </c>
      <c r="F35" s="68" t="s">
        <v>58</v>
      </c>
      <c r="G35" s="12">
        <v>44565</v>
      </c>
      <c r="H35" s="69" t="s">
        <v>5561</v>
      </c>
      <c r="I35" s="15">
        <v>55</v>
      </c>
      <c r="J35" s="15">
        <v>40</v>
      </c>
      <c r="K35" s="15">
        <v>26</v>
      </c>
      <c r="L35" s="15">
        <v>12</v>
      </c>
      <c r="M35" s="73">
        <v>14.3</v>
      </c>
      <c r="N35" s="104">
        <v>15</v>
      </c>
      <c r="O35" s="57">
        <v>7000</v>
      </c>
      <c r="P35" s="58">
        <f t="shared" si="0"/>
        <v>105000</v>
      </c>
    </row>
    <row r="36" spans="1:16" ht="26.25" customHeight="1" x14ac:dyDescent="0.2">
      <c r="A36" s="100"/>
      <c r="B36" s="100"/>
      <c r="C36" s="65" t="s">
        <v>5438</v>
      </c>
      <c r="D36" s="70" t="s">
        <v>57</v>
      </c>
      <c r="E36" s="12">
        <v>44558</v>
      </c>
      <c r="F36" s="68" t="s">
        <v>58</v>
      </c>
      <c r="G36" s="12">
        <v>44565</v>
      </c>
      <c r="H36" s="69" t="s">
        <v>5561</v>
      </c>
      <c r="I36" s="15">
        <v>70</v>
      </c>
      <c r="J36" s="15">
        <v>20</v>
      </c>
      <c r="K36" s="15">
        <v>20</v>
      </c>
      <c r="L36" s="15">
        <v>8</v>
      </c>
      <c r="M36" s="73">
        <v>7</v>
      </c>
      <c r="N36" s="104">
        <v>8</v>
      </c>
      <c r="O36" s="57">
        <v>7000</v>
      </c>
      <c r="P36" s="58">
        <f t="shared" si="0"/>
        <v>56000</v>
      </c>
    </row>
    <row r="37" spans="1:16" ht="26.25" customHeight="1" x14ac:dyDescent="0.2">
      <c r="A37" s="100"/>
      <c r="B37" s="100"/>
      <c r="C37" s="65" t="s">
        <v>5439</v>
      </c>
      <c r="D37" s="70" t="s">
        <v>57</v>
      </c>
      <c r="E37" s="12">
        <v>44558</v>
      </c>
      <c r="F37" s="68" t="s">
        <v>58</v>
      </c>
      <c r="G37" s="12">
        <v>44565</v>
      </c>
      <c r="H37" s="69" t="s">
        <v>5561</v>
      </c>
      <c r="I37" s="15">
        <v>41</v>
      </c>
      <c r="J37" s="15">
        <v>41</v>
      </c>
      <c r="K37" s="15">
        <v>31</v>
      </c>
      <c r="L37" s="15">
        <v>8</v>
      </c>
      <c r="M37" s="73">
        <v>13.027749999999999</v>
      </c>
      <c r="N37" s="104">
        <v>13.027749999999999</v>
      </c>
      <c r="O37" s="57">
        <v>7000</v>
      </c>
      <c r="P37" s="58">
        <f t="shared" si="0"/>
        <v>91194.25</v>
      </c>
    </row>
    <row r="38" spans="1:16" ht="26.25" customHeight="1" x14ac:dyDescent="0.2">
      <c r="A38" s="100"/>
      <c r="B38" s="100"/>
      <c r="C38" s="65" t="s">
        <v>5440</v>
      </c>
      <c r="D38" s="70" t="s">
        <v>57</v>
      </c>
      <c r="E38" s="12">
        <v>44558</v>
      </c>
      <c r="F38" s="68" t="s">
        <v>58</v>
      </c>
      <c r="G38" s="12">
        <v>44565</v>
      </c>
      <c r="H38" s="69" t="s">
        <v>5561</v>
      </c>
      <c r="I38" s="15">
        <v>37</v>
      </c>
      <c r="J38" s="15">
        <v>27</v>
      </c>
      <c r="K38" s="15">
        <v>22</v>
      </c>
      <c r="L38" s="15">
        <v>5</v>
      </c>
      <c r="M38" s="73">
        <v>5.4945000000000004</v>
      </c>
      <c r="N38" s="104">
        <v>6</v>
      </c>
      <c r="O38" s="57">
        <v>7000</v>
      </c>
      <c r="P38" s="58">
        <f t="shared" si="0"/>
        <v>42000</v>
      </c>
    </row>
    <row r="39" spans="1:16" ht="26.25" customHeight="1" x14ac:dyDescent="0.2">
      <c r="A39" s="100"/>
      <c r="B39" s="100"/>
      <c r="C39" s="65" t="s">
        <v>5441</v>
      </c>
      <c r="D39" s="70" t="s">
        <v>57</v>
      </c>
      <c r="E39" s="12">
        <v>44558</v>
      </c>
      <c r="F39" s="68" t="s">
        <v>58</v>
      </c>
      <c r="G39" s="12">
        <v>44565</v>
      </c>
      <c r="H39" s="69" t="s">
        <v>5561</v>
      </c>
      <c r="I39" s="15">
        <v>34</v>
      </c>
      <c r="J39" s="15">
        <v>34</v>
      </c>
      <c r="K39" s="15">
        <v>16</v>
      </c>
      <c r="L39" s="15">
        <v>3</v>
      </c>
      <c r="M39" s="73">
        <v>4.6239999999999997</v>
      </c>
      <c r="N39" s="104">
        <v>4.6239999999999997</v>
      </c>
      <c r="O39" s="57">
        <v>7000</v>
      </c>
      <c r="P39" s="58">
        <f t="shared" si="0"/>
        <v>32367.999999999996</v>
      </c>
    </row>
    <row r="40" spans="1:16" ht="26.25" customHeight="1" x14ac:dyDescent="0.2">
      <c r="A40" s="100"/>
      <c r="B40" s="100"/>
      <c r="C40" s="65" t="s">
        <v>5442</v>
      </c>
      <c r="D40" s="70" t="s">
        <v>57</v>
      </c>
      <c r="E40" s="12">
        <v>44558</v>
      </c>
      <c r="F40" s="68" t="s">
        <v>58</v>
      </c>
      <c r="G40" s="12">
        <v>44565</v>
      </c>
      <c r="H40" s="69" t="s">
        <v>5561</v>
      </c>
      <c r="I40" s="15">
        <v>55</v>
      </c>
      <c r="J40" s="15">
        <v>49</v>
      </c>
      <c r="K40" s="15">
        <v>24</v>
      </c>
      <c r="L40" s="15">
        <v>10</v>
      </c>
      <c r="M40" s="73">
        <v>16.170000000000002</v>
      </c>
      <c r="N40" s="104">
        <v>16.170000000000002</v>
      </c>
      <c r="O40" s="57">
        <v>7000</v>
      </c>
      <c r="P40" s="58">
        <f t="shared" si="0"/>
        <v>113190.00000000001</v>
      </c>
    </row>
    <row r="41" spans="1:16" ht="26.25" customHeight="1" x14ac:dyDescent="0.2">
      <c r="A41" s="100"/>
      <c r="B41" s="100"/>
      <c r="C41" s="65" t="s">
        <v>5443</v>
      </c>
      <c r="D41" s="70" t="s">
        <v>57</v>
      </c>
      <c r="E41" s="12">
        <v>44558</v>
      </c>
      <c r="F41" s="68" t="s">
        <v>58</v>
      </c>
      <c r="G41" s="12">
        <v>44565</v>
      </c>
      <c r="H41" s="69" t="s">
        <v>5561</v>
      </c>
      <c r="I41" s="15">
        <v>82</v>
      </c>
      <c r="J41" s="15">
        <v>40</v>
      </c>
      <c r="K41" s="15">
        <v>30</v>
      </c>
      <c r="L41" s="15">
        <v>26</v>
      </c>
      <c r="M41" s="73">
        <v>24.6</v>
      </c>
      <c r="N41" s="104">
        <v>26</v>
      </c>
      <c r="O41" s="57">
        <v>7000</v>
      </c>
      <c r="P41" s="58">
        <f t="shared" si="0"/>
        <v>182000</v>
      </c>
    </row>
    <row r="42" spans="1:16" ht="26.25" customHeight="1" x14ac:dyDescent="0.2">
      <c r="A42" s="100"/>
      <c r="B42" s="100"/>
      <c r="C42" s="65" t="s">
        <v>5444</v>
      </c>
      <c r="D42" s="70" t="s">
        <v>57</v>
      </c>
      <c r="E42" s="12">
        <v>44558</v>
      </c>
      <c r="F42" s="68" t="s">
        <v>58</v>
      </c>
      <c r="G42" s="12">
        <v>44565</v>
      </c>
      <c r="H42" s="69" t="s">
        <v>5561</v>
      </c>
      <c r="I42" s="15">
        <v>84</v>
      </c>
      <c r="J42" s="15">
        <v>32</v>
      </c>
      <c r="K42" s="15">
        <v>13</v>
      </c>
      <c r="L42" s="15">
        <v>3</v>
      </c>
      <c r="M42" s="73">
        <v>8.7360000000000007</v>
      </c>
      <c r="N42" s="104">
        <v>8.7360000000000007</v>
      </c>
      <c r="O42" s="57">
        <v>7000</v>
      </c>
      <c r="P42" s="58">
        <f t="shared" si="0"/>
        <v>61152.000000000007</v>
      </c>
    </row>
    <row r="43" spans="1:16" ht="26.25" customHeight="1" x14ac:dyDescent="0.2">
      <c r="A43" s="100"/>
      <c r="B43" s="100"/>
      <c r="C43" s="65" t="s">
        <v>5445</v>
      </c>
      <c r="D43" s="70" t="s">
        <v>57</v>
      </c>
      <c r="E43" s="12">
        <v>44558</v>
      </c>
      <c r="F43" s="68" t="s">
        <v>58</v>
      </c>
      <c r="G43" s="12">
        <v>44565</v>
      </c>
      <c r="H43" s="69" t="s">
        <v>5561</v>
      </c>
      <c r="I43" s="15">
        <v>35</v>
      </c>
      <c r="J43" s="15">
        <v>20</v>
      </c>
      <c r="K43" s="15">
        <v>9</v>
      </c>
      <c r="L43" s="15">
        <v>9</v>
      </c>
      <c r="M43" s="73">
        <v>1.575</v>
      </c>
      <c r="N43" s="104">
        <v>9</v>
      </c>
      <c r="O43" s="57">
        <v>7000</v>
      </c>
      <c r="P43" s="58">
        <f t="shared" si="0"/>
        <v>63000</v>
      </c>
    </row>
    <row r="44" spans="1:16" ht="26.25" customHeight="1" x14ac:dyDescent="0.2">
      <c r="A44" s="100"/>
      <c r="B44" s="100"/>
      <c r="C44" s="65" t="s">
        <v>5446</v>
      </c>
      <c r="D44" s="70" t="s">
        <v>57</v>
      </c>
      <c r="E44" s="12">
        <v>44558</v>
      </c>
      <c r="F44" s="68" t="s">
        <v>58</v>
      </c>
      <c r="G44" s="12">
        <v>44565</v>
      </c>
      <c r="H44" s="69" t="s">
        <v>5561</v>
      </c>
      <c r="I44" s="15">
        <v>35</v>
      </c>
      <c r="J44" s="15">
        <v>30</v>
      </c>
      <c r="K44" s="15">
        <v>26</v>
      </c>
      <c r="L44" s="15">
        <v>4</v>
      </c>
      <c r="M44" s="73">
        <v>6.8250000000000002</v>
      </c>
      <c r="N44" s="104">
        <v>6.8250000000000002</v>
      </c>
      <c r="O44" s="57">
        <v>7000</v>
      </c>
      <c r="P44" s="58">
        <f t="shared" si="0"/>
        <v>47775</v>
      </c>
    </row>
    <row r="45" spans="1:16" ht="26.25" customHeight="1" x14ac:dyDescent="0.2">
      <c r="A45" s="100"/>
      <c r="B45" s="100"/>
      <c r="C45" s="65" t="s">
        <v>5447</v>
      </c>
      <c r="D45" s="70" t="s">
        <v>57</v>
      </c>
      <c r="E45" s="12">
        <v>44558</v>
      </c>
      <c r="F45" s="68" t="s">
        <v>58</v>
      </c>
      <c r="G45" s="12">
        <v>44565</v>
      </c>
      <c r="H45" s="69" t="s">
        <v>5561</v>
      </c>
      <c r="I45" s="15">
        <v>51</v>
      </c>
      <c r="J45" s="15">
        <v>36</v>
      </c>
      <c r="K45" s="15">
        <v>23</v>
      </c>
      <c r="L45" s="15">
        <v>10</v>
      </c>
      <c r="M45" s="73">
        <v>10.557</v>
      </c>
      <c r="N45" s="104">
        <v>10.557</v>
      </c>
      <c r="O45" s="57">
        <v>7000</v>
      </c>
      <c r="P45" s="58">
        <f t="shared" si="0"/>
        <v>73899</v>
      </c>
    </row>
    <row r="46" spans="1:16" ht="26.25" customHeight="1" x14ac:dyDescent="0.2">
      <c r="A46" s="100"/>
      <c r="B46" s="100"/>
      <c r="C46" s="65" t="s">
        <v>5448</v>
      </c>
      <c r="D46" s="70" t="s">
        <v>57</v>
      </c>
      <c r="E46" s="12">
        <v>44558</v>
      </c>
      <c r="F46" s="68" t="s">
        <v>58</v>
      </c>
      <c r="G46" s="12">
        <v>44565</v>
      </c>
      <c r="H46" s="69" t="s">
        <v>5561</v>
      </c>
      <c r="I46" s="15">
        <v>35</v>
      </c>
      <c r="J46" s="15">
        <v>28</v>
      </c>
      <c r="K46" s="15">
        <v>28</v>
      </c>
      <c r="L46" s="15">
        <v>5</v>
      </c>
      <c r="M46" s="73">
        <v>6.86</v>
      </c>
      <c r="N46" s="104">
        <v>6.86</v>
      </c>
      <c r="O46" s="57">
        <v>7000</v>
      </c>
      <c r="P46" s="58">
        <f t="shared" si="0"/>
        <v>48020</v>
      </c>
    </row>
    <row r="47" spans="1:16" ht="26.25" customHeight="1" x14ac:dyDescent="0.2">
      <c r="A47" s="100"/>
      <c r="B47" s="100"/>
      <c r="C47" s="65" t="s">
        <v>5449</v>
      </c>
      <c r="D47" s="70" t="s">
        <v>57</v>
      </c>
      <c r="E47" s="12">
        <v>44558</v>
      </c>
      <c r="F47" s="68" t="s">
        <v>58</v>
      </c>
      <c r="G47" s="12">
        <v>44565</v>
      </c>
      <c r="H47" s="69" t="s">
        <v>5561</v>
      </c>
      <c r="I47" s="15">
        <v>35</v>
      </c>
      <c r="J47" s="15">
        <v>35</v>
      </c>
      <c r="K47" s="15">
        <v>37</v>
      </c>
      <c r="L47" s="15">
        <v>6</v>
      </c>
      <c r="M47" s="73">
        <v>11.331250000000001</v>
      </c>
      <c r="N47" s="104">
        <v>12</v>
      </c>
      <c r="O47" s="57">
        <v>7000</v>
      </c>
      <c r="P47" s="58">
        <f t="shared" si="0"/>
        <v>84000</v>
      </c>
    </row>
    <row r="48" spans="1:16" ht="26.25" customHeight="1" x14ac:dyDescent="0.2">
      <c r="A48" s="100"/>
      <c r="B48" s="100"/>
      <c r="C48" s="65" t="s">
        <v>5450</v>
      </c>
      <c r="D48" s="70" t="s">
        <v>57</v>
      </c>
      <c r="E48" s="12">
        <v>44558</v>
      </c>
      <c r="F48" s="68" t="s">
        <v>58</v>
      </c>
      <c r="G48" s="12">
        <v>44565</v>
      </c>
      <c r="H48" s="69" t="s">
        <v>5561</v>
      </c>
      <c r="I48" s="15">
        <v>160</v>
      </c>
      <c r="J48" s="15">
        <v>35</v>
      </c>
      <c r="K48" s="15">
        <v>18</v>
      </c>
      <c r="L48" s="15">
        <v>15</v>
      </c>
      <c r="M48" s="73">
        <v>25.2</v>
      </c>
      <c r="N48" s="104">
        <v>25.2</v>
      </c>
      <c r="O48" s="57">
        <v>7000</v>
      </c>
      <c r="P48" s="58">
        <f t="shared" si="0"/>
        <v>176400</v>
      </c>
    </row>
    <row r="49" spans="1:16" ht="26.25" customHeight="1" x14ac:dyDescent="0.2">
      <c r="A49" s="100"/>
      <c r="B49" s="100"/>
      <c r="C49" s="65" t="s">
        <v>5451</v>
      </c>
      <c r="D49" s="70" t="s">
        <v>57</v>
      </c>
      <c r="E49" s="12">
        <v>44558</v>
      </c>
      <c r="F49" s="68" t="s">
        <v>58</v>
      </c>
      <c r="G49" s="12">
        <v>44565</v>
      </c>
      <c r="H49" s="69" t="s">
        <v>5561</v>
      </c>
      <c r="I49" s="15">
        <v>70</v>
      </c>
      <c r="J49" s="15">
        <v>37</v>
      </c>
      <c r="K49" s="15">
        <v>25</v>
      </c>
      <c r="L49" s="15">
        <v>4</v>
      </c>
      <c r="M49" s="73">
        <v>16.1875</v>
      </c>
      <c r="N49" s="104">
        <v>16.1875</v>
      </c>
      <c r="O49" s="57">
        <v>7000</v>
      </c>
      <c r="P49" s="58">
        <f t="shared" si="0"/>
        <v>113312.5</v>
      </c>
    </row>
    <row r="50" spans="1:16" ht="26.25" customHeight="1" x14ac:dyDescent="0.2">
      <c r="A50" s="100"/>
      <c r="B50" s="100"/>
      <c r="C50" s="65" t="s">
        <v>5452</v>
      </c>
      <c r="D50" s="70" t="s">
        <v>57</v>
      </c>
      <c r="E50" s="12">
        <v>44558</v>
      </c>
      <c r="F50" s="68" t="s">
        <v>58</v>
      </c>
      <c r="G50" s="12">
        <v>44565</v>
      </c>
      <c r="H50" s="69" t="s">
        <v>5561</v>
      </c>
      <c r="I50" s="15">
        <v>86</v>
      </c>
      <c r="J50" s="15">
        <v>30</v>
      </c>
      <c r="K50" s="15">
        <v>23</v>
      </c>
      <c r="L50" s="15">
        <v>9</v>
      </c>
      <c r="M50" s="73">
        <v>14.835000000000001</v>
      </c>
      <c r="N50" s="104">
        <v>14.835000000000001</v>
      </c>
      <c r="O50" s="57">
        <v>7000</v>
      </c>
      <c r="P50" s="58">
        <f t="shared" si="0"/>
        <v>103845</v>
      </c>
    </row>
    <row r="51" spans="1:16" ht="26.25" customHeight="1" x14ac:dyDescent="0.2">
      <c r="A51" s="100"/>
      <c r="B51" s="100"/>
      <c r="C51" s="65" t="s">
        <v>5453</v>
      </c>
      <c r="D51" s="70" t="s">
        <v>57</v>
      </c>
      <c r="E51" s="12">
        <v>44558</v>
      </c>
      <c r="F51" s="68" t="s">
        <v>58</v>
      </c>
      <c r="G51" s="12">
        <v>44565</v>
      </c>
      <c r="H51" s="69" t="s">
        <v>5561</v>
      </c>
      <c r="I51" s="15">
        <v>99</v>
      </c>
      <c r="J51" s="15">
        <v>42</v>
      </c>
      <c r="K51" s="15">
        <v>20</v>
      </c>
      <c r="L51" s="15">
        <v>10</v>
      </c>
      <c r="M51" s="73">
        <v>20.79</v>
      </c>
      <c r="N51" s="104">
        <v>20.79</v>
      </c>
      <c r="O51" s="57">
        <v>7000</v>
      </c>
      <c r="P51" s="58">
        <f t="shared" si="0"/>
        <v>145530</v>
      </c>
    </row>
    <row r="52" spans="1:16" ht="26.25" customHeight="1" x14ac:dyDescent="0.2">
      <c r="A52" s="100"/>
      <c r="B52" s="100"/>
      <c r="C52" s="65" t="s">
        <v>5454</v>
      </c>
      <c r="D52" s="70" t="s">
        <v>57</v>
      </c>
      <c r="E52" s="12">
        <v>44558</v>
      </c>
      <c r="F52" s="68" t="s">
        <v>58</v>
      </c>
      <c r="G52" s="12">
        <v>44565</v>
      </c>
      <c r="H52" s="69" t="s">
        <v>5561</v>
      </c>
      <c r="I52" s="15">
        <v>44</v>
      </c>
      <c r="J52" s="15">
        <v>40</v>
      </c>
      <c r="K52" s="15">
        <v>30</v>
      </c>
      <c r="L52" s="15">
        <v>3</v>
      </c>
      <c r="M52" s="73">
        <v>13.2</v>
      </c>
      <c r="N52" s="104">
        <v>13.2</v>
      </c>
      <c r="O52" s="57">
        <v>7000</v>
      </c>
      <c r="P52" s="58">
        <f t="shared" si="0"/>
        <v>92400</v>
      </c>
    </row>
    <row r="53" spans="1:16" ht="26.25" customHeight="1" x14ac:dyDescent="0.2">
      <c r="A53" s="100"/>
      <c r="B53" s="100"/>
      <c r="C53" s="65" t="s">
        <v>5455</v>
      </c>
      <c r="D53" s="70" t="s">
        <v>57</v>
      </c>
      <c r="E53" s="12">
        <v>44558</v>
      </c>
      <c r="F53" s="68" t="s">
        <v>58</v>
      </c>
      <c r="G53" s="12">
        <v>44565</v>
      </c>
      <c r="H53" s="69" t="s">
        <v>5561</v>
      </c>
      <c r="I53" s="15">
        <v>100</v>
      </c>
      <c r="J53" s="15">
        <v>18</v>
      </c>
      <c r="K53" s="15">
        <v>18</v>
      </c>
      <c r="L53" s="15">
        <v>10</v>
      </c>
      <c r="M53" s="73">
        <v>8.1</v>
      </c>
      <c r="N53" s="104">
        <v>10</v>
      </c>
      <c r="O53" s="57">
        <v>7000</v>
      </c>
      <c r="P53" s="58">
        <f t="shared" si="0"/>
        <v>70000</v>
      </c>
    </row>
    <row r="54" spans="1:16" ht="26.25" customHeight="1" x14ac:dyDescent="0.2">
      <c r="A54" s="100"/>
      <c r="B54" s="100"/>
      <c r="C54" s="65" t="s">
        <v>5456</v>
      </c>
      <c r="D54" s="70" t="s">
        <v>57</v>
      </c>
      <c r="E54" s="12">
        <v>44558</v>
      </c>
      <c r="F54" s="68" t="s">
        <v>58</v>
      </c>
      <c r="G54" s="12">
        <v>44565</v>
      </c>
      <c r="H54" s="69" t="s">
        <v>5561</v>
      </c>
      <c r="I54" s="15">
        <v>34</v>
      </c>
      <c r="J54" s="15">
        <v>30</v>
      </c>
      <c r="K54" s="15">
        <v>30</v>
      </c>
      <c r="L54" s="15">
        <v>4</v>
      </c>
      <c r="M54" s="73">
        <v>7.65</v>
      </c>
      <c r="N54" s="104">
        <v>7.65</v>
      </c>
      <c r="O54" s="57">
        <v>7000</v>
      </c>
      <c r="P54" s="58">
        <f t="shared" si="0"/>
        <v>53550</v>
      </c>
    </row>
    <row r="55" spans="1:16" ht="26.25" customHeight="1" x14ac:dyDescent="0.2">
      <c r="A55" s="100"/>
      <c r="B55" s="100"/>
      <c r="C55" s="65" t="s">
        <v>5457</v>
      </c>
      <c r="D55" s="70" t="s">
        <v>57</v>
      </c>
      <c r="E55" s="12">
        <v>44558</v>
      </c>
      <c r="F55" s="68" t="s">
        <v>58</v>
      </c>
      <c r="G55" s="12">
        <v>44565</v>
      </c>
      <c r="H55" s="69" t="s">
        <v>5561</v>
      </c>
      <c r="I55" s="15">
        <v>159</v>
      </c>
      <c r="J55" s="15">
        <v>42</v>
      </c>
      <c r="K55" s="15">
        <v>18</v>
      </c>
      <c r="L55" s="15">
        <v>10</v>
      </c>
      <c r="M55" s="73">
        <v>30.050999999999998</v>
      </c>
      <c r="N55" s="104">
        <v>30.050999999999998</v>
      </c>
      <c r="O55" s="57">
        <v>7000</v>
      </c>
      <c r="P55" s="58">
        <f t="shared" si="0"/>
        <v>210357</v>
      </c>
    </row>
    <row r="56" spans="1:16" ht="26.25" customHeight="1" x14ac:dyDescent="0.2">
      <c r="A56" s="100"/>
      <c r="B56" s="100"/>
      <c r="C56" s="65" t="s">
        <v>5458</v>
      </c>
      <c r="D56" s="70" t="s">
        <v>57</v>
      </c>
      <c r="E56" s="12">
        <v>44558</v>
      </c>
      <c r="F56" s="68" t="s">
        <v>58</v>
      </c>
      <c r="G56" s="12">
        <v>44565</v>
      </c>
      <c r="H56" s="69" t="s">
        <v>5561</v>
      </c>
      <c r="I56" s="15">
        <v>95</v>
      </c>
      <c r="J56" s="15">
        <v>11</v>
      </c>
      <c r="K56" s="15">
        <v>9</v>
      </c>
      <c r="L56" s="15">
        <v>1</v>
      </c>
      <c r="M56" s="73">
        <v>2.3512499999999998</v>
      </c>
      <c r="N56" s="104">
        <v>3</v>
      </c>
      <c r="O56" s="57">
        <v>7000</v>
      </c>
      <c r="P56" s="58">
        <f t="shared" si="0"/>
        <v>21000</v>
      </c>
    </row>
    <row r="57" spans="1:16" ht="26.25" customHeight="1" x14ac:dyDescent="0.2">
      <c r="A57" s="100"/>
      <c r="B57" s="100"/>
      <c r="C57" s="65" t="s">
        <v>5459</v>
      </c>
      <c r="D57" s="70" t="s">
        <v>57</v>
      </c>
      <c r="E57" s="12">
        <v>44558</v>
      </c>
      <c r="F57" s="68" t="s">
        <v>58</v>
      </c>
      <c r="G57" s="12">
        <v>44565</v>
      </c>
      <c r="H57" s="69" t="s">
        <v>5561</v>
      </c>
      <c r="I57" s="15">
        <v>100</v>
      </c>
      <c r="J57" s="15">
        <v>23</v>
      </c>
      <c r="K57" s="15">
        <v>56</v>
      </c>
      <c r="L57" s="15">
        <v>21</v>
      </c>
      <c r="M57" s="73">
        <v>32.200000000000003</v>
      </c>
      <c r="N57" s="104">
        <v>32.200000000000003</v>
      </c>
      <c r="O57" s="57">
        <v>7000</v>
      </c>
      <c r="P57" s="58">
        <f t="shared" si="0"/>
        <v>225400.00000000003</v>
      </c>
    </row>
    <row r="58" spans="1:16" ht="26.25" customHeight="1" x14ac:dyDescent="0.2">
      <c r="A58" s="100"/>
      <c r="B58" s="100"/>
      <c r="C58" s="65" t="s">
        <v>5460</v>
      </c>
      <c r="D58" s="70" t="s">
        <v>57</v>
      </c>
      <c r="E58" s="12">
        <v>44558</v>
      </c>
      <c r="F58" s="68" t="s">
        <v>58</v>
      </c>
      <c r="G58" s="12">
        <v>44565</v>
      </c>
      <c r="H58" s="69" t="s">
        <v>5561</v>
      </c>
      <c r="I58" s="15">
        <v>74</v>
      </c>
      <c r="J58" s="15">
        <v>34</v>
      </c>
      <c r="K58" s="15">
        <v>14</v>
      </c>
      <c r="L58" s="15">
        <v>6</v>
      </c>
      <c r="M58" s="73">
        <v>8.8059999999999992</v>
      </c>
      <c r="N58" s="104">
        <v>8.8059999999999992</v>
      </c>
      <c r="O58" s="57">
        <v>7000</v>
      </c>
      <c r="P58" s="58">
        <f t="shared" si="0"/>
        <v>61641.999999999993</v>
      </c>
    </row>
    <row r="59" spans="1:16" ht="26.25" customHeight="1" x14ac:dyDescent="0.2">
      <c r="A59" s="100"/>
      <c r="B59" s="100"/>
      <c r="C59" s="65" t="s">
        <v>5461</v>
      </c>
      <c r="D59" s="70" t="s">
        <v>57</v>
      </c>
      <c r="E59" s="12">
        <v>44558</v>
      </c>
      <c r="F59" s="68" t="s">
        <v>58</v>
      </c>
      <c r="G59" s="12">
        <v>44565</v>
      </c>
      <c r="H59" s="69" t="s">
        <v>5561</v>
      </c>
      <c r="I59" s="15">
        <v>101</v>
      </c>
      <c r="J59" s="15">
        <v>33</v>
      </c>
      <c r="K59" s="15">
        <v>16</v>
      </c>
      <c r="L59" s="15">
        <v>10</v>
      </c>
      <c r="M59" s="73">
        <v>13.332000000000001</v>
      </c>
      <c r="N59" s="104">
        <v>14</v>
      </c>
      <c r="O59" s="57">
        <v>7000</v>
      </c>
      <c r="P59" s="58">
        <f t="shared" si="0"/>
        <v>98000</v>
      </c>
    </row>
    <row r="60" spans="1:16" ht="26.25" customHeight="1" x14ac:dyDescent="0.2">
      <c r="A60" s="100"/>
      <c r="B60" s="100"/>
      <c r="C60" s="65" t="s">
        <v>5462</v>
      </c>
      <c r="D60" s="70" t="s">
        <v>57</v>
      </c>
      <c r="E60" s="12">
        <v>44558</v>
      </c>
      <c r="F60" s="68" t="s">
        <v>58</v>
      </c>
      <c r="G60" s="12">
        <v>44565</v>
      </c>
      <c r="H60" s="69" t="s">
        <v>5561</v>
      </c>
      <c r="I60" s="15">
        <v>63</v>
      </c>
      <c r="J60" s="15">
        <v>41</v>
      </c>
      <c r="K60" s="15">
        <v>24</v>
      </c>
      <c r="L60" s="15">
        <v>12</v>
      </c>
      <c r="M60" s="73">
        <v>15.497999999999999</v>
      </c>
      <c r="N60" s="104">
        <v>16</v>
      </c>
      <c r="O60" s="57">
        <v>7000</v>
      </c>
      <c r="P60" s="58">
        <f t="shared" si="0"/>
        <v>112000</v>
      </c>
    </row>
    <row r="61" spans="1:16" ht="26.25" customHeight="1" x14ac:dyDescent="0.2">
      <c r="A61" s="100"/>
      <c r="B61" s="100"/>
      <c r="C61" s="65" t="s">
        <v>5463</v>
      </c>
      <c r="D61" s="70" t="s">
        <v>57</v>
      </c>
      <c r="E61" s="12">
        <v>44558</v>
      </c>
      <c r="F61" s="68" t="s">
        <v>58</v>
      </c>
      <c r="G61" s="12">
        <v>44565</v>
      </c>
      <c r="H61" s="69" t="s">
        <v>5561</v>
      </c>
      <c r="I61" s="15">
        <v>50</v>
      </c>
      <c r="J61" s="15">
        <v>45</v>
      </c>
      <c r="K61" s="15">
        <v>24</v>
      </c>
      <c r="L61" s="15">
        <v>20</v>
      </c>
      <c r="M61" s="73">
        <v>13.5</v>
      </c>
      <c r="N61" s="104">
        <v>21</v>
      </c>
      <c r="O61" s="57">
        <v>7000</v>
      </c>
      <c r="P61" s="58">
        <f t="shared" si="0"/>
        <v>147000</v>
      </c>
    </row>
    <row r="62" spans="1:16" ht="26.25" customHeight="1" x14ac:dyDescent="0.2">
      <c r="A62" s="100"/>
      <c r="B62" s="100"/>
      <c r="C62" s="65" t="s">
        <v>5464</v>
      </c>
      <c r="D62" s="70" t="s">
        <v>57</v>
      </c>
      <c r="E62" s="12">
        <v>44558</v>
      </c>
      <c r="F62" s="68" t="s">
        <v>58</v>
      </c>
      <c r="G62" s="12">
        <v>44565</v>
      </c>
      <c r="H62" s="69" t="s">
        <v>5561</v>
      </c>
      <c r="I62" s="15">
        <v>30</v>
      </c>
      <c r="J62" s="15">
        <v>16</v>
      </c>
      <c r="K62" s="15">
        <v>14</v>
      </c>
      <c r="L62" s="15">
        <v>6</v>
      </c>
      <c r="M62" s="73">
        <v>1.68</v>
      </c>
      <c r="N62" s="104">
        <v>6</v>
      </c>
      <c r="O62" s="57">
        <v>7000</v>
      </c>
      <c r="P62" s="58">
        <f t="shared" si="0"/>
        <v>42000</v>
      </c>
    </row>
    <row r="63" spans="1:16" ht="26.25" customHeight="1" x14ac:dyDescent="0.2">
      <c r="A63" s="100"/>
      <c r="B63" s="100"/>
      <c r="C63" s="65" t="s">
        <v>5465</v>
      </c>
      <c r="D63" s="70" t="s">
        <v>57</v>
      </c>
      <c r="E63" s="12">
        <v>44558</v>
      </c>
      <c r="F63" s="68" t="s">
        <v>58</v>
      </c>
      <c r="G63" s="12">
        <v>44565</v>
      </c>
      <c r="H63" s="69" t="s">
        <v>5561</v>
      </c>
      <c r="I63" s="15">
        <v>50</v>
      </c>
      <c r="J63" s="15">
        <v>44</v>
      </c>
      <c r="K63" s="15">
        <v>32</v>
      </c>
      <c r="L63" s="15">
        <v>10</v>
      </c>
      <c r="M63" s="73">
        <v>17.600000000000001</v>
      </c>
      <c r="N63" s="104">
        <v>17.600000000000001</v>
      </c>
      <c r="O63" s="57">
        <v>7000</v>
      </c>
      <c r="P63" s="58">
        <f t="shared" si="0"/>
        <v>123200.00000000001</v>
      </c>
    </row>
    <row r="64" spans="1:16" ht="26.25" customHeight="1" x14ac:dyDescent="0.2">
      <c r="A64" s="100"/>
      <c r="B64" s="100"/>
      <c r="C64" s="65" t="s">
        <v>5466</v>
      </c>
      <c r="D64" s="70" t="s">
        <v>57</v>
      </c>
      <c r="E64" s="12">
        <v>44558</v>
      </c>
      <c r="F64" s="68" t="s">
        <v>58</v>
      </c>
      <c r="G64" s="12">
        <v>44565</v>
      </c>
      <c r="H64" s="69" t="s">
        <v>5561</v>
      </c>
      <c r="I64" s="15">
        <v>48</v>
      </c>
      <c r="J64" s="15">
        <v>37</v>
      </c>
      <c r="K64" s="15">
        <v>24</v>
      </c>
      <c r="L64" s="15">
        <v>5</v>
      </c>
      <c r="M64" s="73">
        <v>10.656000000000001</v>
      </c>
      <c r="N64" s="104">
        <v>10.656000000000001</v>
      </c>
      <c r="O64" s="57">
        <v>7000</v>
      </c>
      <c r="P64" s="58">
        <f t="shared" si="0"/>
        <v>74592</v>
      </c>
    </row>
    <row r="65" spans="1:16" ht="26.25" customHeight="1" x14ac:dyDescent="0.2">
      <c r="A65" s="100"/>
      <c r="B65" s="100"/>
      <c r="C65" s="65" t="s">
        <v>5467</v>
      </c>
      <c r="D65" s="70" t="s">
        <v>57</v>
      </c>
      <c r="E65" s="12">
        <v>44558</v>
      </c>
      <c r="F65" s="68" t="s">
        <v>58</v>
      </c>
      <c r="G65" s="12">
        <v>44565</v>
      </c>
      <c r="H65" s="69" t="s">
        <v>5561</v>
      </c>
      <c r="I65" s="15">
        <v>50</v>
      </c>
      <c r="J65" s="15">
        <v>48</v>
      </c>
      <c r="K65" s="15">
        <v>24</v>
      </c>
      <c r="L65" s="15">
        <v>11</v>
      </c>
      <c r="M65" s="73">
        <v>14.4</v>
      </c>
      <c r="N65" s="104">
        <v>15</v>
      </c>
      <c r="O65" s="57">
        <v>7000</v>
      </c>
      <c r="P65" s="58">
        <f t="shared" si="0"/>
        <v>105000</v>
      </c>
    </row>
    <row r="66" spans="1:16" ht="26.25" customHeight="1" x14ac:dyDescent="0.2">
      <c r="A66" s="100"/>
      <c r="B66" s="100"/>
      <c r="C66" s="65" t="s">
        <v>5468</v>
      </c>
      <c r="D66" s="70" t="s">
        <v>57</v>
      </c>
      <c r="E66" s="12">
        <v>44558</v>
      </c>
      <c r="F66" s="68" t="s">
        <v>58</v>
      </c>
      <c r="G66" s="12">
        <v>44565</v>
      </c>
      <c r="H66" s="69" t="s">
        <v>5561</v>
      </c>
      <c r="I66" s="15">
        <v>43</v>
      </c>
      <c r="J66" s="15">
        <v>25</v>
      </c>
      <c r="K66" s="15">
        <v>20</v>
      </c>
      <c r="L66" s="15">
        <v>8</v>
      </c>
      <c r="M66" s="73">
        <v>5.375</v>
      </c>
      <c r="N66" s="104">
        <v>9</v>
      </c>
      <c r="O66" s="57">
        <v>7000</v>
      </c>
      <c r="P66" s="58">
        <f t="shared" si="0"/>
        <v>63000</v>
      </c>
    </row>
    <row r="67" spans="1:16" ht="26.25" customHeight="1" x14ac:dyDescent="0.2">
      <c r="A67" s="100"/>
      <c r="B67" s="100"/>
      <c r="C67" s="65" t="s">
        <v>5469</v>
      </c>
      <c r="D67" s="70" t="s">
        <v>57</v>
      </c>
      <c r="E67" s="12">
        <v>44558</v>
      </c>
      <c r="F67" s="68" t="s">
        <v>58</v>
      </c>
      <c r="G67" s="12">
        <v>44565</v>
      </c>
      <c r="H67" s="69" t="s">
        <v>5561</v>
      </c>
      <c r="I67" s="15">
        <v>43</v>
      </c>
      <c r="J67" s="15">
        <v>29</v>
      </c>
      <c r="K67" s="15">
        <v>40</v>
      </c>
      <c r="L67" s="15">
        <v>14</v>
      </c>
      <c r="M67" s="73">
        <v>12.47</v>
      </c>
      <c r="N67" s="104">
        <v>15</v>
      </c>
      <c r="O67" s="57">
        <v>7000</v>
      </c>
      <c r="P67" s="58">
        <f t="shared" ref="P67:P130" si="1">N67*O67</f>
        <v>105000</v>
      </c>
    </row>
    <row r="68" spans="1:16" ht="26.25" customHeight="1" x14ac:dyDescent="0.2">
      <c r="A68" s="100"/>
      <c r="B68" s="100"/>
      <c r="C68" s="65" t="s">
        <v>5470</v>
      </c>
      <c r="D68" s="70" t="s">
        <v>57</v>
      </c>
      <c r="E68" s="12">
        <v>44558</v>
      </c>
      <c r="F68" s="68" t="s">
        <v>58</v>
      </c>
      <c r="G68" s="12">
        <v>44565</v>
      </c>
      <c r="H68" s="69" t="s">
        <v>5561</v>
      </c>
      <c r="I68" s="15">
        <v>37</v>
      </c>
      <c r="J68" s="15">
        <v>26</v>
      </c>
      <c r="K68" s="15">
        <v>26</v>
      </c>
      <c r="L68" s="15">
        <v>4</v>
      </c>
      <c r="M68" s="73">
        <v>6.2530000000000001</v>
      </c>
      <c r="N68" s="104">
        <v>6.2530000000000001</v>
      </c>
      <c r="O68" s="57">
        <v>7000</v>
      </c>
      <c r="P68" s="58">
        <f t="shared" si="1"/>
        <v>43771</v>
      </c>
    </row>
    <row r="69" spans="1:16" ht="26.25" customHeight="1" x14ac:dyDescent="0.2">
      <c r="A69" s="100"/>
      <c r="B69" s="100"/>
      <c r="C69" s="65" t="s">
        <v>5471</v>
      </c>
      <c r="D69" s="70" t="s">
        <v>57</v>
      </c>
      <c r="E69" s="12">
        <v>44558</v>
      </c>
      <c r="F69" s="68" t="s">
        <v>58</v>
      </c>
      <c r="G69" s="12">
        <v>44565</v>
      </c>
      <c r="H69" s="69" t="s">
        <v>5561</v>
      </c>
      <c r="I69" s="15">
        <v>78</v>
      </c>
      <c r="J69" s="15">
        <v>51</v>
      </c>
      <c r="K69" s="15">
        <v>35</v>
      </c>
      <c r="L69" s="15">
        <v>18</v>
      </c>
      <c r="M69" s="73">
        <v>34.807499999999997</v>
      </c>
      <c r="N69" s="104">
        <v>34.807499999999997</v>
      </c>
      <c r="O69" s="57">
        <v>7000</v>
      </c>
      <c r="P69" s="58">
        <f t="shared" si="1"/>
        <v>243652.49999999997</v>
      </c>
    </row>
    <row r="70" spans="1:16" ht="26.25" customHeight="1" x14ac:dyDescent="0.2">
      <c r="A70" s="100"/>
      <c r="B70" s="100"/>
      <c r="C70" s="65" t="s">
        <v>5472</v>
      </c>
      <c r="D70" s="70" t="s">
        <v>57</v>
      </c>
      <c r="E70" s="12">
        <v>44558</v>
      </c>
      <c r="F70" s="68" t="s">
        <v>58</v>
      </c>
      <c r="G70" s="12">
        <v>44565</v>
      </c>
      <c r="H70" s="69" t="s">
        <v>5561</v>
      </c>
      <c r="I70" s="15">
        <v>105</v>
      </c>
      <c r="J70" s="15">
        <v>60</v>
      </c>
      <c r="K70" s="15">
        <v>30</v>
      </c>
      <c r="L70" s="15">
        <v>28</v>
      </c>
      <c r="M70" s="73">
        <v>47.25</v>
      </c>
      <c r="N70" s="104">
        <v>47.25</v>
      </c>
      <c r="O70" s="57">
        <v>7000</v>
      </c>
      <c r="P70" s="58">
        <f t="shared" si="1"/>
        <v>330750</v>
      </c>
    </row>
    <row r="71" spans="1:16" ht="26.25" customHeight="1" x14ac:dyDescent="0.2">
      <c r="A71" s="100"/>
      <c r="B71" s="100"/>
      <c r="C71" s="65" t="s">
        <v>5473</v>
      </c>
      <c r="D71" s="70" t="s">
        <v>57</v>
      </c>
      <c r="E71" s="12">
        <v>44558</v>
      </c>
      <c r="F71" s="68" t="s">
        <v>58</v>
      </c>
      <c r="G71" s="12">
        <v>44565</v>
      </c>
      <c r="H71" s="69" t="s">
        <v>5561</v>
      </c>
      <c r="I71" s="15">
        <v>86</v>
      </c>
      <c r="J71" s="15">
        <v>50</v>
      </c>
      <c r="K71" s="15">
        <v>22</v>
      </c>
      <c r="L71" s="15">
        <v>12</v>
      </c>
      <c r="M71" s="73">
        <v>23.65</v>
      </c>
      <c r="N71" s="104">
        <v>23.65</v>
      </c>
      <c r="O71" s="57">
        <v>7000</v>
      </c>
      <c r="P71" s="58">
        <f t="shared" si="1"/>
        <v>165550</v>
      </c>
    </row>
    <row r="72" spans="1:16" ht="26.25" customHeight="1" x14ac:dyDescent="0.2">
      <c r="A72" s="100"/>
      <c r="B72" s="100"/>
      <c r="C72" s="65" t="s">
        <v>5474</v>
      </c>
      <c r="D72" s="70" t="s">
        <v>57</v>
      </c>
      <c r="E72" s="12">
        <v>44558</v>
      </c>
      <c r="F72" s="68" t="s">
        <v>58</v>
      </c>
      <c r="G72" s="12">
        <v>44565</v>
      </c>
      <c r="H72" s="69" t="s">
        <v>5561</v>
      </c>
      <c r="I72" s="15">
        <v>80</v>
      </c>
      <c r="J72" s="15">
        <v>62</v>
      </c>
      <c r="K72" s="15">
        <v>22</v>
      </c>
      <c r="L72" s="15">
        <v>9</v>
      </c>
      <c r="M72" s="73">
        <v>27.28</v>
      </c>
      <c r="N72" s="104">
        <v>27.28</v>
      </c>
      <c r="O72" s="57">
        <v>7000</v>
      </c>
      <c r="P72" s="58">
        <f t="shared" si="1"/>
        <v>190960</v>
      </c>
    </row>
    <row r="73" spans="1:16" ht="26.25" customHeight="1" x14ac:dyDescent="0.2">
      <c r="A73" s="100"/>
      <c r="B73" s="100"/>
      <c r="C73" s="65" t="s">
        <v>5475</v>
      </c>
      <c r="D73" s="70" t="s">
        <v>57</v>
      </c>
      <c r="E73" s="12">
        <v>44558</v>
      </c>
      <c r="F73" s="68" t="s">
        <v>58</v>
      </c>
      <c r="G73" s="12">
        <v>44565</v>
      </c>
      <c r="H73" s="69" t="s">
        <v>5561</v>
      </c>
      <c r="I73" s="15">
        <v>84</v>
      </c>
      <c r="J73" s="15">
        <v>58</v>
      </c>
      <c r="K73" s="15">
        <v>25</v>
      </c>
      <c r="L73" s="15">
        <v>10</v>
      </c>
      <c r="M73" s="73">
        <v>30.45</v>
      </c>
      <c r="N73" s="104">
        <v>31</v>
      </c>
      <c r="O73" s="57">
        <v>7000</v>
      </c>
      <c r="P73" s="58">
        <f t="shared" si="1"/>
        <v>217000</v>
      </c>
    </row>
    <row r="74" spans="1:16" ht="26.25" customHeight="1" x14ac:dyDescent="0.2">
      <c r="A74" s="100"/>
      <c r="B74" s="100"/>
      <c r="C74" s="65" t="s">
        <v>5476</v>
      </c>
      <c r="D74" s="70" t="s">
        <v>57</v>
      </c>
      <c r="E74" s="12">
        <v>44558</v>
      </c>
      <c r="F74" s="68" t="s">
        <v>58</v>
      </c>
      <c r="G74" s="12">
        <v>44565</v>
      </c>
      <c r="H74" s="69" t="s">
        <v>5561</v>
      </c>
      <c r="I74" s="15">
        <v>79</v>
      </c>
      <c r="J74" s="15">
        <v>62</v>
      </c>
      <c r="K74" s="15">
        <v>67</v>
      </c>
      <c r="L74" s="15">
        <v>39</v>
      </c>
      <c r="M74" s="73">
        <v>82.041499999999999</v>
      </c>
      <c r="N74" s="104">
        <v>82.041499999999999</v>
      </c>
      <c r="O74" s="57">
        <v>7000</v>
      </c>
      <c r="P74" s="58">
        <f t="shared" si="1"/>
        <v>574290.5</v>
      </c>
    </row>
    <row r="75" spans="1:16" ht="26.25" customHeight="1" x14ac:dyDescent="0.2">
      <c r="A75" s="100"/>
      <c r="B75" s="100"/>
      <c r="C75" s="65" t="s">
        <v>5477</v>
      </c>
      <c r="D75" s="70" t="s">
        <v>57</v>
      </c>
      <c r="E75" s="12">
        <v>44558</v>
      </c>
      <c r="F75" s="68" t="s">
        <v>58</v>
      </c>
      <c r="G75" s="12">
        <v>44565</v>
      </c>
      <c r="H75" s="69" t="s">
        <v>5561</v>
      </c>
      <c r="I75" s="15">
        <v>87</v>
      </c>
      <c r="J75" s="15">
        <v>67</v>
      </c>
      <c r="K75" s="15">
        <v>25</v>
      </c>
      <c r="L75" s="15">
        <v>8</v>
      </c>
      <c r="M75" s="73">
        <v>36.431249999999999</v>
      </c>
      <c r="N75" s="104">
        <v>37</v>
      </c>
      <c r="O75" s="57">
        <v>7000</v>
      </c>
      <c r="P75" s="58">
        <f t="shared" si="1"/>
        <v>259000</v>
      </c>
    </row>
    <row r="76" spans="1:16" ht="26.25" customHeight="1" x14ac:dyDescent="0.2">
      <c r="A76" s="100"/>
      <c r="B76" s="100"/>
      <c r="C76" s="65" t="s">
        <v>5478</v>
      </c>
      <c r="D76" s="70" t="s">
        <v>57</v>
      </c>
      <c r="E76" s="12">
        <v>44558</v>
      </c>
      <c r="F76" s="68" t="s">
        <v>58</v>
      </c>
      <c r="G76" s="12">
        <v>44565</v>
      </c>
      <c r="H76" s="69" t="s">
        <v>5561</v>
      </c>
      <c r="I76" s="15">
        <v>83</v>
      </c>
      <c r="J76" s="15">
        <v>55</v>
      </c>
      <c r="K76" s="15">
        <v>27</v>
      </c>
      <c r="L76" s="15">
        <v>29</v>
      </c>
      <c r="M76" s="73">
        <v>30.813749999999999</v>
      </c>
      <c r="N76" s="104">
        <v>30.813749999999999</v>
      </c>
      <c r="O76" s="57">
        <v>7000</v>
      </c>
      <c r="P76" s="58">
        <f t="shared" si="1"/>
        <v>215696.25</v>
      </c>
    </row>
    <row r="77" spans="1:16" ht="26.25" customHeight="1" x14ac:dyDescent="0.2">
      <c r="A77" s="100"/>
      <c r="B77" s="100"/>
      <c r="C77" s="65" t="s">
        <v>5479</v>
      </c>
      <c r="D77" s="70" t="s">
        <v>57</v>
      </c>
      <c r="E77" s="12">
        <v>44558</v>
      </c>
      <c r="F77" s="68" t="s">
        <v>58</v>
      </c>
      <c r="G77" s="12">
        <v>44565</v>
      </c>
      <c r="H77" s="69" t="s">
        <v>5561</v>
      </c>
      <c r="I77" s="15">
        <v>77</v>
      </c>
      <c r="J77" s="15">
        <v>65</v>
      </c>
      <c r="K77" s="15">
        <v>19</v>
      </c>
      <c r="L77" s="15">
        <v>8</v>
      </c>
      <c r="M77" s="73">
        <v>23.77375</v>
      </c>
      <c r="N77" s="104">
        <v>23.77375</v>
      </c>
      <c r="O77" s="57">
        <v>7000</v>
      </c>
      <c r="P77" s="58">
        <f t="shared" si="1"/>
        <v>166416.25</v>
      </c>
    </row>
    <row r="78" spans="1:16" ht="26.25" customHeight="1" x14ac:dyDescent="0.2">
      <c r="A78" s="100"/>
      <c r="B78" s="100"/>
      <c r="C78" s="65" t="s">
        <v>5480</v>
      </c>
      <c r="D78" s="70" t="s">
        <v>57</v>
      </c>
      <c r="E78" s="12">
        <v>44558</v>
      </c>
      <c r="F78" s="68" t="s">
        <v>58</v>
      </c>
      <c r="G78" s="12">
        <v>44565</v>
      </c>
      <c r="H78" s="69" t="s">
        <v>5561</v>
      </c>
      <c r="I78" s="15">
        <v>85</v>
      </c>
      <c r="J78" s="15">
        <v>61</v>
      </c>
      <c r="K78" s="15">
        <v>23</v>
      </c>
      <c r="L78" s="15">
        <v>15</v>
      </c>
      <c r="M78" s="73">
        <v>29.813749999999999</v>
      </c>
      <c r="N78" s="104">
        <v>29.813749999999999</v>
      </c>
      <c r="O78" s="57">
        <v>7000</v>
      </c>
      <c r="P78" s="58">
        <f t="shared" si="1"/>
        <v>208696.25</v>
      </c>
    </row>
    <row r="79" spans="1:16" ht="26.25" customHeight="1" x14ac:dyDescent="0.2">
      <c r="A79" s="100"/>
      <c r="B79" s="100"/>
      <c r="C79" s="65" t="s">
        <v>5481</v>
      </c>
      <c r="D79" s="70" t="s">
        <v>57</v>
      </c>
      <c r="E79" s="12">
        <v>44558</v>
      </c>
      <c r="F79" s="68" t="s">
        <v>58</v>
      </c>
      <c r="G79" s="12">
        <v>44565</v>
      </c>
      <c r="H79" s="69" t="s">
        <v>5561</v>
      </c>
      <c r="I79" s="15">
        <v>97</v>
      </c>
      <c r="J79" s="15">
        <v>63</v>
      </c>
      <c r="K79" s="15">
        <v>31</v>
      </c>
      <c r="L79" s="15">
        <v>20</v>
      </c>
      <c r="M79" s="73">
        <v>47.360250000000001</v>
      </c>
      <c r="N79" s="104">
        <v>48</v>
      </c>
      <c r="O79" s="57">
        <v>7000</v>
      </c>
      <c r="P79" s="58">
        <f t="shared" si="1"/>
        <v>336000</v>
      </c>
    </row>
    <row r="80" spans="1:16" ht="26.25" customHeight="1" x14ac:dyDescent="0.2">
      <c r="A80" s="100"/>
      <c r="B80" s="100"/>
      <c r="C80" s="65" t="s">
        <v>5482</v>
      </c>
      <c r="D80" s="70" t="s">
        <v>57</v>
      </c>
      <c r="E80" s="12">
        <v>44558</v>
      </c>
      <c r="F80" s="68" t="s">
        <v>58</v>
      </c>
      <c r="G80" s="12">
        <v>44565</v>
      </c>
      <c r="H80" s="69" t="s">
        <v>5561</v>
      </c>
      <c r="I80" s="15">
        <v>77</v>
      </c>
      <c r="J80" s="15">
        <v>65</v>
      </c>
      <c r="K80" s="15">
        <v>23</v>
      </c>
      <c r="L80" s="15">
        <v>12</v>
      </c>
      <c r="M80" s="73">
        <v>28.778749999999999</v>
      </c>
      <c r="N80" s="104">
        <v>28.778749999999999</v>
      </c>
      <c r="O80" s="57">
        <v>7000</v>
      </c>
      <c r="P80" s="58">
        <f t="shared" si="1"/>
        <v>201451.25</v>
      </c>
    </row>
    <row r="81" spans="1:16" ht="26.25" customHeight="1" x14ac:dyDescent="0.2">
      <c r="A81" s="100"/>
      <c r="B81" s="100"/>
      <c r="C81" s="65" t="s">
        <v>5483</v>
      </c>
      <c r="D81" s="70" t="s">
        <v>57</v>
      </c>
      <c r="E81" s="12">
        <v>44558</v>
      </c>
      <c r="F81" s="68" t="s">
        <v>58</v>
      </c>
      <c r="G81" s="12">
        <v>44565</v>
      </c>
      <c r="H81" s="69" t="s">
        <v>5561</v>
      </c>
      <c r="I81" s="15">
        <v>35</v>
      </c>
      <c r="J81" s="15">
        <v>50</v>
      </c>
      <c r="K81" s="15">
        <v>13</v>
      </c>
      <c r="L81" s="15">
        <v>1</v>
      </c>
      <c r="M81" s="73">
        <v>5.6875</v>
      </c>
      <c r="N81" s="104">
        <v>5.6875</v>
      </c>
      <c r="O81" s="57">
        <v>7000</v>
      </c>
      <c r="P81" s="58">
        <f t="shared" si="1"/>
        <v>39812.5</v>
      </c>
    </row>
    <row r="82" spans="1:16" ht="26.25" customHeight="1" x14ac:dyDescent="0.2">
      <c r="A82" s="100"/>
      <c r="B82" s="100"/>
      <c r="C82" s="65" t="s">
        <v>5484</v>
      </c>
      <c r="D82" s="70" t="s">
        <v>57</v>
      </c>
      <c r="E82" s="12">
        <v>44558</v>
      </c>
      <c r="F82" s="68" t="s">
        <v>58</v>
      </c>
      <c r="G82" s="12">
        <v>44565</v>
      </c>
      <c r="H82" s="69" t="s">
        <v>5561</v>
      </c>
      <c r="I82" s="15">
        <v>48</v>
      </c>
      <c r="J82" s="15">
        <v>40</v>
      </c>
      <c r="K82" s="15">
        <v>20</v>
      </c>
      <c r="L82" s="15">
        <v>4</v>
      </c>
      <c r="M82" s="73">
        <v>9.6</v>
      </c>
      <c r="N82" s="104">
        <v>9.6</v>
      </c>
      <c r="O82" s="57">
        <v>7000</v>
      </c>
      <c r="P82" s="58">
        <f t="shared" si="1"/>
        <v>67200</v>
      </c>
    </row>
    <row r="83" spans="1:16" ht="26.25" customHeight="1" x14ac:dyDescent="0.2">
      <c r="A83" s="100"/>
      <c r="B83" s="100"/>
      <c r="C83" s="65" t="s">
        <v>5485</v>
      </c>
      <c r="D83" s="70" t="s">
        <v>57</v>
      </c>
      <c r="E83" s="12">
        <v>44558</v>
      </c>
      <c r="F83" s="68" t="s">
        <v>58</v>
      </c>
      <c r="G83" s="12">
        <v>44565</v>
      </c>
      <c r="H83" s="69" t="s">
        <v>5561</v>
      </c>
      <c r="I83" s="15">
        <v>75</v>
      </c>
      <c r="J83" s="15">
        <v>60</v>
      </c>
      <c r="K83" s="15">
        <v>22</v>
      </c>
      <c r="L83" s="15">
        <v>8</v>
      </c>
      <c r="M83" s="73">
        <v>24.75</v>
      </c>
      <c r="N83" s="104">
        <v>24.75</v>
      </c>
      <c r="O83" s="57">
        <v>7000</v>
      </c>
      <c r="P83" s="58">
        <f t="shared" si="1"/>
        <v>173250</v>
      </c>
    </row>
    <row r="84" spans="1:16" ht="26.25" customHeight="1" x14ac:dyDescent="0.2">
      <c r="A84" s="100"/>
      <c r="B84" s="100"/>
      <c r="C84" s="65" t="s">
        <v>5486</v>
      </c>
      <c r="D84" s="70" t="s">
        <v>57</v>
      </c>
      <c r="E84" s="12">
        <v>44558</v>
      </c>
      <c r="F84" s="68" t="s">
        <v>58</v>
      </c>
      <c r="G84" s="12">
        <v>44565</v>
      </c>
      <c r="H84" s="69" t="s">
        <v>5561</v>
      </c>
      <c r="I84" s="15">
        <v>54</v>
      </c>
      <c r="J84" s="15">
        <v>39</v>
      </c>
      <c r="K84" s="15">
        <v>15</v>
      </c>
      <c r="L84" s="15">
        <v>2</v>
      </c>
      <c r="M84" s="73">
        <v>7.8975</v>
      </c>
      <c r="N84" s="104">
        <v>7.8975</v>
      </c>
      <c r="O84" s="57">
        <v>7000</v>
      </c>
      <c r="P84" s="58">
        <f t="shared" si="1"/>
        <v>55282.5</v>
      </c>
    </row>
    <row r="85" spans="1:16" ht="26.25" customHeight="1" x14ac:dyDescent="0.2">
      <c r="A85" s="100"/>
      <c r="B85" s="100"/>
      <c r="C85" s="65" t="s">
        <v>5487</v>
      </c>
      <c r="D85" s="70" t="s">
        <v>57</v>
      </c>
      <c r="E85" s="12">
        <v>44558</v>
      </c>
      <c r="F85" s="68" t="s">
        <v>58</v>
      </c>
      <c r="G85" s="12">
        <v>44565</v>
      </c>
      <c r="H85" s="69" t="s">
        <v>5561</v>
      </c>
      <c r="I85" s="15">
        <v>55</v>
      </c>
      <c r="J85" s="15">
        <v>36</v>
      </c>
      <c r="K85" s="15">
        <v>27</v>
      </c>
      <c r="L85" s="15">
        <v>3</v>
      </c>
      <c r="M85" s="73">
        <v>13.365</v>
      </c>
      <c r="N85" s="104">
        <v>14</v>
      </c>
      <c r="O85" s="57">
        <v>7000</v>
      </c>
      <c r="P85" s="58">
        <f t="shared" si="1"/>
        <v>98000</v>
      </c>
    </row>
    <row r="86" spans="1:16" ht="26.25" customHeight="1" x14ac:dyDescent="0.2">
      <c r="A86" s="100"/>
      <c r="B86" s="100"/>
      <c r="C86" s="65" t="s">
        <v>5488</v>
      </c>
      <c r="D86" s="70" t="s">
        <v>57</v>
      </c>
      <c r="E86" s="12">
        <v>44558</v>
      </c>
      <c r="F86" s="68" t="s">
        <v>58</v>
      </c>
      <c r="G86" s="12">
        <v>44565</v>
      </c>
      <c r="H86" s="69" t="s">
        <v>5561</v>
      </c>
      <c r="I86" s="15">
        <v>77</v>
      </c>
      <c r="J86" s="15">
        <v>60</v>
      </c>
      <c r="K86" s="15">
        <v>19</v>
      </c>
      <c r="L86" s="15">
        <v>12</v>
      </c>
      <c r="M86" s="73">
        <v>21.945</v>
      </c>
      <c r="N86" s="104">
        <v>21.945</v>
      </c>
      <c r="O86" s="57">
        <v>7000</v>
      </c>
      <c r="P86" s="58">
        <f t="shared" si="1"/>
        <v>153615</v>
      </c>
    </row>
    <row r="87" spans="1:16" ht="26.25" customHeight="1" x14ac:dyDescent="0.2">
      <c r="A87" s="100"/>
      <c r="B87" s="100"/>
      <c r="C87" s="65" t="s">
        <v>5489</v>
      </c>
      <c r="D87" s="70" t="s">
        <v>57</v>
      </c>
      <c r="E87" s="12">
        <v>44558</v>
      </c>
      <c r="F87" s="68" t="s">
        <v>58</v>
      </c>
      <c r="G87" s="12">
        <v>44565</v>
      </c>
      <c r="H87" s="69" t="s">
        <v>5561</v>
      </c>
      <c r="I87" s="15">
        <v>83</v>
      </c>
      <c r="J87" s="15">
        <v>56</v>
      </c>
      <c r="K87" s="15">
        <v>22</v>
      </c>
      <c r="L87" s="15">
        <v>6</v>
      </c>
      <c r="M87" s="73">
        <v>25.564</v>
      </c>
      <c r="N87" s="104">
        <v>25.564</v>
      </c>
      <c r="O87" s="57">
        <v>7000</v>
      </c>
      <c r="P87" s="58">
        <f t="shared" si="1"/>
        <v>178948</v>
      </c>
    </row>
    <row r="88" spans="1:16" ht="26.25" customHeight="1" x14ac:dyDescent="0.2">
      <c r="A88" s="100"/>
      <c r="B88" s="100"/>
      <c r="C88" s="65" t="s">
        <v>5490</v>
      </c>
      <c r="D88" s="70" t="s">
        <v>57</v>
      </c>
      <c r="E88" s="12">
        <v>44558</v>
      </c>
      <c r="F88" s="68" t="s">
        <v>58</v>
      </c>
      <c r="G88" s="12">
        <v>44565</v>
      </c>
      <c r="H88" s="69" t="s">
        <v>5561</v>
      </c>
      <c r="I88" s="15">
        <v>86</v>
      </c>
      <c r="J88" s="15">
        <v>58</v>
      </c>
      <c r="K88" s="15">
        <v>22</v>
      </c>
      <c r="L88" s="15">
        <v>18</v>
      </c>
      <c r="M88" s="73">
        <v>27.434000000000001</v>
      </c>
      <c r="N88" s="104">
        <v>28</v>
      </c>
      <c r="O88" s="57">
        <v>7000</v>
      </c>
      <c r="P88" s="58">
        <f t="shared" si="1"/>
        <v>196000</v>
      </c>
    </row>
    <row r="89" spans="1:16" ht="26.25" customHeight="1" x14ac:dyDescent="0.2">
      <c r="A89" s="100"/>
      <c r="B89" s="100"/>
      <c r="C89" s="65" t="s">
        <v>5491</v>
      </c>
      <c r="D89" s="70" t="s">
        <v>57</v>
      </c>
      <c r="E89" s="12">
        <v>44558</v>
      </c>
      <c r="F89" s="68" t="s">
        <v>58</v>
      </c>
      <c r="G89" s="12">
        <v>44565</v>
      </c>
      <c r="H89" s="69" t="s">
        <v>5561</v>
      </c>
      <c r="I89" s="15">
        <v>74</v>
      </c>
      <c r="J89" s="15">
        <v>60</v>
      </c>
      <c r="K89" s="15">
        <v>25</v>
      </c>
      <c r="L89" s="15">
        <v>5</v>
      </c>
      <c r="M89" s="73">
        <v>27.75</v>
      </c>
      <c r="N89" s="104">
        <v>27.75</v>
      </c>
      <c r="O89" s="57">
        <v>7000</v>
      </c>
      <c r="P89" s="58">
        <f t="shared" si="1"/>
        <v>194250</v>
      </c>
    </row>
    <row r="90" spans="1:16" ht="26.25" customHeight="1" x14ac:dyDescent="0.2">
      <c r="A90" s="100"/>
      <c r="B90" s="100"/>
      <c r="C90" s="65" t="s">
        <v>5492</v>
      </c>
      <c r="D90" s="70" t="s">
        <v>57</v>
      </c>
      <c r="E90" s="12">
        <v>44558</v>
      </c>
      <c r="F90" s="68" t="s">
        <v>58</v>
      </c>
      <c r="G90" s="12">
        <v>44565</v>
      </c>
      <c r="H90" s="69" t="s">
        <v>5561</v>
      </c>
      <c r="I90" s="15">
        <v>90</v>
      </c>
      <c r="J90" s="15">
        <v>12</v>
      </c>
      <c r="K90" s="15">
        <v>12</v>
      </c>
      <c r="L90" s="15">
        <v>1</v>
      </c>
      <c r="M90" s="73">
        <v>3.24</v>
      </c>
      <c r="N90" s="104">
        <v>3.24</v>
      </c>
      <c r="O90" s="57">
        <v>7000</v>
      </c>
      <c r="P90" s="58">
        <f t="shared" si="1"/>
        <v>22680</v>
      </c>
    </row>
    <row r="91" spans="1:16" ht="26.25" customHeight="1" x14ac:dyDescent="0.2">
      <c r="A91" s="100"/>
      <c r="B91" s="100"/>
      <c r="C91" s="65" t="s">
        <v>5493</v>
      </c>
      <c r="D91" s="70" t="s">
        <v>57</v>
      </c>
      <c r="E91" s="12">
        <v>44558</v>
      </c>
      <c r="F91" s="68" t="s">
        <v>58</v>
      </c>
      <c r="G91" s="12">
        <v>44565</v>
      </c>
      <c r="H91" s="69" t="s">
        <v>5561</v>
      </c>
      <c r="I91" s="15">
        <v>73</v>
      </c>
      <c r="J91" s="15">
        <v>62</v>
      </c>
      <c r="K91" s="15">
        <v>22</v>
      </c>
      <c r="L91" s="15">
        <v>7</v>
      </c>
      <c r="M91" s="73">
        <v>24.893000000000001</v>
      </c>
      <c r="N91" s="104">
        <v>24.893000000000001</v>
      </c>
      <c r="O91" s="57">
        <v>7000</v>
      </c>
      <c r="P91" s="58">
        <f t="shared" si="1"/>
        <v>174251</v>
      </c>
    </row>
    <row r="92" spans="1:16" ht="26.25" customHeight="1" x14ac:dyDescent="0.2">
      <c r="A92" s="100"/>
      <c r="B92" s="100"/>
      <c r="C92" s="65" t="s">
        <v>5494</v>
      </c>
      <c r="D92" s="70" t="s">
        <v>57</v>
      </c>
      <c r="E92" s="12">
        <v>44558</v>
      </c>
      <c r="F92" s="68" t="s">
        <v>58</v>
      </c>
      <c r="G92" s="12">
        <v>44565</v>
      </c>
      <c r="H92" s="69" t="s">
        <v>5561</v>
      </c>
      <c r="I92" s="15">
        <v>72</v>
      </c>
      <c r="J92" s="15">
        <v>53</v>
      </c>
      <c r="K92" s="15">
        <v>16</v>
      </c>
      <c r="L92" s="15">
        <v>8</v>
      </c>
      <c r="M92" s="73">
        <v>15.263999999999999</v>
      </c>
      <c r="N92" s="104">
        <v>15.263999999999999</v>
      </c>
      <c r="O92" s="57">
        <v>7000</v>
      </c>
      <c r="P92" s="58">
        <f t="shared" si="1"/>
        <v>106848</v>
      </c>
    </row>
    <row r="93" spans="1:16" ht="26.25" customHeight="1" x14ac:dyDescent="0.2">
      <c r="A93" s="100"/>
      <c r="B93" s="100"/>
      <c r="C93" s="65" t="s">
        <v>5495</v>
      </c>
      <c r="D93" s="70" t="s">
        <v>57</v>
      </c>
      <c r="E93" s="12">
        <v>44558</v>
      </c>
      <c r="F93" s="68" t="s">
        <v>58</v>
      </c>
      <c r="G93" s="12">
        <v>44565</v>
      </c>
      <c r="H93" s="69" t="s">
        <v>5561</v>
      </c>
      <c r="I93" s="15">
        <v>80</v>
      </c>
      <c r="J93" s="15">
        <v>56</v>
      </c>
      <c r="K93" s="15">
        <v>26</v>
      </c>
      <c r="L93" s="15">
        <v>12</v>
      </c>
      <c r="M93" s="73">
        <v>29.12</v>
      </c>
      <c r="N93" s="104">
        <v>29.12</v>
      </c>
      <c r="O93" s="57">
        <v>7000</v>
      </c>
      <c r="P93" s="58">
        <f t="shared" si="1"/>
        <v>203840</v>
      </c>
    </row>
    <row r="94" spans="1:16" ht="26.25" customHeight="1" x14ac:dyDescent="0.2">
      <c r="A94" s="100"/>
      <c r="B94" s="100"/>
      <c r="C94" s="65" t="s">
        <v>5496</v>
      </c>
      <c r="D94" s="70" t="s">
        <v>57</v>
      </c>
      <c r="E94" s="12">
        <v>44558</v>
      </c>
      <c r="F94" s="68" t="s">
        <v>58</v>
      </c>
      <c r="G94" s="12">
        <v>44565</v>
      </c>
      <c r="H94" s="69" t="s">
        <v>5561</v>
      </c>
      <c r="I94" s="15">
        <v>95</v>
      </c>
      <c r="J94" s="15">
        <v>61</v>
      </c>
      <c r="K94" s="15">
        <v>25</v>
      </c>
      <c r="L94" s="15">
        <v>14</v>
      </c>
      <c r="M94" s="73">
        <v>36.21875</v>
      </c>
      <c r="N94" s="104">
        <v>36.21875</v>
      </c>
      <c r="O94" s="57">
        <v>7000</v>
      </c>
      <c r="P94" s="58">
        <f t="shared" si="1"/>
        <v>253531.25</v>
      </c>
    </row>
    <row r="95" spans="1:16" ht="26.25" customHeight="1" x14ac:dyDescent="0.2">
      <c r="A95" s="100"/>
      <c r="B95" s="100"/>
      <c r="C95" s="65" t="s">
        <v>5497</v>
      </c>
      <c r="D95" s="70" t="s">
        <v>57</v>
      </c>
      <c r="E95" s="12">
        <v>44558</v>
      </c>
      <c r="F95" s="68" t="s">
        <v>58</v>
      </c>
      <c r="G95" s="12">
        <v>44565</v>
      </c>
      <c r="H95" s="69" t="s">
        <v>5561</v>
      </c>
      <c r="I95" s="15">
        <v>57</v>
      </c>
      <c r="J95" s="15">
        <v>63</v>
      </c>
      <c r="K95" s="15">
        <v>22</v>
      </c>
      <c r="L95" s="15">
        <v>10</v>
      </c>
      <c r="M95" s="73">
        <v>19.750499999999999</v>
      </c>
      <c r="N95" s="104">
        <v>19.750499999999999</v>
      </c>
      <c r="O95" s="57">
        <v>7000</v>
      </c>
      <c r="P95" s="58">
        <f t="shared" si="1"/>
        <v>138253.5</v>
      </c>
    </row>
    <row r="96" spans="1:16" ht="26.25" customHeight="1" x14ac:dyDescent="0.2">
      <c r="A96" s="100"/>
      <c r="B96" s="100"/>
      <c r="C96" s="65" t="s">
        <v>5498</v>
      </c>
      <c r="D96" s="70" t="s">
        <v>57</v>
      </c>
      <c r="E96" s="12">
        <v>44558</v>
      </c>
      <c r="F96" s="68" t="s">
        <v>58</v>
      </c>
      <c r="G96" s="12">
        <v>44565</v>
      </c>
      <c r="H96" s="69" t="s">
        <v>5561</v>
      </c>
      <c r="I96" s="15">
        <v>91</v>
      </c>
      <c r="J96" s="15">
        <v>60</v>
      </c>
      <c r="K96" s="15">
        <v>23</v>
      </c>
      <c r="L96" s="15">
        <v>12</v>
      </c>
      <c r="M96" s="73">
        <v>31.395</v>
      </c>
      <c r="N96" s="104">
        <v>32</v>
      </c>
      <c r="O96" s="57">
        <v>7000</v>
      </c>
      <c r="P96" s="58">
        <f t="shared" si="1"/>
        <v>224000</v>
      </c>
    </row>
    <row r="97" spans="1:16" ht="26.25" customHeight="1" x14ac:dyDescent="0.2">
      <c r="A97" s="100"/>
      <c r="B97" s="100"/>
      <c r="C97" s="65" t="s">
        <v>5499</v>
      </c>
      <c r="D97" s="70" t="s">
        <v>57</v>
      </c>
      <c r="E97" s="12">
        <v>44558</v>
      </c>
      <c r="F97" s="68" t="s">
        <v>58</v>
      </c>
      <c r="G97" s="12">
        <v>44565</v>
      </c>
      <c r="H97" s="69" t="s">
        <v>5561</v>
      </c>
      <c r="I97" s="15">
        <v>50</v>
      </c>
      <c r="J97" s="15">
        <v>32</v>
      </c>
      <c r="K97" s="15">
        <v>26</v>
      </c>
      <c r="L97" s="15">
        <v>2</v>
      </c>
      <c r="M97" s="73">
        <v>10.4</v>
      </c>
      <c r="N97" s="104">
        <v>11</v>
      </c>
      <c r="O97" s="57">
        <v>7000</v>
      </c>
      <c r="P97" s="58">
        <f t="shared" si="1"/>
        <v>77000</v>
      </c>
    </row>
    <row r="98" spans="1:16" ht="26.25" customHeight="1" x14ac:dyDescent="0.2">
      <c r="A98" s="100"/>
      <c r="B98" s="100"/>
      <c r="C98" s="65" t="s">
        <v>5500</v>
      </c>
      <c r="D98" s="70" t="s">
        <v>57</v>
      </c>
      <c r="E98" s="12">
        <v>44558</v>
      </c>
      <c r="F98" s="68" t="s">
        <v>58</v>
      </c>
      <c r="G98" s="12">
        <v>44565</v>
      </c>
      <c r="H98" s="69" t="s">
        <v>5561</v>
      </c>
      <c r="I98" s="15">
        <v>60</v>
      </c>
      <c r="J98" s="15">
        <v>41</v>
      </c>
      <c r="K98" s="15">
        <v>21</v>
      </c>
      <c r="L98" s="15">
        <v>8</v>
      </c>
      <c r="M98" s="73">
        <v>12.914999999999999</v>
      </c>
      <c r="N98" s="104">
        <v>12.914999999999999</v>
      </c>
      <c r="O98" s="57">
        <v>7000</v>
      </c>
      <c r="P98" s="58">
        <f t="shared" si="1"/>
        <v>90405</v>
      </c>
    </row>
    <row r="99" spans="1:16" ht="26.25" customHeight="1" x14ac:dyDescent="0.2">
      <c r="A99" s="100"/>
      <c r="B99" s="100"/>
      <c r="C99" s="65" t="s">
        <v>5501</v>
      </c>
      <c r="D99" s="70" t="s">
        <v>57</v>
      </c>
      <c r="E99" s="12">
        <v>44558</v>
      </c>
      <c r="F99" s="68" t="s">
        <v>58</v>
      </c>
      <c r="G99" s="12">
        <v>44565</v>
      </c>
      <c r="H99" s="69" t="s">
        <v>5561</v>
      </c>
      <c r="I99" s="15">
        <v>91</v>
      </c>
      <c r="J99" s="15">
        <v>57</v>
      </c>
      <c r="K99" s="15">
        <v>25</v>
      </c>
      <c r="L99" s="15">
        <v>13</v>
      </c>
      <c r="M99" s="73">
        <v>32.418750000000003</v>
      </c>
      <c r="N99" s="104">
        <v>33</v>
      </c>
      <c r="O99" s="57">
        <v>7000</v>
      </c>
      <c r="P99" s="58">
        <f t="shared" si="1"/>
        <v>231000</v>
      </c>
    </row>
    <row r="100" spans="1:16" ht="26.25" customHeight="1" x14ac:dyDescent="0.2">
      <c r="A100" s="100"/>
      <c r="B100" s="100"/>
      <c r="C100" s="65" t="s">
        <v>5502</v>
      </c>
      <c r="D100" s="70" t="s">
        <v>57</v>
      </c>
      <c r="E100" s="12">
        <v>44558</v>
      </c>
      <c r="F100" s="68" t="s">
        <v>58</v>
      </c>
      <c r="G100" s="12">
        <v>44565</v>
      </c>
      <c r="H100" s="69" t="s">
        <v>5561</v>
      </c>
      <c r="I100" s="15">
        <v>91</v>
      </c>
      <c r="J100" s="15">
        <v>65</v>
      </c>
      <c r="K100" s="15">
        <v>23</v>
      </c>
      <c r="L100" s="15">
        <v>19</v>
      </c>
      <c r="M100" s="73">
        <v>34.011249999999997</v>
      </c>
      <c r="N100" s="104">
        <v>34.011249999999997</v>
      </c>
      <c r="O100" s="57">
        <v>7000</v>
      </c>
      <c r="P100" s="58">
        <f t="shared" si="1"/>
        <v>238078.74999999997</v>
      </c>
    </row>
    <row r="101" spans="1:16" ht="26.25" customHeight="1" x14ac:dyDescent="0.2">
      <c r="A101" s="100"/>
      <c r="B101" s="100"/>
      <c r="C101" s="65" t="s">
        <v>5503</v>
      </c>
      <c r="D101" s="70" t="s">
        <v>57</v>
      </c>
      <c r="E101" s="12">
        <v>44558</v>
      </c>
      <c r="F101" s="68" t="s">
        <v>58</v>
      </c>
      <c r="G101" s="12">
        <v>44565</v>
      </c>
      <c r="H101" s="69" t="s">
        <v>5561</v>
      </c>
      <c r="I101" s="15">
        <v>93</v>
      </c>
      <c r="J101" s="15">
        <v>60</v>
      </c>
      <c r="K101" s="15">
        <v>25</v>
      </c>
      <c r="L101" s="15">
        <v>23</v>
      </c>
      <c r="M101" s="73">
        <v>34.875</v>
      </c>
      <c r="N101" s="104">
        <v>34.875</v>
      </c>
      <c r="O101" s="57">
        <v>7000</v>
      </c>
      <c r="P101" s="58">
        <f t="shared" si="1"/>
        <v>244125</v>
      </c>
    </row>
    <row r="102" spans="1:16" ht="26.25" customHeight="1" x14ac:dyDescent="0.2">
      <c r="A102" s="100"/>
      <c r="B102" s="100"/>
      <c r="C102" s="65" t="s">
        <v>5504</v>
      </c>
      <c r="D102" s="70" t="s">
        <v>57</v>
      </c>
      <c r="E102" s="12">
        <v>44558</v>
      </c>
      <c r="F102" s="68" t="s">
        <v>58</v>
      </c>
      <c r="G102" s="12">
        <v>44565</v>
      </c>
      <c r="H102" s="69" t="s">
        <v>5561</v>
      </c>
      <c r="I102" s="15">
        <v>70</v>
      </c>
      <c r="J102" s="15">
        <v>60</v>
      </c>
      <c r="K102" s="15">
        <v>25</v>
      </c>
      <c r="L102" s="15">
        <v>5</v>
      </c>
      <c r="M102" s="73">
        <v>26.25</v>
      </c>
      <c r="N102" s="104">
        <v>26.25</v>
      </c>
      <c r="O102" s="57">
        <v>7000</v>
      </c>
      <c r="P102" s="58">
        <f t="shared" si="1"/>
        <v>183750</v>
      </c>
    </row>
    <row r="103" spans="1:16" ht="26.25" customHeight="1" x14ac:dyDescent="0.2">
      <c r="A103" s="100"/>
      <c r="B103" s="100"/>
      <c r="C103" s="65" t="s">
        <v>5505</v>
      </c>
      <c r="D103" s="70" t="s">
        <v>57</v>
      </c>
      <c r="E103" s="12">
        <v>44558</v>
      </c>
      <c r="F103" s="68" t="s">
        <v>58</v>
      </c>
      <c r="G103" s="12">
        <v>44565</v>
      </c>
      <c r="H103" s="69" t="s">
        <v>5561</v>
      </c>
      <c r="I103" s="15">
        <v>72</v>
      </c>
      <c r="J103" s="15">
        <v>61</v>
      </c>
      <c r="K103" s="15">
        <v>28</v>
      </c>
      <c r="L103" s="15">
        <v>11</v>
      </c>
      <c r="M103" s="73">
        <v>30.744</v>
      </c>
      <c r="N103" s="104">
        <v>30.744</v>
      </c>
      <c r="O103" s="57">
        <v>7000</v>
      </c>
      <c r="P103" s="58">
        <f t="shared" si="1"/>
        <v>215208</v>
      </c>
    </row>
    <row r="104" spans="1:16" ht="26.25" customHeight="1" x14ac:dyDescent="0.2">
      <c r="A104" s="100"/>
      <c r="B104" s="100"/>
      <c r="C104" s="65" t="s">
        <v>5506</v>
      </c>
      <c r="D104" s="70" t="s">
        <v>57</v>
      </c>
      <c r="E104" s="12">
        <v>44558</v>
      </c>
      <c r="F104" s="68" t="s">
        <v>58</v>
      </c>
      <c r="G104" s="12">
        <v>44565</v>
      </c>
      <c r="H104" s="69" t="s">
        <v>5561</v>
      </c>
      <c r="I104" s="15">
        <v>75</v>
      </c>
      <c r="J104" s="15">
        <v>52</v>
      </c>
      <c r="K104" s="15">
        <v>31</v>
      </c>
      <c r="L104" s="15">
        <v>15</v>
      </c>
      <c r="M104" s="73">
        <v>30.225000000000001</v>
      </c>
      <c r="N104" s="104">
        <v>30.225000000000001</v>
      </c>
      <c r="O104" s="57">
        <v>7000</v>
      </c>
      <c r="P104" s="58">
        <f t="shared" si="1"/>
        <v>211575</v>
      </c>
    </row>
    <row r="105" spans="1:16" ht="26.25" customHeight="1" x14ac:dyDescent="0.2">
      <c r="A105" s="100"/>
      <c r="B105" s="100"/>
      <c r="C105" s="65" t="s">
        <v>5507</v>
      </c>
      <c r="D105" s="70" t="s">
        <v>57</v>
      </c>
      <c r="E105" s="12">
        <v>44558</v>
      </c>
      <c r="F105" s="68" t="s">
        <v>58</v>
      </c>
      <c r="G105" s="12">
        <v>44565</v>
      </c>
      <c r="H105" s="69" t="s">
        <v>5561</v>
      </c>
      <c r="I105" s="15">
        <v>50</v>
      </c>
      <c r="J105" s="15">
        <v>25</v>
      </c>
      <c r="K105" s="15">
        <v>22</v>
      </c>
      <c r="L105" s="15">
        <v>4</v>
      </c>
      <c r="M105" s="73">
        <v>6.875</v>
      </c>
      <c r="N105" s="104">
        <v>6.875</v>
      </c>
      <c r="O105" s="57">
        <v>7000</v>
      </c>
      <c r="P105" s="58">
        <f t="shared" si="1"/>
        <v>48125</v>
      </c>
    </row>
    <row r="106" spans="1:16" ht="26.25" customHeight="1" x14ac:dyDescent="0.2">
      <c r="A106" s="100"/>
      <c r="B106" s="100"/>
      <c r="C106" s="65" t="s">
        <v>5508</v>
      </c>
      <c r="D106" s="70" t="s">
        <v>57</v>
      </c>
      <c r="E106" s="12">
        <v>44558</v>
      </c>
      <c r="F106" s="68" t="s">
        <v>58</v>
      </c>
      <c r="G106" s="12">
        <v>44565</v>
      </c>
      <c r="H106" s="69" t="s">
        <v>5561</v>
      </c>
      <c r="I106" s="15">
        <v>35</v>
      </c>
      <c r="J106" s="15">
        <v>32</v>
      </c>
      <c r="K106" s="15">
        <v>16</v>
      </c>
      <c r="L106" s="15">
        <v>2</v>
      </c>
      <c r="M106" s="73">
        <v>4.4800000000000004</v>
      </c>
      <c r="N106" s="104">
        <v>5</v>
      </c>
      <c r="O106" s="57">
        <v>7000</v>
      </c>
      <c r="P106" s="58">
        <f t="shared" si="1"/>
        <v>35000</v>
      </c>
    </row>
    <row r="107" spans="1:16" ht="26.25" customHeight="1" x14ac:dyDescent="0.2">
      <c r="A107" s="100"/>
      <c r="B107" s="100"/>
      <c r="C107" s="65" t="s">
        <v>5509</v>
      </c>
      <c r="D107" s="70" t="s">
        <v>57</v>
      </c>
      <c r="E107" s="12">
        <v>44558</v>
      </c>
      <c r="F107" s="68" t="s">
        <v>58</v>
      </c>
      <c r="G107" s="12">
        <v>44565</v>
      </c>
      <c r="H107" s="69" t="s">
        <v>5561</v>
      </c>
      <c r="I107" s="15">
        <v>52</v>
      </c>
      <c r="J107" s="15">
        <v>40</v>
      </c>
      <c r="K107" s="15">
        <v>18</v>
      </c>
      <c r="L107" s="15">
        <v>4</v>
      </c>
      <c r="M107" s="73">
        <v>9.36</v>
      </c>
      <c r="N107" s="104">
        <v>10</v>
      </c>
      <c r="O107" s="57">
        <v>7000</v>
      </c>
      <c r="P107" s="58">
        <f t="shared" si="1"/>
        <v>70000</v>
      </c>
    </row>
    <row r="108" spans="1:16" ht="26.25" customHeight="1" x14ac:dyDescent="0.2">
      <c r="A108" s="100"/>
      <c r="B108" s="100"/>
      <c r="C108" s="65" t="s">
        <v>5510</v>
      </c>
      <c r="D108" s="70" t="s">
        <v>57</v>
      </c>
      <c r="E108" s="12">
        <v>44558</v>
      </c>
      <c r="F108" s="68" t="s">
        <v>58</v>
      </c>
      <c r="G108" s="12">
        <v>44565</v>
      </c>
      <c r="H108" s="69" t="s">
        <v>5561</v>
      </c>
      <c r="I108" s="15">
        <v>50</v>
      </c>
      <c r="J108" s="15">
        <v>51</v>
      </c>
      <c r="K108" s="15">
        <v>32</v>
      </c>
      <c r="L108" s="15">
        <v>16</v>
      </c>
      <c r="M108" s="73">
        <v>20.399999999999999</v>
      </c>
      <c r="N108" s="104">
        <v>21</v>
      </c>
      <c r="O108" s="57">
        <v>7000</v>
      </c>
      <c r="P108" s="58">
        <f t="shared" si="1"/>
        <v>147000</v>
      </c>
    </row>
    <row r="109" spans="1:16" ht="26.25" customHeight="1" x14ac:dyDescent="0.2">
      <c r="A109" s="100"/>
      <c r="B109" s="100"/>
      <c r="C109" s="65" t="s">
        <v>5511</v>
      </c>
      <c r="D109" s="70" t="s">
        <v>57</v>
      </c>
      <c r="E109" s="12">
        <v>44558</v>
      </c>
      <c r="F109" s="68" t="s">
        <v>58</v>
      </c>
      <c r="G109" s="12">
        <v>44565</v>
      </c>
      <c r="H109" s="69" t="s">
        <v>5561</v>
      </c>
      <c r="I109" s="15">
        <v>70</v>
      </c>
      <c r="J109" s="15">
        <v>52</v>
      </c>
      <c r="K109" s="15">
        <v>24</v>
      </c>
      <c r="L109" s="15">
        <v>10</v>
      </c>
      <c r="M109" s="73">
        <v>21.84</v>
      </c>
      <c r="N109" s="104">
        <v>21.84</v>
      </c>
      <c r="O109" s="57">
        <v>7000</v>
      </c>
      <c r="P109" s="58">
        <f t="shared" si="1"/>
        <v>152880</v>
      </c>
    </row>
    <row r="110" spans="1:16" ht="26.25" customHeight="1" x14ac:dyDescent="0.2">
      <c r="A110" s="100"/>
      <c r="B110" s="100"/>
      <c r="C110" s="65" t="s">
        <v>5512</v>
      </c>
      <c r="D110" s="70" t="s">
        <v>57</v>
      </c>
      <c r="E110" s="12">
        <v>44558</v>
      </c>
      <c r="F110" s="68" t="s">
        <v>58</v>
      </c>
      <c r="G110" s="12">
        <v>44565</v>
      </c>
      <c r="H110" s="69" t="s">
        <v>5561</v>
      </c>
      <c r="I110" s="15">
        <v>40</v>
      </c>
      <c r="J110" s="15">
        <v>31</v>
      </c>
      <c r="K110" s="15">
        <v>22</v>
      </c>
      <c r="L110" s="15">
        <v>2</v>
      </c>
      <c r="M110" s="73">
        <v>6.82</v>
      </c>
      <c r="N110" s="104">
        <v>6.82</v>
      </c>
      <c r="O110" s="57">
        <v>7000</v>
      </c>
      <c r="P110" s="58">
        <f t="shared" si="1"/>
        <v>47740</v>
      </c>
    </row>
    <row r="111" spans="1:16" ht="26.25" customHeight="1" x14ac:dyDescent="0.2">
      <c r="A111" s="100"/>
      <c r="B111" s="100"/>
      <c r="C111" s="65" t="s">
        <v>5513</v>
      </c>
      <c r="D111" s="70" t="s">
        <v>57</v>
      </c>
      <c r="E111" s="12">
        <v>44558</v>
      </c>
      <c r="F111" s="68" t="s">
        <v>58</v>
      </c>
      <c r="G111" s="12">
        <v>44565</v>
      </c>
      <c r="H111" s="69" t="s">
        <v>5561</v>
      </c>
      <c r="I111" s="15">
        <v>68</v>
      </c>
      <c r="J111" s="15">
        <v>52</v>
      </c>
      <c r="K111" s="15">
        <v>22</v>
      </c>
      <c r="L111" s="15">
        <v>6</v>
      </c>
      <c r="M111" s="73">
        <v>19.448</v>
      </c>
      <c r="N111" s="104">
        <v>20</v>
      </c>
      <c r="O111" s="57">
        <v>7000</v>
      </c>
      <c r="P111" s="58">
        <f t="shared" si="1"/>
        <v>140000</v>
      </c>
    </row>
    <row r="112" spans="1:16" ht="26.25" customHeight="1" x14ac:dyDescent="0.2">
      <c r="A112" s="100"/>
      <c r="B112" s="100"/>
      <c r="C112" s="65" t="s">
        <v>5514</v>
      </c>
      <c r="D112" s="70" t="s">
        <v>57</v>
      </c>
      <c r="E112" s="12">
        <v>44558</v>
      </c>
      <c r="F112" s="68" t="s">
        <v>58</v>
      </c>
      <c r="G112" s="12">
        <v>44565</v>
      </c>
      <c r="H112" s="69" t="s">
        <v>5561</v>
      </c>
      <c r="I112" s="15">
        <v>72</v>
      </c>
      <c r="J112" s="15">
        <v>51</v>
      </c>
      <c r="K112" s="15">
        <v>23</v>
      </c>
      <c r="L112" s="15">
        <v>5</v>
      </c>
      <c r="M112" s="73">
        <v>21.114000000000001</v>
      </c>
      <c r="N112" s="104">
        <v>21.114000000000001</v>
      </c>
      <c r="O112" s="57">
        <v>7000</v>
      </c>
      <c r="P112" s="58">
        <f t="shared" si="1"/>
        <v>147798</v>
      </c>
    </row>
    <row r="113" spans="1:16" ht="26.25" customHeight="1" x14ac:dyDescent="0.2">
      <c r="A113" s="100"/>
      <c r="B113" s="100"/>
      <c r="C113" s="65" t="s">
        <v>5515</v>
      </c>
      <c r="D113" s="70" t="s">
        <v>57</v>
      </c>
      <c r="E113" s="12">
        <v>44558</v>
      </c>
      <c r="F113" s="68" t="s">
        <v>58</v>
      </c>
      <c r="G113" s="12">
        <v>44565</v>
      </c>
      <c r="H113" s="69" t="s">
        <v>5561</v>
      </c>
      <c r="I113" s="15">
        <v>94</v>
      </c>
      <c r="J113" s="15">
        <v>40</v>
      </c>
      <c r="K113" s="15">
        <v>35</v>
      </c>
      <c r="L113" s="15">
        <v>14</v>
      </c>
      <c r="M113" s="73">
        <v>32.9</v>
      </c>
      <c r="N113" s="104">
        <v>32.9</v>
      </c>
      <c r="O113" s="57">
        <v>7000</v>
      </c>
      <c r="P113" s="58">
        <f t="shared" si="1"/>
        <v>230300</v>
      </c>
    </row>
    <row r="114" spans="1:16" ht="26.25" customHeight="1" x14ac:dyDescent="0.2">
      <c r="A114" s="100"/>
      <c r="B114" s="100"/>
      <c r="C114" s="65" t="s">
        <v>5516</v>
      </c>
      <c r="D114" s="70" t="s">
        <v>57</v>
      </c>
      <c r="E114" s="12">
        <v>44558</v>
      </c>
      <c r="F114" s="68" t="s">
        <v>58</v>
      </c>
      <c r="G114" s="12">
        <v>44565</v>
      </c>
      <c r="H114" s="69" t="s">
        <v>5561</v>
      </c>
      <c r="I114" s="15">
        <v>75</v>
      </c>
      <c r="J114" s="15">
        <v>62</v>
      </c>
      <c r="K114" s="15">
        <v>15</v>
      </c>
      <c r="L114" s="15">
        <v>11</v>
      </c>
      <c r="M114" s="73">
        <v>17.4375</v>
      </c>
      <c r="N114" s="104">
        <v>18</v>
      </c>
      <c r="O114" s="57">
        <v>7000</v>
      </c>
      <c r="P114" s="58">
        <f t="shared" si="1"/>
        <v>126000</v>
      </c>
    </row>
    <row r="115" spans="1:16" ht="26.25" customHeight="1" x14ac:dyDescent="0.2">
      <c r="A115" s="100"/>
      <c r="B115" s="100"/>
      <c r="C115" s="65" t="s">
        <v>5517</v>
      </c>
      <c r="D115" s="70" t="s">
        <v>57</v>
      </c>
      <c r="E115" s="12">
        <v>44558</v>
      </c>
      <c r="F115" s="68" t="s">
        <v>58</v>
      </c>
      <c r="G115" s="12">
        <v>44565</v>
      </c>
      <c r="H115" s="69" t="s">
        <v>5561</v>
      </c>
      <c r="I115" s="15">
        <v>52</v>
      </c>
      <c r="J115" s="15">
        <v>51</v>
      </c>
      <c r="K115" s="15">
        <v>12</v>
      </c>
      <c r="L115" s="15">
        <v>5</v>
      </c>
      <c r="M115" s="73">
        <v>7.9560000000000004</v>
      </c>
      <c r="N115" s="104">
        <v>7.9560000000000004</v>
      </c>
      <c r="O115" s="57">
        <v>7000</v>
      </c>
      <c r="P115" s="58">
        <f t="shared" si="1"/>
        <v>55692</v>
      </c>
    </row>
    <row r="116" spans="1:16" ht="26.25" customHeight="1" x14ac:dyDescent="0.2">
      <c r="A116" s="100"/>
      <c r="B116" s="100"/>
      <c r="C116" s="65" t="s">
        <v>5518</v>
      </c>
      <c r="D116" s="70" t="s">
        <v>57</v>
      </c>
      <c r="E116" s="12">
        <v>44558</v>
      </c>
      <c r="F116" s="68" t="s">
        <v>58</v>
      </c>
      <c r="G116" s="12">
        <v>44565</v>
      </c>
      <c r="H116" s="69" t="s">
        <v>5561</v>
      </c>
      <c r="I116" s="15">
        <v>92</v>
      </c>
      <c r="J116" s="15">
        <v>61</v>
      </c>
      <c r="K116" s="15">
        <v>32</v>
      </c>
      <c r="L116" s="15">
        <v>19</v>
      </c>
      <c r="M116" s="73">
        <v>44.896000000000001</v>
      </c>
      <c r="N116" s="104">
        <v>44.896000000000001</v>
      </c>
      <c r="O116" s="57">
        <v>7000</v>
      </c>
      <c r="P116" s="58">
        <f t="shared" si="1"/>
        <v>314272</v>
      </c>
    </row>
    <row r="117" spans="1:16" ht="26.25" customHeight="1" x14ac:dyDescent="0.2">
      <c r="A117" s="100"/>
      <c r="B117" s="100"/>
      <c r="C117" s="65" t="s">
        <v>5519</v>
      </c>
      <c r="D117" s="70" t="s">
        <v>57</v>
      </c>
      <c r="E117" s="12">
        <v>44558</v>
      </c>
      <c r="F117" s="68" t="s">
        <v>58</v>
      </c>
      <c r="G117" s="12">
        <v>44565</v>
      </c>
      <c r="H117" s="69" t="s">
        <v>5561</v>
      </c>
      <c r="I117" s="15">
        <v>80</v>
      </c>
      <c r="J117" s="15">
        <v>54</v>
      </c>
      <c r="K117" s="15">
        <v>20</v>
      </c>
      <c r="L117" s="15">
        <v>5</v>
      </c>
      <c r="M117" s="73">
        <v>21.6</v>
      </c>
      <c r="N117" s="104">
        <v>21.6</v>
      </c>
      <c r="O117" s="57">
        <v>7000</v>
      </c>
      <c r="P117" s="58">
        <f t="shared" si="1"/>
        <v>151200</v>
      </c>
    </row>
    <row r="118" spans="1:16" ht="26.25" customHeight="1" x14ac:dyDescent="0.2">
      <c r="A118" s="100"/>
      <c r="B118" s="100"/>
      <c r="C118" s="65" t="s">
        <v>5520</v>
      </c>
      <c r="D118" s="70" t="s">
        <v>57</v>
      </c>
      <c r="E118" s="12">
        <v>44558</v>
      </c>
      <c r="F118" s="68" t="s">
        <v>58</v>
      </c>
      <c r="G118" s="12">
        <v>44565</v>
      </c>
      <c r="H118" s="69" t="s">
        <v>5561</v>
      </c>
      <c r="I118" s="15">
        <v>89</v>
      </c>
      <c r="J118" s="15">
        <v>51</v>
      </c>
      <c r="K118" s="15">
        <v>31</v>
      </c>
      <c r="L118" s="15">
        <v>15</v>
      </c>
      <c r="M118" s="73">
        <v>35.177250000000001</v>
      </c>
      <c r="N118" s="104">
        <v>35.177250000000001</v>
      </c>
      <c r="O118" s="57">
        <v>7000</v>
      </c>
      <c r="P118" s="58">
        <f t="shared" si="1"/>
        <v>246240.75</v>
      </c>
    </row>
    <row r="119" spans="1:16" ht="26.25" customHeight="1" x14ac:dyDescent="0.2">
      <c r="A119" s="100"/>
      <c r="B119" s="100"/>
      <c r="C119" s="65" t="s">
        <v>5521</v>
      </c>
      <c r="D119" s="70" t="s">
        <v>57</v>
      </c>
      <c r="E119" s="12">
        <v>44558</v>
      </c>
      <c r="F119" s="68" t="s">
        <v>58</v>
      </c>
      <c r="G119" s="12">
        <v>44565</v>
      </c>
      <c r="H119" s="69" t="s">
        <v>5561</v>
      </c>
      <c r="I119" s="15">
        <v>60</v>
      </c>
      <c r="J119" s="15">
        <v>53</v>
      </c>
      <c r="K119" s="15">
        <v>22</v>
      </c>
      <c r="L119" s="15">
        <v>5</v>
      </c>
      <c r="M119" s="73">
        <v>17.489999999999998</v>
      </c>
      <c r="N119" s="104">
        <v>18</v>
      </c>
      <c r="O119" s="57">
        <v>7000</v>
      </c>
      <c r="P119" s="58">
        <f t="shared" si="1"/>
        <v>126000</v>
      </c>
    </row>
    <row r="120" spans="1:16" ht="26.25" customHeight="1" x14ac:dyDescent="0.2">
      <c r="A120" s="100"/>
      <c r="B120" s="100"/>
      <c r="C120" s="65" t="s">
        <v>5522</v>
      </c>
      <c r="D120" s="70" t="s">
        <v>57</v>
      </c>
      <c r="E120" s="12">
        <v>44558</v>
      </c>
      <c r="F120" s="68" t="s">
        <v>58</v>
      </c>
      <c r="G120" s="12">
        <v>44565</v>
      </c>
      <c r="H120" s="69" t="s">
        <v>5561</v>
      </c>
      <c r="I120" s="15">
        <v>77</v>
      </c>
      <c r="J120" s="15">
        <v>61</v>
      </c>
      <c r="K120" s="15">
        <v>16</v>
      </c>
      <c r="L120" s="15">
        <v>7</v>
      </c>
      <c r="M120" s="73">
        <v>18.788</v>
      </c>
      <c r="N120" s="104">
        <v>18.788</v>
      </c>
      <c r="O120" s="57">
        <v>7000</v>
      </c>
      <c r="P120" s="58">
        <f t="shared" si="1"/>
        <v>131516</v>
      </c>
    </row>
    <row r="121" spans="1:16" ht="26.25" customHeight="1" x14ac:dyDescent="0.2">
      <c r="A121" s="100"/>
      <c r="B121" s="100"/>
      <c r="C121" s="65" t="s">
        <v>5523</v>
      </c>
      <c r="D121" s="70" t="s">
        <v>57</v>
      </c>
      <c r="E121" s="12">
        <v>44558</v>
      </c>
      <c r="F121" s="68" t="s">
        <v>58</v>
      </c>
      <c r="G121" s="12">
        <v>44565</v>
      </c>
      <c r="H121" s="69" t="s">
        <v>5561</v>
      </c>
      <c r="I121" s="15">
        <v>92</v>
      </c>
      <c r="J121" s="15">
        <v>57</v>
      </c>
      <c r="K121" s="15">
        <v>26</v>
      </c>
      <c r="L121" s="15">
        <v>18</v>
      </c>
      <c r="M121" s="73">
        <v>34.085999999999999</v>
      </c>
      <c r="N121" s="104">
        <v>34.085999999999999</v>
      </c>
      <c r="O121" s="57">
        <v>7000</v>
      </c>
      <c r="P121" s="58">
        <f t="shared" si="1"/>
        <v>238602</v>
      </c>
    </row>
    <row r="122" spans="1:16" ht="26.25" customHeight="1" x14ac:dyDescent="0.2">
      <c r="A122" s="100"/>
      <c r="B122" s="100"/>
      <c r="C122" s="65" t="s">
        <v>5524</v>
      </c>
      <c r="D122" s="70" t="s">
        <v>57</v>
      </c>
      <c r="E122" s="12">
        <v>44558</v>
      </c>
      <c r="F122" s="68" t="s">
        <v>58</v>
      </c>
      <c r="G122" s="12">
        <v>44565</v>
      </c>
      <c r="H122" s="69" t="s">
        <v>5561</v>
      </c>
      <c r="I122" s="15">
        <v>95</v>
      </c>
      <c r="J122" s="15">
        <v>31</v>
      </c>
      <c r="K122" s="15">
        <v>31</v>
      </c>
      <c r="L122" s="15">
        <v>15</v>
      </c>
      <c r="M122" s="73">
        <v>22.82375</v>
      </c>
      <c r="N122" s="104">
        <v>22.82375</v>
      </c>
      <c r="O122" s="57">
        <v>7000</v>
      </c>
      <c r="P122" s="58">
        <f t="shared" si="1"/>
        <v>159766.25</v>
      </c>
    </row>
    <row r="123" spans="1:16" ht="26.25" customHeight="1" x14ac:dyDescent="0.2">
      <c r="A123" s="100"/>
      <c r="B123" s="100"/>
      <c r="C123" s="65" t="s">
        <v>5525</v>
      </c>
      <c r="D123" s="70" t="s">
        <v>57</v>
      </c>
      <c r="E123" s="12">
        <v>44558</v>
      </c>
      <c r="F123" s="68" t="s">
        <v>58</v>
      </c>
      <c r="G123" s="12">
        <v>44565</v>
      </c>
      <c r="H123" s="69" t="s">
        <v>5561</v>
      </c>
      <c r="I123" s="15">
        <v>66</v>
      </c>
      <c r="J123" s="15">
        <v>40</v>
      </c>
      <c r="K123" s="15">
        <v>22</v>
      </c>
      <c r="L123" s="15">
        <v>7</v>
      </c>
      <c r="M123" s="73">
        <v>14.52</v>
      </c>
      <c r="N123" s="104">
        <v>14.52</v>
      </c>
      <c r="O123" s="57">
        <v>7000</v>
      </c>
      <c r="P123" s="58">
        <f t="shared" si="1"/>
        <v>101640</v>
      </c>
    </row>
    <row r="124" spans="1:16" ht="26.25" customHeight="1" x14ac:dyDescent="0.2">
      <c r="A124" s="100"/>
      <c r="B124" s="100"/>
      <c r="C124" s="65" t="s">
        <v>5526</v>
      </c>
      <c r="D124" s="70" t="s">
        <v>57</v>
      </c>
      <c r="E124" s="12">
        <v>44558</v>
      </c>
      <c r="F124" s="68" t="s">
        <v>58</v>
      </c>
      <c r="G124" s="12">
        <v>44565</v>
      </c>
      <c r="H124" s="69" t="s">
        <v>5561</v>
      </c>
      <c r="I124" s="15">
        <v>91</v>
      </c>
      <c r="J124" s="15">
        <v>55</v>
      </c>
      <c r="K124" s="15">
        <v>32</v>
      </c>
      <c r="L124" s="15">
        <v>30</v>
      </c>
      <c r="M124" s="73">
        <v>40.04</v>
      </c>
      <c r="N124" s="104">
        <v>40.04</v>
      </c>
      <c r="O124" s="57">
        <v>7000</v>
      </c>
      <c r="P124" s="58">
        <f t="shared" si="1"/>
        <v>280280</v>
      </c>
    </row>
    <row r="125" spans="1:16" ht="26.25" customHeight="1" x14ac:dyDescent="0.2">
      <c r="A125" s="100"/>
      <c r="B125" s="100"/>
      <c r="C125" s="65" t="s">
        <v>5527</v>
      </c>
      <c r="D125" s="70" t="s">
        <v>57</v>
      </c>
      <c r="E125" s="12">
        <v>44558</v>
      </c>
      <c r="F125" s="68" t="s">
        <v>58</v>
      </c>
      <c r="G125" s="12">
        <v>44565</v>
      </c>
      <c r="H125" s="69" t="s">
        <v>5561</v>
      </c>
      <c r="I125" s="15">
        <v>93</v>
      </c>
      <c r="J125" s="15">
        <v>57</v>
      </c>
      <c r="K125" s="15">
        <v>28</v>
      </c>
      <c r="L125" s="15">
        <v>19</v>
      </c>
      <c r="M125" s="73">
        <v>37.106999999999999</v>
      </c>
      <c r="N125" s="104">
        <v>37.106999999999999</v>
      </c>
      <c r="O125" s="57">
        <v>7000</v>
      </c>
      <c r="P125" s="58">
        <f t="shared" si="1"/>
        <v>259749</v>
      </c>
    </row>
    <row r="126" spans="1:16" ht="26.25" customHeight="1" x14ac:dyDescent="0.2">
      <c r="A126" s="100"/>
      <c r="B126" s="100"/>
      <c r="C126" s="65" t="s">
        <v>5528</v>
      </c>
      <c r="D126" s="70" t="s">
        <v>57</v>
      </c>
      <c r="E126" s="12">
        <v>44558</v>
      </c>
      <c r="F126" s="68" t="s">
        <v>58</v>
      </c>
      <c r="G126" s="12">
        <v>44565</v>
      </c>
      <c r="H126" s="69" t="s">
        <v>5561</v>
      </c>
      <c r="I126" s="15">
        <v>98</v>
      </c>
      <c r="J126" s="15">
        <v>52</v>
      </c>
      <c r="K126" s="15">
        <v>27</v>
      </c>
      <c r="L126" s="15">
        <v>15</v>
      </c>
      <c r="M126" s="73">
        <v>34.398000000000003</v>
      </c>
      <c r="N126" s="104">
        <v>35</v>
      </c>
      <c r="O126" s="57">
        <v>7000</v>
      </c>
      <c r="P126" s="58">
        <f t="shared" si="1"/>
        <v>245000</v>
      </c>
    </row>
    <row r="127" spans="1:16" ht="26.25" customHeight="1" x14ac:dyDescent="0.2">
      <c r="A127" s="100"/>
      <c r="B127" s="100"/>
      <c r="C127" s="65" t="s">
        <v>5529</v>
      </c>
      <c r="D127" s="70" t="s">
        <v>57</v>
      </c>
      <c r="E127" s="12">
        <v>44558</v>
      </c>
      <c r="F127" s="68" t="s">
        <v>58</v>
      </c>
      <c r="G127" s="12">
        <v>44565</v>
      </c>
      <c r="H127" s="69" t="s">
        <v>5561</v>
      </c>
      <c r="I127" s="15">
        <v>83</v>
      </c>
      <c r="J127" s="15">
        <v>62</v>
      </c>
      <c r="K127" s="15">
        <v>16</v>
      </c>
      <c r="L127" s="15">
        <v>11</v>
      </c>
      <c r="M127" s="73">
        <v>20.584</v>
      </c>
      <c r="N127" s="104">
        <v>20.584</v>
      </c>
      <c r="O127" s="57">
        <v>7000</v>
      </c>
      <c r="P127" s="58">
        <f t="shared" si="1"/>
        <v>144088</v>
      </c>
    </row>
    <row r="128" spans="1:16" ht="26.25" customHeight="1" x14ac:dyDescent="0.2">
      <c r="A128" s="100"/>
      <c r="B128" s="100"/>
      <c r="C128" s="65" t="s">
        <v>5530</v>
      </c>
      <c r="D128" s="70" t="s">
        <v>57</v>
      </c>
      <c r="E128" s="12">
        <v>44558</v>
      </c>
      <c r="F128" s="68" t="s">
        <v>58</v>
      </c>
      <c r="G128" s="12">
        <v>44565</v>
      </c>
      <c r="H128" s="69" t="s">
        <v>5561</v>
      </c>
      <c r="I128" s="15">
        <v>101</v>
      </c>
      <c r="J128" s="15">
        <v>60</v>
      </c>
      <c r="K128" s="15">
        <v>40</v>
      </c>
      <c r="L128" s="15">
        <v>25</v>
      </c>
      <c r="M128" s="73">
        <v>60.6</v>
      </c>
      <c r="N128" s="104">
        <v>60.6</v>
      </c>
      <c r="O128" s="57">
        <v>7000</v>
      </c>
      <c r="P128" s="58">
        <f t="shared" si="1"/>
        <v>424200</v>
      </c>
    </row>
    <row r="129" spans="1:16" ht="26.25" customHeight="1" x14ac:dyDescent="0.2">
      <c r="A129" s="100"/>
      <c r="B129" s="100"/>
      <c r="C129" s="65" t="s">
        <v>5531</v>
      </c>
      <c r="D129" s="70" t="s">
        <v>57</v>
      </c>
      <c r="E129" s="12">
        <v>44558</v>
      </c>
      <c r="F129" s="68" t="s">
        <v>58</v>
      </c>
      <c r="G129" s="12">
        <v>44565</v>
      </c>
      <c r="H129" s="69" t="s">
        <v>5561</v>
      </c>
      <c r="I129" s="15">
        <v>94</v>
      </c>
      <c r="J129" s="15">
        <v>52</v>
      </c>
      <c r="K129" s="15">
        <v>32</v>
      </c>
      <c r="L129" s="15">
        <v>21</v>
      </c>
      <c r="M129" s="73">
        <v>39.103999999999999</v>
      </c>
      <c r="N129" s="104">
        <v>39.103999999999999</v>
      </c>
      <c r="O129" s="57">
        <v>7000</v>
      </c>
      <c r="P129" s="58">
        <f t="shared" si="1"/>
        <v>273728</v>
      </c>
    </row>
    <row r="130" spans="1:16" ht="26.25" customHeight="1" x14ac:dyDescent="0.2">
      <c r="A130" s="100"/>
      <c r="B130" s="100"/>
      <c r="C130" s="65" t="s">
        <v>5532</v>
      </c>
      <c r="D130" s="70" t="s">
        <v>57</v>
      </c>
      <c r="E130" s="12">
        <v>44558</v>
      </c>
      <c r="F130" s="68" t="s">
        <v>58</v>
      </c>
      <c r="G130" s="12">
        <v>44565</v>
      </c>
      <c r="H130" s="69" t="s">
        <v>5561</v>
      </c>
      <c r="I130" s="15">
        <v>30</v>
      </c>
      <c r="J130" s="15">
        <v>31</v>
      </c>
      <c r="K130" s="15">
        <v>11</v>
      </c>
      <c r="L130" s="15">
        <v>4</v>
      </c>
      <c r="M130" s="73">
        <v>2.5575000000000001</v>
      </c>
      <c r="N130" s="104">
        <v>4</v>
      </c>
      <c r="O130" s="57">
        <v>7000</v>
      </c>
      <c r="P130" s="58">
        <f t="shared" si="1"/>
        <v>28000</v>
      </c>
    </row>
    <row r="131" spans="1:16" ht="26.25" customHeight="1" x14ac:dyDescent="0.2">
      <c r="A131" s="100"/>
      <c r="B131" s="100"/>
      <c r="C131" s="65" t="s">
        <v>5533</v>
      </c>
      <c r="D131" s="70" t="s">
        <v>57</v>
      </c>
      <c r="E131" s="12">
        <v>44558</v>
      </c>
      <c r="F131" s="68" t="s">
        <v>58</v>
      </c>
      <c r="G131" s="12">
        <v>44565</v>
      </c>
      <c r="H131" s="69" t="s">
        <v>5561</v>
      </c>
      <c r="I131" s="15">
        <v>61</v>
      </c>
      <c r="J131" s="15">
        <v>52</v>
      </c>
      <c r="K131" s="15">
        <v>24</v>
      </c>
      <c r="L131" s="15">
        <v>6</v>
      </c>
      <c r="M131" s="73">
        <v>19.032</v>
      </c>
      <c r="N131" s="104">
        <v>19.032</v>
      </c>
      <c r="O131" s="57">
        <v>7000</v>
      </c>
      <c r="P131" s="58">
        <f t="shared" ref="P131:P157" si="2">N131*O131</f>
        <v>133224</v>
      </c>
    </row>
    <row r="132" spans="1:16" ht="26.25" customHeight="1" x14ac:dyDescent="0.2">
      <c r="A132" s="100"/>
      <c r="B132" s="100"/>
      <c r="C132" s="65" t="s">
        <v>5534</v>
      </c>
      <c r="D132" s="70" t="s">
        <v>57</v>
      </c>
      <c r="E132" s="12">
        <v>44558</v>
      </c>
      <c r="F132" s="68" t="s">
        <v>58</v>
      </c>
      <c r="G132" s="12">
        <v>44565</v>
      </c>
      <c r="H132" s="69" t="s">
        <v>5561</v>
      </c>
      <c r="I132" s="15">
        <v>101</v>
      </c>
      <c r="J132" s="15">
        <v>61</v>
      </c>
      <c r="K132" s="15">
        <v>26</v>
      </c>
      <c r="L132" s="15">
        <v>14</v>
      </c>
      <c r="M132" s="73">
        <v>40.046500000000002</v>
      </c>
      <c r="N132" s="104">
        <v>40.046500000000002</v>
      </c>
      <c r="O132" s="57">
        <v>7000</v>
      </c>
      <c r="P132" s="58">
        <f t="shared" si="2"/>
        <v>280325.5</v>
      </c>
    </row>
    <row r="133" spans="1:16" ht="26.25" customHeight="1" x14ac:dyDescent="0.2">
      <c r="A133" s="100"/>
      <c r="B133" s="100"/>
      <c r="C133" s="65" t="s">
        <v>5535</v>
      </c>
      <c r="D133" s="70" t="s">
        <v>57</v>
      </c>
      <c r="E133" s="12">
        <v>44558</v>
      </c>
      <c r="F133" s="68" t="s">
        <v>58</v>
      </c>
      <c r="G133" s="12">
        <v>44565</v>
      </c>
      <c r="H133" s="69" t="s">
        <v>5561</v>
      </c>
      <c r="I133" s="15">
        <v>91</v>
      </c>
      <c r="J133" s="15">
        <v>61</v>
      </c>
      <c r="K133" s="15">
        <v>23</v>
      </c>
      <c r="L133" s="15">
        <v>15</v>
      </c>
      <c r="M133" s="73">
        <v>31.91825</v>
      </c>
      <c r="N133" s="104">
        <v>31.91825</v>
      </c>
      <c r="O133" s="57">
        <v>7000</v>
      </c>
      <c r="P133" s="58">
        <f t="shared" si="2"/>
        <v>223427.75</v>
      </c>
    </row>
    <row r="134" spans="1:16" ht="26.25" customHeight="1" x14ac:dyDescent="0.2">
      <c r="A134" s="100"/>
      <c r="B134" s="100"/>
      <c r="C134" s="65" t="s">
        <v>5536</v>
      </c>
      <c r="D134" s="70" t="s">
        <v>57</v>
      </c>
      <c r="E134" s="12">
        <v>44558</v>
      </c>
      <c r="F134" s="68" t="s">
        <v>58</v>
      </c>
      <c r="G134" s="12">
        <v>44565</v>
      </c>
      <c r="H134" s="69" t="s">
        <v>5561</v>
      </c>
      <c r="I134" s="15">
        <v>92</v>
      </c>
      <c r="J134" s="15">
        <v>62</v>
      </c>
      <c r="K134" s="15">
        <v>35</v>
      </c>
      <c r="L134" s="15">
        <v>14</v>
      </c>
      <c r="M134" s="73">
        <v>49.91</v>
      </c>
      <c r="N134" s="104">
        <v>49.91</v>
      </c>
      <c r="O134" s="57">
        <v>7000</v>
      </c>
      <c r="P134" s="58">
        <f t="shared" si="2"/>
        <v>349370</v>
      </c>
    </row>
    <row r="135" spans="1:16" ht="26.25" customHeight="1" x14ac:dyDescent="0.2">
      <c r="A135" s="100"/>
      <c r="B135" s="100"/>
      <c r="C135" s="65" t="s">
        <v>5537</v>
      </c>
      <c r="D135" s="70" t="s">
        <v>57</v>
      </c>
      <c r="E135" s="12">
        <v>44558</v>
      </c>
      <c r="F135" s="68" t="s">
        <v>58</v>
      </c>
      <c r="G135" s="12">
        <v>44565</v>
      </c>
      <c r="H135" s="69" t="s">
        <v>5561</v>
      </c>
      <c r="I135" s="15">
        <v>91</v>
      </c>
      <c r="J135" s="15">
        <v>62</v>
      </c>
      <c r="K135" s="15">
        <v>32</v>
      </c>
      <c r="L135" s="15">
        <v>30</v>
      </c>
      <c r="M135" s="73">
        <v>45.136000000000003</v>
      </c>
      <c r="N135" s="104">
        <v>45.136000000000003</v>
      </c>
      <c r="O135" s="57">
        <v>7000</v>
      </c>
      <c r="P135" s="58">
        <f t="shared" si="2"/>
        <v>315952</v>
      </c>
    </row>
    <row r="136" spans="1:16" ht="26.25" customHeight="1" x14ac:dyDescent="0.2">
      <c r="A136" s="100"/>
      <c r="B136" s="100"/>
      <c r="C136" s="65" t="s">
        <v>5538</v>
      </c>
      <c r="D136" s="70" t="s">
        <v>57</v>
      </c>
      <c r="E136" s="12">
        <v>44558</v>
      </c>
      <c r="F136" s="68" t="s">
        <v>58</v>
      </c>
      <c r="G136" s="12">
        <v>44565</v>
      </c>
      <c r="H136" s="69" t="s">
        <v>5561</v>
      </c>
      <c r="I136" s="15">
        <v>100</v>
      </c>
      <c r="J136" s="15">
        <v>52</v>
      </c>
      <c r="K136" s="15">
        <v>31</v>
      </c>
      <c r="L136" s="15">
        <v>27</v>
      </c>
      <c r="M136" s="73">
        <v>40.299999999999997</v>
      </c>
      <c r="N136" s="104">
        <v>41</v>
      </c>
      <c r="O136" s="57">
        <v>7000</v>
      </c>
      <c r="P136" s="58">
        <f t="shared" si="2"/>
        <v>287000</v>
      </c>
    </row>
    <row r="137" spans="1:16" ht="26.25" customHeight="1" x14ac:dyDescent="0.2">
      <c r="A137" s="100"/>
      <c r="B137" s="100"/>
      <c r="C137" s="65" t="s">
        <v>5539</v>
      </c>
      <c r="D137" s="70" t="s">
        <v>57</v>
      </c>
      <c r="E137" s="12">
        <v>44558</v>
      </c>
      <c r="F137" s="68" t="s">
        <v>58</v>
      </c>
      <c r="G137" s="12">
        <v>44565</v>
      </c>
      <c r="H137" s="69" t="s">
        <v>5561</v>
      </c>
      <c r="I137" s="15">
        <v>30</v>
      </c>
      <c r="J137" s="15">
        <v>24</v>
      </c>
      <c r="K137" s="15">
        <v>15</v>
      </c>
      <c r="L137" s="15">
        <v>1</v>
      </c>
      <c r="M137" s="73">
        <v>2.7</v>
      </c>
      <c r="N137" s="104">
        <v>2.7</v>
      </c>
      <c r="O137" s="57">
        <v>7000</v>
      </c>
      <c r="P137" s="58">
        <f t="shared" si="2"/>
        <v>18900</v>
      </c>
    </row>
    <row r="138" spans="1:16" ht="26.25" customHeight="1" x14ac:dyDescent="0.2">
      <c r="A138" s="100"/>
      <c r="B138" s="100"/>
      <c r="C138" s="65" t="s">
        <v>5540</v>
      </c>
      <c r="D138" s="70" t="s">
        <v>57</v>
      </c>
      <c r="E138" s="12">
        <v>44558</v>
      </c>
      <c r="F138" s="68" t="s">
        <v>58</v>
      </c>
      <c r="G138" s="12">
        <v>44565</v>
      </c>
      <c r="H138" s="69" t="s">
        <v>5561</v>
      </c>
      <c r="I138" s="15">
        <v>82</v>
      </c>
      <c r="J138" s="15">
        <v>52</v>
      </c>
      <c r="K138" s="15">
        <v>25</v>
      </c>
      <c r="L138" s="15">
        <v>12</v>
      </c>
      <c r="M138" s="73">
        <v>26.65</v>
      </c>
      <c r="N138" s="104">
        <v>26.65</v>
      </c>
      <c r="O138" s="57">
        <v>7000</v>
      </c>
      <c r="P138" s="58">
        <f t="shared" si="2"/>
        <v>186550</v>
      </c>
    </row>
    <row r="139" spans="1:16" ht="26.25" customHeight="1" x14ac:dyDescent="0.2">
      <c r="A139" s="100"/>
      <c r="B139" s="100"/>
      <c r="C139" s="65" t="s">
        <v>5541</v>
      </c>
      <c r="D139" s="70" t="s">
        <v>57</v>
      </c>
      <c r="E139" s="12">
        <v>44558</v>
      </c>
      <c r="F139" s="68" t="s">
        <v>58</v>
      </c>
      <c r="G139" s="12">
        <v>44565</v>
      </c>
      <c r="H139" s="69" t="s">
        <v>5561</v>
      </c>
      <c r="I139" s="15">
        <v>75</v>
      </c>
      <c r="J139" s="15">
        <v>61</v>
      </c>
      <c r="K139" s="15">
        <v>13</v>
      </c>
      <c r="L139" s="15">
        <v>7</v>
      </c>
      <c r="M139" s="73">
        <v>14.86875</v>
      </c>
      <c r="N139" s="104">
        <v>14.86875</v>
      </c>
      <c r="O139" s="57">
        <v>7000</v>
      </c>
      <c r="P139" s="58">
        <f t="shared" si="2"/>
        <v>104081.25</v>
      </c>
    </row>
    <row r="140" spans="1:16" ht="26.25" customHeight="1" x14ac:dyDescent="0.2">
      <c r="A140" s="100"/>
      <c r="B140" s="100"/>
      <c r="C140" s="65" t="s">
        <v>5542</v>
      </c>
      <c r="D140" s="70" t="s">
        <v>57</v>
      </c>
      <c r="E140" s="12">
        <v>44558</v>
      </c>
      <c r="F140" s="68" t="s">
        <v>58</v>
      </c>
      <c r="G140" s="12">
        <v>44565</v>
      </c>
      <c r="H140" s="69" t="s">
        <v>5561</v>
      </c>
      <c r="I140" s="15">
        <v>25</v>
      </c>
      <c r="J140" s="15">
        <v>21</v>
      </c>
      <c r="K140" s="15">
        <v>10</v>
      </c>
      <c r="L140" s="15">
        <v>1</v>
      </c>
      <c r="M140" s="73">
        <v>1.3125</v>
      </c>
      <c r="N140" s="104">
        <v>2</v>
      </c>
      <c r="O140" s="57">
        <v>7000</v>
      </c>
      <c r="P140" s="58">
        <f t="shared" si="2"/>
        <v>14000</v>
      </c>
    </row>
    <row r="141" spans="1:16" ht="26.25" customHeight="1" x14ac:dyDescent="0.2">
      <c r="A141" s="100"/>
      <c r="B141" s="100"/>
      <c r="C141" s="65" t="s">
        <v>5543</v>
      </c>
      <c r="D141" s="70" t="s">
        <v>57</v>
      </c>
      <c r="E141" s="12">
        <v>44558</v>
      </c>
      <c r="F141" s="68" t="s">
        <v>58</v>
      </c>
      <c r="G141" s="12">
        <v>44565</v>
      </c>
      <c r="H141" s="69" t="s">
        <v>5561</v>
      </c>
      <c r="I141" s="15">
        <v>61</v>
      </c>
      <c r="J141" s="15">
        <v>52</v>
      </c>
      <c r="K141" s="15">
        <v>20</v>
      </c>
      <c r="L141" s="15">
        <v>6</v>
      </c>
      <c r="M141" s="73">
        <v>15.86</v>
      </c>
      <c r="N141" s="104">
        <v>15.86</v>
      </c>
      <c r="O141" s="57">
        <v>7000</v>
      </c>
      <c r="P141" s="58">
        <f t="shared" si="2"/>
        <v>111020</v>
      </c>
    </row>
    <row r="142" spans="1:16" ht="26.25" customHeight="1" x14ac:dyDescent="0.2">
      <c r="A142" s="100"/>
      <c r="B142" s="100"/>
      <c r="C142" s="65" t="s">
        <v>5544</v>
      </c>
      <c r="D142" s="70" t="s">
        <v>57</v>
      </c>
      <c r="E142" s="12">
        <v>44558</v>
      </c>
      <c r="F142" s="68" t="s">
        <v>58</v>
      </c>
      <c r="G142" s="12">
        <v>44565</v>
      </c>
      <c r="H142" s="69" t="s">
        <v>5561</v>
      </c>
      <c r="I142" s="15">
        <v>72</v>
      </c>
      <c r="J142" s="15">
        <v>42</v>
      </c>
      <c r="K142" s="15">
        <v>21</v>
      </c>
      <c r="L142" s="15">
        <v>8</v>
      </c>
      <c r="M142" s="73">
        <v>15.875999999999999</v>
      </c>
      <c r="N142" s="104">
        <v>15.875999999999999</v>
      </c>
      <c r="O142" s="57">
        <v>7000</v>
      </c>
      <c r="P142" s="58">
        <f t="shared" si="2"/>
        <v>111132</v>
      </c>
    </row>
    <row r="143" spans="1:16" ht="26.25" customHeight="1" x14ac:dyDescent="0.2">
      <c r="A143" s="100"/>
      <c r="B143" s="100"/>
      <c r="C143" s="65" t="s">
        <v>5545</v>
      </c>
      <c r="D143" s="70" t="s">
        <v>57</v>
      </c>
      <c r="E143" s="12">
        <v>44558</v>
      </c>
      <c r="F143" s="68" t="s">
        <v>58</v>
      </c>
      <c r="G143" s="12">
        <v>44565</v>
      </c>
      <c r="H143" s="69" t="s">
        <v>5561</v>
      </c>
      <c r="I143" s="15">
        <v>80</v>
      </c>
      <c r="J143" s="15">
        <v>60</v>
      </c>
      <c r="K143" s="15">
        <v>23</v>
      </c>
      <c r="L143" s="15">
        <v>11</v>
      </c>
      <c r="M143" s="73">
        <v>27.6</v>
      </c>
      <c r="N143" s="104">
        <v>27.6</v>
      </c>
      <c r="O143" s="57">
        <v>7000</v>
      </c>
      <c r="P143" s="58">
        <f t="shared" si="2"/>
        <v>193200</v>
      </c>
    </row>
    <row r="144" spans="1:16" ht="26.25" customHeight="1" x14ac:dyDescent="0.2">
      <c r="A144" s="100"/>
      <c r="B144" s="100"/>
      <c r="C144" s="65" t="s">
        <v>5546</v>
      </c>
      <c r="D144" s="70" t="s">
        <v>57</v>
      </c>
      <c r="E144" s="12">
        <v>44558</v>
      </c>
      <c r="F144" s="68" t="s">
        <v>58</v>
      </c>
      <c r="G144" s="12">
        <v>44565</v>
      </c>
      <c r="H144" s="69" t="s">
        <v>5561</v>
      </c>
      <c r="I144" s="15">
        <v>93</v>
      </c>
      <c r="J144" s="15">
        <v>62</v>
      </c>
      <c r="K144" s="15">
        <v>21</v>
      </c>
      <c r="L144" s="15">
        <v>24</v>
      </c>
      <c r="M144" s="73">
        <v>30.2715</v>
      </c>
      <c r="N144" s="104">
        <v>30.2715</v>
      </c>
      <c r="O144" s="57">
        <v>7000</v>
      </c>
      <c r="P144" s="58">
        <f t="shared" si="2"/>
        <v>211900.5</v>
      </c>
    </row>
    <row r="145" spans="1:16" ht="26.25" customHeight="1" x14ac:dyDescent="0.2">
      <c r="A145" s="100"/>
      <c r="B145" s="100"/>
      <c r="C145" s="65" t="s">
        <v>5547</v>
      </c>
      <c r="D145" s="70" t="s">
        <v>57</v>
      </c>
      <c r="E145" s="12">
        <v>44558</v>
      </c>
      <c r="F145" s="68" t="s">
        <v>58</v>
      </c>
      <c r="G145" s="12">
        <v>44565</v>
      </c>
      <c r="H145" s="69" t="s">
        <v>5561</v>
      </c>
      <c r="I145" s="15">
        <v>94</v>
      </c>
      <c r="J145" s="15">
        <v>60</v>
      </c>
      <c r="K145" s="15">
        <v>23</v>
      </c>
      <c r="L145" s="15">
        <v>19</v>
      </c>
      <c r="M145" s="73">
        <v>32.43</v>
      </c>
      <c r="N145" s="104">
        <v>33</v>
      </c>
      <c r="O145" s="57">
        <v>7000</v>
      </c>
      <c r="P145" s="58">
        <f t="shared" si="2"/>
        <v>231000</v>
      </c>
    </row>
    <row r="146" spans="1:16" ht="26.25" customHeight="1" x14ac:dyDescent="0.2">
      <c r="A146" s="100"/>
      <c r="B146" s="100"/>
      <c r="C146" s="65" t="s">
        <v>5548</v>
      </c>
      <c r="D146" s="70" t="s">
        <v>57</v>
      </c>
      <c r="E146" s="12">
        <v>44558</v>
      </c>
      <c r="F146" s="68" t="s">
        <v>58</v>
      </c>
      <c r="G146" s="12">
        <v>44565</v>
      </c>
      <c r="H146" s="69" t="s">
        <v>5561</v>
      </c>
      <c r="I146" s="15">
        <v>68</v>
      </c>
      <c r="J146" s="15">
        <v>32</v>
      </c>
      <c r="K146" s="15">
        <v>25</v>
      </c>
      <c r="L146" s="15">
        <v>7</v>
      </c>
      <c r="M146" s="73">
        <v>13.6</v>
      </c>
      <c r="N146" s="104">
        <v>13.6</v>
      </c>
      <c r="O146" s="57">
        <v>7000</v>
      </c>
      <c r="P146" s="58">
        <f t="shared" si="2"/>
        <v>95200</v>
      </c>
    </row>
    <row r="147" spans="1:16" ht="26.25" customHeight="1" x14ac:dyDescent="0.2">
      <c r="A147" s="100"/>
      <c r="B147" s="100"/>
      <c r="C147" s="65" t="s">
        <v>5549</v>
      </c>
      <c r="D147" s="70" t="s">
        <v>57</v>
      </c>
      <c r="E147" s="12">
        <v>44558</v>
      </c>
      <c r="F147" s="68" t="s">
        <v>58</v>
      </c>
      <c r="G147" s="12">
        <v>44565</v>
      </c>
      <c r="H147" s="69" t="s">
        <v>5561</v>
      </c>
      <c r="I147" s="15">
        <v>58</v>
      </c>
      <c r="J147" s="15">
        <v>41</v>
      </c>
      <c r="K147" s="15">
        <v>18</v>
      </c>
      <c r="L147" s="15">
        <v>6</v>
      </c>
      <c r="M147" s="73">
        <v>10.701000000000001</v>
      </c>
      <c r="N147" s="104">
        <v>10.701000000000001</v>
      </c>
      <c r="O147" s="57">
        <v>7000</v>
      </c>
      <c r="P147" s="58">
        <f t="shared" si="2"/>
        <v>74907</v>
      </c>
    </row>
    <row r="148" spans="1:16" ht="26.25" customHeight="1" x14ac:dyDescent="0.2">
      <c r="A148" s="100"/>
      <c r="B148" s="100"/>
      <c r="C148" s="65" t="s">
        <v>5550</v>
      </c>
      <c r="D148" s="70" t="s">
        <v>57</v>
      </c>
      <c r="E148" s="12">
        <v>44558</v>
      </c>
      <c r="F148" s="68" t="s">
        <v>58</v>
      </c>
      <c r="G148" s="12">
        <v>44565</v>
      </c>
      <c r="H148" s="69" t="s">
        <v>5561</v>
      </c>
      <c r="I148" s="15">
        <v>96</v>
      </c>
      <c r="J148" s="15">
        <v>62</v>
      </c>
      <c r="K148" s="15">
        <v>42</v>
      </c>
      <c r="L148" s="15">
        <v>23</v>
      </c>
      <c r="M148" s="73">
        <v>62.496000000000002</v>
      </c>
      <c r="N148" s="104">
        <v>63</v>
      </c>
      <c r="O148" s="57">
        <v>7000</v>
      </c>
      <c r="P148" s="58">
        <f t="shared" si="2"/>
        <v>441000</v>
      </c>
    </row>
    <row r="149" spans="1:16" ht="26.25" customHeight="1" x14ac:dyDescent="0.2">
      <c r="A149" s="100"/>
      <c r="B149" s="100"/>
      <c r="C149" s="65" t="s">
        <v>5551</v>
      </c>
      <c r="D149" s="70" t="s">
        <v>57</v>
      </c>
      <c r="E149" s="12">
        <v>44558</v>
      </c>
      <c r="F149" s="68" t="s">
        <v>58</v>
      </c>
      <c r="G149" s="12">
        <v>44565</v>
      </c>
      <c r="H149" s="69" t="s">
        <v>5561</v>
      </c>
      <c r="I149" s="15">
        <v>96</v>
      </c>
      <c r="J149" s="15">
        <v>62</v>
      </c>
      <c r="K149" s="15">
        <v>23</v>
      </c>
      <c r="L149" s="15">
        <v>22</v>
      </c>
      <c r="M149" s="73">
        <v>34.223999999999997</v>
      </c>
      <c r="N149" s="104">
        <v>34.223999999999997</v>
      </c>
      <c r="O149" s="57">
        <v>7000</v>
      </c>
      <c r="P149" s="58">
        <f t="shared" si="2"/>
        <v>239567.99999999997</v>
      </c>
    </row>
    <row r="150" spans="1:16" ht="26.25" customHeight="1" x14ac:dyDescent="0.2">
      <c r="A150" s="100"/>
      <c r="B150" s="100"/>
      <c r="C150" s="65" t="s">
        <v>5552</v>
      </c>
      <c r="D150" s="70" t="s">
        <v>57</v>
      </c>
      <c r="E150" s="12">
        <v>44558</v>
      </c>
      <c r="F150" s="68" t="s">
        <v>58</v>
      </c>
      <c r="G150" s="12">
        <v>44565</v>
      </c>
      <c r="H150" s="69" t="s">
        <v>5561</v>
      </c>
      <c r="I150" s="15">
        <v>62</v>
      </c>
      <c r="J150" s="15">
        <v>52</v>
      </c>
      <c r="K150" s="15">
        <v>17</v>
      </c>
      <c r="L150" s="15">
        <v>7</v>
      </c>
      <c r="M150" s="73">
        <v>13.702</v>
      </c>
      <c r="N150" s="104">
        <v>13.702</v>
      </c>
      <c r="O150" s="57">
        <v>7000</v>
      </c>
      <c r="P150" s="58">
        <f t="shared" si="2"/>
        <v>95914</v>
      </c>
    </row>
    <row r="151" spans="1:16" ht="26.25" customHeight="1" x14ac:dyDescent="0.2">
      <c r="A151" s="100"/>
      <c r="B151" s="100"/>
      <c r="C151" s="65" t="s">
        <v>5553</v>
      </c>
      <c r="D151" s="70" t="s">
        <v>57</v>
      </c>
      <c r="E151" s="12">
        <v>44558</v>
      </c>
      <c r="F151" s="68" t="s">
        <v>58</v>
      </c>
      <c r="G151" s="12">
        <v>44565</v>
      </c>
      <c r="H151" s="69" t="s">
        <v>5561</v>
      </c>
      <c r="I151" s="15">
        <v>67</v>
      </c>
      <c r="J151" s="15">
        <v>62</v>
      </c>
      <c r="K151" s="15">
        <v>22</v>
      </c>
      <c r="L151" s="15">
        <v>11</v>
      </c>
      <c r="M151" s="73">
        <v>22.847000000000001</v>
      </c>
      <c r="N151" s="104">
        <v>22.847000000000001</v>
      </c>
      <c r="O151" s="57">
        <v>7000</v>
      </c>
      <c r="P151" s="58">
        <f t="shared" si="2"/>
        <v>159929</v>
      </c>
    </row>
    <row r="152" spans="1:16" ht="26.25" customHeight="1" x14ac:dyDescent="0.2">
      <c r="A152" s="100"/>
      <c r="B152" s="101"/>
      <c r="C152" s="65" t="s">
        <v>5554</v>
      </c>
      <c r="D152" s="70" t="s">
        <v>57</v>
      </c>
      <c r="E152" s="12">
        <v>44558</v>
      </c>
      <c r="F152" s="68" t="s">
        <v>58</v>
      </c>
      <c r="G152" s="12">
        <v>44565</v>
      </c>
      <c r="H152" s="69" t="s">
        <v>5561</v>
      </c>
      <c r="I152" s="15">
        <v>102</v>
      </c>
      <c r="J152" s="15">
        <v>52</v>
      </c>
      <c r="K152" s="15">
        <v>32</v>
      </c>
      <c r="L152" s="15">
        <v>5</v>
      </c>
      <c r="M152" s="73">
        <v>42.432000000000002</v>
      </c>
      <c r="N152" s="104">
        <v>43</v>
      </c>
      <c r="O152" s="57">
        <v>7000</v>
      </c>
      <c r="P152" s="58">
        <f t="shared" si="2"/>
        <v>301000</v>
      </c>
    </row>
    <row r="153" spans="1:16" ht="26.25" customHeight="1" x14ac:dyDescent="0.2">
      <c r="A153" s="100"/>
      <c r="B153" s="100" t="s">
        <v>5555</v>
      </c>
      <c r="C153" s="65" t="s">
        <v>5556</v>
      </c>
      <c r="D153" s="70" t="s">
        <v>57</v>
      </c>
      <c r="E153" s="12">
        <v>44558</v>
      </c>
      <c r="F153" s="68" t="s">
        <v>58</v>
      </c>
      <c r="G153" s="12">
        <v>44565</v>
      </c>
      <c r="H153" s="69" t="s">
        <v>5561</v>
      </c>
      <c r="I153" s="15">
        <v>72</v>
      </c>
      <c r="J153" s="15">
        <v>63</v>
      </c>
      <c r="K153" s="15">
        <v>24</v>
      </c>
      <c r="L153" s="15">
        <v>12</v>
      </c>
      <c r="M153" s="73">
        <v>27.216000000000001</v>
      </c>
      <c r="N153" s="104">
        <v>27.216000000000001</v>
      </c>
      <c r="O153" s="57">
        <v>7000</v>
      </c>
      <c r="P153" s="58">
        <f t="shared" si="2"/>
        <v>190512</v>
      </c>
    </row>
    <row r="154" spans="1:16" ht="26.25" customHeight="1" x14ac:dyDescent="0.2">
      <c r="A154" s="100"/>
      <c r="B154" s="100"/>
      <c r="C154" s="65" t="s">
        <v>5557</v>
      </c>
      <c r="D154" s="70" t="s">
        <v>57</v>
      </c>
      <c r="E154" s="12">
        <v>44558</v>
      </c>
      <c r="F154" s="68" t="s">
        <v>58</v>
      </c>
      <c r="G154" s="12">
        <v>44565</v>
      </c>
      <c r="H154" s="69" t="s">
        <v>5561</v>
      </c>
      <c r="I154" s="15">
        <v>65</v>
      </c>
      <c r="J154" s="15">
        <v>55</v>
      </c>
      <c r="K154" s="15">
        <v>31</v>
      </c>
      <c r="L154" s="15">
        <v>14</v>
      </c>
      <c r="M154" s="73">
        <v>27.706250000000001</v>
      </c>
      <c r="N154" s="104">
        <v>27.706250000000001</v>
      </c>
      <c r="O154" s="57">
        <v>7000</v>
      </c>
      <c r="P154" s="58">
        <f t="shared" si="2"/>
        <v>193943.75</v>
      </c>
    </row>
    <row r="155" spans="1:16" ht="26.25" customHeight="1" x14ac:dyDescent="0.2">
      <c r="A155" s="100"/>
      <c r="B155" s="100"/>
      <c r="C155" s="65" t="s">
        <v>5558</v>
      </c>
      <c r="D155" s="70" t="s">
        <v>57</v>
      </c>
      <c r="E155" s="12">
        <v>44558</v>
      </c>
      <c r="F155" s="68" t="s">
        <v>58</v>
      </c>
      <c r="G155" s="12">
        <v>44565</v>
      </c>
      <c r="H155" s="69" t="s">
        <v>5561</v>
      </c>
      <c r="I155" s="15">
        <v>65</v>
      </c>
      <c r="J155" s="15">
        <v>52</v>
      </c>
      <c r="K155" s="15">
        <v>31</v>
      </c>
      <c r="L155" s="15">
        <v>8</v>
      </c>
      <c r="M155" s="73">
        <v>26.195</v>
      </c>
      <c r="N155" s="104">
        <v>26.195</v>
      </c>
      <c r="O155" s="57">
        <v>7000</v>
      </c>
      <c r="P155" s="58">
        <f t="shared" si="2"/>
        <v>183365</v>
      </c>
    </row>
    <row r="156" spans="1:16" ht="26.25" customHeight="1" x14ac:dyDescent="0.2">
      <c r="A156" s="100"/>
      <c r="B156" s="100"/>
      <c r="C156" s="65" t="s">
        <v>5559</v>
      </c>
      <c r="D156" s="70" t="s">
        <v>57</v>
      </c>
      <c r="E156" s="12">
        <v>44558</v>
      </c>
      <c r="F156" s="68" t="s">
        <v>58</v>
      </c>
      <c r="G156" s="12">
        <v>44565</v>
      </c>
      <c r="H156" s="69" t="s">
        <v>5561</v>
      </c>
      <c r="I156" s="15">
        <v>15</v>
      </c>
      <c r="J156" s="15">
        <v>10</v>
      </c>
      <c r="K156" s="15">
        <v>8</v>
      </c>
      <c r="L156" s="15">
        <v>1</v>
      </c>
      <c r="M156" s="73">
        <v>0.3</v>
      </c>
      <c r="N156" s="104">
        <v>2</v>
      </c>
      <c r="O156" s="57">
        <v>7000</v>
      </c>
      <c r="P156" s="58">
        <f t="shared" si="2"/>
        <v>14000</v>
      </c>
    </row>
    <row r="157" spans="1:16" ht="26.25" customHeight="1" x14ac:dyDescent="0.2">
      <c r="A157" s="100"/>
      <c r="B157" s="100"/>
      <c r="C157" s="65" t="s">
        <v>5560</v>
      </c>
      <c r="D157" s="70" t="s">
        <v>57</v>
      </c>
      <c r="E157" s="12">
        <v>44558</v>
      </c>
      <c r="F157" s="68" t="s">
        <v>58</v>
      </c>
      <c r="G157" s="12">
        <v>44565</v>
      </c>
      <c r="H157" s="69" t="s">
        <v>5561</v>
      </c>
      <c r="I157" s="15">
        <v>36</v>
      </c>
      <c r="J157" s="15">
        <v>32</v>
      </c>
      <c r="K157" s="15">
        <v>20</v>
      </c>
      <c r="L157" s="15">
        <v>5</v>
      </c>
      <c r="M157" s="73">
        <v>5.76</v>
      </c>
      <c r="N157" s="104">
        <v>5.76</v>
      </c>
      <c r="O157" s="57">
        <v>7000</v>
      </c>
      <c r="P157" s="58">
        <f t="shared" si="2"/>
        <v>40320</v>
      </c>
    </row>
    <row r="158" spans="1:16" ht="22.5" customHeight="1" x14ac:dyDescent="0.2">
      <c r="A158" s="159" t="s">
        <v>30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1"/>
      <c r="M158" s="71">
        <f>SUBTOTAL(109,Table224578910112345678910111213141516171819202122232425262728293031323334353738394041424344454647484950515253545556575859606162636465666768697071727374757677787980818283848586878889[KG VOLUME])</f>
        <v>2992.8537500000007</v>
      </c>
      <c r="N158" s="61">
        <f>SUM(N3:N157)</f>
        <v>3056.8919999999998</v>
      </c>
      <c r="O158" s="162">
        <f>SUM(P3:P157)</f>
        <v>21398244</v>
      </c>
      <c r="P158" s="163"/>
    </row>
    <row r="159" spans="1:16" ht="18" customHeight="1" x14ac:dyDescent="0.2">
      <c r="A159" s="78"/>
      <c r="B159" s="49" t="s">
        <v>42</v>
      </c>
      <c r="C159" s="48"/>
      <c r="D159" s="50" t="s">
        <v>43</v>
      </c>
      <c r="E159" s="78"/>
      <c r="F159" s="78"/>
      <c r="G159" s="78"/>
      <c r="H159" s="78"/>
      <c r="I159" s="78"/>
      <c r="J159" s="78"/>
      <c r="K159" s="78"/>
      <c r="L159" s="78"/>
      <c r="M159" s="79"/>
      <c r="N159" s="80" t="s">
        <v>52</v>
      </c>
      <c r="O159" s="81"/>
      <c r="P159" s="81">
        <v>0</v>
      </c>
    </row>
    <row r="160" spans="1:16" ht="18" customHeight="1" thickBot="1" x14ac:dyDescent="0.25">
      <c r="A160" s="78"/>
      <c r="B160" s="49"/>
      <c r="C160" s="48"/>
      <c r="D160" s="50"/>
      <c r="E160" s="78"/>
      <c r="F160" s="78"/>
      <c r="G160" s="78"/>
      <c r="H160" s="78"/>
      <c r="I160" s="78"/>
      <c r="J160" s="78"/>
      <c r="K160" s="78"/>
      <c r="L160" s="78"/>
      <c r="M160" s="79"/>
      <c r="N160" s="82" t="s">
        <v>53</v>
      </c>
      <c r="O160" s="83"/>
      <c r="P160" s="83">
        <f>O158-P159</f>
        <v>21398244</v>
      </c>
    </row>
    <row r="161" spans="1:16" ht="18" customHeight="1" x14ac:dyDescent="0.2">
      <c r="A161" s="10"/>
      <c r="H161" s="56"/>
      <c r="N161" s="55" t="s">
        <v>31</v>
      </c>
      <c r="P161" s="62">
        <f>P160*1%</f>
        <v>213982.44</v>
      </c>
    </row>
    <row r="162" spans="1:16" ht="18" customHeight="1" thickBot="1" x14ac:dyDescent="0.25">
      <c r="A162" s="10"/>
      <c r="H162" s="56"/>
      <c r="N162" s="55" t="s">
        <v>54</v>
      </c>
      <c r="P162" s="64">
        <f>P160*2%</f>
        <v>427964.88</v>
      </c>
    </row>
    <row r="163" spans="1:16" ht="18" customHeight="1" x14ac:dyDescent="0.2">
      <c r="A163" s="10"/>
      <c r="H163" s="56"/>
      <c r="N163" s="59" t="s">
        <v>32</v>
      </c>
      <c r="O163" s="60"/>
      <c r="P163" s="63">
        <f>P160+P161-P162</f>
        <v>21184261.560000002</v>
      </c>
    </row>
    <row r="165" spans="1:16" x14ac:dyDescent="0.2">
      <c r="A165" s="10"/>
      <c r="H165" s="56"/>
      <c r="P165" s="64"/>
    </row>
    <row r="166" spans="1:16" x14ac:dyDescent="0.2">
      <c r="A166" s="10"/>
      <c r="H166" s="56"/>
      <c r="O166" s="51"/>
      <c r="P166" s="64"/>
    </row>
    <row r="167" spans="1:16" s="3" customFormat="1" x14ac:dyDescent="0.25">
      <c r="A167" s="10"/>
      <c r="B167" s="2"/>
      <c r="C167" s="2"/>
      <c r="E167" s="11"/>
      <c r="H167" s="56"/>
      <c r="N167" s="14"/>
      <c r="O167" s="14"/>
      <c r="P167" s="14"/>
    </row>
    <row r="168" spans="1:16" s="3" customFormat="1" x14ac:dyDescent="0.25">
      <c r="A168" s="10"/>
      <c r="B168" s="2"/>
      <c r="C168" s="2"/>
      <c r="E168" s="11"/>
      <c r="H168" s="56"/>
      <c r="N168" s="14"/>
      <c r="O168" s="14"/>
      <c r="P168" s="14"/>
    </row>
    <row r="169" spans="1:16" s="3" customFormat="1" x14ac:dyDescent="0.25">
      <c r="A169" s="10"/>
      <c r="B169" s="2"/>
      <c r="C169" s="2"/>
      <c r="E169" s="11"/>
      <c r="H169" s="56"/>
      <c r="N169" s="14"/>
      <c r="O169" s="14"/>
      <c r="P169" s="14"/>
    </row>
    <row r="170" spans="1:16" s="3" customFormat="1" x14ac:dyDescent="0.25">
      <c r="A170" s="10"/>
      <c r="B170" s="2"/>
      <c r="C170" s="2"/>
      <c r="E170" s="11"/>
      <c r="H170" s="56"/>
      <c r="N170" s="14"/>
      <c r="O170" s="14"/>
      <c r="P170" s="14"/>
    </row>
    <row r="171" spans="1:16" s="3" customFormat="1" x14ac:dyDescent="0.25">
      <c r="A171" s="10"/>
      <c r="B171" s="2"/>
      <c r="C171" s="2"/>
      <c r="E171" s="11"/>
      <c r="H171" s="56"/>
      <c r="N171" s="14"/>
      <c r="O171" s="14"/>
      <c r="P171" s="14"/>
    </row>
    <row r="172" spans="1:16" s="3" customFormat="1" x14ac:dyDescent="0.25">
      <c r="A172" s="10"/>
      <c r="B172" s="2"/>
      <c r="C172" s="2"/>
      <c r="E172" s="11"/>
      <c r="H172" s="56"/>
      <c r="N172" s="14"/>
      <c r="O172" s="14"/>
      <c r="P172" s="14"/>
    </row>
    <row r="173" spans="1:16" s="3" customFormat="1" x14ac:dyDescent="0.25">
      <c r="A173" s="10"/>
      <c r="B173" s="2"/>
      <c r="C173" s="2"/>
      <c r="E173" s="11"/>
      <c r="H173" s="56"/>
      <c r="N173" s="14"/>
      <c r="O173" s="14"/>
      <c r="P173" s="14"/>
    </row>
    <row r="174" spans="1:16" s="3" customFormat="1" x14ac:dyDescent="0.25">
      <c r="A174" s="10"/>
      <c r="B174" s="2"/>
      <c r="C174" s="2"/>
      <c r="E174" s="11"/>
      <c r="H174" s="56"/>
      <c r="N174" s="14"/>
      <c r="O174" s="14"/>
      <c r="P174" s="14"/>
    </row>
    <row r="175" spans="1:16" s="3" customFormat="1" x14ac:dyDescent="0.25">
      <c r="A175" s="10"/>
      <c r="B175" s="2"/>
      <c r="C175" s="2"/>
      <c r="E175" s="11"/>
      <c r="H175" s="56"/>
      <c r="N175" s="14"/>
      <c r="O175" s="14"/>
      <c r="P175" s="14"/>
    </row>
    <row r="176" spans="1:16" s="3" customFormat="1" x14ac:dyDescent="0.25">
      <c r="A176" s="10"/>
      <c r="B176" s="2"/>
      <c r="C176" s="2"/>
      <c r="E176" s="11"/>
      <c r="H176" s="56"/>
      <c r="N176" s="14"/>
      <c r="O176" s="14"/>
      <c r="P176" s="14"/>
    </row>
    <row r="177" spans="1:16" s="3" customFormat="1" x14ac:dyDescent="0.25">
      <c r="A177" s="10"/>
      <c r="B177" s="2"/>
      <c r="C177" s="2"/>
      <c r="E177" s="11"/>
      <c r="H177" s="56"/>
      <c r="N177" s="14"/>
      <c r="O177" s="14"/>
      <c r="P177" s="14"/>
    </row>
    <row r="178" spans="1:16" s="3" customFormat="1" x14ac:dyDescent="0.25">
      <c r="A178" s="10"/>
      <c r="B178" s="2"/>
      <c r="C178" s="2"/>
      <c r="E178" s="11"/>
      <c r="H178" s="56"/>
      <c r="N178" s="14"/>
      <c r="O178" s="14"/>
      <c r="P178" s="14"/>
    </row>
  </sheetData>
  <mergeCells count="2">
    <mergeCell ref="A158:L158"/>
    <mergeCell ref="O158:P158"/>
  </mergeCells>
  <conditionalFormatting sqref="C3:C157">
    <cfRule type="duplicateValues" dxfId="191" priority="11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7"/>
  <sheetViews>
    <sheetView zoomScale="110" zoomScaleNormal="110" workbookViewId="0">
      <pane xSplit="3" ySplit="2" topLeftCell="D8" activePane="bottomRight" state="frozen"/>
      <selection activeCell="H12" sqref="H12"/>
      <selection pane="topRight" activeCell="H12" sqref="H12"/>
      <selection pane="bottomLeft" activeCell="H12" sqref="H12"/>
      <selection pane="bottomRight" activeCell="F12" sqref="F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75">
        <v>405803</v>
      </c>
      <c r="B3" s="66" t="s">
        <v>423</v>
      </c>
      <c r="C3" s="8" t="s">
        <v>424</v>
      </c>
      <c r="D3" s="68" t="s">
        <v>57</v>
      </c>
      <c r="E3" s="12">
        <v>44533</v>
      </c>
      <c r="F3" s="68" t="s">
        <v>71</v>
      </c>
      <c r="G3" s="12">
        <v>44538</v>
      </c>
      <c r="H3" s="9" t="s">
        <v>299</v>
      </c>
      <c r="I3" s="1">
        <v>90</v>
      </c>
      <c r="J3" s="1">
        <v>60</v>
      </c>
      <c r="K3" s="1">
        <v>15</v>
      </c>
      <c r="L3" s="1">
        <v>17</v>
      </c>
      <c r="M3" s="72">
        <v>20.25</v>
      </c>
      <c r="N3" s="88">
        <v>20.25</v>
      </c>
      <c r="O3" s="57">
        <v>7000</v>
      </c>
      <c r="P3" s="58">
        <f t="shared" ref="P3:P16" si="0">N3*O3</f>
        <v>141750</v>
      </c>
    </row>
    <row r="4" spans="1:16" ht="26.25" customHeight="1" x14ac:dyDescent="0.2">
      <c r="A4" s="13"/>
      <c r="B4" s="67"/>
      <c r="C4" s="8" t="s">
        <v>425</v>
      </c>
      <c r="D4" s="68" t="s">
        <v>57</v>
      </c>
      <c r="E4" s="12">
        <v>44533</v>
      </c>
      <c r="F4" s="68" t="s">
        <v>71</v>
      </c>
      <c r="G4" s="12">
        <v>44538</v>
      </c>
      <c r="H4" s="9" t="s">
        <v>299</v>
      </c>
      <c r="I4" s="1">
        <v>90</v>
      </c>
      <c r="J4" s="1">
        <v>62</v>
      </c>
      <c r="K4" s="1">
        <v>54</v>
      </c>
      <c r="L4" s="1">
        <v>21</v>
      </c>
      <c r="M4" s="72">
        <v>75.33</v>
      </c>
      <c r="N4" s="88">
        <v>76</v>
      </c>
      <c r="O4" s="57">
        <v>7000</v>
      </c>
      <c r="P4" s="58">
        <f t="shared" si="0"/>
        <v>532000</v>
      </c>
    </row>
    <row r="5" spans="1:16" ht="26.25" customHeight="1" x14ac:dyDescent="0.2">
      <c r="A5" s="13"/>
      <c r="B5" s="13"/>
      <c r="C5" s="8" t="s">
        <v>426</v>
      </c>
      <c r="D5" s="68" t="s">
        <v>57</v>
      </c>
      <c r="E5" s="12">
        <v>44533</v>
      </c>
      <c r="F5" s="68" t="s">
        <v>71</v>
      </c>
      <c r="G5" s="12">
        <v>44538</v>
      </c>
      <c r="H5" s="9" t="s">
        <v>299</v>
      </c>
      <c r="I5" s="1">
        <v>92</v>
      </c>
      <c r="J5" s="1">
        <v>65</v>
      </c>
      <c r="K5" s="1">
        <v>32</v>
      </c>
      <c r="L5" s="1">
        <v>24</v>
      </c>
      <c r="M5" s="72">
        <v>47.84</v>
      </c>
      <c r="N5" s="88">
        <v>47.84</v>
      </c>
      <c r="O5" s="57">
        <v>7000</v>
      </c>
      <c r="P5" s="58">
        <f t="shared" si="0"/>
        <v>334880</v>
      </c>
    </row>
    <row r="6" spans="1:16" ht="26.25" customHeight="1" x14ac:dyDescent="0.2">
      <c r="A6" s="13"/>
      <c r="B6" s="13"/>
      <c r="C6" s="65" t="s">
        <v>427</v>
      </c>
      <c r="D6" s="70" t="s">
        <v>57</v>
      </c>
      <c r="E6" s="12">
        <v>44533</v>
      </c>
      <c r="F6" s="68" t="s">
        <v>71</v>
      </c>
      <c r="G6" s="12">
        <v>44538</v>
      </c>
      <c r="H6" s="69" t="s">
        <v>299</v>
      </c>
      <c r="I6" s="15">
        <v>100</v>
      </c>
      <c r="J6" s="15">
        <v>41</v>
      </c>
      <c r="K6" s="15">
        <v>35</v>
      </c>
      <c r="L6" s="15">
        <v>14</v>
      </c>
      <c r="M6" s="73">
        <v>35.875</v>
      </c>
      <c r="N6" s="88">
        <v>35.875</v>
      </c>
      <c r="O6" s="57">
        <v>7000</v>
      </c>
      <c r="P6" s="58">
        <f t="shared" si="0"/>
        <v>251125</v>
      </c>
    </row>
    <row r="7" spans="1:16" ht="26.25" customHeight="1" x14ac:dyDescent="0.2">
      <c r="A7" s="13"/>
      <c r="B7" s="13"/>
      <c r="C7" s="65" t="s">
        <v>428</v>
      </c>
      <c r="D7" s="70" t="s">
        <v>57</v>
      </c>
      <c r="E7" s="12">
        <v>44533</v>
      </c>
      <c r="F7" s="68" t="s">
        <v>71</v>
      </c>
      <c r="G7" s="12">
        <v>44538</v>
      </c>
      <c r="H7" s="69" t="s">
        <v>299</v>
      </c>
      <c r="I7" s="15">
        <v>40</v>
      </c>
      <c r="J7" s="15">
        <v>40</v>
      </c>
      <c r="K7" s="15">
        <v>10</v>
      </c>
      <c r="L7" s="15">
        <v>2</v>
      </c>
      <c r="M7" s="73">
        <v>4</v>
      </c>
      <c r="N7" s="88">
        <v>4</v>
      </c>
      <c r="O7" s="57">
        <v>7000</v>
      </c>
      <c r="P7" s="58">
        <f t="shared" si="0"/>
        <v>28000</v>
      </c>
    </row>
    <row r="8" spans="1:16" ht="26.25" customHeight="1" x14ac:dyDescent="0.2">
      <c r="A8" s="13"/>
      <c r="B8" s="13"/>
      <c r="C8" s="65" t="s">
        <v>429</v>
      </c>
      <c r="D8" s="70" t="s">
        <v>57</v>
      </c>
      <c r="E8" s="12">
        <v>44533</v>
      </c>
      <c r="F8" s="68" t="s">
        <v>71</v>
      </c>
      <c r="G8" s="12">
        <v>44538</v>
      </c>
      <c r="H8" s="69" t="s">
        <v>299</v>
      </c>
      <c r="I8" s="15">
        <v>68</v>
      </c>
      <c r="J8" s="15">
        <v>69</v>
      </c>
      <c r="K8" s="15">
        <v>7</v>
      </c>
      <c r="L8" s="15">
        <v>13</v>
      </c>
      <c r="M8" s="73">
        <v>8.2110000000000003</v>
      </c>
      <c r="N8" s="88">
        <v>13</v>
      </c>
      <c r="O8" s="57">
        <v>7000</v>
      </c>
      <c r="P8" s="58">
        <f t="shared" si="0"/>
        <v>91000</v>
      </c>
    </row>
    <row r="9" spans="1:16" ht="26.25" customHeight="1" x14ac:dyDescent="0.2">
      <c r="A9" s="13"/>
      <c r="B9" s="13"/>
      <c r="C9" s="65" t="s">
        <v>430</v>
      </c>
      <c r="D9" s="70" t="s">
        <v>57</v>
      </c>
      <c r="E9" s="12">
        <v>44533</v>
      </c>
      <c r="F9" s="68" t="s">
        <v>71</v>
      </c>
      <c r="G9" s="12">
        <v>44538</v>
      </c>
      <c r="H9" s="69" t="s">
        <v>299</v>
      </c>
      <c r="I9" s="15">
        <v>76</v>
      </c>
      <c r="J9" s="15">
        <v>44</v>
      </c>
      <c r="K9" s="15">
        <v>14</v>
      </c>
      <c r="L9" s="15">
        <v>3</v>
      </c>
      <c r="M9" s="73">
        <v>11.704000000000001</v>
      </c>
      <c r="N9" s="88">
        <v>11.704000000000001</v>
      </c>
      <c r="O9" s="57">
        <v>7000</v>
      </c>
      <c r="P9" s="58">
        <f t="shared" si="0"/>
        <v>81928</v>
      </c>
    </row>
    <row r="10" spans="1:16" ht="26.25" customHeight="1" x14ac:dyDescent="0.2">
      <c r="A10" s="13"/>
      <c r="B10" s="13"/>
      <c r="C10" s="65" t="s">
        <v>431</v>
      </c>
      <c r="D10" s="70" t="s">
        <v>57</v>
      </c>
      <c r="E10" s="12">
        <v>44533</v>
      </c>
      <c r="F10" s="68" t="s">
        <v>71</v>
      </c>
      <c r="G10" s="12">
        <v>44538</v>
      </c>
      <c r="H10" s="69" t="s">
        <v>299</v>
      </c>
      <c r="I10" s="15">
        <v>102</v>
      </c>
      <c r="J10" s="15">
        <v>45</v>
      </c>
      <c r="K10" s="15">
        <v>32</v>
      </c>
      <c r="L10" s="15">
        <v>14</v>
      </c>
      <c r="M10" s="73">
        <v>36.72</v>
      </c>
      <c r="N10" s="88">
        <v>36.72</v>
      </c>
      <c r="O10" s="57">
        <v>7000</v>
      </c>
      <c r="P10" s="58">
        <f t="shared" si="0"/>
        <v>257040</v>
      </c>
    </row>
    <row r="11" spans="1:16" ht="26.25" customHeight="1" x14ac:dyDescent="0.2">
      <c r="A11" s="13"/>
      <c r="B11" s="13"/>
      <c r="C11" s="65" t="s">
        <v>432</v>
      </c>
      <c r="D11" s="70" t="s">
        <v>57</v>
      </c>
      <c r="E11" s="12">
        <v>44533</v>
      </c>
      <c r="F11" s="68" t="s">
        <v>71</v>
      </c>
      <c r="G11" s="12">
        <v>44538</v>
      </c>
      <c r="H11" s="69" t="s">
        <v>299</v>
      </c>
      <c r="I11" s="15">
        <v>67</v>
      </c>
      <c r="J11" s="15">
        <v>40</v>
      </c>
      <c r="K11" s="15">
        <v>15</v>
      </c>
      <c r="L11" s="15">
        <v>5</v>
      </c>
      <c r="M11" s="73">
        <v>10.050000000000001</v>
      </c>
      <c r="N11" s="88">
        <v>10.050000000000001</v>
      </c>
      <c r="O11" s="57">
        <v>7000</v>
      </c>
      <c r="P11" s="58">
        <f t="shared" si="0"/>
        <v>70350</v>
      </c>
    </row>
    <row r="12" spans="1:16" ht="26.25" customHeight="1" x14ac:dyDescent="0.2">
      <c r="A12" s="13"/>
      <c r="B12" s="13"/>
      <c r="C12" s="65" t="s">
        <v>433</v>
      </c>
      <c r="D12" s="70" t="s">
        <v>57</v>
      </c>
      <c r="E12" s="12">
        <v>44533</v>
      </c>
      <c r="F12" s="68" t="s">
        <v>71</v>
      </c>
      <c r="G12" s="12">
        <v>44538</v>
      </c>
      <c r="H12" s="69" t="s">
        <v>299</v>
      </c>
      <c r="I12" s="15">
        <v>40</v>
      </c>
      <c r="J12" s="15">
        <v>30</v>
      </c>
      <c r="K12" s="15">
        <v>24</v>
      </c>
      <c r="L12" s="15">
        <v>7</v>
      </c>
      <c r="M12" s="73">
        <v>7.2</v>
      </c>
      <c r="N12" s="88">
        <v>7.2</v>
      </c>
      <c r="O12" s="57">
        <v>7000</v>
      </c>
      <c r="P12" s="58">
        <f t="shared" si="0"/>
        <v>50400</v>
      </c>
    </row>
    <row r="13" spans="1:16" ht="26.25" customHeight="1" x14ac:dyDescent="0.2">
      <c r="A13" s="13"/>
      <c r="B13" s="13"/>
      <c r="C13" s="65" t="s">
        <v>434</v>
      </c>
      <c r="D13" s="70" t="s">
        <v>57</v>
      </c>
      <c r="E13" s="12">
        <v>44533</v>
      </c>
      <c r="F13" s="68" t="s">
        <v>71</v>
      </c>
      <c r="G13" s="12">
        <v>44538</v>
      </c>
      <c r="H13" s="69" t="s">
        <v>299</v>
      </c>
      <c r="I13" s="15">
        <v>57</v>
      </c>
      <c r="J13" s="15">
        <v>20</v>
      </c>
      <c r="K13" s="15">
        <v>12</v>
      </c>
      <c r="L13" s="15">
        <v>9</v>
      </c>
      <c r="M13" s="73">
        <v>3.42</v>
      </c>
      <c r="N13" s="88">
        <v>10</v>
      </c>
      <c r="O13" s="57">
        <v>7000</v>
      </c>
      <c r="P13" s="58">
        <f t="shared" si="0"/>
        <v>70000</v>
      </c>
    </row>
    <row r="14" spans="1:16" ht="26.25" customHeight="1" x14ac:dyDescent="0.2">
      <c r="A14" s="13"/>
      <c r="B14" s="13"/>
      <c r="C14" s="65" t="s">
        <v>435</v>
      </c>
      <c r="D14" s="70" t="s">
        <v>57</v>
      </c>
      <c r="E14" s="12">
        <v>44533</v>
      </c>
      <c r="F14" s="68" t="s">
        <v>71</v>
      </c>
      <c r="G14" s="12">
        <v>44538</v>
      </c>
      <c r="H14" s="69" t="s">
        <v>299</v>
      </c>
      <c r="I14" s="15">
        <v>160</v>
      </c>
      <c r="J14" s="15">
        <v>30</v>
      </c>
      <c r="K14" s="15">
        <v>67</v>
      </c>
      <c r="L14" s="15">
        <v>20</v>
      </c>
      <c r="M14" s="73">
        <v>80.400000000000006</v>
      </c>
      <c r="N14" s="88">
        <v>81</v>
      </c>
      <c r="O14" s="57">
        <v>7000</v>
      </c>
      <c r="P14" s="58">
        <f t="shared" si="0"/>
        <v>567000</v>
      </c>
    </row>
    <row r="15" spans="1:16" ht="26.25" customHeight="1" x14ac:dyDescent="0.2">
      <c r="A15" s="13"/>
      <c r="B15" s="103"/>
      <c r="C15" s="65" t="s">
        <v>436</v>
      </c>
      <c r="D15" s="70" t="s">
        <v>57</v>
      </c>
      <c r="E15" s="12">
        <v>44533</v>
      </c>
      <c r="F15" s="68" t="s">
        <v>71</v>
      </c>
      <c r="G15" s="12">
        <v>44538</v>
      </c>
      <c r="H15" s="69" t="s">
        <v>299</v>
      </c>
      <c r="I15" s="15">
        <v>68</v>
      </c>
      <c r="J15" s="15">
        <v>77</v>
      </c>
      <c r="K15" s="15">
        <v>96</v>
      </c>
      <c r="L15" s="15">
        <v>49</v>
      </c>
      <c r="M15" s="73">
        <v>125.664</v>
      </c>
      <c r="N15" s="88">
        <v>125.664</v>
      </c>
      <c r="O15" s="57">
        <v>7000</v>
      </c>
      <c r="P15" s="58">
        <f t="shared" si="0"/>
        <v>879648</v>
      </c>
    </row>
    <row r="16" spans="1:16" ht="26.25" customHeight="1" x14ac:dyDescent="0.2">
      <c r="A16" s="13"/>
      <c r="B16" s="13" t="s">
        <v>437</v>
      </c>
      <c r="C16" s="65" t="s">
        <v>438</v>
      </c>
      <c r="D16" s="70" t="s">
        <v>57</v>
      </c>
      <c r="E16" s="12">
        <v>44533</v>
      </c>
      <c r="F16" s="68" t="s">
        <v>71</v>
      </c>
      <c r="G16" s="12">
        <v>44538</v>
      </c>
      <c r="H16" s="69" t="s">
        <v>299</v>
      </c>
      <c r="I16" s="15">
        <v>54</v>
      </c>
      <c r="J16" s="15">
        <v>42</v>
      </c>
      <c r="K16" s="15">
        <v>34</v>
      </c>
      <c r="L16" s="15">
        <v>9</v>
      </c>
      <c r="M16" s="73">
        <v>19.277999999999999</v>
      </c>
      <c r="N16" s="88">
        <v>19.277999999999999</v>
      </c>
      <c r="O16" s="57">
        <v>7000</v>
      </c>
      <c r="P16" s="58">
        <f t="shared" si="0"/>
        <v>134946</v>
      </c>
    </row>
    <row r="17" spans="1:16" ht="22.5" customHeight="1" x14ac:dyDescent="0.2">
      <c r="A17" s="159" t="s">
        <v>30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1"/>
      <c r="M17" s="71">
        <f>SUBTOTAL(109,Table2245789101123456789[KG VOLUME])</f>
        <v>485.94200000000012</v>
      </c>
      <c r="N17" s="61">
        <f>SUM(N3:N16)</f>
        <v>498.58100000000002</v>
      </c>
      <c r="O17" s="162">
        <f>SUM(P3:P16)</f>
        <v>3490067</v>
      </c>
      <c r="P17" s="163"/>
    </row>
    <row r="18" spans="1:16" ht="18" customHeight="1" x14ac:dyDescent="0.2">
      <c r="A18" s="78"/>
      <c r="B18" s="49" t="s">
        <v>42</v>
      </c>
      <c r="C18" s="48"/>
      <c r="D18" s="50" t="s">
        <v>43</v>
      </c>
      <c r="E18" s="78"/>
      <c r="F18" s="78"/>
      <c r="G18" s="78"/>
      <c r="H18" s="78"/>
      <c r="I18" s="78"/>
      <c r="J18" s="78"/>
      <c r="K18" s="78"/>
      <c r="L18" s="78"/>
      <c r="M18" s="79"/>
      <c r="N18" s="80" t="s">
        <v>52</v>
      </c>
      <c r="O18" s="81"/>
      <c r="P18" s="81">
        <v>0</v>
      </c>
    </row>
    <row r="19" spans="1:16" ht="18" customHeight="1" thickBot="1" x14ac:dyDescent="0.25">
      <c r="A19" s="78"/>
      <c r="B19" s="49"/>
      <c r="C19" s="48"/>
      <c r="D19" s="50"/>
      <c r="E19" s="78"/>
      <c r="F19" s="78"/>
      <c r="G19" s="78"/>
      <c r="H19" s="78"/>
      <c r="I19" s="78"/>
      <c r="J19" s="78"/>
      <c r="K19" s="78"/>
      <c r="L19" s="78"/>
      <c r="M19" s="79"/>
      <c r="N19" s="82" t="s">
        <v>53</v>
      </c>
      <c r="O19" s="83"/>
      <c r="P19" s="83">
        <f>O17-P18</f>
        <v>3490067</v>
      </c>
    </row>
    <row r="20" spans="1:16" ht="18" customHeight="1" x14ac:dyDescent="0.2">
      <c r="A20" s="10"/>
      <c r="H20" s="56"/>
      <c r="N20" s="55" t="s">
        <v>31</v>
      </c>
      <c r="P20" s="62">
        <f>P19*1%</f>
        <v>34900.67</v>
      </c>
    </row>
    <row r="21" spans="1:16" ht="18" customHeight="1" thickBot="1" x14ac:dyDescent="0.25">
      <c r="A21" s="10"/>
      <c r="H21" s="56"/>
      <c r="N21" s="55" t="s">
        <v>54</v>
      </c>
      <c r="P21" s="64">
        <f>P19*2%</f>
        <v>69801.34</v>
      </c>
    </row>
    <row r="22" spans="1:16" ht="18" customHeight="1" x14ac:dyDescent="0.2">
      <c r="A22" s="10"/>
      <c r="H22" s="56"/>
      <c r="N22" s="59" t="s">
        <v>32</v>
      </c>
      <c r="O22" s="60"/>
      <c r="P22" s="63">
        <f>P19+P20-P21</f>
        <v>3455166.33</v>
      </c>
    </row>
    <row r="24" spans="1:16" x14ac:dyDescent="0.2">
      <c r="A24" s="10"/>
      <c r="H24" s="56"/>
      <c r="P24" s="64"/>
    </row>
    <row r="25" spans="1:16" x14ac:dyDescent="0.2">
      <c r="A25" s="10"/>
      <c r="H25" s="56"/>
      <c r="O25" s="51"/>
      <c r="P25" s="6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</sheetData>
  <mergeCells count="2">
    <mergeCell ref="A17:L17"/>
    <mergeCell ref="O17:P17"/>
  </mergeCells>
  <conditionalFormatting sqref="B3">
    <cfRule type="duplicateValues" dxfId="1479" priority="2"/>
  </conditionalFormatting>
  <conditionalFormatting sqref="B4">
    <cfRule type="duplicateValues" dxfId="1478" priority="1"/>
  </conditionalFormatting>
  <conditionalFormatting sqref="B5:B16">
    <cfRule type="duplicateValues" dxfId="1477" priority="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workbookViewId="0">
      <selection activeCell="P5" sqref="P3:P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402748</v>
      </c>
      <c r="B3" s="99" t="s">
        <v>5562</v>
      </c>
      <c r="C3" s="90" t="s">
        <v>5564</v>
      </c>
      <c r="D3" s="102" t="s">
        <v>57</v>
      </c>
      <c r="E3" s="91">
        <v>44558</v>
      </c>
      <c r="F3" s="102" t="s">
        <v>58</v>
      </c>
      <c r="G3" s="91">
        <v>44565</v>
      </c>
      <c r="H3" s="90" t="s">
        <v>5561</v>
      </c>
      <c r="I3" s="90">
        <v>98</v>
      </c>
      <c r="J3" s="90">
        <v>53</v>
      </c>
      <c r="K3" s="90">
        <v>34</v>
      </c>
      <c r="L3" s="90">
        <v>23</v>
      </c>
      <c r="M3" s="90">
        <v>44.149000000000001</v>
      </c>
      <c r="N3" s="104">
        <v>44.149000000000001</v>
      </c>
      <c r="O3" s="57">
        <v>7000</v>
      </c>
      <c r="P3" s="58">
        <f t="shared" ref="P3:P5" si="0">N3*O3</f>
        <v>309043</v>
      </c>
    </row>
    <row r="4" spans="1:16" ht="26.25" customHeight="1" x14ac:dyDescent="0.2">
      <c r="A4" s="100"/>
      <c r="B4" s="101"/>
      <c r="C4" s="90" t="s">
        <v>5565</v>
      </c>
      <c r="D4" s="102" t="s">
        <v>57</v>
      </c>
      <c r="E4" s="91">
        <v>44558</v>
      </c>
      <c r="F4" s="102" t="s">
        <v>58</v>
      </c>
      <c r="G4" s="91">
        <v>44565</v>
      </c>
      <c r="H4" s="90" t="s">
        <v>5561</v>
      </c>
      <c r="I4" s="90">
        <v>63</v>
      </c>
      <c r="J4" s="90">
        <v>18</v>
      </c>
      <c r="K4" s="90">
        <v>40</v>
      </c>
      <c r="L4" s="90">
        <v>7</v>
      </c>
      <c r="M4" s="90">
        <v>11.34</v>
      </c>
      <c r="N4" s="104">
        <v>12</v>
      </c>
      <c r="O4" s="57">
        <v>7000</v>
      </c>
      <c r="P4" s="58">
        <f t="shared" si="0"/>
        <v>84000</v>
      </c>
    </row>
    <row r="5" spans="1:16" ht="26.25" customHeight="1" x14ac:dyDescent="0.2">
      <c r="A5" s="100"/>
      <c r="B5" s="100" t="s">
        <v>5563</v>
      </c>
      <c r="C5" s="90" t="s">
        <v>5566</v>
      </c>
      <c r="D5" s="102" t="s">
        <v>57</v>
      </c>
      <c r="E5" s="91">
        <v>44558</v>
      </c>
      <c r="F5" s="102" t="s">
        <v>58</v>
      </c>
      <c r="G5" s="91">
        <v>44565</v>
      </c>
      <c r="H5" s="90" t="s">
        <v>5561</v>
      </c>
      <c r="I5" s="90">
        <v>34</v>
      </c>
      <c r="J5" s="90">
        <v>25</v>
      </c>
      <c r="K5" s="90">
        <v>16</v>
      </c>
      <c r="L5" s="90">
        <v>1</v>
      </c>
      <c r="M5" s="90">
        <v>3.4</v>
      </c>
      <c r="N5" s="104">
        <v>4</v>
      </c>
      <c r="O5" s="57">
        <v>7000</v>
      </c>
      <c r="P5" s="58">
        <f t="shared" si="0"/>
        <v>28000</v>
      </c>
    </row>
    <row r="6" spans="1:16" ht="22.5" customHeight="1" x14ac:dyDescent="0.2">
      <c r="A6" s="159" t="s">
        <v>30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1"/>
      <c r="M6" s="71">
        <f>SUBTOTAL(109,Table22457891011234567891011121314151617181920212223242526272829303132333435373839404142434445464748495051525354555657585960616263646566676869707172737475767778798081828384858687888990[KG VOLUME])</f>
        <v>58.889000000000003</v>
      </c>
      <c r="N6" s="61">
        <f>SUM(N3:N5)</f>
        <v>60.149000000000001</v>
      </c>
      <c r="O6" s="162">
        <f>SUM(P3:P5)</f>
        <v>421043</v>
      </c>
      <c r="P6" s="163"/>
    </row>
    <row r="7" spans="1:16" ht="18" customHeight="1" x14ac:dyDescent="0.2">
      <c r="A7" s="78"/>
      <c r="B7" s="49" t="s">
        <v>42</v>
      </c>
      <c r="C7" s="48"/>
      <c r="D7" s="50" t="s">
        <v>43</v>
      </c>
      <c r="E7" s="78"/>
      <c r="F7" s="78"/>
      <c r="G7" s="78"/>
      <c r="H7" s="78"/>
      <c r="I7" s="78"/>
      <c r="J7" s="78"/>
      <c r="K7" s="78"/>
      <c r="L7" s="78"/>
      <c r="M7" s="79"/>
      <c r="N7" s="80" t="s">
        <v>52</v>
      </c>
      <c r="O7" s="81"/>
      <c r="P7" s="81">
        <v>0</v>
      </c>
    </row>
    <row r="8" spans="1:16" ht="18" customHeight="1" thickBot="1" x14ac:dyDescent="0.25">
      <c r="A8" s="78"/>
      <c r="B8" s="49"/>
      <c r="C8" s="48"/>
      <c r="D8" s="50"/>
      <c r="E8" s="78"/>
      <c r="F8" s="78"/>
      <c r="G8" s="78"/>
      <c r="H8" s="78"/>
      <c r="I8" s="78"/>
      <c r="J8" s="78"/>
      <c r="K8" s="78"/>
      <c r="L8" s="78"/>
      <c r="M8" s="79"/>
      <c r="N8" s="82" t="s">
        <v>53</v>
      </c>
      <c r="O8" s="83"/>
      <c r="P8" s="83">
        <f>O6-P7</f>
        <v>421043</v>
      </c>
    </row>
    <row r="9" spans="1:16" ht="18" customHeight="1" x14ac:dyDescent="0.2">
      <c r="A9" s="10"/>
      <c r="H9" s="56"/>
      <c r="N9" s="55" t="s">
        <v>31</v>
      </c>
      <c r="P9" s="62">
        <f>P8*1%</f>
        <v>4210.43</v>
      </c>
    </row>
    <row r="10" spans="1:16" ht="18" customHeight="1" thickBot="1" x14ac:dyDescent="0.25">
      <c r="A10" s="10"/>
      <c r="H10" s="56"/>
      <c r="N10" s="55" t="s">
        <v>54</v>
      </c>
      <c r="P10" s="64">
        <f>P8*2%</f>
        <v>8420.86</v>
      </c>
    </row>
    <row r="11" spans="1:16" ht="18" customHeight="1" x14ac:dyDescent="0.2">
      <c r="A11" s="10"/>
      <c r="H11" s="56"/>
      <c r="N11" s="59" t="s">
        <v>32</v>
      </c>
      <c r="O11" s="60"/>
      <c r="P11" s="63">
        <f>P8+P9-P10</f>
        <v>416832.57</v>
      </c>
    </row>
    <row r="13" spans="1:16" x14ac:dyDescent="0.2">
      <c r="A13" s="10"/>
      <c r="H13" s="56"/>
      <c r="P13" s="64"/>
    </row>
    <row r="14" spans="1:16" x14ac:dyDescent="0.2">
      <c r="A14" s="10"/>
      <c r="H14" s="56"/>
      <c r="O14" s="51"/>
      <c r="P14" s="64"/>
    </row>
    <row r="15" spans="1:16" s="3" customFormat="1" x14ac:dyDescent="0.25">
      <c r="A15" s="10"/>
      <c r="B15" s="2"/>
      <c r="C15" s="2"/>
      <c r="E15" s="11"/>
      <c r="H15" s="56"/>
      <c r="N15" s="14"/>
      <c r="O15" s="14"/>
      <c r="P15" s="14"/>
    </row>
    <row r="16" spans="1:16" s="3" customFormat="1" x14ac:dyDescent="0.25">
      <c r="A16" s="10"/>
      <c r="B16" s="2"/>
      <c r="C16" s="2"/>
      <c r="E16" s="11"/>
      <c r="H16" s="56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56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56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56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56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56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56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56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56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</sheetData>
  <mergeCells count="2">
    <mergeCell ref="A6:L6"/>
    <mergeCell ref="O6:P6"/>
  </mergeCells>
  <conditionalFormatting sqref="C3:C5">
    <cfRule type="duplicateValues" dxfId="175" priority="11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workbookViewId="0">
      <selection activeCell="N31" sqref="N3:N3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406134</v>
      </c>
      <c r="B3" s="99" t="s">
        <v>5567</v>
      </c>
      <c r="C3" s="90" t="s">
        <v>5568</v>
      </c>
      <c r="D3" s="102" t="s">
        <v>57</v>
      </c>
      <c r="E3" s="91">
        <v>44559</v>
      </c>
      <c r="F3" s="102" t="s">
        <v>58</v>
      </c>
      <c r="G3" s="91">
        <v>44565</v>
      </c>
      <c r="H3" s="90" t="s">
        <v>5561</v>
      </c>
      <c r="I3" s="90">
        <v>51</v>
      </c>
      <c r="J3" s="90">
        <v>41</v>
      </c>
      <c r="K3" s="90">
        <v>16</v>
      </c>
      <c r="L3" s="90">
        <v>2</v>
      </c>
      <c r="M3" s="90">
        <v>8.3640000000000008</v>
      </c>
      <c r="N3" s="104">
        <v>9</v>
      </c>
      <c r="O3" s="57">
        <v>7000</v>
      </c>
      <c r="P3" s="58">
        <f t="shared" ref="P3:P31" si="0">N3*O3</f>
        <v>63000</v>
      </c>
    </row>
    <row r="4" spans="1:16" ht="26.25" customHeight="1" x14ac:dyDescent="0.2">
      <c r="A4" s="100"/>
      <c r="B4" s="100"/>
      <c r="C4" s="90" t="s">
        <v>5569</v>
      </c>
      <c r="D4" s="102" t="s">
        <v>57</v>
      </c>
      <c r="E4" s="91">
        <v>44559</v>
      </c>
      <c r="F4" s="102" t="s">
        <v>58</v>
      </c>
      <c r="G4" s="91">
        <v>44565</v>
      </c>
      <c r="H4" s="90" t="s">
        <v>5561</v>
      </c>
      <c r="I4" s="90">
        <v>65</v>
      </c>
      <c r="J4" s="90">
        <v>59</v>
      </c>
      <c r="K4" s="90">
        <v>24</v>
      </c>
      <c r="L4" s="90">
        <v>10</v>
      </c>
      <c r="M4" s="90">
        <v>23.01</v>
      </c>
      <c r="N4" s="104">
        <v>23.01</v>
      </c>
      <c r="O4" s="57">
        <v>7000</v>
      </c>
      <c r="P4" s="58">
        <f t="shared" si="0"/>
        <v>161070</v>
      </c>
    </row>
    <row r="5" spans="1:16" ht="26.25" customHeight="1" x14ac:dyDescent="0.2">
      <c r="A5" s="100"/>
      <c r="B5" s="100"/>
      <c r="C5" s="90" t="s">
        <v>5570</v>
      </c>
      <c r="D5" s="102" t="s">
        <v>57</v>
      </c>
      <c r="E5" s="91">
        <v>44559</v>
      </c>
      <c r="F5" s="102" t="s">
        <v>58</v>
      </c>
      <c r="G5" s="91">
        <v>44565</v>
      </c>
      <c r="H5" s="90" t="s">
        <v>5561</v>
      </c>
      <c r="I5" s="90">
        <v>24</v>
      </c>
      <c r="J5" s="90">
        <v>21</v>
      </c>
      <c r="K5" s="90">
        <v>7</v>
      </c>
      <c r="L5" s="90">
        <v>1</v>
      </c>
      <c r="M5" s="90">
        <v>0.88200000000000001</v>
      </c>
      <c r="N5" s="104">
        <v>1</v>
      </c>
      <c r="O5" s="57">
        <v>7000</v>
      </c>
      <c r="P5" s="58">
        <f t="shared" si="0"/>
        <v>7000</v>
      </c>
    </row>
    <row r="6" spans="1:16" ht="26.25" customHeight="1" x14ac:dyDescent="0.2">
      <c r="A6" s="100"/>
      <c r="B6" s="100"/>
      <c r="C6" s="90" t="s">
        <v>5571</v>
      </c>
      <c r="D6" s="102" t="s">
        <v>57</v>
      </c>
      <c r="E6" s="91">
        <v>44559</v>
      </c>
      <c r="F6" s="102" t="s">
        <v>58</v>
      </c>
      <c r="G6" s="91">
        <v>44565</v>
      </c>
      <c r="H6" s="90" t="s">
        <v>5561</v>
      </c>
      <c r="I6" s="90">
        <v>85</v>
      </c>
      <c r="J6" s="90">
        <v>54</v>
      </c>
      <c r="K6" s="90">
        <v>25</v>
      </c>
      <c r="L6" s="90">
        <v>10</v>
      </c>
      <c r="M6" s="90">
        <v>28.6875</v>
      </c>
      <c r="N6" s="104">
        <v>28.6875</v>
      </c>
      <c r="O6" s="57">
        <v>7000</v>
      </c>
      <c r="P6" s="58">
        <f t="shared" si="0"/>
        <v>200812.5</v>
      </c>
    </row>
    <row r="7" spans="1:16" ht="26.25" customHeight="1" x14ac:dyDescent="0.2">
      <c r="A7" s="100"/>
      <c r="B7" s="100"/>
      <c r="C7" s="65" t="s">
        <v>5572</v>
      </c>
      <c r="D7" s="70" t="s">
        <v>57</v>
      </c>
      <c r="E7" s="12">
        <v>44559</v>
      </c>
      <c r="F7" s="68" t="s">
        <v>58</v>
      </c>
      <c r="G7" s="12">
        <v>44565</v>
      </c>
      <c r="H7" s="69" t="s">
        <v>5561</v>
      </c>
      <c r="I7" s="15">
        <v>87</v>
      </c>
      <c r="J7" s="15">
        <v>51</v>
      </c>
      <c r="K7" s="15">
        <v>23</v>
      </c>
      <c r="L7" s="15">
        <v>4</v>
      </c>
      <c r="M7" s="73">
        <v>25.51275</v>
      </c>
      <c r="N7" s="104">
        <v>25.51275</v>
      </c>
      <c r="O7" s="57">
        <v>7000</v>
      </c>
      <c r="P7" s="58">
        <f t="shared" si="0"/>
        <v>178589.25</v>
      </c>
    </row>
    <row r="8" spans="1:16" ht="26.25" customHeight="1" x14ac:dyDescent="0.2">
      <c r="A8" s="100"/>
      <c r="B8" s="100"/>
      <c r="C8" s="65" t="s">
        <v>5573</v>
      </c>
      <c r="D8" s="70" t="s">
        <v>57</v>
      </c>
      <c r="E8" s="12">
        <v>44559</v>
      </c>
      <c r="F8" s="68" t="s">
        <v>58</v>
      </c>
      <c r="G8" s="12">
        <v>44565</v>
      </c>
      <c r="H8" s="69" t="s">
        <v>5561</v>
      </c>
      <c r="I8" s="15">
        <v>54</v>
      </c>
      <c r="J8" s="15">
        <v>41</v>
      </c>
      <c r="K8" s="15">
        <v>11</v>
      </c>
      <c r="L8" s="15">
        <v>3</v>
      </c>
      <c r="M8" s="73">
        <v>6.0884999999999998</v>
      </c>
      <c r="N8" s="104">
        <v>6.0884999999999998</v>
      </c>
      <c r="O8" s="57">
        <v>7000</v>
      </c>
      <c r="P8" s="58">
        <f t="shared" si="0"/>
        <v>42619.5</v>
      </c>
    </row>
    <row r="9" spans="1:16" ht="26.25" customHeight="1" x14ac:dyDescent="0.2">
      <c r="A9" s="100"/>
      <c r="B9" s="100"/>
      <c r="C9" s="65" t="s">
        <v>5574</v>
      </c>
      <c r="D9" s="70" t="s">
        <v>57</v>
      </c>
      <c r="E9" s="12">
        <v>44559</v>
      </c>
      <c r="F9" s="68" t="s">
        <v>58</v>
      </c>
      <c r="G9" s="12">
        <v>44565</v>
      </c>
      <c r="H9" s="69" t="s">
        <v>5561</v>
      </c>
      <c r="I9" s="15">
        <v>96</v>
      </c>
      <c r="J9" s="15">
        <v>48</v>
      </c>
      <c r="K9" s="15">
        <v>36</v>
      </c>
      <c r="L9" s="15">
        <v>26</v>
      </c>
      <c r="M9" s="73">
        <v>41.472000000000001</v>
      </c>
      <c r="N9" s="104">
        <v>42</v>
      </c>
      <c r="O9" s="57">
        <v>7000</v>
      </c>
      <c r="P9" s="58">
        <f t="shared" si="0"/>
        <v>294000</v>
      </c>
    </row>
    <row r="10" spans="1:16" ht="26.25" customHeight="1" x14ac:dyDescent="0.2">
      <c r="A10" s="100"/>
      <c r="B10" s="100"/>
      <c r="C10" s="65" t="s">
        <v>5575</v>
      </c>
      <c r="D10" s="70" t="s">
        <v>57</v>
      </c>
      <c r="E10" s="12">
        <v>44559</v>
      </c>
      <c r="F10" s="68" t="s">
        <v>58</v>
      </c>
      <c r="G10" s="12">
        <v>44565</v>
      </c>
      <c r="H10" s="69" t="s">
        <v>5561</v>
      </c>
      <c r="I10" s="15">
        <v>101</v>
      </c>
      <c r="J10" s="15">
        <v>55</v>
      </c>
      <c r="K10" s="15">
        <v>24</v>
      </c>
      <c r="L10" s="15">
        <v>10</v>
      </c>
      <c r="M10" s="73">
        <v>33.33</v>
      </c>
      <c r="N10" s="104">
        <v>34</v>
      </c>
      <c r="O10" s="57">
        <v>7000</v>
      </c>
      <c r="P10" s="58">
        <f t="shared" si="0"/>
        <v>238000</v>
      </c>
    </row>
    <row r="11" spans="1:16" ht="26.25" customHeight="1" x14ac:dyDescent="0.2">
      <c r="A11" s="100"/>
      <c r="B11" s="100"/>
      <c r="C11" s="65" t="s">
        <v>5576</v>
      </c>
      <c r="D11" s="70" t="s">
        <v>57</v>
      </c>
      <c r="E11" s="12">
        <v>44559</v>
      </c>
      <c r="F11" s="68" t="s">
        <v>58</v>
      </c>
      <c r="G11" s="12">
        <v>44565</v>
      </c>
      <c r="H11" s="69" t="s">
        <v>5561</v>
      </c>
      <c r="I11" s="15">
        <v>44</v>
      </c>
      <c r="J11" s="15">
        <v>38</v>
      </c>
      <c r="K11" s="15">
        <v>16</v>
      </c>
      <c r="L11" s="15">
        <v>4</v>
      </c>
      <c r="M11" s="73">
        <v>6.6879999999999997</v>
      </c>
      <c r="N11" s="104">
        <v>6.6879999999999997</v>
      </c>
      <c r="O11" s="57">
        <v>7000</v>
      </c>
      <c r="P11" s="58">
        <f t="shared" si="0"/>
        <v>46816</v>
      </c>
    </row>
    <row r="12" spans="1:16" ht="26.25" customHeight="1" x14ac:dyDescent="0.2">
      <c r="A12" s="100"/>
      <c r="B12" s="100"/>
      <c r="C12" s="65" t="s">
        <v>5577</v>
      </c>
      <c r="D12" s="70" t="s">
        <v>57</v>
      </c>
      <c r="E12" s="12">
        <v>44559</v>
      </c>
      <c r="F12" s="68" t="s">
        <v>58</v>
      </c>
      <c r="G12" s="12">
        <v>44565</v>
      </c>
      <c r="H12" s="69" t="s">
        <v>5561</v>
      </c>
      <c r="I12" s="15">
        <v>71</v>
      </c>
      <c r="J12" s="15">
        <v>31</v>
      </c>
      <c r="K12" s="15">
        <v>23</v>
      </c>
      <c r="L12" s="15">
        <v>2</v>
      </c>
      <c r="M12" s="73">
        <v>12.655749999999999</v>
      </c>
      <c r="N12" s="104">
        <v>12.655749999999999</v>
      </c>
      <c r="O12" s="57">
        <v>7000</v>
      </c>
      <c r="P12" s="58">
        <f t="shared" si="0"/>
        <v>88590.25</v>
      </c>
    </row>
    <row r="13" spans="1:16" ht="26.25" customHeight="1" x14ac:dyDescent="0.2">
      <c r="A13" s="100"/>
      <c r="B13" s="100"/>
      <c r="C13" s="65" t="s">
        <v>5578</v>
      </c>
      <c r="D13" s="70" t="s">
        <v>57</v>
      </c>
      <c r="E13" s="12">
        <v>44559</v>
      </c>
      <c r="F13" s="68" t="s">
        <v>58</v>
      </c>
      <c r="G13" s="12">
        <v>44565</v>
      </c>
      <c r="H13" s="69" t="s">
        <v>5561</v>
      </c>
      <c r="I13" s="15">
        <v>58</v>
      </c>
      <c r="J13" s="15">
        <v>43</v>
      </c>
      <c r="K13" s="15">
        <v>24</v>
      </c>
      <c r="L13" s="15">
        <v>4</v>
      </c>
      <c r="M13" s="73">
        <v>14.964</v>
      </c>
      <c r="N13" s="104">
        <v>14.964</v>
      </c>
      <c r="O13" s="57">
        <v>7000</v>
      </c>
      <c r="P13" s="58">
        <f t="shared" si="0"/>
        <v>104748</v>
      </c>
    </row>
    <row r="14" spans="1:16" ht="26.25" customHeight="1" x14ac:dyDescent="0.2">
      <c r="A14" s="100"/>
      <c r="B14" s="100"/>
      <c r="C14" s="65" t="s">
        <v>5579</v>
      </c>
      <c r="D14" s="70" t="s">
        <v>57</v>
      </c>
      <c r="E14" s="12">
        <v>44559</v>
      </c>
      <c r="F14" s="68" t="s">
        <v>58</v>
      </c>
      <c r="G14" s="12">
        <v>44565</v>
      </c>
      <c r="H14" s="69" t="s">
        <v>5561</v>
      </c>
      <c r="I14" s="15">
        <v>44</v>
      </c>
      <c r="J14" s="15">
        <v>31</v>
      </c>
      <c r="K14" s="15">
        <v>12</v>
      </c>
      <c r="L14" s="15">
        <v>2</v>
      </c>
      <c r="M14" s="73">
        <v>4.0919999999999996</v>
      </c>
      <c r="N14" s="104">
        <v>4.0919999999999996</v>
      </c>
      <c r="O14" s="57">
        <v>7000</v>
      </c>
      <c r="P14" s="58">
        <f t="shared" si="0"/>
        <v>28643.999999999996</v>
      </c>
    </row>
    <row r="15" spans="1:16" ht="26.25" customHeight="1" x14ac:dyDescent="0.2">
      <c r="A15" s="100"/>
      <c r="B15" s="100"/>
      <c r="C15" s="65" t="s">
        <v>5580</v>
      </c>
      <c r="D15" s="70" t="s">
        <v>57</v>
      </c>
      <c r="E15" s="12">
        <v>44559</v>
      </c>
      <c r="F15" s="68" t="s">
        <v>58</v>
      </c>
      <c r="G15" s="12">
        <v>44565</v>
      </c>
      <c r="H15" s="69" t="s">
        <v>5561</v>
      </c>
      <c r="I15" s="15">
        <v>26</v>
      </c>
      <c r="J15" s="15">
        <v>22</v>
      </c>
      <c r="K15" s="15">
        <v>13</v>
      </c>
      <c r="L15" s="15">
        <v>2</v>
      </c>
      <c r="M15" s="73">
        <v>1.859</v>
      </c>
      <c r="N15" s="104">
        <v>2</v>
      </c>
      <c r="O15" s="57">
        <v>7000</v>
      </c>
      <c r="P15" s="58">
        <f t="shared" si="0"/>
        <v>14000</v>
      </c>
    </row>
    <row r="16" spans="1:16" ht="26.25" customHeight="1" x14ac:dyDescent="0.2">
      <c r="A16" s="100"/>
      <c r="B16" s="100"/>
      <c r="C16" s="65" t="s">
        <v>5581</v>
      </c>
      <c r="D16" s="70" t="s">
        <v>57</v>
      </c>
      <c r="E16" s="12">
        <v>44559</v>
      </c>
      <c r="F16" s="68" t="s">
        <v>58</v>
      </c>
      <c r="G16" s="12">
        <v>44565</v>
      </c>
      <c r="H16" s="69" t="s">
        <v>5561</v>
      </c>
      <c r="I16" s="15">
        <v>40</v>
      </c>
      <c r="J16" s="15">
        <v>24</v>
      </c>
      <c r="K16" s="15">
        <v>11</v>
      </c>
      <c r="L16" s="15">
        <v>1</v>
      </c>
      <c r="M16" s="73">
        <v>2.64</v>
      </c>
      <c r="N16" s="104">
        <v>2.64</v>
      </c>
      <c r="O16" s="57">
        <v>7000</v>
      </c>
      <c r="P16" s="58">
        <f t="shared" si="0"/>
        <v>18480</v>
      </c>
    </row>
    <row r="17" spans="1:16" ht="26.25" customHeight="1" x14ac:dyDescent="0.2">
      <c r="A17" s="100"/>
      <c r="B17" s="100"/>
      <c r="C17" s="65" t="s">
        <v>5582</v>
      </c>
      <c r="D17" s="70" t="s">
        <v>57</v>
      </c>
      <c r="E17" s="12">
        <v>44559</v>
      </c>
      <c r="F17" s="68" t="s">
        <v>58</v>
      </c>
      <c r="G17" s="12">
        <v>44565</v>
      </c>
      <c r="H17" s="69" t="s">
        <v>5561</v>
      </c>
      <c r="I17" s="15">
        <v>81</v>
      </c>
      <c r="J17" s="15">
        <v>42</v>
      </c>
      <c r="K17" s="15">
        <v>27</v>
      </c>
      <c r="L17" s="15">
        <v>9</v>
      </c>
      <c r="M17" s="73">
        <v>22.9635</v>
      </c>
      <c r="N17" s="104">
        <v>22.9635</v>
      </c>
      <c r="O17" s="57">
        <v>7000</v>
      </c>
      <c r="P17" s="58">
        <f t="shared" si="0"/>
        <v>160744.5</v>
      </c>
    </row>
    <row r="18" spans="1:16" ht="26.25" customHeight="1" x14ac:dyDescent="0.2">
      <c r="A18" s="100"/>
      <c r="B18" s="100"/>
      <c r="C18" s="65" t="s">
        <v>5583</v>
      </c>
      <c r="D18" s="70" t="s">
        <v>57</v>
      </c>
      <c r="E18" s="12">
        <v>44559</v>
      </c>
      <c r="F18" s="68" t="s">
        <v>58</v>
      </c>
      <c r="G18" s="12">
        <v>44565</v>
      </c>
      <c r="H18" s="69" t="s">
        <v>5561</v>
      </c>
      <c r="I18" s="15">
        <v>77</v>
      </c>
      <c r="J18" s="15">
        <v>56</v>
      </c>
      <c r="K18" s="15">
        <v>26</v>
      </c>
      <c r="L18" s="15">
        <v>21</v>
      </c>
      <c r="M18" s="73">
        <v>28.027999999999999</v>
      </c>
      <c r="N18" s="104">
        <v>28.027999999999999</v>
      </c>
      <c r="O18" s="57">
        <v>7000</v>
      </c>
      <c r="P18" s="58">
        <f t="shared" si="0"/>
        <v>196196</v>
      </c>
    </row>
    <row r="19" spans="1:16" ht="26.25" customHeight="1" x14ac:dyDescent="0.2">
      <c r="A19" s="100"/>
      <c r="B19" s="100"/>
      <c r="C19" s="65" t="s">
        <v>5584</v>
      </c>
      <c r="D19" s="70" t="s">
        <v>57</v>
      </c>
      <c r="E19" s="12">
        <v>44559</v>
      </c>
      <c r="F19" s="68" t="s">
        <v>58</v>
      </c>
      <c r="G19" s="12">
        <v>44565</v>
      </c>
      <c r="H19" s="69" t="s">
        <v>5561</v>
      </c>
      <c r="I19" s="15">
        <v>96</v>
      </c>
      <c r="J19" s="15">
        <v>52</v>
      </c>
      <c r="K19" s="15">
        <v>31</v>
      </c>
      <c r="L19" s="15">
        <v>23</v>
      </c>
      <c r="M19" s="73">
        <v>38.688000000000002</v>
      </c>
      <c r="N19" s="104">
        <v>38.688000000000002</v>
      </c>
      <c r="O19" s="57">
        <v>7000</v>
      </c>
      <c r="P19" s="58">
        <f t="shared" si="0"/>
        <v>270816</v>
      </c>
    </row>
    <row r="20" spans="1:16" ht="26.25" customHeight="1" x14ac:dyDescent="0.2">
      <c r="A20" s="100"/>
      <c r="B20" s="100"/>
      <c r="C20" s="65" t="s">
        <v>5585</v>
      </c>
      <c r="D20" s="70" t="s">
        <v>57</v>
      </c>
      <c r="E20" s="12">
        <v>44559</v>
      </c>
      <c r="F20" s="68" t="s">
        <v>58</v>
      </c>
      <c r="G20" s="12">
        <v>44565</v>
      </c>
      <c r="H20" s="69" t="s">
        <v>5561</v>
      </c>
      <c r="I20" s="15">
        <v>24</v>
      </c>
      <c r="J20" s="15">
        <v>14</v>
      </c>
      <c r="K20" s="15">
        <v>6</v>
      </c>
      <c r="L20" s="15">
        <v>1</v>
      </c>
      <c r="M20" s="73">
        <v>0.504</v>
      </c>
      <c r="N20" s="104">
        <v>1</v>
      </c>
      <c r="O20" s="57">
        <v>7000</v>
      </c>
      <c r="P20" s="58">
        <f t="shared" si="0"/>
        <v>7000</v>
      </c>
    </row>
    <row r="21" spans="1:16" ht="26.25" customHeight="1" x14ac:dyDescent="0.2">
      <c r="A21" s="100"/>
      <c r="B21" s="100"/>
      <c r="C21" s="65" t="s">
        <v>5586</v>
      </c>
      <c r="D21" s="70" t="s">
        <v>57</v>
      </c>
      <c r="E21" s="12">
        <v>44559</v>
      </c>
      <c r="F21" s="68" t="s">
        <v>58</v>
      </c>
      <c r="G21" s="12">
        <v>44565</v>
      </c>
      <c r="H21" s="69" t="s">
        <v>5561</v>
      </c>
      <c r="I21" s="15">
        <v>97</v>
      </c>
      <c r="J21" s="15">
        <v>44</v>
      </c>
      <c r="K21" s="15">
        <v>38</v>
      </c>
      <c r="L21" s="15">
        <v>13</v>
      </c>
      <c r="M21" s="73">
        <v>40.545999999999999</v>
      </c>
      <c r="N21" s="104">
        <v>40.545999999999999</v>
      </c>
      <c r="O21" s="57">
        <v>7000</v>
      </c>
      <c r="P21" s="58">
        <f t="shared" si="0"/>
        <v>283822</v>
      </c>
    </row>
    <row r="22" spans="1:16" ht="26.25" customHeight="1" x14ac:dyDescent="0.2">
      <c r="A22" s="100"/>
      <c r="B22" s="100"/>
      <c r="C22" s="65" t="s">
        <v>5587</v>
      </c>
      <c r="D22" s="70" t="s">
        <v>57</v>
      </c>
      <c r="E22" s="12">
        <v>44559</v>
      </c>
      <c r="F22" s="68" t="s">
        <v>58</v>
      </c>
      <c r="G22" s="12">
        <v>44565</v>
      </c>
      <c r="H22" s="69" t="s">
        <v>5561</v>
      </c>
      <c r="I22" s="15">
        <v>87</v>
      </c>
      <c r="J22" s="15">
        <v>51</v>
      </c>
      <c r="K22" s="15">
        <v>22</v>
      </c>
      <c r="L22" s="15">
        <v>10</v>
      </c>
      <c r="M22" s="73">
        <v>24.403500000000001</v>
      </c>
      <c r="N22" s="104">
        <v>25</v>
      </c>
      <c r="O22" s="57">
        <v>7000</v>
      </c>
      <c r="P22" s="58">
        <f t="shared" si="0"/>
        <v>175000</v>
      </c>
    </row>
    <row r="23" spans="1:16" ht="26.25" customHeight="1" x14ac:dyDescent="0.2">
      <c r="A23" s="100"/>
      <c r="B23" s="100"/>
      <c r="C23" s="65" t="s">
        <v>5588</v>
      </c>
      <c r="D23" s="70" t="s">
        <v>57</v>
      </c>
      <c r="E23" s="12">
        <v>44559</v>
      </c>
      <c r="F23" s="68" t="s">
        <v>58</v>
      </c>
      <c r="G23" s="12">
        <v>44565</v>
      </c>
      <c r="H23" s="69" t="s">
        <v>5561</v>
      </c>
      <c r="I23" s="15">
        <v>94</v>
      </c>
      <c r="J23" s="15">
        <v>52</v>
      </c>
      <c r="K23" s="15">
        <v>34</v>
      </c>
      <c r="L23" s="15">
        <v>26</v>
      </c>
      <c r="M23" s="73">
        <v>41.548000000000002</v>
      </c>
      <c r="N23" s="104">
        <v>41.548000000000002</v>
      </c>
      <c r="O23" s="57">
        <v>7000</v>
      </c>
      <c r="P23" s="58">
        <f t="shared" si="0"/>
        <v>290836</v>
      </c>
    </row>
    <row r="24" spans="1:16" ht="26.25" customHeight="1" x14ac:dyDescent="0.2">
      <c r="A24" s="100"/>
      <c r="B24" s="100"/>
      <c r="C24" s="65" t="s">
        <v>5589</v>
      </c>
      <c r="D24" s="70" t="s">
        <v>57</v>
      </c>
      <c r="E24" s="12">
        <v>44559</v>
      </c>
      <c r="F24" s="68" t="s">
        <v>58</v>
      </c>
      <c r="G24" s="12">
        <v>44565</v>
      </c>
      <c r="H24" s="69" t="s">
        <v>5561</v>
      </c>
      <c r="I24" s="15">
        <v>60</v>
      </c>
      <c r="J24" s="15">
        <v>32</v>
      </c>
      <c r="K24" s="15">
        <v>21</v>
      </c>
      <c r="L24" s="15">
        <v>4</v>
      </c>
      <c r="M24" s="73">
        <v>10.08</v>
      </c>
      <c r="N24" s="104">
        <v>10.08</v>
      </c>
      <c r="O24" s="57">
        <v>7000</v>
      </c>
      <c r="P24" s="58">
        <f t="shared" si="0"/>
        <v>70560</v>
      </c>
    </row>
    <row r="25" spans="1:16" ht="26.25" customHeight="1" x14ac:dyDescent="0.2">
      <c r="A25" s="100"/>
      <c r="B25" s="100"/>
      <c r="C25" s="65" t="s">
        <v>5590</v>
      </c>
      <c r="D25" s="70" t="s">
        <v>57</v>
      </c>
      <c r="E25" s="12">
        <v>44559</v>
      </c>
      <c r="F25" s="68" t="s">
        <v>58</v>
      </c>
      <c r="G25" s="12">
        <v>44565</v>
      </c>
      <c r="H25" s="69" t="s">
        <v>5561</v>
      </c>
      <c r="I25" s="15">
        <v>41</v>
      </c>
      <c r="J25" s="15">
        <v>22</v>
      </c>
      <c r="K25" s="15">
        <v>6</v>
      </c>
      <c r="L25" s="15">
        <v>2</v>
      </c>
      <c r="M25" s="73">
        <v>1.353</v>
      </c>
      <c r="N25" s="104">
        <v>2</v>
      </c>
      <c r="O25" s="57">
        <v>7000</v>
      </c>
      <c r="P25" s="58">
        <f t="shared" si="0"/>
        <v>14000</v>
      </c>
    </row>
    <row r="26" spans="1:16" ht="26.25" customHeight="1" x14ac:dyDescent="0.2">
      <c r="A26" s="100"/>
      <c r="B26" s="100"/>
      <c r="C26" s="65" t="s">
        <v>5591</v>
      </c>
      <c r="D26" s="70" t="s">
        <v>57</v>
      </c>
      <c r="E26" s="12">
        <v>44559</v>
      </c>
      <c r="F26" s="68" t="s">
        <v>58</v>
      </c>
      <c r="G26" s="12">
        <v>44565</v>
      </c>
      <c r="H26" s="69" t="s">
        <v>5561</v>
      </c>
      <c r="I26" s="15">
        <v>35</v>
      </c>
      <c r="J26" s="15">
        <v>24</v>
      </c>
      <c r="K26" s="15">
        <v>3</v>
      </c>
      <c r="L26" s="15">
        <v>1</v>
      </c>
      <c r="M26" s="73">
        <v>0.63</v>
      </c>
      <c r="N26" s="104">
        <v>1</v>
      </c>
      <c r="O26" s="57">
        <v>7000</v>
      </c>
      <c r="P26" s="58">
        <f t="shared" si="0"/>
        <v>7000</v>
      </c>
    </row>
    <row r="27" spans="1:16" ht="26.25" customHeight="1" x14ac:dyDescent="0.2">
      <c r="A27" s="100"/>
      <c r="B27" s="100"/>
      <c r="C27" s="65" t="s">
        <v>5592</v>
      </c>
      <c r="D27" s="70" t="s">
        <v>57</v>
      </c>
      <c r="E27" s="12">
        <v>44559</v>
      </c>
      <c r="F27" s="68" t="s">
        <v>58</v>
      </c>
      <c r="G27" s="12">
        <v>44565</v>
      </c>
      <c r="H27" s="69" t="s">
        <v>5561</v>
      </c>
      <c r="I27" s="15">
        <v>40</v>
      </c>
      <c r="J27" s="15">
        <v>28</v>
      </c>
      <c r="K27" s="15">
        <v>12</v>
      </c>
      <c r="L27" s="15">
        <v>2</v>
      </c>
      <c r="M27" s="73">
        <v>3.36</v>
      </c>
      <c r="N27" s="104">
        <v>4</v>
      </c>
      <c r="O27" s="57">
        <v>7000</v>
      </c>
      <c r="P27" s="58">
        <f t="shared" si="0"/>
        <v>28000</v>
      </c>
    </row>
    <row r="28" spans="1:16" ht="26.25" customHeight="1" x14ac:dyDescent="0.2">
      <c r="A28" s="100"/>
      <c r="B28" s="100"/>
      <c r="C28" s="65" t="s">
        <v>5593</v>
      </c>
      <c r="D28" s="70" t="s">
        <v>57</v>
      </c>
      <c r="E28" s="12">
        <v>44559</v>
      </c>
      <c r="F28" s="68" t="s">
        <v>58</v>
      </c>
      <c r="G28" s="12">
        <v>44565</v>
      </c>
      <c r="H28" s="69" t="s">
        <v>5561</v>
      </c>
      <c r="I28" s="15">
        <v>34</v>
      </c>
      <c r="J28" s="15">
        <v>20</v>
      </c>
      <c r="K28" s="15">
        <v>8</v>
      </c>
      <c r="L28" s="15">
        <v>1</v>
      </c>
      <c r="M28" s="73">
        <v>1.36</v>
      </c>
      <c r="N28" s="104">
        <v>2</v>
      </c>
      <c r="O28" s="57">
        <v>7000</v>
      </c>
      <c r="P28" s="58">
        <f t="shared" si="0"/>
        <v>14000</v>
      </c>
    </row>
    <row r="29" spans="1:16" ht="26.25" customHeight="1" x14ac:dyDescent="0.2">
      <c r="A29" s="100"/>
      <c r="B29" s="100"/>
      <c r="C29" s="65" t="s">
        <v>5594</v>
      </c>
      <c r="D29" s="70" t="s">
        <v>57</v>
      </c>
      <c r="E29" s="12">
        <v>44559</v>
      </c>
      <c r="F29" s="68" t="s">
        <v>58</v>
      </c>
      <c r="G29" s="12">
        <v>44565</v>
      </c>
      <c r="H29" s="69" t="s">
        <v>5561</v>
      </c>
      <c r="I29" s="15">
        <v>57</v>
      </c>
      <c r="J29" s="15">
        <v>31</v>
      </c>
      <c r="K29" s="15">
        <v>11</v>
      </c>
      <c r="L29" s="15">
        <v>2</v>
      </c>
      <c r="M29" s="73">
        <v>4.8592500000000003</v>
      </c>
      <c r="N29" s="104">
        <v>4.8592500000000003</v>
      </c>
      <c r="O29" s="57">
        <v>7000</v>
      </c>
      <c r="P29" s="58">
        <f t="shared" si="0"/>
        <v>34014.75</v>
      </c>
    </row>
    <row r="30" spans="1:16" ht="26.25" customHeight="1" x14ac:dyDescent="0.2">
      <c r="A30" s="100"/>
      <c r="B30" s="100"/>
      <c r="C30" s="65" t="s">
        <v>5595</v>
      </c>
      <c r="D30" s="70" t="s">
        <v>57</v>
      </c>
      <c r="E30" s="12">
        <v>44559</v>
      </c>
      <c r="F30" s="68" t="s">
        <v>58</v>
      </c>
      <c r="G30" s="12">
        <v>44565</v>
      </c>
      <c r="H30" s="69" t="s">
        <v>5561</v>
      </c>
      <c r="I30" s="15">
        <v>84</v>
      </c>
      <c r="J30" s="15">
        <v>56</v>
      </c>
      <c r="K30" s="15">
        <v>13</v>
      </c>
      <c r="L30" s="15">
        <v>9</v>
      </c>
      <c r="M30" s="73">
        <v>15.288</v>
      </c>
      <c r="N30" s="104">
        <v>15.288</v>
      </c>
      <c r="O30" s="57">
        <v>7000</v>
      </c>
      <c r="P30" s="58">
        <f t="shared" si="0"/>
        <v>107016</v>
      </c>
    </row>
    <row r="31" spans="1:16" ht="26.25" customHeight="1" x14ac:dyDescent="0.2">
      <c r="A31" s="100"/>
      <c r="B31" s="100"/>
      <c r="C31" s="65" t="s">
        <v>5596</v>
      </c>
      <c r="D31" s="70" t="s">
        <v>57</v>
      </c>
      <c r="E31" s="12">
        <v>44559</v>
      </c>
      <c r="F31" s="68" t="s">
        <v>58</v>
      </c>
      <c r="G31" s="12">
        <v>44565</v>
      </c>
      <c r="H31" s="69" t="s">
        <v>5561</v>
      </c>
      <c r="I31" s="15">
        <v>64</v>
      </c>
      <c r="J31" s="15">
        <v>56</v>
      </c>
      <c r="K31" s="15">
        <v>22</v>
      </c>
      <c r="L31" s="15">
        <v>9</v>
      </c>
      <c r="M31" s="73">
        <v>19.712</v>
      </c>
      <c r="N31" s="104">
        <v>19.712</v>
      </c>
      <c r="O31" s="57">
        <v>7000</v>
      </c>
      <c r="P31" s="58">
        <f t="shared" si="0"/>
        <v>137984</v>
      </c>
    </row>
    <row r="32" spans="1:16" ht="22.5" customHeight="1" x14ac:dyDescent="0.2">
      <c r="A32" s="159" t="s">
        <v>30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1"/>
      <c r="M32" s="71">
        <f>SUBTOTAL(109,Table2245789101123456789101112131415161718192021222324252627282930313233343537383940414243444546474849505152535455565758596061626364656667686970717273747576777879808182838485868788899091[KG VOLUME])</f>
        <v>463.56875000000002</v>
      </c>
      <c r="N32" s="61">
        <f>SUM(N3:N31)</f>
        <v>469.05124999999992</v>
      </c>
      <c r="O32" s="162">
        <f>SUM(P3:P31)</f>
        <v>3283358.75</v>
      </c>
      <c r="P32" s="163"/>
    </row>
    <row r="33" spans="1:16" ht="18" customHeight="1" x14ac:dyDescent="0.2">
      <c r="A33" s="78"/>
      <c r="B33" s="49" t="s">
        <v>42</v>
      </c>
      <c r="C33" s="48"/>
      <c r="D33" s="50" t="s">
        <v>43</v>
      </c>
      <c r="E33" s="78"/>
      <c r="F33" s="78"/>
      <c r="G33" s="78"/>
      <c r="H33" s="78"/>
      <c r="I33" s="78"/>
      <c r="J33" s="78"/>
      <c r="K33" s="78"/>
      <c r="L33" s="78"/>
      <c r="M33" s="79"/>
      <c r="N33" s="80" t="s">
        <v>52</v>
      </c>
      <c r="O33" s="81"/>
      <c r="P33" s="81">
        <v>0</v>
      </c>
    </row>
    <row r="34" spans="1:16" ht="18" customHeight="1" thickBot="1" x14ac:dyDescent="0.25">
      <c r="A34" s="78"/>
      <c r="B34" s="49"/>
      <c r="C34" s="48"/>
      <c r="D34" s="50"/>
      <c r="E34" s="78"/>
      <c r="F34" s="78"/>
      <c r="G34" s="78"/>
      <c r="H34" s="78"/>
      <c r="I34" s="78"/>
      <c r="J34" s="78"/>
      <c r="K34" s="78"/>
      <c r="L34" s="78"/>
      <c r="M34" s="79"/>
      <c r="N34" s="82" t="s">
        <v>53</v>
      </c>
      <c r="O34" s="83"/>
      <c r="P34" s="83">
        <f>O32-P33</f>
        <v>3283358.75</v>
      </c>
    </row>
    <row r="35" spans="1:16" ht="18" customHeight="1" x14ac:dyDescent="0.2">
      <c r="A35" s="10"/>
      <c r="H35" s="56"/>
      <c r="N35" s="55" t="s">
        <v>31</v>
      </c>
      <c r="P35" s="62">
        <f>P34*1%</f>
        <v>32833.587500000001</v>
      </c>
    </row>
    <row r="36" spans="1:16" ht="18" customHeight="1" thickBot="1" x14ac:dyDescent="0.25">
      <c r="A36" s="10"/>
      <c r="H36" s="56"/>
      <c r="N36" s="55" t="s">
        <v>54</v>
      </c>
      <c r="P36" s="64">
        <f>P34*2%</f>
        <v>65667.175000000003</v>
      </c>
    </row>
    <row r="37" spans="1:16" ht="18" customHeight="1" x14ac:dyDescent="0.2">
      <c r="A37" s="10"/>
      <c r="H37" s="56"/>
      <c r="N37" s="59" t="s">
        <v>32</v>
      </c>
      <c r="O37" s="60"/>
      <c r="P37" s="63">
        <f>P34+P35-P36</f>
        <v>3250525.1625000001</v>
      </c>
    </row>
    <row r="39" spans="1:16" x14ac:dyDescent="0.2">
      <c r="A39" s="10"/>
      <c r="H39" s="56"/>
      <c r="P39" s="64"/>
    </row>
    <row r="40" spans="1:16" x14ac:dyDescent="0.2">
      <c r="A40" s="10"/>
      <c r="H40" s="56"/>
      <c r="O40" s="51"/>
      <c r="P40" s="6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56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56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56"/>
      <c r="N52" s="14"/>
      <c r="O52" s="14"/>
      <c r="P52" s="14"/>
    </row>
  </sheetData>
  <mergeCells count="2">
    <mergeCell ref="A32:L32"/>
    <mergeCell ref="O32:P32"/>
  </mergeCells>
  <conditionalFormatting sqref="C3:C31">
    <cfRule type="duplicateValues" dxfId="159" priority="11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5"/>
  <sheetViews>
    <sheetView topLeftCell="A7" workbookViewId="0">
      <selection activeCell="N14" sqref="N3:N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406136</v>
      </c>
      <c r="B3" s="99" t="s">
        <v>5597</v>
      </c>
      <c r="C3" s="90" t="s">
        <v>5598</v>
      </c>
      <c r="D3" s="102" t="s">
        <v>57</v>
      </c>
      <c r="E3" s="91">
        <v>44559</v>
      </c>
      <c r="F3" s="102" t="s">
        <v>58</v>
      </c>
      <c r="G3" s="91">
        <v>44565</v>
      </c>
      <c r="H3" s="90" t="s">
        <v>5561</v>
      </c>
      <c r="I3" s="90">
        <v>43</v>
      </c>
      <c r="J3" s="90">
        <v>43</v>
      </c>
      <c r="K3" s="90">
        <v>12</v>
      </c>
      <c r="L3" s="90">
        <v>3</v>
      </c>
      <c r="M3" s="90">
        <v>5.5469999999999997</v>
      </c>
      <c r="N3" s="104">
        <v>5.5469999999999997</v>
      </c>
      <c r="O3" s="57">
        <v>7000</v>
      </c>
      <c r="P3" s="58">
        <f t="shared" ref="P3:P14" si="0">N3*O3</f>
        <v>38829</v>
      </c>
    </row>
    <row r="4" spans="1:16" ht="26.25" customHeight="1" x14ac:dyDescent="0.2">
      <c r="A4" s="100"/>
      <c r="B4" s="100"/>
      <c r="C4" s="90" t="s">
        <v>5599</v>
      </c>
      <c r="D4" s="102" t="s">
        <v>57</v>
      </c>
      <c r="E4" s="91">
        <v>44559</v>
      </c>
      <c r="F4" s="102" t="s">
        <v>58</v>
      </c>
      <c r="G4" s="91">
        <v>44565</v>
      </c>
      <c r="H4" s="90" t="s">
        <v>5561</v>
      </c>
      <c r="I4" s="90">
        <v>60</v>
      </c>
      <c r="J4" s="90">
        <v>33</v>
      </c>
      <c r="K4" s="90">
        <v>28</v>
      </c>
      <c r="L4" s="90">
        <v>3</v>
      </c>
      <c r="M4" s="90">
        <v>13.86</v>
      </c>
      <c r="N4" s="104">
        <v>13.86</v>
      </c>
      <c r="O4" s="57">
        <v>7000</v>
      </c>
      <c r="P4" s="58">
        <f t="shared" si="0"/>
        <v>97020</v>
      </c>
    </row>
    <row r="5" spans="1:16" ht="26.25" customHeight="1" x14ac:dyDescent="0.2">
      <c r="A5" s="100"/>
      <c r="B5" s="100"/>
      <c r="C5" s="90" t="s">
        <v>5600</v>
      </c>
      <c r="D5" s="102" t="s">
        <v>57</v>
      </c>
      <c r="E5" s="91">
        <v>44559</v>
      </c>
      <c r="F5" s="102" t="s">
        <v>58</v>
      </c>
      <c r="G5" s="91">
        <v>44565</v>
      </c>
      <c r="H5" s="90" t="s">
        <v>5561</v>
      </c>
      <c r="I5" s="90">
        <v>90</v>
      </c>
      <c r="J5" s="90">
        <v>40</v>
      </c>
      <c r="K5" s="90">
        <v>12</v>
      </c>
      <c r="L5" s="90">
        <v>1</v>
      </c>
      <c r="M5" s="90">
        <v>10.8</v>
      </c>
      <c r="N5" s="104">
        <v>10.8</v>
      </c>
      <c r="O5" s="57">
        <v>7000</v>
      </c>
      <c r="P5" s="58">
        <f t="shared" si="0"/>
        <v>75600</v>
      </c>
    </row>
    <row r="6" spans="1:16" ht="26.25" customHeight="1" x14ac:dyDescent="0.2">
      <c r="A6" s="100"/>
      <c r="B6" s="100"/>
      <c r="C6" s="90" t="s">
        <v>5601</v>
      </c>
      <c r="D6" s="102" t="s">
        <v>57</v>
      </c>
      <c r="E6" s="91">
        <v>44559</v>
      </c>
      <c r="F6" s="102" t="s">
        <v>58</v>
      </c>
      <c r="G6" s="91">
        <v>44565</v>
      </c>
      <c r="H6" s="90" t="s">
        <v>5561</v>
      </c>
      <c r="I6" s="90">
        <v>154</v>
      </c>
      <c r="J6" s="90">
        <v>4</v>
      </c>
      <c r="K6" s="90">
        <v>4</v>
      </c>
      <c r="L6" s="90">
        <v>1</v>
      </c>
      <c r="M6" s="90">
        <v>0.61599999999999999</v>
      </c>
      <c r="N6" s="104">
        <v>1</v>
      </c>
      <c r="O6" s="57">
        <v>7000</v>
      </c>
      <c r="P6" s="58">
        <f t="shared" si="0"/>
        <v>7000</v>
      </c>
    </row>
    <row r="7" spans="1:16" ht="26.25" customHeight="1" x14ac:dyDescent="0.2">
      <c r="A7" s="100"/>
      <c r="B7" s="100"/>
      <c r="C7" s="65" t="s">
        <v>5602</v>
      </c>
      <c r="D7" s="70" t="s">
        <v>57</v>
      </c>
      <c r="E7" s="12">
        <v>44559</v>
      </c>
      <c r="F7" s="68" t="s">
        <v>58</v>
      </c>
      <c r="G7" s="12">
        <v>44565</v>
      </c>
      <c r="H7" s="69" t="s">
        <v>5561</v>
      </c>
      <c r="I7" s="15">
        <v>110</v>
      </c>
      <c r="J7" s="15">
        <v>40</v>
      </c>
      <c r="K7" s="15">
        <v>40</v>
      </c>
      <c r="L7" s="15">
        <v>1</v>
      </c>
      <c r="M7" s="73">
        <v>44</v>
      </c>
      <c r="N7" s="104">
        <v>44</v>
      </c>
      <c r="O7" s="57">
        <v>7000</v>
      </c>
      <c r="P7" s="58">
        <f t="shared" si="0"/>
        <v>308000</v>
      </c>
    </row>
    <row r="8" spans="1:16" ht="26.25" customHeight="1" x14ac:dyDescent="0.2">
      <c r="A8" s="100"/>
      <c r="B8" s="100"/>
      <c r="C8" s="65" t="s">
        <v>5603</v>
      </c>
      <c r="D8" s="70" t="s">
        <v>57</v>
      </c>
      <c r="E8" s="12">
        <v>44559</v>
      </c>
      <c r="F8" s="68" t="s">
        <v>58</v>
      </c>
      <c r="G8" s="12">
        <v>44565</v>
      </c>
      <c r="H8" s="69" t="s">
        <v>5561</v>
      </c>
      <c r="I8" s="15">
        <v>111</v>
      </c>
      <c r="J8" s="15">
        <v>20</v>
      </c>
      <c r="K8" s="15">
        <v>7</v>
      </c>
      <c r="L8" s="15">
        <v>1</v>
      </c>
      <c r="M8" s="73">
        <v>3.8849999999999998</v>
      </c>
      <c r="N8" s="104">
        <v>3.8849999999999998</v>
      </c>
      <c r="O8" s="57">
        <v>7000</v>
      </c>
      <c r="P8" s="58">
        <f t="shared" si="0"/>
        <v>27195</v>
      </c>
    </row>
    <row r="9" spans="1:16" ht="26.25" customHeight="1" x14ac:dyDescent="0.2">
      <c r="A9" s="100"/>
      <c r="B9" s="100"/>
      <c r="C9" s="65" t="s">
        <v>5604</v>
      </c>
      <c r="D9" s="70" t="s">
        <v>57</v>
      </c>
      <c r="E9" s="12">
        <v>44559</v>
      </c>
      <c r="F9" s="68" t="s">
        <v>58</v>
      </c>
      <c r="G9" s="12">
        <v>44565</v>
      </c>
      <c r="H9" s="69" t="s">
        <v>5561</v>
      </c>
      <c r="I9" s="15">
        <v>83</v>
      </c>
      <c r="J9" s="15">
        <v>40</v>
      </c>
      <c r="K9" s="15">
        <v>40</v>
      </c>
      <c r="L9" s="15">
        <v>28</v>
      </c>
      <c r="M9" s="73">
        <v>33.200000000000003</v>
      </c>
      <c r="N9" s="104">
        <v>33.200000000000003</v>
      </c>
      <c r="O9" s="57">
        <v>7000</v>
      </c>
      <c r="P9" s="58">
        <f t="shared" si="0"/>
        <v>232400.00000000003</v>
      </c>
    </row>
    <row r="10" spans="1:16" ht="26.25" customHeight="1" x14ac:dyDescent="0.2">
      <c r="A10" s="100"/>
      <c r="B10" s="100"/>
      <c r="C10" s="65" t="s">
        <v>5605</v>
      </c>
      <c r="D10" s="70" t="s">
        <v>57</v>
      </c>
      <c r="E10" s="12">
        <v>44559</v>
      </c>
      <c r="F10" s="68" t="s">
        <v>58</v>
      </c>
      <c r="G10" s="12">
        <v>44565</v>
      </c>
      <c r="H10" s="69" t="s">
        <v>5561</v>
      </c>
      <c r="I10" s="15">
        <v>50</v>
      </c>
      <c r="J10" s="15">
        <v>45</v>
      </c>
      <c r="K10" s="15">
        <v>20</v>
      </c>
      <c r="L10" s="15">
        <v>10</v>
      </c>
      <c r="M10" s="73">
        <v>11.25</v>
      </c>
      <c r="N10" s="104">
        <v>11.25</v>
      </c>
      <c r="O10" s="57">
        <v>7000</v>
      </c>
      <c r="P10" s="58">
        <f t="shared" si="0"/>
        <v>78750</v>
      </c>
    </row>
    <row r="11" spans="1:16" ht="26.25" customHeight="1" x14ac:dyDescent="0.2">
      <c r="A11" s="100"/>
      <c r="B11" s="100"/>
      <c r="C11" s="65" t="s">
        <v>5606</v>
      </c>
      <c r="D11" s="70" t="s">
        <v>57</v>
      </c>
      <c r="E11" s="12">
        <v>44559</v>
      </c>
      <c r="F11" s="68" t="s">
        <v>58</v>
      </c>
      <c r="G11" s="12">
        <v>44565</v>
      </c>
      <c r="H11" s="69" t="s">
        <v>5561</v>
      </c>
      <c r="I11" s="15">
        <v>100</v>
      </c>
      <c r="J11" s="15">
        <v>33</v>
      </c>
      <c r="K11" s="15">
        <v>18</v>
      </c>
      <c r="L11" s="15">
        <v>8</v>
      </c>
      <c r="M11" s="73">
        <v>14.85</v>
      </c>
      <c r="N11" s="104">
        <v>14.85</v>
      </c>
      <c r="O11" s="57">
        <v>7000</v>
      </c>
      <c r="P11" s="58">
        <f t="shared" si="0"/>
        <v>103950</v>
      </c>
    </row>
    <row r="12" spans="1:16" ht="26.25" customHeight="1" x14ac:dyDescent="0.2">
      <c r="A12" s="100"/>
      <c r="B12" s="101"/>
      <c r="C12" s="65" t="s">
        <v>5607</v>
      </c>
      <c r="D12" s="70" t="s">
        <v>57</v>
      </c>
      <c r="E12" s="12">
        <v>44559</v>
      </c>
      <c r="F12" s="68" t="s">
        <v>58</v>
      </c>
      <c r="G12" s="12">
        <v>44565</v>
      </c>
      <c r="H12" s="69" t="s">
        <v>5561</v>
      </c>
      <c r="I12" s="15">
        <v>112</v>
      </c>
      <c r="J12" s="15">
        <v>55</v>
      </c>
      <c r="K12" s="15">
        <v>34</v>
      </c>
      <c r="L12" s="15">
        <v>20</v>
      </c>
      <c r="M12" s="73">
        <v>52.36</v>
      </c>
      <c r="N12" s="104">
        <v>53</v>
      </c>
      <c r="O12" s="57">
        <v>7000</v>
      </c>
      <c r="P12" s="58">
        <f t="shared" si="0"/>
        <v>371000</v>
      </c>
    </row>
    <row r="13" spans="1:16" ht="26.25" customHeight="1" x14ac:dyDescent="0.2">
      <c r="A13" s="100"/>
      <c r="B13" s="100" t="s">
        <v>5608</v>
      </c>
      <c r="C13" s="65" t="s">
        <v>5609</v>
      </c>
      <c r="D13" s="70" t="s">
        <v>57</v>
      </c>
      <c r="E13" s="12">
        <v>44559</v>
      </c>
      <c r="F13" s="68" t="s">
        <v>58</v>
      </c>
      <c r="G13" s="12">
        <v>44565</v>
      </c>
      <c r="H13" s="69" t="s">
        <v>5561</v>
      </c>
      <c r="I13" s="15">
        <v>25</v>
      </c>
      <c r="J13" s="15">
        <v>16</v>
      </c>
      <c r="K13" s="15">
        <v>13</v>
      </c>
      <c r="L13" s="15">
        <v>1</v>
      </c>
      <c r="M13" s="73">
        <v>1.3</v>
      </c>
      <c r="N13" s="104">
        <v>2</v>
      </c>
      <c r="O13" s="57">
        <v>7000</v>
      </c>
      <c r="P13" s="58">
        <f t="shared" si="0"/>
        <v>14000</v>
      </c>
    </row>
    <row r="14" spans="1:16" ht="26.25" customHeight="1" x14ac:dyDescent="0.2">
      <c r="A14" s="100"/>
      <c r="B14" s="100"/>
      <c r="C14" s="65" t="s">
        <v>5610</v>
      </c>
      <c r="D14" s="70" t="s">
        <v>57</v>
      </c>
      <c r="E14" s="12">
        <v>44559</v>
      </c>
      <c r="F14" s="68" t="s">
        <v>58</v>
      </c>
      <c r="G14" s="12">
        <v>44565</v>
      </c>
      <c r="H14" s="69" t="s">
        <v>5561</v>
      </c>
      <c r="I14" s="15">
        <v>43</v>
      </c>
      <c r="J14" s="15">
        <v>44</v>
      </c>
      <c r="K14" s="15">
        <v>22</v>
      </c>
      <c r="L14" s="15">
        <v>6</v>
      </c>
      <c r="M14" s="73">
        <v>10.406000000000001</v>
      </c>
      <c r="N14" s="104">
        <v>11</v>
      </c>
      <c r="O14" s="57">
        <v>7000</v>
      </c>
      <c r="P14" s="58">
        <f t="shared" si="0"/>
        <v>77000</v>
      </c>
    </row>
    <row r="15" spans="1:16" ht="22.5" customHeight="1" x14ac:dyDescent="0.2">
      <c r="A15" s="159" t="s">
        <v>30</v>
      </c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1"/>
      <c r="M15" s="71">
        <f>SUBTOTAL(109,Table224578910112345678910111213141516171819202122232425262728293031323334353738394041424344454647484950515253545556575859606162636465666768697071727374757677787980818283848586878889909192[KG VOLUME])</f>
        <v>202.07400000000001</v>
      </c>
      <c r="N15" s="61">
        <f>SUM(N3:N14)</f>
        <v>204.392</v>
      </c>
      <c r="O15" s="162">
        <f>SUM(P3:P14)</f>
        <v>1430744</v>
      </c>
      <c r="P15" s="163"/>
    </row>
    <row r="16" spans="1:16" ht="18" customHeight="1" x14ac:dyDescent="0.2">
      <c r="A16" s="78"/>
      <c r="B16" s="49" t="s">
        <v>42</v>
      </c>
      <c r="C16" s="48"/>
      <c r="D16" s="50" t="s">
        <v>43</v>
      </c>
      <c r="E16" s="78"/>
      <c r="F16" s="78"/>
      <c r="G16" s="78"/>
      <c r="H16" s="78"/>
      <c r="I16" s="78"/>
      <c r="J16" s="78"/>
      <c r="K16" s="78"/>
      <c r="L16" s="78"/>
      <c r="M16" s="79"/>
      <c r="N16" s="80" t="s">
        <v>52</v>
      </c>
      <c r="O16" s="81"/>
      <c r="P16" s="81">
        <v>0</v>
      </c>
    </row>
    <row r="17" spans="1:16" ht="18" customHeight="1" thickBot="1" x14ac:dyDescent="0.25">
      <c r="A17" s="78"/>
      <c r="B17" s="49"/>
      <c r="C17" s="48"/>
      <c r="D17" s="50"/>
      <c r="E17" s="78"/>
      <c r="F17" s="78"/>
      <c r="G17" s="78"/>
      <c r="H17" s="78"/>
      <c r="I17" s="78"/>
      <c r="J17" s="78"/>
      <c r="K17" s="78"/>
      <c r="L17" s="78"/>
      <c r="M17" s="79"/>
      <c r="N17" s="82" t="s">
        <v>53</v>
      </c>
      <c r="O17" s="83"/>
      <c r="P17" s="83">
        <f>O15-P16</f>
        <v>1430744</v>
      </c>
    </row>
    <row r="18" spans="1:16" ht="18" customHeight="1" x14ac:dyDescent="0.2">
      <c r="A18" s="10"/>
      <c r="H18" s="56"/>
      <c r="N18" s="55" t="s">
        <v>31</v>
      </c>
      <c r="P18" s="62">
        <f>P17*1%</f>
        <v>14307.44</v>
      </c>
    </row>
    <row r="19" spans="1:16" ht="18" customHeight="1" thickBot="1" x14ac:dyDescent="0.25">
      <c r="A19" s="10"/>
      <c r="H19" s="56"/>
      <c r="N19" s="55" t="s">
        <v>54</v>
      </c>
      <c r="P19" s="64">
        <f>P17*2%</f>
        <v>28614.880000000001</v>
      </c>
    </row>
    <row r="20" spans="1:16" ht="18" customHeight="1" x14ac:dyDescent="0.2">
      <c r="A20" s="10"/>
      <c r="H20" s="56"/>
      <c r="N20" s="59" t="s">
        <v>32</v>
      </c>
      <c r="O20" s="60"/>
      <c r="P20" s="63">
        <f>P17+P18-P19</f>
        <v>1416436.56</v>
      </c>
    </row>
    <row r="22" spans="1:16" x14ac:dyDescent="0.2">
      <c r="A22" s="10"/>
      <c r="H22" s="56"/>
      <c r="P22" s="64"/>
    </row>
    <row r="23" spans="1:16" x14ac:dyDescent="0.2">
      <c r="A23" s="10"/>
      <c r="H23" s="56"/>
      <c r="O23" s="51"/>
      <c r="P23" s="64"/>
    </row>
    <row r="24" spans="1:16" s="3" customFormat="1" x14ac:dyDescent="0.25">
      <c r="A24" s="10"/>
      <c r="B24" s="2"/>
      <c r="C24" s="2"/>
      <c r="E24" s="11"/>
      <c r="H24" s="56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56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56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56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56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56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56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56"/>
      <c r="N31" s="14"/>
      <c r="O31" s="14"/>
      <c r="P31" s="14"/>
    </row>
    <row r="32" spans="1:16" s="3" customFormat="1" x14ac:dyDescent="0.25">
      <c r="A32" s="10"/>
      <c r="B32" s="2"/>
      <c r="C32" s="2"/>
      <c r="E32" s="11"/>
      <c r="H32" s="56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56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56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</sheetData>
  <mergeCells count="2">
    <mergeCell ref="A15:L15"/>
    <mergeCell ref="O15:P15"/>
  </mergeCells>
  <conditionalFormatting sqref="C3:C14">
    <cfRule type="duplicateValues" dxfId="143" priority="12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topLeftCell="A22" workbookViewId="0">
      <selection activeCell="A3" sqref="A3:XFD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30" customHeight="1" x14ac:dyDescent="0.2">
      <c r="A3" s="99">
        <v>403937</v>
      </c>
      <c r="B3" s="99" t="s">
        <v>5611</v>
      </c>
      <c r="C3" s="90" t="s">
        <v>5612</v>
      </c>
      <c r="D3" s="102" t="s">
        <v>57</v>
      </c>
      <c r="E3" s="91">
        <v>44559</v>
      </c>
      <c r="F3" s="102" t="s">
        <v>58</v>
      </c>
      <c r="G3" s="91">
        <v>44565</v>
      </c>
      <c r="H3" s="90" t="s">
        <v>5561</v>
      </c>
      <c r="I3" s="90">
        <v>38</v>
      </c>
      <c r="J3" s="90">
        <v>27</v>
      </c>
      <c r="K3" s="90">
        <v>15</v>
      </c>
      <c r="L3" s="90">
        <v>4</v>
      </c>
      <c r="M3" s="90">
        <v>3.8475000000000001</v>
      </c>
      <c r="N3" s="104">
        <v>4</v>
      </c>
      <c r="O3" s="57">
        <v>7000</v>
      </c>
      <c r="P3" s="58">
        <f t="shared" ref="P3:P27" si="0">N3*O3</f>
        <v>28000</v>
      </c>
    </row>
    <row r="4" spans="1:16" ht="30" customHeight="1" x14ac:dyDescent="0.2">
      <c r="A4" s="100"/>
      <c r="B4" s="100"/>
      <c r="C4" s="90" t="s">
        <v>5613</v>
      </c>
      <c r="D4" s="102" t="s">
        <v>57</v>
      </c>
      <c r="E4" s="91">
        <v>44559</v>
      </c>
      <c r="F4" s="102" t="s">
        <v>58</v>
      </c>
      <c r="G4" s="91">
        <v>44565</v>
      </c>
      <c r="H4" s="90" t="s">
        <v>5561</v>
      </c>
      <c r="I4" s="90">
        <v>73</v>
      </c>
      <c r="J4" s="90">
        <v>50</v>
      </c>
      <c r="K4" s="90">
        <v>16</v>
      </c>
      <c r="L4" s="90">
        <v>3</v>
      </c>
      <c r="M4" s="90">
        <v>14.6</v>
      </c>
      <c r="N4" s="104">
        <v>14.6</v>
      </c>
      <c r="O4" s="57">
        <v>7000</v>
      </c>
      <c r="P4" s="58">
        <f t="shared" si="0"/>
        <v>102200</v>
      </c>
    </row>
    <row r="5" spans="1:16" ht="30" customHeight="1" x14ac:dyDescent="0.2">
      <c r="A5" s="100"/>
      <c r="B5" s="100"/>
      <c r="C5" s="90" t="s">
        <v>5614</v>
      </c>
      <c r="D5" s="102" t="s">
        <v>57</v>
      </c>
      <c r="E5" s="91">
        <v>44559</v>
      </c>
      <c r="F5" s="102" t="s">
        <v>58</v>
      </c>
      <c r="G5" s="91">
        <v>44565</v>
      </c>
      <c r="H5" s="90" t="s">
        <v>5561</v>
      </c>
      <c r="I5" s="90">
        <v>45</v>
      </c>
      <c r="J5" s="90">
        <v>35</v>
      </c>
      <c r="K5" s="90">
        <v>26</v>
      </c>
      <c r="L5" s="90">
        <v>4</v>
      </c>
      <c r="M5" s="90">
        <v>10.237500000000001</v>
      </c>
      <c r="N5" s="104">
        <v>10.237500000000001</v>
      </c>
      <c r="O5" s="57">
        <v>7000</v>
      </c>
      <c r="P5" s="58">
        <f t="shared" si="0"/>
        <v>71662.5</v>
      </c>
    </row>
    <row r="6" spans="1:16" ht="30" customHeight="1" x14ac:dyDescent="0.2">
      <c r="A6" s="100"/>
      <c r="B6" s="100"/>
      <c r="C6" s="65" t="s">
        <v>5615</v>
      </c>
      <c r="D6" s="70" t="s">
        <v>57</v>
      </c>
      <c r="E6" s="12">
        <v>44559</v>
      </c>
      <c r="F6" s="68" t="s">
        <v>58</v>
      </c>
      <c r="G6" s="12">
        <v>44565</v>
      </c>
      <c r="H6" s="69" t="s">
        <v>5561</v>
      </c>
      <c r="I6" s="15">
        <v>46</v>
      </c>
      <c r="J6" s="15">
        <v>28</v>
      </c>
      <c r="K6" s="15">
        <v>22</v>
      </c>
      <c r="L6" s="15">
        <v>6</v>
      </c>
      <c r="M6" s="73">
        <v>7.0839999999999996</v>
      </c>
      <c r="N6" s="104">
        <v>7.0839999999999996</v>
      </c>
      <c r="O6" s="57">
        <v>7000</v>
      </c>
      <c r="P6" s="58">
        <f t="shared" si="0"/>
        <v>49588</v>
      </c>
    </row>
    <row r="7" spans="1:16" ht="30" customHeight="1" x14ac:dyDescent="0.2">
      <c r="A7" s="100"/>
      <c r="B7" s="100"/>
      <c r="C7" s="65" t="s">
        <v>5616</v>
      </c>
      <c r="D7" s="70" t="s">
        <v>57</v>
      </c>
      <c r="E7" s="12">
        <v>44559</v>
      </c>
      <c r="F7" s="68" t="s">
        <v>58</v>
      </c>
      <c r="G7" s="12">
        <v>44565</v>
      </c>
      <c r="H7" s="69" t="s">
        <v>5561</v>
      </c>
      <c r="I7" s="15">
        <v>55</v>
      </c>
      <c r="J7" s="15">
        <v>55</v>
      </c>
      <c r="K7" s="15">
        <v>22</v>
      </c>
      <c r="L7" s="15">
        <v>7</v>
      </c>
      <c r="M7" s="73">
        <v>16.637499999999999</v>
      </c>
      <c r="N7" s="104">
        <v>16.637499999999999</v>
      </c>
      <c r="O7" s="57">
        <v>7000</v>
      </c>
      <c r="P7" s="58">
        <f t="shared" si="0"/>
        <v>116462.5</v>
      </c>
    </row>
    <row r="8" spans="1:16" ht="30" customHeight="1" x14ac:dyDescent="0.2">
      <c r="A8" s="100"/>
      <c r="B8" s="100"/>
      <c r="C8" s="65" t="s">
        <v>5617</v>
      </c>
      <c r="D8" s="70" t="s">
        <v>57</v>
      </c>
      <c r="E8" s="12">
        <v>44559</v>
      </c>
      <c r="F8" s="68" t="s">
        <v>58</v>
      </c>
      <c r="G8" s="12">
        <v>44565</v>
      </c>
      <c r="H8" s="69" t="s">
        <v>5561</v>
      </c>
      <c r="I8" s="15">
        <v>60</v>
      </c>
      <c r="J8" s="15">
        <v>44</v>
      </c>
      <c r="K8" s="15">
        <v>14</v>
      </c>
      <c r="L8" s="15">
        <v>12</v>
      </c>
      <c r="M8" s="73">
        <v>9.24</v>
      </c>
      <c r="N8" s="104">
        <v>12</v>
      </c>
      <c r="O8" s="57">
        <v>7000</v>
      </c>
      <c r="P8" s="58">
        <f t="shared" si="0"/>
        <v>84000</v>
      </c>
    </row>
    <row r="9" spans="1:16" ht="30" customHeight="1" x14ac:dyDescent="0.2">
      <c r="A9" s="100"/>
      <c r="B9" s="100"/>
      <c r="C9" s="65" t="s">
        <v>5618</v>
      </c>
      <c r="D9" s="70" t="s">
        <v>57</v>
      </c>
      <c r="E9" s="12">
        <v>44559</v>
      </c>
      <c r="F9" s="68" t="s">
        <v>58</v>
      </c>
      <c r="G9" s="12">
        <v>44565</v>
      </c>
      <c r="H9" s="69" t="s">
        <v>5561</v>
      </c>
      <c r="I9" s="15">
        <v>67</v>
      </c>
      <c r="J9" s="15">
        <v>42</v>
      </c>
      <c r="K9" s="15">
        <v>22</v>
      </c>
      <c r="L9" s="15">
        <v>13</v>
      </c>
      <c r="M9" s="73">
        <v>15.477</v>
      </c>
      <c r="N9" s="104">
        <v>16</v>
      </c>
      <c r="O9" s="57">
        <v>7000</v>
      </c>
      <c r="P9" s="58">
        <f t="shared" si="0"/>
        <v>112000</v>
      </c>
    </row>
    <row r="10" spans="1:16" ht="30" customHeight="1" x14ac:dyDescent="0.2">
      <c r="A10" s="100"/>
      <c r="B10" s="100"/>
      <c r="C10" s="65" t="s">
        <v>5619</v>
      </c>
      <c r="D10" s="70" t="s">
        <v>57</v>
      </c>
      <c r="E10" s="12">
        <v>44559</v>
      </c>
      <c r="F10" s="68" t="s">
        <v>58</v>
      </c>
      <c r="G10" s="12">
        <v>44565</v>
      </c>
      <c r="H10" s="69" t="s">
        <v>5561</v>
      </c>
      <c r="I10" s="15">
        <v>37</v>
      </c>
      <c r="J10" s="15">
        <v>38</v>
      </c>
      <c r="K10" s="15">
        <v>18</v>
      </c>
      <c r="L10" s="15">
        <v>10</v>
      </c>
      <c r="M10" s="73">
        <v>6.327</v>
      </c>
      <c r="N10" s="104">
        <v>10</v>
      </c>
      <c r="O10" s="57">
        <v>7000</v>
      </c>
      <c r="P10" s="58">
        <f t="shared" si="0"/>
        <v>70000</v>
      </c>
    </row>
    <row r="11" spans="1:16" ht="30" customHeight="1" x14ac:dyDescent="0.2">
      <c r="A11" s="100"/>
      <c r="B11" s="100"/>
      <c r="C11" s="65" t="s">
        <v>5620</v>
      </c>
      <c r="D11" s="70" t="s">
        <v>57</v>
      </c>
      <c r="E11" s="12">
        <v>44559</v>
      </c>
      <c r="F11" s="68" t="s">
        <v>58</v>
      </c>
      <c r="G11" s="12">
        <v>44565</v>
      </c>
      <c r="H11" s="69" t="s">
        <v>5561</v>
      </c>
      <c r="I11" s="15">
        <v>30</v>
      </c>
      <c r="J11" s="15">
        <v>30</v>
      </c>
      <c r="K11" s="15">
        <v>30</v>
      </c>
      <c r="L11" s="15">
        <v>5</v>
      </c>
      <c r="M11" s="73">
        <v>6.75</v>
      </c>
      <c r="N11" s="104">
        <v>6.75</v>
      </c>
      <c r="O11" s="57">
        <v>7000</v>
      </c>
      <c r="P11" s="58">
        <f t="shared" si="0"/>
        <v>47250</v>
      </c>
    </row>
    <row r="12" spans="1:16" ht="30" customHeight="1" x14ac:dyDescent="0.2">
      <c r="A12" s="100"/>
      <c r="B12" s="100"/>
      <c r="C12" s="65" t="s">
        <v>5621</v>
      </c>
      <c r="D12" s="70" t="s">
        <v>57</v>
      </c>
      <c r="E12" s="12">
        <v>44559</v>
      </c>
      <c r="F12" s="68" t="s">
        <v>58</v>
      </c>
      <c r="G12" s="12">
        <v>44565</v>
      </c>
      <c r="H12" s="69" t="s">
        <v>5561</v>
      </c>
      <c r="I12" s="15">
        <v>98</v>
      </c>
      <c r="J12" s="15">
        <v>56</v>
      </c>
      <c r="K12" s="15">
        <v>35</v>
      </c>
      <c r="L12" s="15">
        <v>20</v>
      </c>
      <c r="M12" s="73">
        <v>48.02</v>
      </c>
      <c r="N12" s="104">
        <v>48.02</v>
      </c>
      <c r="O12" s="57">
        <v>7000</v>
      </c>
      <c r="P12" s="58">
        <f t="shared" si="0"/>
        <v>336140</v>
      </c>
    </row>
    <row r="13" spans="1:16" ht="30" customHeight="1" x14ac:dyDescent="0.2">
      <c r="A13" s="100"/>
      <c r="B13" s="100"/>
      <c r="C13" s="65" t="s">
        <v>5622</v>
      </c>
      <c r="D13" s="70" t="s">
        <v>57</v>
      </c>
      <c r="E13" s="12">
        <v>44559</v>
      </c>
      <c r="F13" s="68" t="s">
        <v>58</v>
      </c>
      <c r="G13" s="12">
        <v>44565</v>
      </c>
      <c r="H13" s="69" t="s">
        <v>5561</v>
      </c>
      <c r="I13" s="15">
        <v>30</v>
      </c>
      <c r="J13" s="15">
        <v>22</v>
      </c>
      <c r="K13" s="15">
        <v>19</v>
      </c>
      <c r="L13" s="15">
        <v>1</v>
      </c>
      <c r="M13" s="73">
        <v>3.1349999999999998</v>
      </c>
      <c r="N13" s="104">
        <v>3.1349999999999998</v>
      </c>
      <c r="O13" s="57">
        <v>7000</v>
      </c>
      <c r="P13" s="58">
        <f t="shared" si="0"/>
        <v>21945</v>
      </c>
    </row>
    <row r="14" spans="1:16" ht="30" customHeight="1" x14ac:dyDescent="0.2">
      <c r="A14" s="100"/>
      <c r="B14" s="100"/>
      <c r="C14" s="65" t="s">
        <v>5623</v>
      </c>
      <c r="D14" s="70" t="s">
        <v>57</v>
      </c>
      <c r="E14" s="12">
        <v>44559</v>
      </c>
      <c r="F14" s="68" t="s">
        <v>58</v>
      </c>
      <c r="G14" s="12">
        <v>44565</v>
      </c>
      <c r="H14" s="69" t="s">
        <v>5561</v>
      </c>
      <c r="I14" s="15">
        <v>25</v>
      </c>
      <c r="J14" s="15">
        <v>10</v>
      </c>
      <c r="K14" s="15">
        <v>8</v>
      </c>
      <c r="L14" s="15">
        <v>1</v>
      </c>
      <c r="M14" s="73">
        <v>0.5</v>
      </c>
      <c r="N14" s="104">
        <v>1</v>
      </c>
      <c r="O14" s="57">
        <v>7000</v>
      </c>
      <c r="P14" s="58">
        <f t="shared" si="0"/>
        <v>7000</v>
      </c>
    </row>
    <row r="15" spans="1:16" ht="30" customHeight="1" x14ac:dyDescent="0.2">
      <c r="A15" s="100"/>
      <c r="B15" s="100"/>
      <c r="C15" s="90" t="s">
        <v>5624</v>
      </c>
      <c r="D15" s="102" t="s">
        <v>57</v>
      </c>
      <c r="E15" s="91">
        <v>44559</v>
      </c>
      <c r="F15" s="102" t="s">
        <v>58</v>
      </c>
      <c r="G15" s="91">
        <v>44565</v>
      </c>
      <c r="H15" s="90" t="s">
        <v>5561</v>
      </c>
      <c r="I15" s="90">
        <v>15</v>
      </c>
      <c r="J15" s="90">
        <v>10</v>
      </c>
      <c r="K15" s="90">
        <v>7</v>
      </c>
      <c r="L15" s="90">
        <v>1</v>
      </c>
      <c r="M15" s="90">
        <v>0.26250000000000001</v>
      </c>
      <c r="N15" s="104">
        <v>1</v>
      </c>
      <c r="O15" s="57">
        <v>7000</v>
      </c>
      <c r="P15" s="58">
        <f t="shared" si="0"/>
        <v>7000</v>
      </c>
    </row>
    <row r="16" spans="1:16" ht="30" customHeight="1" x14ac:dyDescent="0.2">
      <c r="A16" s="100"/>
      <c r="B16" s="100"/>
      <c r="C16" s="65" t="s">
        <v>5625</v>
      </c>
      <c r="D16" s="70" t="s">
        <v>57</v>
      </c>
      <c r="E16" s="12">
        <v>44559</v>
      </c>
      <c r="F16" s="68" t="s">
        <v>58</v>
      </c>
      <c r="G16" s="12">
        <v>44565</v>
      </c>
      <c r="H16" s="69" t="s">
        <v>5561</v>
      </c>
      <c r="I16" s="15">
        <v>35</v>
      </c>
      <c r="J16" s="15">
        <v>22</v>
      </c>
      <c r="K16" s="15">
        <v>11</v>
      </c>
      <c r="L16" s="15">
        <v>1</v>
      </c>
      <c r="M16" s="73">
        <v>2.1175000000000002</v>
      </c>
      <c r="N16" s="104">
        <v>2.1175000000000002</v>
      </c>
      <c r="O16" s="57">
        <v>7000</v>
      </c>
      <c r="P16" s="58">
        <f t="shared" si="0"/>
        <v>14822.500000000002</v>
      </c>
    </row>
    <row r="17" spans="1:16" ht="30" customHeight="1" x14ac:dyDescent="0.2">
      <c r="A17" s="100"/>
      <c r="B17" s="100"/>
      <c r="C17" s="65" t="s">
        <v>5626</v>
      </c>
      <c r="D17" s="70" t="s">
        <v>57</v>
      </c>
      <c r="E17" s="12">
        <v>44559</v>
      </c>
      <c r="F17" s="68" t="s">
        <v>58</v>
      </c>
      <c r="G17" s="12">
        <v>44565</v>
      </c>
      <c r="H17" s="69" t="s">
        <v>5561</v>
      </c>
      <c r="I17" s="15">
        <v>65</v>
      </c>
      <c r="J17" s="15">
        <v>35</v>
      </c>
      <c r="K17" s="15">
        <v>10</v>
      </c>
      <c r="L17" s="15">
        <v>5</v>
      </c>
      <c r="M17" s="73">
        <v>5.6875</v>
      </c>
      <c r="N17" s="104">
        <v>5.6875</v>
      </c>
      <c r="O17" s="57">
        <v>7000</v>
      </c>
      <c r="P17" s="58">
        <f t="shared" si="0"/>
        <v>39812.5</v>
      </c>
    </row>
    <row r="18" spans="1:16" ht="30" customHeight="1" x14ac:dyDescent="0.2">
      <c r="A18" s="100"/>
      <c r="B18" s="100"/>
      <c r="C18" s="65" t="s">
        <v>5627</v>
      </c>
      <c r="D18" s="70" t="s">
        <v>57</v>
      </c>
      <c r="E18" s="12">
        <v>44559</v>
      </c>
      <c r="F18" s="68" t="s">
        <v>58</v>
      </c>
      <c r="G18" s="12">
        <v>44565</v>
      </c>
      <c r="H18" s="69" t="s">
        <v>5561</v>
      </c>
      <c r="I18" s="15">
        <v>89</v>
      </c>
      <c r="J18" s="15">
        <v>57</v>
      </c>
      <c r="K18" s="15">
        <v>32</v>
      </c>
      <c r="L18" s="15">
        <v>17</v>
      </c>
      <c r="M18" s="73">
        <v>40.584000000000003</v>
      </c>
      <c r="N18" s="104">
        <v>40.584000000000003</v>
      </c>
      <c r="O18" s="57">
        <v>7000</v>
      </c>
      <c r="P18" s="58">
        <f t="shared" si="0"/>
        <v>284088</v>
      </c>
    </row>
    <row r="19" spans="1:16" ht="30" customHeight="1" x14ac:dyDescent="0.2">
      <c r="A19" s="100"/>
      <c r="B19" s="100"/>
      <c r="C19" s="65" t="s">
        <v>5628</v>
      </c>
      <c r="D19" s="70" t="s">
        <v>57</v>
      </c>
      <c r="E19" s="12">
        <v>44559</v>
      </c>
      <c r="F19" s="68" t="s">
        <v>58</v>
      </c>
      <c r="G19" s="12">
        <v>44565</v>
      </c>
      <c r="H19" s="69" t="s">
        <v>5561</v>
      </c>
      <c r="I19" s="15">
        <v>86</v>
      </c>
      <c r="J19" s="15">
        <v>57</v>
      </c>
      <c r="K19" s="15">
        <v>32</v>
      </c>
      <c r="L19" s="15">
        <v>11</v>
      </c>
      <c r="M19" s="73">
        <v>39.216000000000001</v>
      </c>
      <c r="N19" s="104">
        <v>39.216000000000001</v>
      </c>
      <c r="O19" s="57">
        <v>7000</v>
      </c>
      <c r="P19" s="58">
        <f t="shared" si="0"/>
        <v>274512</v>
      </c>
    </row>
    <row r="20" spans="1:16" ht="30" customHeight="1" x14ac:dyDescent="0.2">
      <c r="A20" s="100"/>
      <c r="B20" s="100"/>
      <c r="C20" s="65" t="s">
        <v>5629</v>
      </c>
      <c r="D20" s="70" t="s">
        <v>57</v>
      </c>
      <c r="E20" s="12">
        <v>44559</v>
      </c>
      <c r="F20" s="68" t="s">
        <v>58</v>
      </c>
      <c r="G20" s="12">
        <v>44565</v>
      </c>
      <c r="H20" s="69" t="s">
        <v>5561</v>
      </c>
      <c r="I20" s="15">
        <v>55</v>
      </c>
      <c r="J20" s="15">
        <v>42</v>
      </c>
      <c r="K20" s="15">
        <v>11</v>
      </c>
      <c r="L20" s="15">
        <v>5</v>
      </c>
      <c r="M20" s="73">
        <v>6.3525</v>
      </c>
      <c r="N20" s="104">
        <v>7</v>
      </c>
      <c r="O20" s="57">
        <v>7000</v>
      </c>
      <c r="P20" s="58">
        <f t="shared" si="0"/>
        <v>49000</v>
      </c>
    </row>
    <row r="21" spans="1:16" ht="30" customHeight="1" x14ac:dyDescent="0.2">
      <c r="A21" s="100"/>
      <c r="B21" s="100"/>
      <c r="C21" s="65" t="s">
        <v>5630</v>
      </c>
      <c r="D21" s="70" t="s">
        <v>57</v>
      </c>
      <c r="E21" s="12">
        <v>44559</v>
      </c>
      <c r="F21" s="68" t="s">
        <v>58</v>
      </c>
      <c r="G21" s="12">
        <v>44565</v>
      </c>
      <c r="H21" s="69" t="s">
        <v>5561</v>
      </c>
      <c r="I21" s="15">
        <v>78</v>
      </c>
      <c r="J21" s="15">
        <v>53</v>
      </c>
      <c r="K21" s="15">
        <v>24</v>
      </c>
      <c r="L21" s="15">
        <v>12</v>
      </c>
      <c r="M21" s="73">
        <v>24.803999999999998</v>
      </c>
      <c r="N21" s="104">
        <v>24.803999999999998</v>
      </c>
      <c r="O21" s="57">
        <v>7000</v>
      </c>
      <c r="P21" s="58">
        <f t="shared" si="0"/>
        <v>173628</v>
      </c>
    </row>
    <row r="22" spans="1:16" ht="30" customHeight="1" x14ac:dyDescent="0.2">
      <c r="A22" s="100"/>
      <c r="B22" s="100"/>
      <c r="C22" s="65" t="s">
        <v>5631</v>
      </c>
      <c r="D22" s="70" t="s">
        <v>57</v>
      </c>
      <c r="E22" s="12">
        <v>44559</v>
      </c>
      <c r="F22" s="68" t="s">
        <v>58</v>
      </c>
      <c r="G22" s="12">
        <v>44565</v>
      </c>
      <c r="H22" s="69" t="s">
        <v>5561</v>
      </c>
      <c r="I22" s="15">
        <v>57</v>
      </c>
      <c r="J22" s="15">
        <v>20</v>
      </c>
      <c r="K22" s="15">
        <v>12</v>
      </c>
      <c r="L22" s="15">
        <v>1</v>
      </c>
      <c r="M22" s="73">
        <v>3.42</v>
      </c>
      <c r="N22" s="104">
        <v>4</v>
      </c>
      <c r="O22" s="57">
        <v>7000</v>
      </c>
      <c r="P22" s="58">
        <f t="shared" si="0"/>
        <v>28000</v>
      </c>
    </row>
    <row r="23" spans="1:16" ht="30" customHeight="1" x14ac:dyDescent="0.2">
      <c r="A23" s="100"/>
      <c r="B23" s="100"/>
      <c r="C23" s="65" t="s">
        <v>5632</v>
      </c>
      <c r="D23" s="70" t="s">
        <v>57</v>
      </c>
      <c r="E23" s="12">
        <v>44559</v>
      </c>
      <c r="F23" s="68" t="s">
        <v>58</v>
      </c>
      <c r="G23" s="12">
        <v>44565</v>
      </c>
      <c r="H23" s="69" t="s">
        <v>5561</v>
      </c>
      <c r="I23" s="15">
        <v>62</v>
      </c>
      <c r="J23" s="15">
        <v>45</v>
      </c>
      <c r="K23" s="15">
        <v>11</v>
      </c>
      <c r="L23" s="15">
        <v>3</v>
      </c>
      <c r="M23" s="73">
        <v>7.6725000000000003</v>
      </c>
      <c r="N23" s="104">
        <v>7.6725000000000003</v>
      </c>
      <c r="O23" s="57">
        <v>7000</v>
      </c>
      <c r="P23" s="58">
        <f t="shared" si="0"/>
        <v>53707.5</v>
      </c>
    </row>
    <row r="24" spans="1:16" ht="30" customHeight="1" x14ac:dyDescent="0.2">
      <c r="A24" s="100"/>
      <c r="B24" s="100"/>
      <c r="C24" s="65" t="s">
        <v>5633</v>
      </c>
      <c r="D24" s="70" t="s">
        <v>57</v>
      </c>
      <c r="E24" s="12">
        <v>44559</v>
      </c>
      <c r="F24" s="68" t="s">
        <v>58</v>
      </c>
      <c r="G24" s="12">
        <v>44565</v>
      </c>
      <c r="H24" s="69" t="s">
        <v>5561</v>
      </c>
      <c r="I24" s="15">
        <v>60</v>
      </c>
      <c r="J24" s="15">
        <v>66</v>
      </c>
      <c r="K24" s="15">
        <v>22</v>
      </c>
      <c r="L24" s="15">
        <v>5</v>
      </c>
      <c r="M24" s="73">
        <v>21.78</v>
      </c>
      <c r="N24" s="104">
        <v>21.78</v>
      </c>
      <c r="O24" s="57">
        <v>7000</v>
      </c>
      <c r="P24" s="58">
        <f t="shared" si="0"/>
        <v>152460</v>
      </c>
    </row>
    <row r="25" spans="1:16" ht="30" customHeight="1" x14ac:dyDescent="0.2">
      <c r="A25" s="100"/>
      <c r="B25" s="100"/>
      <c r="C25" s="65" t="s">
        <v>5634</v>
      </c>
      <c r="D25" s="70" t="s">
        <v>57</v>
      </c>
      <c r="E25" s="12">
        <v>44559</v>
      </c>
      <c r="F25" s="68" t="s">
        <v>58</v>
      </c>
      <c r="G25" s="12">
        <v>44565</v>
      </c>
      <c r="H25" s="69" t="s">
        <v>5561</v>
      </c>
      <c r="I25" s="15">
        <v>196</v>
      </c>
      <c r="J25" s="15">
        <v>36</v>
      </c>
      <c r="K25" s="15">
        <v>15</v>
      </c>
      <c r="L25" s="15">
        <v>8</v>
      </c>
      <c r="M25" s="73">
        <v>26.46</v>
      </c>
      <c r="N25" s="104">
        <v>27</v>
      </c>
      <c r="O25" s="57">
        <v>7000</v>
      </c>
      <c r="P25" s="58">
        <f t="shared" si="0"/>
        <v>189000</v>
      </c>
    </row>
    <row r="26" spans="1:16" ht="30" customHeight="1" x14ac:dyDescent="0.2">
      <c r="A26" s="100"/>
      <c r="B26" s="101"/>
      <c r="C26" s="65" t="s">
        <v>5635</v>
      </c>
      <c r="D26" s="70" t="s">
        <v>57</v>
      </c>
      <c r="E26" s="12">
        <v>44559</v>
      </c>
      <c r="F26" s="68" t="s">
        <v>58</v>
      </c>
      <c r="G26" s="12">
        <v>44565</v>
      </c>
      <c r="H26" s="69" t="s">
        <v>5561</v>
      </c>
      <c r="I26" s="15">
        <v>83</v>
      </c>
      <c r="J26" s="15">
        <v>61</v>
      </c>
      <c r="K26" s="15">
        <v>27</v>
      </c>
      <c r="L26" s="15">
        <v>9</v>
      </c>
      <c r="M26" s="73">
        <v>34.175249999999998</v>
      </c>
      <c r="N26" s="104">
        <v>34.175249999999998</v>
      </c>
      <c r="O26" s="57">
        <v>7000</v>
      </c>
      <c r="P26" s="58">
        <f t="shared" si="0"/>
        <v>239226.75</v>
      </c>
    </row>
    <row r="27" spans="1:16" ht="30" customHeight="1" x14ac:dyDescent="0.2">
      <c r="A27" s="100"/>
      <c r="B27" s="100" t="s">
        <v>5636</v>
      </c>
      <c r="C27" s="65" t="s">
        <v>5637</v>
      </c>
      <c r="D27" s="70" t="s">
        <v>57</v>
      </c>
      <c r="E27" s="12">
        <v>44559</v>
      </c>
      <c r="F27" s="68" t="s">
        <v>58</v>
      </c>
      <c r="G27" s="12">
        <v>44565</v>
      </c>
      <c r="H27" s="69" t="s">
        <v>5561</v>
      </c>
      <c r="I27" s="15">
        <v>60</v>
      </c>
      <c r="J27" s="15">
        <v>33</v>
      </c>
      <c r="K27" s="15">
        <v>28</v>
      </c>
      <c r="L27" s="15">
        <v>15</v>
      </c>
      <c r="M27" s="73">
        <v>13.86</v>
      </c>
      <c r="N27" s="104">
        <v>15</v>
      </c>
      <c r="O27" s="57">
        <v>7000</v>
      </c>
      <c r="P27" s="58">
        <f t="shared" si="0"/>
        <v>105000</v>
      </c>
    </row>
    <row r="28" spans="1:16" ht="22.5" customHeight="1" x14ac:dyDescent="0.2">
      <c r="A28" s="159" t="s">
        <v>30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1"/>
      <c r="M28" s="71">
        <f>SUBTOTAL(109,Table22457891011234567891011121314151617181920212223242526272829303132333435373839404142434445464748495051525354555657585960616263646566676869707172737475767778798081828384858687888990919293[KG VOLUME])</f>
        <v>368.24724999999995</v>
      </c>
      <c r="N28" s="61">
        <f>SUM(N3:N27)</f>
        <v>379.50075000000004</v>
      </c>
      <c r="O28" s="162">
        <f>SUM(P3:P27)</f>
        <v>2656505.25</v>
      </c>
      <c r="P28" s="163"/>
    </row>
    <row r="29" spans="1:16" ht="18" customHeight="1" x14ac:dyDescent="0.2">
      <c r="A29" s="78"/>
      <c r="B29" s="49" t="s">
        <v>42</v>
      </c>
      <c r="C29" s="48"/>
      <c r="D29" s="50" t="s">
        <v>43</v>
      </c>
      <c r="E29" s="78"/>
      <c r="F29" s="78"/>
      <c r="G29" s="78"/>
      <c r="H29" s="78"/>
      <c r="I29" s="78"/>
      <c r="J29" s="78"/>
      <c r="K29" s="78"/>
      <c r="L29" s="78"/>
      <c r="M29" s="79"/>
      <c r="N29" s="80" t="s">
        <v>52</v>
      </c>
      <c r="O29" s="81"/>
      <c r="P29" s="81">
        <v>0</v>
      </c>
    </row>
    <row r="30" spans="1:16" ht="18" customHeight="1" thickBot="1" x14ac:dyDescent="0.25">
      <c r="A30" s="78"/>
      <c r="B30" s="49"/>
      <c r="C30" s="48"/>
      <c r="D30" s="50"/>
      <c r="E30" s="78"/>
      <c r="F30" s="78"/>
      <c r="G30" s="78"/>
      <c r="H30" s="78"/>
      <c r="I30" s="78"/>
      <c r="J30" s="78"/>
      <c r="K30" s="78"/>
      <c r="L30" s="78"/>
      <c r="M30" s="79"/>
      <c r="N30" s="82" t="s">
        <v>53</v>
      </c>
      <c r="O30" s="83"/>
      <c r="P30" s="83">
        <f>O28-P29</f>
        <v>2656505.25</v>
      </c>
    </row>
    <row r="31" spans="1:16" ht="18" customHeight="1" x14ac:dyDescent="0.2">
      <c r="A31" s="10"/>
      <c r="H31" s="56"/>
      <c r="N31" s="55" t="s">
        <v>31</v>
      </c>
      <c r="P31" s="62">
        <f>P30*1%</f>
        <v>26565.052500000002</v>
      </c>
    </row>
    <row r="32" spans="1:16" ht="18" customHeight="1" thickBot="1" x14ac:dyDescent="0.25">
      <c r="A32" s="10"/>
      <c r="H32" s="56"/>
      <c r="N32" s="55" t="s">
        <v>54</v>
      </c>
      <c r="P32" s="64">
        <f>P30*2%</f>
        <v>53130.105000000003</v>
      </c>
    </row>
    <row r="33" spans="1:16" ht="18" customHeight="1" x14ac:dyDescent="0.2">
      <c r="A33" s="10"/>
      <c r="H33" s="56"/>
      <c r="N33" s="59" t="s">
        <v>32</v>
      </c>
      <c r="O33" s="60"/>
      <c r="P33" s="63">
        <f>P30+P31-P32</f>
        <v>2629940.1975000002</v>
      </c>
    </row>
    <row r="35" spans="1:16" x14ac:dyDescent="0.2">
      <c r="A35" s="10"/>
      <c r="H35" s="56"/>
      <c r="P35" s="64"/>
    </row>
    <row r="36" spans="1:16" x14ac:dyDescent="0.2">
      <c r="A36" s="10"/>
      <c r="H36" s="56"/>
      <c r="O36" s="51"/>
      <c r="P36" s="6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</sheetData>
  <mergeCells count="2">
    <mergeCell ref="A28:L28"/>
    <mergeCell ref="O28:P28"/>
  </mergeCells>
  <conditionalFormatting sqref="C3:C27">
    <cfRule type="duplicateValues" dxfId="127" priority="12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0"/>
  <sheetViews>
    <sheetView topLeftCell="A118" workbookViewId="0">
      <selection activeCell="N3" sqref="N3:N1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406473</v>
      </c>
      <c r="B3" s="99" t="s">
        <v>5638</v>
      </c>
      <c r="C3" s="90" t="s">
        <v>5639</v>
      </c>
      <c r="D3" s="102" t="s">
        <v>57</v>
      </c>
      <c r="E3" s="91">
        <v>44559</v>
      </c>
      <c r="F3" s="102" t="s">
        <v>58</v>
      </c>
      <c r="G3" s="91">
        <v>44565</v>
      </c>
      <c r="H3" s="90" t="s">
        <v>5561</v>
      </c>
      <c r="I3" s="90">
        <v>70</v>
      </c>
      <c r="J3" s="90">
        <v>39</v>
      </c>
      <c r="K3" s="90">
        <v>39</v>
      </c>
      <c r="L3" s="90">
        <v>26</v>
      </c>
      <c r="M3" s="90">
        <v>26.6175</v>
      </c>
      <c r="N3" s="104">
        <v>26.6175</v>
      </c>
      <c r="O3" s="57">
        <v>7000</v>
      </c>
      <c r="P3" s="58">
        <f t="shared" ref="P3:P66" si="0">N3*O3</f>
        <v>186322.5</v>
      </c>
    </row>
    <row r="4" spans="1:16" ht="26.25" customHeight="1" x14ac:dyDescent="0.2">
      <c r="A4" s="100"/>
      <c r="B4" s="100"/>
      <c r="C4" s="90" t="s">
        <v>5640</v>
      </c>
      <c r="D4" s="102" t="s">
        <v>57</v>
      </c>
      <c r="E4" s="91">
        <v>44559</v>
      </c>
      <c r="F4" s="102" t="s">
        <v>58</v>
      </c>
      <c r="G4" s="91">
        <v>44565</v>
      </c>
      <c r="H4" s="90" t="s">
        <v>5561</v>
      </c>
      <c r="I4" s="90">
        <v>112</v>
      </c>
      <c r="J4" s="90">
        <v>60</v>
      </c>
      <c r="K4" s="90">
        <v>25</v>
      </c>
      <c r="L4" s="90">
        <v>23</v>
      </c>
      <c r="M4" s="90">
        <v>42</v>
      </c>
      <c r="N4" s="104">
        <v>42</v>
      </c>
      <c r="O4" s="57">
        <v>7000</v>
      </c>
      <c r="P4" s="58">
        <f t="shared" si="0"/>
        <v>294000</v>
      </c>
    </row>
    <row r="5" spans="1:16" ht="26.25" customHeight="1" x14ac:dyDescent="0.2">
      <c r="A5" s="100"/>
      <c r="B5" s="100"/>
      <c r="C5" s="65" t="s">
        <v>5641</v>
      </c>
      <c r="D5" s="70" t="s">
        <v>57</v>
      </c>
      <c r="E5" s="12">
        <v>44559</v>
      </c>
      <c r="F5" s="68" t="s">
        <v>58</v>
      </c>
      <c r="G5" s="12">
        <v>44565</v>
      </c>
      <c r="H5" s="69" t="s">
        <v>5561</v>
      </c>
      <c r="I5" s="15">
        <v>100</v>
      </c>
      <c r="J5" s="15">
        <v>59</v>
      </c>
      <c r="K5" s="15">
        <v>32</v>
      </c>
      <c r="L5" s="15">
        <v>24</v>
      </c>
      <c r="M5" s="73">
        <v>47.2</v>
      </c>
      <c r="N5" s="104">
        <v>47.2</v>
      </c>
      <c r="O5" s="57">
        <v>7000</v>
      </c>
      <c r="P5" s="58">
        <f t="shared" si="0"/>
        <v>330400</v>
      </c>
    </row>
    <row r="6" spans="1:16" ht="26.25" customHeight="1" x14ac:dyDescent="0.2">
      <c r="A6" s="100"/>
      <c r="B6" s="100"/>
      <c r="C6" s="65" t="s">
        <v>5642</v>
      </c>
      <c r="D6" s="70" t="s">
        <v>57</v>
      </c>
      <c r="E6" s="12">
        <v>44559</v>
      </c>
      <c r="F6" s="68" t="s">
        <v>58</v>
      </c>
      <c r="G6" s="12">
        <v>44565</v>
      </c>
      <c r="H6" s="69" t="s">
        <v>5561</v>
      </c>
      <c r="I6" s="15">
        <v>106</v>
      </c>
      <c r="J6" s="15">
        <v>64</v>
      </c>
      <c r="K6" s="15">
        <v>32</v>
      </c>
      <c r="L6" s="15">
        <v>37</v>
      </c>
      <c r="M6" s="73">
        <v>54.271999999999998</v>
      </c>
      <c r="N6" s="104">
        <v>54.271999999999998</v>
      </c>
      <c r="O6" s="57">
        <v>7000</v>
      </c>
      <c r="P6" s="58">
        <f t="shared" si="0"/>
        <v>379904</v>
      </c>
    </row>
    <row r="7" spans="1:16" ht="26.25" customHeight="1" x14ac:dyDescent="0.2">
      <c r="A7" s="100"/>
      <c r="B7" s="100"/>
      <c r="C7" s="65" t="s">
        <v>5643</v>
      </c>
      <c r="D7" s="70" t="s">
        <v>57</v>
      </c>
      <c r="E7" s="12">
        <v>44559</v>
      </c>
      <c r="F7" s="68" t="s">
        <v>58</v>
      </c>
      <c r="G7" s="12">
        <v>44565</v>
      </c>
      <c r="H7" s="69" t="s">
        <v>5561</v>
      </c>
      <c r="I7" s="15">
        <v>92</v>
      </c>
      <c r="J7" s="15">
        <v>60</v>
      </c>
      <c r="K7" s="15">
        <v>27</v>
      </c>
      <c r="L7" s="15">
        <v>26</v>
      </c>
      <c r="M7" s="73">
        <v>37.26</v>
      </c>
      <c r="N7" s="104">
        <v>37.26</v>
      </c>
      <c r="O7" s="57">
        <v>7000</v>
      </c>
      <c r="P7" s="58">
        <f t="shared" si="0"/>
        <v>260820</v>
      </c>
    </row>
    <row r="8" spans="1:16" ht="26.25" customHeight="1" x14ac:dyDescent="0.2">
      <c r="A8" s="100"/>
      <c r="B8" s="100"/>
      <c r="C8" s="65" t="s">
        <v>5644</v>
      </c>
      <c r="D8" s="70" t="s">
        <v>57</v>
      </c>
      <c r="E8" s="12">
        <v>44559</v>
      </c>
      <c r="F8" s="68" t="s">
        <v>58</v>
      </c>
      <c r="G8" s="12">
        <v>44565</v>
      </c>
      <c r="H8" s="69" t="s">
        <v>5561</v>
      </c>
      <c r="I8" s="15">
        <v>122</v>
      </c>
      <c r="J8" s="15">
        <v>20</v>
      </c>
      <c r="K8" s="15">
        <v>20</v>
      </c>
      <c r="L8" s="15">
        <v>9</v>
      </c>
      <c r="M8" s="73">
        <v>12.2</v>
      </c>
      <c r="N8" s="104">
        <v>12.2</v>
      </c>
      <c r="O8" s="57">
        <v>7000</v>
      </c>
      <c r="P8" s="58">
        <f t="shared" si="0"/>
        <v>85400</v>
      </c>
    </row>
    <row r="9" spans="1:16" ht="26.25" customHeight="1" x14ac:dyDescent="0.2">
      <c r="A9" s="100"/>
      <c r="B9" s="100"/>
      <c r="C9" s="65" t="s">
        <v>5645</v>
      </c>
      <c r="D9" s="70" t="s">
        <v>57</v>
      </c>
      <c r="E9" s="12">
        <v>44559</v>
      </c>
      <c r="F9" s="68" t="s">
        <v>58</v>
      </c>
      <c r="G9" s="12">
        <v>44565</v>
      </c>
      <c r="H9" s="69" t="s">
        <v>5561</v>
      </c>
      <c r="I9" s="15">
        <v>46</v>
      </c>
      <c r="J9" s="15">
        <v>35</v>
      </c>
      <c r="K9" s="15">
        <v>23</v>
      </c>
      <c r="L9" s="15">
        <v>12</v>
      </c>
      <c r="M9" s="73">
        <v>9.2575000000000003</v>
      </c>
      <c r="N9" s="104">
        <v>12</v>
      </c>
      <c r="O9" s="57">
        <v>7000</v>
      </c>
      <c r="P9" s="58">
        <f t="shared" si="0"/>
        <v>84000</v>
      </c>
    </row>
    <row r="10" spans="1:16" ht="26.25" customHeight="1" x14ac:dyDescent="0.2">
      <c r="A10" s="100"/>
      <c r="B10" s="100"/>
      <c r="C10" s="65" t="s">
        <v>5646</v>
      </c>
      <c r="D10" s="70" t="s">
        <v>57</v>
      </c>
      <c r="E10" s="12">
        <v>44559</v>
      </c>
      <c r="F10" s="68" t="s">
        <v>58</v>
      </c>
      <c r="G10" s="12">
        <v>44565</v>
      </c>
      <c r="H10" s="69" t="s">
        <v>5561</v>
      </c>
      <c r="I10" s="15">
        <v>95</v>
      </c>
      <c r="J10" s="15">
        <v>55</v>
      </c>
      <c r="K10" s="15">
        <v>24</v>
      </c>
      <c r="L10" s="15">
        <v>22</v>
      </c>
      <c r="M10" s="73">
        <v>31.35</v>
      </c>
      <c r="N10" s="104">
        <v>32</v>
      </c>
      <c r="O10" s="57">
        <v>7000</v>
      </c>
      <c r="P10" s="58">
        <f t="shared" si="0"/>
        <v>224000</v>
      </c>
    </row>
    <row r="11" spans="1:16" ht="26.25" customHeight="1" x14ac:dyDescent="0.2">
      <c r="A11" s="100"/>
      <c r="B11" s="100"/>
      <c r="C11" s="65" t="s">
        <v>5647</v>
      </c>
      <c r="D11" s="70" t="s">
        <v>57</v>
      </c>
      <c r="E11" s="12">
        <v>44559</v>
      </c>
      <c r="F11" s="68" t="s">
        <v>58</v>
      </c>
      <c r="G11" s="12">
        <v>44565</v>
      </c>
      <c r="H11" s="69" t="s">
        <v>5561</v>
      </c>
      <c r="I11" s="15">
        <v>103</v>
      </c>
      <c r="J11" s="15">
        <v>64</v>
      </c>
      <c r="K11" s="15">
        <v>28</v>
      </c>
      <c r="L11" s="15">
        <v>21</v>
      </c>
      <c r="M11" s="73">
        <v>46.143999999999998</v>
      </c>
      <c r="N11" s="104">
        <v>46.143999999999998</v>
      </c>
      <c r="O11" s="57">
        <v>7000</v>
      </c>
      <c r="P11" s="58">
        <f t="shared" si="0"/>
        <v>323008</v>
      </c>
    </row>
    <row r="12" spans="1:16" ht="26.25" customHeight="1" x14ac:dyDescent="0.2">
      <c r="A12" s="100"/>
      <c r="B12" s="100"/>
      <c r="C12" s="65" t="s">
        <v>5648</v>
      </c>
      <c r="D12" s="70" t="s">
        <v>57</v>
      </c>
      <c r="E12" s="12">
        <v>44559</v>
      </c>
      <c r="F12" s="68" t="s">
        <v>58</v>
      </c>
      <c r="G12" s="12">
        <v>44565</v>
      </c>
      <c r="H12" s="69" t="s">
        <v>5561</v>
      </c>
      <c r="I12" s="15">
        <v>44</v>
      </c>
      <c r="J12" s="15">
        <v>40</v>
      </c>
      <c r="K12" s="15">
        <v>26</v>
      </c>
      <c r="L12" s="15">
        <v>7</v>
      </c>
      <c r="M12" s="73">
        <v>11.44</v>
      </c>
      <c r="N12" s="104">
        <v>12</v>
      </c>
      <c r="O12" s="57">
        <v>7000</v>
      </c>
      <c r="P12" s="58">
        <f t="shared" si="0"/>
        <v>84000</v>
      </c>
    </row>
    <row r="13" spans="1:16" ht="26.25" customHeight="1" x14ac:dyDescent="0.2">
      <c r="A13" s="100"/>
      <c r="B13" s="100"/>
      <c r="C13" s="65" t="s">
        <v>5649</v>
      </c>
      <c r="D13" s="70" t="s">
        <v>57</v>
      </c>
      <c r="E13" s="12">
        <v>44559</v>
      </c>
      <c r="F13" s="68" t="s">
        <v>58</v>
      </c>
      <c r="G13" s="12">
        <v>44565</v>
      </c>
      <c r="H13" s="69" t="s">
        <v>5561</v>
      </c>
      <c r="I13" s="15">
        <v>61</v>
      </c>
      <c r="J13" s="15">
        <v>32</v>
      </c>
      <c r="K13" s="15">
        <v>15</v>
      </c>
      <c r="L13" s="15">
        <v>6</v>
      </c>
      <c r="M13" s="73">
        <v>7.32</v>
      </c>
      <c r="N13" s="104">
        <v>8</v>
      </c>
      <c r="O13" s="57">
        <v>7000</v>
      </c>
      <c r="P13" s="58">
        <f t="shared" si="0"/>
        <v>56000</v>
      </c>
    </row>
    <row r="14" spans="1:16" ht="26.25" customHeight="1" x14ac:dyDescent="0.2">
      <c r="A14" s="100"/>
      <c r="B14" s="100"/>
      <c r="C14" s="65" t="s">
        <v>5650</v>
      </c>
      <c r="D14" s="70" t="s">
        <v>57</v>
      </c>
      <c r="E14" s="12">
        <v>44559</v>
      </c>
      <c r="F14" s="68" t="s">
        <v>58</v>
      </c>
      <c r="G14" s="12">
        <v>44565</v>
      </c>
      <c r="H14" s="69" t="s">
        <v>5561</v>
      </c>
      <c r="I14" s="15">
        <v>45</v>
      </c>
      <c r="J14" s="15">
        <v>47</v>
      </c>
      <c r="K14" s="15">
        <v>23</v>
      </c>
      <c r="L14" s="15">
        <v>10</v>
      </c>
      <c r="M14" s="73">
        <v>12.161250000000001</v>
      </c>
      <c r="N14" s="104">
        <v>12.161250000000001</v>
      </c>
      <c r="O14" s="57">
        <v>7000</v>
      </c>
      <c r="P14" s="58">
        <f t="shared" si="0"/>
        <v>85128.75</v>
      </c>
    </row>
    <row r="15" spans="1:16" ht="26.25" customHeight="1" x14ac:dyDescent="0.2">
      <c r="A15" s="100"/>
      <c r="B15" s="100"/>
      <c r="C15" s="65" t="s">
        <v>5651</v>
      </c>
      <c r="D15" s="70" t="s">
        <v>57</v>
      </c>
      <c r="E15" s="12">
        <v>44559</v>
      </c>
      <c r="F15" s="68" t="s">
        <v>58</v>
      </c>
      <c r="G15" s="12">
        <v>44565</v>
      </c>
      <c r="H15" s="69" t="s">
        <v>5561</v>
      </c>
      <c r="I15" s="15">
        <v>40</v>
      </c>
      <c r="J15" s="15">
        <v>31</v>
      </c>
      <c r="K15" s="15">
        <v>35</v>
      </c>
      <c r="L15" s="15">
        <v>10</v>
      </c>
      <c r="M15" s="73">
        <v>10.85</v>
      </c>
      <c r="N15" s="104">
        <v>10.85</v>
      </c>
      <c r="O15" s="57">
        <v>7000</v>
      </c>
      <c r="P15" s="58">
        <f t="shared" si="0"/>
        <v>75950</v>
      </c>
    </row>
    <row r="16" spans="1:16" ht="26.25" customHeight="1" x14ac:dyDescent="0.2">
      <c r="A16" s="100"/>
      <c r="B16" s="100"/>
      <c r="C16" s="65" t="s">
        <v>5652</v>
      </c>
      <c r="D16" s="70" t="s">
        <v>57</v>
      </c>
      <c r="E16" s="12">
        <v>44559</v>
      </c>
      <c r="F16" s="68" t="s">
        <v>58</v>
      </c>
      <c r="G16" s="12">
        <v>44565</v>
      </c>
      <c r="H16" s="69" t="s">
        <v>5561</v>
      </c>
      <c r="I16" s="15">
        <v>85</v>
      </c>
      <c r="J16" s="15">
        <v>31</v>
      </c>
      <c r="K16" s="15">
        <v>13</v>
      </c>
      <c r="L16" s="15">
        <v>13</v>
      </c>
      <c r="M16" s="73">
        <v>8.5637500000000006</v>
      </c>
      <c r="N16" s="104">
        <v>13</v>
      </c>
      <c r="O16" s="57">
        <v>7000</v>
      </c>
      <c r="P16" s="58">
        <f t="shared" si="0"/>
        <v>91000</v>
      </c>
    </row>
    <row r="17" spans="1:16" ht="26.25" customHeight="1" x14ac:dyDescent="0.2">
      <c r="A17" s="100"/>
      <c r="B17" s="100"/>
      <c r="C17" s="65" t="s">
        <v>5653</v>
      </c>
      <c r="D17" s="70" t="s">
        <v>57</v>
      </c>
      <c r="E17" s="12">
        <v>44559</v>
      </c>
      <c r="F17" s="68" t="s">
        <v>58</v>
      </c>
      <c r="G17" s="12">
        <v>44565</v>
      </c>
      <c r="H17" s="69" t="s">
        <v>5561</v>
      </c>
      <c r="I17" s="15">
        <v>83</v>
      </c>
      <c r="J17" s="15">
        <v>62</v>
      </c>
      <c r="K17" s="15">
        <v>16</v>
      </c>
      <c r="L17" s="15">
        <v>14</v>
      </c>
      <c r="M17" s="73">
        <v>20.584</v>
      </c>
      <c r="N17" s="104">
        <v>20.584</v>
      </c>
      <c r="O17" s="57">
        <v>7000</v>
      </c>
      <c r="P17" s="58">
        <f t="shared" si="0"/>
        <v>144088</v>
      </c>
    </row>
    <row r="18" spans="1:16" ht="26.25" customHeight="1" x14ac:dyDescent="0.2">
      <c r="A18" s="100"/>
      <c r="B18" s="100"/>
      <c r="C18" s="65" t="s">
        <v>5654</v>
      </c>
      <c r="D18" s="70" t="s">
        <v>57</v>
      </c>
      <c r="E18" s="12">
        <v>44559</v>
      </c>
      <c r="F18" s="68" t="s">
        <v>58</v>
      </c>
      <c r="G18" s="12">
        <v>44565</v>
      </c>
      <c r="H18" s="69" t="s">
        <v>5561</v>
      </c>
      <c r="I18" s="15">
        <v>78</v>
      </c>
      <c r="J18" s="15">
        <v>56</v>
      </c>
      <c r="K18" s="15">
        <v>25</v>
      </c>
      <c r="L18" s="15">
        <v>8</v>
      </c>
      <c r="M18" s="73">
        <v>27.3</v>
      </c>
      <c r="N18" s="104">
        <v>28</v>
      </c>
      <c r="O18" s="57">
        <v>7000</v>
      </c>
      <c r="P18" s="58">
        <f t="shared" si="0"/>
        <v>196000</v>
      </c>
    </row>
    <row r="19" spans="1:16" ht="26.25" customHeight="1" x14ac:dyDescent="0.2">
      <c r="A19" s="100"/>
      <c r="B19" s="100"/>
      <c r="C19" s="65" t="s">
        <v>5655</v>
      </c>
      <c r="D19" s="70" t="s">
        <v>57</v>
      </c>
      <c r="E19" s="12">
        <v>44559</v>
      </c>
      <c r="F19" s="68" t="s">
        <v>58</v>
      </c>
      <c r="G19" s="12">
        <v>44565</v>
      </c>
      <c r="H19" s="69" t="s">
        <v>5561</v>
      </c>
      <c r="I19" s="15">
        <v>67</v>
      </c>
      <c r="J19" s="15">
        <v>45</v>
      </c>
      <c r="K19" s="15">
        <v>35</v>
      </c>
      <c r="L19" s="15">
        <v>7</v>
      </c>
      <c r="M19" s="73">
        <v>26.381250000000001</v>
      </c>
      <c r="N19" s="104">
        <v>27</v>
      </c>
      <c r="O19" s="57">
        <v>7000</v>
      </c>
      <c r="P19" s="58">
        <f t="shared" si="0"/>
        <v>189000</v>
      </c>
    </row>
    <row r="20" spans="1:16" ht="26.25" customHeight="1" x14ac:dyDescent="0.2">
      <c r="A20" s="100"/>
      <c r="B20" s="100"/>
      <c r="C20" s="65" t="s">
        <v>5656</v>
      </c>
      <c r="D20" s="70" t="s">
        <v>57</v>
      </c>
      <c r="E20" s="12">
        <v>44559</v>
      </c>
      <c r="F20" s="68" t="s">
        <v>58</v>
      </c>
      <c r="G20" s="12">
        <v>44565</v>
      </c>
      <c r="H20" s="69" t="s">
        <v>5561</v>
      </c>
      <c r="I20" s="15">
        <v>37</v>
      </c>
      <c r="J20" s="15">
        <v>37</v>
      </c>
      <c r="K20" s="15">
        <v>25</v>
      </c>
      <c r="L20" s="15">
        <v>8</v>
      </c>
      <c r="M20" s="73">
        <v>8.5562500000000004</v>
      </c>
      <c r="N20" s="104">
        <v>8.5562500000000004</v>
      </c>
      <c r="O20" s="57">
        <v>7000</v>
      </c>
      <c r="P20" s="58">
        <f t="shared" si="0"/>
        <v>59893.75</v>
      </c>
    </row>
    <row r="21" spans="1:16" ht="26.25" customHeight="1" x14ac:dyDescent="0.2">
      <c r="A21" s="100"/>
      <c r="B21" s="100"/>
      <c r="C21" s="65" t="s">
        <v>5657</v>
      </c>
      <c r="D21" s="70" t="s">
        <v>57</v>
      </c>
      <c r="E21" s="12">
        <v>44559</v>
      </c>
      <c r="F21" s="68" t="s">
        <v>58</v>
      </c>
      <c r="G21" s="12">
        <v>44565</v>
      </c>
      <c r="H21" s="69" t="s">
        <v>5561</v>
      </c>
      <c r="I21" s="15">
        <v>70</v>
      </c>
      <c r="J21" s="15">
        <v>61</v>
      </c>
      <c r="K21" s="15">
        <v>25</v>
      </c>
      <c r="L21" s="15">
        <v>12</v>
      </c>
      <c r="M21" s="73">
        <v>26.6875</v>
      </c>
      <c r="N21" s="104">
        <v>26.6875</v>
      </c>
      <c r="O21" s="57">
        <v>7000</v>
      </c>
      <c r="P21" s="58">
        <f t="shared" si="0"/>
        <v>186812.5</v>
      </c>
    </row>
    <row r="22" spans="1:16" ht="26.25" customHeight="1" x14ac:dyDescent="0.2">
      <c r="A22" s="100"/>
      <c r="B22" s="100"/>
      <c r="C22" s="65" t="s">
        <v>5658</v>
      </c>
      <c r="D22" s="70" t="s">
        <v>57</v>
      </c>
      <c r="E22" s="12">
        <v>44559</v>
      </c>
      <c r="F22" s="68" t="s">
        <v>58</v>
      </c>
      <c r="G22" s="12">
        <v>44565</v>
      </c>
      <c r="H22" s="69" t="s">
        <v>5561</v>
      </c>
      <c r="I22" s="15">
        <v>45</v>
      </c>
      <c r="J22" s="15">
        <v>35</v>
      </c>
      <c r="K22" s="15">
        <v>26</v>
      </c>
      <c r="L22" s="15">
        <v>6</v>
      </c>
      <c r="M22" s="73">
        <v>10.237500000000001</v>
      </c>
      <c r="N22" s="104">
        <v>10.237500000000001</v>
      </c>
      <c r="O22" s="57">
        <v>7000</v>
      </c>
      <c r="P22" s="58">
        <f t="shared" si="0"/>
        <v>71662.5</v>
      </c>
    </row>
    <row r="23" spans="1:16" ht="26.25" customHeight="1" x14ac:dyDescent="0.2">
      <c r="A23" s="100"/>
      <c r="B23" s="100"/>
      <c r="C23" s="65" t="s">
        <v>5659</v>
      </c>
      <c r="D23" s="70" t="s">
        <v>57</v>
      </c>
      <c r="E23" s="12">
        <v>44559</v>
      </c>
      <c r="F23" s="68" t="s">
        <v>58</v>
      </c>
      <c r="G23" s="12">
        <v>44565</v>
      </c>
      <c r="H23" s="69" t="s">
        <v>5561</v>
      </c>
      <c r="I23" s="15">
        <v>55</v>
      </c>
      <c r="J23" s="15">
        <v>37</v>
      </c>
      <c r="K23" s="15">
        <v>16</v>
      </c>
      <c r="L23" s="15">
        <v>7</v>
      </c>
      <c r="M23" s="73">
        <v>8.14</v>
      </c>
      <c r="N23" s="104">
        <v>8.14</v>
      </c>
      <c r="O23" s="57">
        <v>7000</v>
      </c>
      <c r="P23" s="58">
        <f t="shared" si="0"/>
        <v>56980.000000000007</v>
      </c>
    </row>
    <row r="24" spans="1:16" ht="26.25" customHeight="1" x14ac:dyDescent="0.2">
      <c r="A24" s="100"/>
      <c r="B24" s="100"/>
      <c r="C24" s="65" t="s">
        <v>5660</v>
      </c>
      <c r="D24" s="70" t="s">
        <v>57</v>
      </c>
      <c r="E24" s="12">
        <v>44559</v>
      </c>
      <c r="F24" s="68" t="s">
        <v>58</v>
      </c>
      <c r="G24" s="12">
        <v>44565</v>
      </c>
      <c r="H24" s="69" t="s">
        <v>5561</v>
      </c>
      <c r="I24" s="15">
        <v>83</v>
      </c>
      <c r="J24" s="15">
        <v>64</v>
      </c>
      <c r="K24" s="15">
        <v>27</v>
      </c>
      <c r="L24" s="15">
        <v>12</v>
      </c>
      <c r="M24" s="73">
        <v>35.856000000000002</v>
      </c>
      <c r="N24" s="104">
        <v>35.856000000000002</v>
      </c>
      <c r="O24" s="57">
        <v>7000</v>
      </c>
      <c r="P24" s="58">
        <f t="shared" si="0"/>
        <v>250992</v>
      </c>
    </row>
    <row r="25" spans="1:16" ht="26.25" customHeight="1" x14ac:dyDescent="0.2">
      <c r="A25" s="100"/>
      <c r="B25" s="100"/>
      <c r="C25" s="65" t="s">
        <v>5661</v>
      </c>
      <c r="D25" s="70" t="s">
        <v>57</v>
      </c>
      <c r="E25" s="12">
        <v>44559</v>
      </c>
      <c r="F25" s="68" t="s">
        <v>58</v>
      </c>
      <c r="G25" s="12">
        <v>44565</v>
      </c>
      <c r="H25" s="69" t="s">
        <v>5561</v>
      </c>
      <c r="I25" s="15">
        <v>73</v>
      </c>
      <c r="J25" s="15">
        <v>63</v>
      </c>
      <c r="K25" s="15">
        <v>23</v>
      </c>
      <c r="L25" s="15">
        <v>19</v>
      </c>
      <c r="M25" s="73">
        <v>26.44425</v>
      </c>
      <c r="N25" s="104">
        <v>27</v>
      </c>
      <c r="O25" s="57">
        <v>7000</v>
      </c>
      <c r="P25" s="58">
        <f t="shared" si="0"/>
        <v>189000</v>
      </c>
    </row>
    <row r="26" spans="1:16" ht="26.25" customHeight="1" x14ac:dyDescent="0.2">
      <c r="A26" s="100"/>
      <c r="B26" s="100"/>
      <c r="C26" s="65" t="s">
        <v>5662</v>
      </c>
      <c r="D26" s="70" t="s">
        <v>57</v>
      </c>
      <c r="E26" s="12">
        <v>44559</v>
      </c>
      <c r="F26" s="68" t="s">
        <v>58</v>
      </c>
      <c r="G26" s="12">
        <v>44565</v>
      </c>
      <c r="H26" s="69" t="s">
        <v>5561</v>
      </c>
      <c r="I26" s="15">
        <v>75</v>
      </c>
      <c r="J26" s="15">
        <v>65</v>
      </c>
      <c r="K26" s="15">
        <v>15</v>
      </c>
      <c r="L26" s="15">
        <v>7</v>
      </c>
      <c r="M26" s="73">
        <v>18.28125</v>
      </c>
      <c r="N26" s="104">
        <v>18.28125</v>
      </c>
      <c r="O26" s="57">
        <v>7000</v>
      </c>
      <c r="P26" s="58">
        <f t="shared" si="0"/>
        <v>127968.75</v>
      </c>
    </row>
    <row r="27" spans="1:16" ht="26.25" customHeight="1" x14ac:dyDescent="0.2">
      <c r="A27" s="100"/>
      <c r="B27" s="100"/>
      <c r="C27" s="65" t="s">
        <v>5663</v>
      </c>
      <c r="D27" s="70" t="s">
        <v>57</v>
      </c>
      <c r="E27" s="12">
        <v>44559</v>
      </c>
      <c r="F27" s="68" t="s">
        <v>58</v>
      </c>
      <c r="G27" s="12">
        <v>44565</v>
      </c>
      <c r="H27" s="69" t="s">
        <v>5561</v>
      </c>
      <c r="I27" s="15">
        <v>100</v>
      </c>
      <c r="J27" s="15">
        <v>67</v>
      </c>
      <c r="K27" s="15">
        <v>26</v>
      </c>
      <c r="L27" s="15">
        <v>28</v>
      </c>
      <c r="M27" s="73">
        <v>43.55</v>
      </c>
      <c r="N27" s="104">
        <v>43.55</v>
      </c>
      <c r="O27" s="57">
        <v>7000</v>
      </c>
      <c r="P27" s="58">
        <f t="shared" si="0"/>
        <v>304850</v>
      </c>
    </row>
    <row r="28" spans="1:16" ht="26.25" customHeight="1" x14ac:dyDescent="0.2">
      <c r="A28" s="100"/>
      <c r="B28" s="100"/>
      <c r="C28" s="65" t="s">
        <v>5664</v>
      </c>
      <c r="D28" s="70" t="s">
        <v>57</v>
      </c>
      <c r="E28" s="12">
        <v>44559</v>
      </c>
      <c r="F28" s="68" t="s">
        <v>58</v>
      </c>
      <c r="G28" s="12">
        <v>44565</v>
      </c>
      <c r="H28" s="69" t="s">
        <v>5561</v>
      </c>
      <c r="I28" s="15">
        <v>79</v>
      </c>
      <c r="J28" s="15">
        <v>61</v>
      </c>
      <c r="K28" s="15">
        <v>25</v>
      </c>
      <c r="L28" s="15">
        <v>7</v>
      </c>
      <c r="M28" s="73">
        <v>30.118749999999999</v>
      </c>
      <c r="N28" s="104">
        <v>30.118749999999999</v>
      </c>
      <c r="O28" s="57">
        <v>7000</v>
      </c>
      <c r="P28" s="58">
        <f t="shared" si="0"/>
        <v>210831.25</v>
      </c>
    </row>
    <row r="29" spans="1:16" ht="26.25" customHeight="1" x14ac:dyDescent="0.2">
      <c r="A29" s="100"/>
      <c r="B29" s="100"/>
      <c r="C29" s="65" t="s">
        <v>5665</v>
      </c>
      <c r="D29" s="70" t="s">
        <v>57</v>
      </c>
      <c r="E29" s="12">
        <v>44559</v>
      </c>
      <c r="F29" s="68" t="s">
        <v>58</v>
      </c>
      <c r="G29" s="12">
        <v>44565</v>
      </c>
      <c r="H29" s="69" t="s">
        <v>5561</v>
      </c>
      <c r="I29" s="15">
        <v>62</v>
      </c>
      <c r="J29" s="15">
        <v>35</v>
      </c>
      <c r="K29" s="15">
        <v>11</v>
      </c>
      <c r="L29" s="15">
        <v>1</v>
      </c>
      <c r="M29" s="73">
        <v>5.9675000000000002</v>
      </c>
      <c r="N29" s="104">
        <v>5.9675000000000002</v>
      </c>
      <c r="O29" s="57">
        <v>7000</v>
      </c>
      <c r="P29" s="58">
        <f t="shared" si="0"/>
        <v>41772.5</v>
      </c>
    </row>
    <row r="30" spans="1:16" ht="26.25" customHeight="1" x14ac:dyDescent="0.2">
      <c r="A30" s="100"/>
      <c r="B30" s="100"/>
      <c r="C30" s="65" t="s">
        <v>5666</v>
      </c>
      <c r="D30" s="70" t="s">
        <v>57</v>
      </c>
      <c r="E30" s="12">
        <v>44559</v>
      </c>
      <c r="F30" s="68" t="s">
        <v>58</v>
      </c>
      <c r="G30" s="12">
        <v>44565</v>
      </c>
      <c r="H30" s="69" t="s">
        <v>5561</v>
      </c>
      <c r="I30" s="15">
        <v>65</v>
      </c>
      <c r="J30" s="15">
        <v>34</v>
      </c>
      <c r="K30" s="15">
        <v>14</v>
      </c>
      <c r="L30" s="15">
        <v>3</v>
      </c>
      <c r="M30" s="73">
        <v>7.7350000000000003</v>
      </c>
      <c r="N30" s="104">
        <v>7.7350000000000003</v>
      </c>
      <c r="O30" s="57">
        <v>7000</v>
      </c>
      <c r="P30" s="58">
        <f t="shared" si="0"/>
        <v>54145</v>
      </c>
    </row>
    <row r="31" spans="1:16" ht="26.25" customHeight="1" x14ac:dyDescent="0.2">
      <c r="A31" s="100"/>
      <c r="B31" s="100"/>
      <c r="C31" s="65" t="s">
        <v>5667</v>
      </c>
      <c r="D31" s="70" t="s">
        <v>57</v>
      </c>
      <c r="E31" s="12">
        <v>44559</v>
      </c>
      <c r="F31" s="68" t="s">
        <v>58</v>
      </c>
      <c r="G31" s="12">
        <v>44565</v>
      </c>
      <c r="H31" s="69" t="s">
        <v>5561</v>
      </c>
      <c r="I31" s="15">
        <v>96</v>
      </c>
      <c r="J31" s="15">
        <v>52</v>
      </c>
      <c r="K31" s="15">
        <v>37</v>
      </c>
      <c r="L31" s="15">
        <v>14</v>
      </c>
      <c r="M31" s="73">
        <v>46.176000000000002</v>
      </c>
      <c r="N31" s="104">
        <v>46.176000000000002</v>
      </c>
      <c r="O31" s="57">
        <v>7000</v>
      </c>
      <c r="P31" s="58">
        <f t="shared" si="0"/>
        <v>323232</v>
      </c>
    </row>
    <row r="32" spans="1:16" ht="26.25" customHeight="1" x14ac:dyDescent="0.2">
      <c r="A32" s="100"/>
      <c r="B32" s="100"/>
      <c r="C32" s="65" t="s">
        <v>5668</v>
      </c>
      <c r="D32" s="70" t="s">
        <v>57</v>
      </c>
      <c r="E32" s="12">
        <v>44559</v>
      </c>
      <c r="F32" s="68" t="s">
        <v>58</v>
      </c>
      <c r="G32" s="12">
        <v>44565</v>
      </c>
      <c r="H32" s="69" t="s">
        <v>5561</v>
      </c>
      <c r="I32" s="15">
        <v>55</v>
      </c>
      <c r="J32" s="15">
        <v>40</v>
      </c>
      <c r="K32" s="15">
        <v>16</v>
      </c>
      <c r="L32" s="15">
        <v>2</v>
      </c>
      <c r="M32" s="73">
        <v>8.8000000000000007</v>
      </c>
      <c r="N32" s="104">
        <v>8.8000000000000007</v>
      </c>
      <c r="O32" s="57">
        <v>7000</v>
      </c>
      <c r="P32" s="58">
        <f t="shared" si="0"/>
        <v>61600.000000000007</v>
      </c>
    </row>
    <row r="33" spans="1:16" ht="26.25" customHeight="1" x14ac:dyDescent="0.2">
      <c r="A33" s="100"/>
      <c r="B33" s="100"/>
      <c r="C33" s="65" t="s">
        <v>5669</v>
      </c>
      <c r="D33" s="70" t="s">
        <v>57</v>
      </c>
      <c r="E33" s="12">
        <v>44559</v>
      </c>
      <c r="F33" s="68" t="s">
        <v>58</v>
      </c>
      <c r="G33" s="12">
        <v>44565</v>
      </c>
      <c r="H33" s="69" t="s">
        <v>5561</v>
      </c>
      <c r="I33" s="15">
        <v>83</v>
      </c>
      <c r="J33" s="15">
        <v>43</v>
      </c>
      <c r="K33" s="15">
        <v>18</v>
      </c>
      <c r="L33" s="15">
        <v>8</v>
      </c>
      <c r="M33" s="73">
        <v>16.060500000000001</v>
      </c>
      <c r="N33" s="104">
        <v>16.060500000000001</v>
      </c>
      <c r="O33" s="57">
        <v>7000</v>
      </c>
      <c r="P33" s="58">
        <f t="shared" si="0"/>
        <v>112423.50000000001</v>
      </c>
    </row>
    <row r="34" spans="1:16" ht="26.25" customHeight="1" x14ac:dyDescent="0.2">
      <c r="A34" s="100"/>
      <c r="B34" s="100"/>
      <c r="C34" s="65" t="s">
        <v>5670</v>
      </c>
      <c r="D34" s="70" t="s">
        <v>57</v>
      </c>
      <c r="E34" s="12">
        <v>44559</v>
      </c>
      <c r="F34" s="68" t="s">
        <v>58</v>
      </c>
      <c r="G34" s="12">
        <v>44565</v>
      </c>
      <c r="H34" s="69" t="s">
        <v>5561</v>
      </c>
      <c r="I34" s="15">
        <v>35</v>
      </c>
      <c r="J34" s="15">
        <v>35</v>
      </c>
      <c r="K34" s="15">
        <v>30</v>
      </c>
      <c r="L34" s="15">
        <v>7</v>
      </c>
      <c r="M34" s="73">
        <v>9.1875</v>
      </c>
      <c r="N34" s="104">
        <v>9.1875</v>
      </c>
      <c r="O34" s="57">
        <v>7000</v>
      </c>
      <c r="P34" s="58">
        <f t="shared" si="0"/>
        <v>64312.5</v>
      </c>
    </row>
    <row r="35" spans="1:16" ht="26.25" customHeight="1" x14ac:dyDescent="0.2">
      <c r="A35" s="100"/>
      <c r="B35" s="100"/>
      <c r="C35" s="65" t="s">
        <v>5671</v>
      </c>
      <c r="D35" s="70" t="s">
        <v>57</v>
      </c>
      <c r="E35" s="12">
        <v>44559</v>
      </c>
      <c r="F35" s="68" t="s">
        <v>58</v>
      </c>
      <c r="G35" s="12">
        <v>44565</v>
      </c>
      <c r="H35" s="69" t="s">
        <v>5561</v>
      </c>
      <c r="I35" s="15">
        <v>73</v>
      </c>
      <c r="J35" s="15">
        <v>39</v>
      </c>
      <c r="K35" s="15">
        <v>8</v>
      </c>
      <c r="L35" s="15">
        <v>1</v>
      </c>
      <c r="M35" s="73">
        <v>5.694</v>
      </c>
      <c r="N35" s="104">
        <v>5.694</v>
      </c>
      <c r="O35" s="57">
        <v>7000</v>
      </c>
      <c r="P35" s="58">
        <f t="shared" si="0"/>
        <v>39858</v>
      </c>
    </row>
    <row r="36" spans="1:16" ht="26.25" customHeight="1" x14ac:dyDescent="0.2">
      <c r="A36" s="100"/>
      <c r="B36" s="100"/>
      <c r="C36" s="65" t="s">
        <v>5672</v>
      </c>
      <c r="D36" s="70" t="s">
        <v>57</v>
      </c>
      <c r="E36" s="12">
        <v>44559</v>
      </c>
      <c r="F36" s="68" t="s">
        <v>58</v>
      </c>
      <c r="G36" s="12">
        <v>44565</v>
      </c>
      <c r="H36" s="69" t="s">
        <v>5561</v>
      </c>
      <c r="I36" s="15">
        <v>43</v>
      </c>
      <c r="J36" s="15">
        <v>30</v>
      </c>
      <c r="K36" s="15">
        <v>8</v>
      </c>
      <c r="L36" s="15">
        <v>6</v>
      </c>
      <c r="M36" s="73">
        <v>2.58</v>
      </c>
      <c r="N36" s="104">
        <v>6</v>
      </c>
      <c r="O36" s="57">
        <v>7000</v>
      </c>
      <c r="P36" s="58">
        <f t="shared" si="0"/>
        <v>42000</v>
      </c>
    </row>
    <row r="37" spans="1:16" ht="26.25" customHeight="1" x14ac:dyDescent="0.2">
      <c r="A37" s="100"/>
      <c r="B37" s="100"/>
      <c r="C37" s="65" t="s">
        <v>5673</v>
      </c>
      <c r="D37" s="70" t="s">
        <v>57</v>
      </c>
      <c r="E37" s="12">
        <v>44559</v>
      </c>
      <c r="F37" s="68" t="s">
        <v>58</v>
      </c>
      <c r="G37" s="12">
        <v>44565</v>
      </c>
      <c r="H37" s="69" t="s">
        <v>5561</v>
      </c>
      <c r="I37" s="15">
        <v>35</v>
      </c>
      <c r="J37" s="15">
        <v>27</v>
      </c>
      <c r="K37" s="15">
        <v>17</v>
      </c>
      <c r="L37" s="15">
        <v>6</v>
      </c>
      <c r="M37" s="73">
        <v>4.0162500000000003</v>
      </c>
      <c r="N37" s="104">
        <v>6</v>
      </c>
      <c r="O37" s="57">
        <v>7000</v>
      </c>
      <c r="P37" s="58">
        <f t="shared" si="0"/>
        <v>42000</v>
      </c>
    </row>
    <row r="38" spans="1:16" ht="26.25" customHeight="1" x14ac:dyDescent="0.2">
      <c r="A38" s="100"/>
      <c r="B38" s="100"/>
      <c r="C38" s="65" t="s">
        <v>5674</v>
      </c>
      <c r="D38" s="70" t="s">
        <v>57</v>
      </c>
      <c r="E38" s="12">
        <v>44559</v>
      </c>
      <c r="F38" s="68" t="s">
        <v>58</v>
      </c>
      <c r="G38" s="12">
        <v>44565</v>
      </c>
      <c r="H38" s="69" t="s">
        <v>5561</v>
      </c>
      <c r="I38" s="15">
        <v>50</v>
      </c>
      <c r="J38" s="15">
        <v>27</v>
      </c>
      <c r="K38" s="15">
        <v>27</v>
      </c>
      <c r="L38" s="15">
        <v>7</v>
      </c>
      <c r="M38" s="73">
        <v>9.1125000000000007</v>
      </c>
      <c r="N38" s="104">
        <v>9.1125000000000007</v>
      </c>
      <c r="O38" s="57">
        <v>7000</v>
      </c>
      <c r="P38" s="58">
        <f t="shared" si="0"/>
        <v>63787.500000000007</v>
      </c>
    </row>
    <row r="39" spans="1:16" ht="26.25" customHeight="1" x14ac:dyDescent="0.2">
      <c r="A39" s="100"/>
      <c r="B39" s="100"/>
      <c r="C39" s="65" t="s">
        <v>5675</v>
      </c>
      <c r="D39" s="70" t="s">
        <v>57</v>
      </c>
      <c r="E39" s="12">
        <v>44559</v>
      </c>
      <c r="F39" s="68" t="s">
        <v>58</v>
      </c>
      <c r="G39" s="12">
        <v>44565</v>
      </c>
      <c r="H39" s="69" t="s">
        <v>5561</v>
      </c>
      <c r="I39" s="15">
        <v>36</v>
      </c>
      <c r="J39" s="15">
        <v>36</v>
      </c>
      <c r="K39" s="15">
        <v>30</v>
      </c>
      <c r="L39" s="15">
        <v>12</v>
      </c>
      <c r="M39" s="73">
        <v>9.7200000000000006</v>
      </c>
      <c r="N39" s="104">
        <v>12</v>
      </c>
      <c r="O39" s="57">
        <v>7000</v>
      </c>
      <c r="P39" s="58">
        <f t="shared" si="0"/>
        <v>84000</v>
      </c>
    </row>
    <row r="40" spans="1:16" ht="26.25" customHeight="1" x14ac:dyDescent="0.2">
      <c r="A40" s="100"/>
      <c r="B40" s="100"/>
      <c r="C40" s="65" t="s">
        <v>5676</v>
      </c>
      <c r="D40" s="70" t="s">
        <v>57</v>
      </c>
      <c r="E40" s="12">
        <v>44559</v>
      </c>
      <c r="F40" s="68" t="s">
        <v>58</v>
      </c>
      <c r="G40" s="12">
        <v>44565</v>
      </c>
      <c r="H40" s="69" t="s">
        <v>5561</v>
      </c>
      <c r="I40" s="15">
        <v>113</v>
      </c>
      <c r="J40" s="15">
        <v>103</v>
      </c>
      <c r="K40" s="15">
        <v>33</v>
      </c>
      <c r="L40" s="15">
        <v>39</v>
      </c>
      <c r="M40" s="73">
        <v>96.021749999999997</v>
      </c>
      <c r="N40" s="104">
        <v>96.021749999999997</v>
      </c>
      <c r="O40" s="57">
        <v>7000</v>
      </c>
      <c r="P40" s="58">
        <f t="shared" si="0"/>
        <v>672152.25</v>
      </c>
    </row>
    <row r="41" spans="1:16" ht="26.25" customHeight="1" x14ac:dyDescent="0.2">
      <c r="A41" s="100"/>
      <c r="B41" s="100"/>
      <c r="C41" s="65" t="s">
        <v>5677</v>
      </c>
      <c r="D41" s="70" t="s">
        <v>57</v>
      </c>
      <c r="E41" s="12">
        <v>44559</v>
      </c>
      <c r="F41" s="68" t="s">
        <v>58</v>
      </c>
      <c r="G41" s="12">
        <v>44565</v>
      </c>
      <c r="H41" s="69" t="s">
        <v>5561</v>
      </c>
      <c r="I41" s="15">
        <v>90</v>
      </c>
      <c r="J41" s="15">
        <v>16</v>
      </c>
      <c r="K41" s="15">
        <v>16</v>
      </c>
      <c r="L41" s="15">
        <v>5</v>
      </c>
      <c r="M41" s="73">
        <v>5.76</v>
      </c>
      <c r="N41" s="104">
        <v>5.76</v>
      </c>
      <c r="O41" s="57">
        <v>7000</v>
      </c>
      <c r="P41" s="58">
        <f t="shared" si="0"/>
        <v>40320</v>
      </c>
    </row>
    <row r="42" spans="1:16" ht="26.25" customHeight="1" x14ac:dyDescent="0.2">
      <c r="A42" s="100"/>
      <c r="B42" s="100"/>
      <c r="C42" s="65" t="s">
        <v>5678</v>
      </c>
      <c r="D42" s="70" t="s">
        <v>57</v>
      </c>
      <c r="E42" s="12">
        <v>44559</v>
      </c>
      <c r="F42" s="68" t="s">
        <v>58</v>
      </c>
      <c r="G42" s="12">
        <v>44565</v>
      </c>
      <c r="H42" s="69" t="s">
        <v>5561</v>
      </c>
      <c r="I42" s="15">
        <v>35</v>
      </c>
      <c r="J42" s="15">
        <v>30</v>
      </c>
      <c r="K42" s="15">
        <v>30</v>
      </c>
      <c r="L42" s="15">
        <v>4</v>
      </c>
      <c r="M42" s="73">
        <v>7.875</v>
      </c>
      <c r="N42" s="104">
        <v>7.875</v>
      </c>
      <c r="O42" s="57">
        <v>7000</v>
      </c>
      <c r="P42" s="58">
        <f t="shared" si="0"/>
        <v>55125</v>
      </c>
    </row>
    <row r="43" spans="1:16" ht="26.25" customHeight="1" x14ac:dyDescent="0.2">
      <c r="A43" s="100"/>
      <c r="B43" s="100"/>
      <c r="C43" s="65" t="s">
        <v>5679</v>
      </c>
      <c r="D43" s="70" t="s">
        <v>57</v>
      </c>
      <c r="E43" s="12">
        <v>44559</v>
      </c>
      <c r="F43" s="68" t="s">
        <v>58</v>
      </c>
      <c r="G43" s="12">
        <v>44565</v>
      </c>
      <c r="H43" s="69" t="s">
        <v>5561</v>
      </c>
      <c r="I43" s="15">
        <v>60</v>
      </c>
      <c r="J43" s="15">
        <v>33</v>
      </c>
      <c r="K43" s="15">
        <v>33</v>
      </c>
      <c r="L43" s="15">
        <v>4</v>
      </c>
      <c r="M43" s="73">
        <v>16.335000000000001</v>
      </c>
      <c r="N43" s="104">
        <v>17</v>
      </c>
      <c r="O43" s="57">
        <v>7000</v>
      </c>
      <c r="P43" s="58">
        <f t="shared" si="0"/>
        <v>119000</v>
      </c>
    </row>
    <row r="44" spans="1:16" ht="26.25" customHeight="1" x14ac:dyDescent="0.2">
      <c r="A44" s="100"/>
      <c r="B44" s="100"/>
      <c r="C44" s="65" t="s">
        <v>5680</v>
      </c>
      <c r="D44" s="70" t="s">
        <v>57</v>
      </c>
      <c r="E44" s="12">
        <v>44559</v>
      </c>
      <c r="F44" s="68" t="s">
        <v>58</v>
      </c>
      <c r="G44" s="12">
        <v>44565</v>
      </c>
      <c r="H44" s="69" t="s">
        <v>5561</v>
      </c>
      <c r="I44" s="15">
        <v>98</v>
      </c>
      <c r="J44" s="15">
        <v>65</v>
      </c>
      <c r="K44" s="15">
        <v>33</v>
      </c>
      <c r="L44" s="15">
        <v>15</v>
      </c>
      <c r="M44" s="73">
        <v>52.552500000000002</v>
      </c>
      <c r="N44" s="104">
        <v>52.552500000000002</v>
      </c>
      <c r="O44" s="57">
        <v>7000</v>
      </c>
      <c r="P44" s="58">
        <f t="shared" si="0"/>
        <v>367867.5</v>
      </c>
    </row>
    <row r="45" spans="1:16" ht="26.25" customHeight="1" x14ac:dyDescent="0.2">
      <c r="A45" s="100"/>
      <c r="B45" s="100"/>
      <c r="C45" s="65" t="s">
        <v>5681</v>
      </c>
      <c r="D45" s="70" t="s">
        <v>57</v>
      </c>
      <c r="E45" s="12">
        <v>44559</v>
      </c>
      <c r="F45" s="68" t="s">
        <v>58</v>
      </c>
      <c r="G45" s="12">
        <v>44565</v>
      </c>
      <c r="H45" s="69" t="s">
        <v>5561</v>
      </c>
      <c r="I45" s="15">
        <v>62</v>
      </c>
      <c r="J45" s="15">
        <v>55</v>
      </c>
      <c r="K45" s="15">
        <v>15</v>
      </c>
      <c r="L45" s="15">
        <v>10</v>
      </c>
      <c r="M45" s="73">
        <v>12.7875</v>
      </c>
      <c r="N45" s="104">
        <v>12.7875</v>
      </c>
      <c r="O45" s="57">
        <v>7000</v>
      </c>
      <c r="P45" s="58">
        <f t="shared" si="0"/>
        <v>89512.5</v>
      </c>
    </row>
    <row r="46" spans="1:16" ht="26.25" customHeight="1" x14ac:dyDescent="0.2">
      <c r="A46" s="100"/>
      <c r="B46" s="100"/>
      <c r="C46" s="65" t="s">
        <v>5682</v>
      </c>
      <c r="D46" s="70" t="s">
        <v>57</v>
      </c>
      <c r="E46" s="12">
        <v>44559</v>
      </c>
      <c r="F46" s="68" t="s">
        <v>58</v>
      </c>
      <c r="G46" s="12">
        <v>44565</v>
      </c>
      <c r="H46" s="69" t="s">
        <v>5561</v>
      </c>
      <c r="I46" s="15">
        <v>112</v>
      </c>
      <c r="J46" s="15">
        <v>66</v>
      </c>
      <c r="K46" s="15">
        <v>30</v>
      </c>
      <c r="L46" s="15">
        <v>28</v>
      </c>
      <c r="M46" s="73">
        <v>55.44</v>
      </c>
      <c r="N46" s="104">
        <v>56</v>
      </c>
      <c r="O46" s="57">
        <v>7000</v>
      </c>
      <c r="P46" s="58">
        <f t="shared" si="0"/>
        <v>392000</v>
      </c>
    </row>
    <row r="47" spans="1:16" ht="26.25" customHeight="1" x14ac:dyDescent="0.2">
      <c r="A47" s="100"/>
      <c r="B47" s="100"/>
      <c r="C47" s="65" t="s">
        <v>5683</v>
      </c>
      <c r="D47" s="70" t="s">
        <v>57</v>
      </c>
      <c r="E47" s="12">
        <v>44559</v>
      </c>
      <c r="F47" s="68" t="s">
        <v>58</v>
      </c>
      <c r="G47" s="12">
        <v>44565</v>
      </c>
      <c r="H47" s="69" t="s">
        <v>5561</v>
      </c>
      <c r="I47" s="15">
        <v>56</v>
      </c>
      <c r="J47" s="15">
        <v>36</v>
      </c>
      <c r="K47" s="15">
        <v>36</v>
      </c>
      <c r="L47" s="15">
        <v>4</v>
      </c>
      <c r="M47" s="73">
        <v>18.143999999999998</v>
      </c>
      <c r="N47" s="104">
        <v>18.143999999999998</v>
      </c>
      <c r="O47" s="57">
        <v>7000</v>
      </c>
      <c r="P47" s="58">
        <f t="shared" si="0"/>
        <v>127007.99999999999</v>
      </c>
    </row>
    <row r="48" spans="1:16" ht="26.25" customHeight="1" x14ac:dyDescent="0.2">
      <c r="A48" s="100"/>
      <c r="B48" s="100"/>
      <c r="C48" s="65" t="s">
        <v>5684</v>
      </c>
      <c r="D48" s="70" t="s">
        <v>57</v>
      </c>
      <c r="E48" s="12">
        <v>44559</v>
      </c>
      <c r="F48" s="68" t="s">
        <v>58</v>
      </c>
      <c r="G48" s="12">
        <v>44565</v>
      </c>
      <c r="H48" s="69" t="s">
        <v>5561</v>
      </c>
      <c r="I48" s="15">
        <v>95</v>
      </c>
      <c r="J48" s="15">
        <v>12</v>
      </c>
      <c r="K48" s="15">
        <v>12</v>
      </c>
      <c r="L48" s="15">
        <v>1</v>
      </c>
      <c r="M48" s="73">
        <v>3.42</v>
      </c>
      <c r="N48" s="104">
        <v>4</v>
      </c>
      <c r="O48" s="57">
        <v>7000</v>
      </c>
      <c r="P48" s="58">
        <f t="shared" si="0"/>
        <v>28000</v>
      </c>
    </row>
    <row r="49" spans="1:16" ht="26.25" customHeight="1" x14ac:dyDescent="0.2">
      <c r="A49" s="100"/>
      <c r="B49" s="100"/>
      <c r="C49" s="65" t="s">
        <v>5685</v>
      </c>
      <c r="D49" s="70" t="s">
        <v>57</v>
      </c>
      <c r="E49" s="12">
        <v>44559</v>
      </c>
      <c r="F49" s="68" t="s">
        <v>58</v>
      </c>
      <c r="G49" s="12">
        <v>44565</v>
      </c>
      <c r="H49" s="69" t="s">
        <v>5561</v>
      </c>
      <c r="I49" s="15">
        <v>72</v>
      </c>
      <c r="J49" s="15">
        <v>25</v>
      </c>
      <c r="K49" s="15">
        <v>34</v>
      </c>
      <c r="L49" s="15">
        <v>8</v>
      </c>
      <c r="M49" s="73">
        <v>15.3</v>
      </c>
      <c r="N49" s="104">
        <v>16</v>
      </c>
      <c r="O49" s="57">
        <v>7000</v>
      </c>
      <c r="P49" s="58">
        <f t="shared" si="0"/>
        <v>112000</v>
      </c>
    </row>
    <row r="50" spans="1:16" ht="26.25" customHeight="1" x14ac:dyDescent="0.2">
      <c r="A50" s="100"/>
      <c r="B50" s="100"/>
      <c r="C50" s="65" t="s">
        <v>5686</v>
      </c>
      <c r="D50" s="70" t="s">
        <v>57</v>
      </c>
      <c r="E50" s="12">
        <v>44559</v>
      </c>
      <c r="F50" s="68" t="s">
        <v>58</v>
      </c>
      <c r="G50" s="12">
        <v>44565</v>
      </c>
      <c r="H50" s="69" t="s">
        <v>5561</v>
      </c>
      <c r="I50" s="15">
        <v>103</v>
      </c>
      <c r="J50" s="15">
        <v>32</v>
      </c>
      <c r="K50" s="15">
        <v>30</v>
      </c>
      <c r="L50" s="15">
        <v>13</v>
      </c>
      <c r="M50" s="73">
        <v>24.72</v>
      </c>
      <c r="N50" s="104">
        <v>24.72</v>
      </c>
      <c r="O50" s="57">
        <v>7000</v>
      </c>
      <c r="P50" s="58">
        <f t="shared" si="0"/>
        <v>173040</v>
      </c>
    </row>
    <row r="51" spans="1:16" ht="26.25" customHeight="1" x14ac:dyDescent="0.2">
      <c r="A51" s="100"/>
      <c r="B51" s="100"/>
      <c r="C51" s="65" t="s">
        <v>5687</v>
      </c>
      <c r="D51" s="70" t="s">
        <v>57</v>
      </c>
      <c r="E51" s="12">
        <v>44559</v>
      </c>
      <c r="F51" s="68" t="s">
        <v>58</v>
      </c>
      <c r="G51" s="12">
        <v>44565</v>
      </c>
      <c r="H51" s="69" t="s">
        <v>5561</v>
      </c>
      <c r="I51" s="15">
        <v>90</v>
      </c>
      <c r="J51" s="15">
        <v>60</v>
      </c>
      <c r="K51" s="15">
        <v>33</v>
      </c>
      <c r="L51" s="15">
        <v>18</v>
      </c>
      <c r="M51" s="73">
        <v>44.55</v>
      </c>
      <c r="N51" s="104">
        <v>44.55</v>
      </c>
      <c r="O51" s="57">
        <v>7000</v>
      </c>
      <c r="P51" s="58">
        <f t="shared" si="0"/>
        <v>311850</v>
      </c>
    </row>
    <row r="52" spans="1:16" ht="26.25" customHeight="1" x14ac:dyDescent="0.2">
      <c r="A52" s="100"/>
      <c r="B52" s="100"/>
      <c r="C52" s="65" t="s">
        <v>5688</v>
      </c>
      <c r="D52" s="70" t="s">
        <v>57</v>
      </c>
      <c r="E52" s="12">
        <v>44559</v>
      </c>
      <c r="F52" s="68" t="s">
        <v>58</v>
      </c>
      <c r="G52" s="12">
        <v>44565</v>
      </c>
      <c r="H52" s="69" t="s">
        <v>5561</v>
      </c>
      <c r="I52" s="15">
        <v>76</v>
      </c>
      <c r="J52" s="15">
        <v>21</v>
      </c>
      <c r="K52" s="15">
        <v>21</v>
      </c>
      <c r="L52" s="15">
        <v>16</v>
      </c>
      <c r="M52" s="73">
        <v>8.3789999999999996</v>
      </c>
      <c r="N52" s="104">
        <v>16</v>
      </c>
      <c r="O52" s="57">
        <v>7000</v>
      </c>
      <c r="P52" s="58">
        <f t="shared" si="0"/>
        <v>112000</v>
      </c>
    </row>
    <row r="53" spans="1:16" ht="26.25" customHeight="1" x14ac:dyDescent="0.2">
      <c r="A53" s="100"/>
      <c r="B53" s="100"/>
      <c r="C53" s="65" t="s">
        <v>5689</v>
      </c>
      <c r="D53" s="70" t="s">
        <v>57</v>
      </c>
      <c r="E53" s="12">
        <v>44559</v>
      </c>
      <c r="F53" s="68" t="s">
        <v>58</v>
      </c>
      <c r="G53" s="12">
        <v>44565</v>
      </c>
      <c r="H53" s="69" t="s">
        <v>5561</v>
      </c>
      <c r="I53" s="15">
        <v>45</v>
      </c>
      <c r="J53" s="15">
        <v>45</v>
      </c>
      <c r="K53" s="15">
        <v>30</v>
      </c>
      <c r="L53" s="15">
        <v>15</v>
      </c>
      <c r="M53" s="73">
        <v>15.1875</v>
      </c>
      <c r="N53" s="104">
        <v>15.1875</v>
      </c>
      <c r="O53" s="57">
        <v>7000</v>
      </c>
      <c r="P53" s="58">
        <f t="shared" si="0"/>
        <v>106312.5</v>
      </c>
    </row>
    <row r="54" spans="1:16" ht="26.25" customHeight="1" x14ac:dyDescent="0.2">
      <c r="A54" s="100"/>
      <c r="B54" s="100"/>
      <c r="C54" s="65" t="s">
        <v>5690</v>
      </c>
      <c r="D54" s="70" t="s">
        <v>57</v>
      </c>
      <c r="E54" s="12">
        <v>44559</v>
      </c>
      <c r="F54" s="68" t="s">
        <v>58</v>
      </c>
      <c r="G54" s="12">
        <v>44565</v>
      </c>
      <c r="H54" s="69" t="s">
        <v>5561</v>
      </c>
      <c r="I54" s="15">
        <v>43</v>
      </c>
      <c r="J54" s="15">
        <v>33</v>
      </c>
      <c r="K54" s="15">
        <v>25</v>
      </c>
      <c r="L54" s="15">
        <v>9</v>
      </c>
      <c r="M54" s="73">
        <v>8.8687500000000004</v>
      </c>
      <c r="N54" s="104">
        <v>9</v>
      </c>
      <c r="O54" s="57">
        <v>7000</v>
      </c>
      <c r="P54" s="58">
        <f t="shared" si="0"/>
        <v>63000</v>
      </c>
    </row>
    <row r="55" spans="1:16" ht="26.25" customHeight="1" x14ac:dyDescent="0.2">
      <c r="A55" s="100"/>
      <c r="B55" s="100"/>
      <c r="C55" s="65" t="s">
        <v>5691</v>
      </c>
      <c r="D55" s="70" t="s">
        <v>57</v>
      </c>
      <c r="E55" s="12">
        <v>44559</v>
      </c>
      <c r="F55" s="68" t="s">
        <v>58</v>
      </c>
      <c r="G55" s="12">
        <v>44565</v>
      </c>
      <c r="H55" s="69" t="s">
        <v>5561</v>
      </c>
      <c r="I55" s="15">
        <v>55</v>
      </c>
      <c r="J55" s="15">
        <v>47</v>
      </c>
      <c r="K55" s="15">
        <v>33</v>
      </c>
      <c r="L55" s="15">
        <v>10</v>
      </c>
      <c r="M55" s="73">
        <v>21.326250000000002</v>
      </c>
      <c r="N55" s="104">
        <v>22</v>
      </c>
      <c r="O55" s="57">
        <v>7000</v>
      </c>
      <c r="P55" s="58">
        <f t="shared" si="0"/>
        <v>154000</v>
      </c>
    </row>
    <row r="56" spans="1:16" ht="26.25" customHeight="1" x14ac:dyDescent="0.2">
      <c r="A56" s="100"/>
      <c r="B56" s="100"/>
      <c r="C56" s="65" t="s">
        <v>5692</v>
      </c>
      <c r="D56" s="70" t="s">
        <v>57</v>
      </c>
      <c r="E56" s="12">
        <v>44559</v>
      </c>
      <c r="F56" s="68" t="s">
        <v>58</v>
      </c>
      <c r="G56" s="12">
        <v>44565</v>
      </c>
      <c r="H56" s="69" t="s">
        <v>5561</v>
      </c>
      <c r="I56" s="15">
        <v>55</v>
      </c>
      <c r="J56" s="15">
        <v>50</v>
      </c>
      <c r="K56" s="15">
        <v>31</v>
      </c>
      <c r="L56" s="15">
        <v>6</v>
      </c>
      <c r="M56" s="73">
        <v>21.3125</v>
      </c>
      <c r="N56" s="104">
        <v>22</v>
      </c>
      <c r="O56" s="57">
        <v>7000</v>
      </c>
      <c r="P56" s="58">
        <f t="shared" si="0"/>
        <v>154000</v>
      </c>
    </row>
    <row r="57" spans="1:16" ht="26.25" customHeight="1" x14ac:dyDescent="0.2">
      <c r="A57" s="100"/>
      <c r="B57" s="100"/>
      <c r="C57" s="65" t="s">
        <v>5693</v>
      </c>
      <c r="D57" s="70" t="s">
        <v>57</v>
      </c>
      <c r="E57" s="12">
        <v>44559</v>
      </c>
      <c r="F57" s="68" t="s">
        <v>58</v>
      </c>
      <c r="G57" s="12">
        <v>44565</v>
      </c>
      <c r="H57" s="69" t="s">
        <v>5561</v>
      </c>
      <c r="I57" s="15">
        <v>97</v>
      </c>
      <c r="J57" s="15">
        <v>62</v>
      </c>
      <c r="K57" s="15">
        <v>22</v>
      </c>
      <c r="L57" s="15">
        <v>14</v>
      </c>
      <c r="M57" s="73">
        <v>33.076999999999998</v>
      </c>
      <c r="N57" s="104">
        <v>33.076999999999998</v>
      </c>
      <c r="O57" s="57">
        <v>7000</v>
      </c>
      <c r="P57" s="58">
        <f t="shared" si="0"/>
        <v>231539</v>
      </c>
    </row>
    <row r="58" spans="1:16" ht="26.25" customHeight="1" x14ac:dyDescent="0.2">
      <c r="A58" s="100"/>
      <c r="B58" s="100"/>
      <c r="C58" s="65" t="s">
        <v>5694</v>
      </c>
      <c r="D58" s="70" t="s">
        <v>57</v>
      </c>
      <c r="E58" s="12">
        <v>44559</v>
      </c>
      <c r="F58" s="68" t="s">
        <v>58</v>
      </c>
      <c r="G58" s="12">
        <v>44565</v>
      </c>
      <c r="H58" s="69" t="s">
        <v>5561</v>
      </c>
      <c r="I58" s="15">
        <v>75</v>
      </c>
      <c r="J58" s="15">
        <v>58</v>
      </c>
      <c r="K58" s="15">
        <v>32</v>
      </c>
      <c r="L58" s="15">
        <v>8</v>
      </c>
      <c r="M58" s="73">
        <v>34.799999999999997</v>
      </c>
      <c r="N58" s="104">
        <v>34.799999999999997</v>
      </c>
      <c r="O58" s="57">
        <v>7000</v>
      </c>
      <c r="P58" s="58">
        <f t="shared" si="0"/>
        <v>243599.99999999997</v>
      </c>
    </row>
    <row r="59" spans="1:16" ht="26.25" customHeight="1" x14ac:dyDescent="0.2">
      <c r="A59" s="100"/>
      <c r="B59" s="100"/>
      <c r="C59" s="65" t="s">
        <v>5695</v>
      </c>
      <c r="D59" s="70" t="s">
        <v>57</v>
      </c>
      <c r="E59" s="12">
        <v>44559</v>
      </c>
      <c r="F59" s="68" t="s">
        <v>58</v>
      </c>
      <c r="G59" s="12">
        <v>44565</v>
      </c>
      <c r="H59" s="69" t="s">
        <v>5561</v>
      </c>
      <c r="I59" s="15">
        <v>98</v>
      </c>
      <c r="J59" s="15">
        <v>57</v>
      </c>
      <c r="K59" s="15">
        <v>27</v>
      </c>
      <c r="L59" s="15">
        <v>27</v>
      </c>
      <c r="M59" s="73">
        <v>37.705500000000001</v>
      </c>
      <c r="N59" s="104">
        <v>37.705500000000001</v>
      </c>
      <c r="O59" s="57">
        <v>7000</v>
      </c>
      <c r="P59" s="58">
        <f t="shared" si="0"/>
        <v>263938.5</v>
      </c>
    </row>
    <row r="60" spans="1:16" ht="26.25" customHeight="1" x14ac:dyDescent="0.2">
      <c r="A60" s="100"/>
      <c r="B60" s="100"/>
      <c r="C60" s="65" t="s">
        <v>5696</v>
      </c>
      <c r="D60" s="70" t="s">
        <v>57</v>
      </c>
      <c r="E60" s="12">
        <v>44559</v>
      </c>
      <c r="F60" s="68" t="s">
        <v>58</v>
      </c>
      <c r="G60" s="12">
        <v>44565</v>
      </c>
      <c r="H60" s="69" t="s">
        <v>5561</v>
      </c>
      <c r="I60" s="15">
        <v>67</v>
      </c>
      <c r="J60" s="15">
        <v>50</v>
      </c>
      <c r="K60" s="15">
        <v>22</v>
      </c>
      <c r="L60" s="15">
        <v>10</v>
      </c>
      <c r="M60" s="73">
        <v>18.425000000000001</v>
      </c>
      <c r="N60" s="104">
        <v>19</v>
      </c>
      <c r="O60" s="57">
        <v>7000</v>
      </c>
      <c r="P60" s="58">
        <f t="shared" si="0"/>
        <v>133000</v>
      </c>
    </row>
    <row r="61" spans="1:16" ht="26.25" customHeight="1" x14ac:dyDescent="0.2">
      <c r="A61" s="100"/>
      <c r="B61" s="100"/>
      <c r="C61" s="65" t="s">
        <v>5697</v>
      </c>
      <c r="D61" s="70" t="s">
        <v>57</v>
      </c>
      <c r="E61" s="12">
        <v>44559</v>
      </c>
      <c r="F61" s="68" t="s">
        <v>58</v>
      </c>
      <c r="G61" s="12">
        <v>44565</v>
      </c>
      <c r="H61" s="69" t="s">
        <v>5561</v>
      </c>
      <c r="I61" s="15">
        <v>74</v>
      </c>
      <c r="J61" s="15">
        <v>60</v>
      </c>
      <c r="K61" s="15">
        <v>21</v>
      </c>
      <c r="L61" s="15">
        <v>6</v>
      </c>
      <c r="M61" s="73">
        <v>23.31</v>
      </c>
      <c r="N61" s="104">
        <v>24</v>
      </c>
      <c r="O61" s="57">
        <v>7000</v>
      </c>
      <c r="P61" s="58">
        <f t="shared" si="0"/>
        <v>168000</v>
      </c>
    </row>
    <row r="62" spans="1:16" ht="26.25" customHeight="1" x14ac:dyDescent="0.2">
      <c r="A62" s="100"/>
      <c r="B62" s="100"/>
      <c r="C62" s="65" t="s">
        <v>5698</v>
      </c>
      <c r="D62" s="70" t="s">
        <v>57</v>
      </c>
      <c r="E62" s="12">
        <v>44559</v>
      </c>
      <c r="F62" s="68" t="s">
        <v>58</v>
      </c>
      <c r="G62" s="12">
        <v>44565</v>
      </c>
      <c r="H62" s="69" t="s">
        <v>5561</v>
      </c>
      <c r="I62" s="15">
        <v>98</v>
      </c>
      <c r="J62" s="15">
        <v>65</v>
      </c>
      <c r="K62" s="15">
        <v>31</v>
      </c>
      <c r="L62" s="15">
        <v>20</v>
      </c>
      <c r="M62" s="73">
        <v>49.3675</v>
      </c>
      <c r="N62" s="104">
        <v>50</v>
      </c>
      <c r="O62" s="57">
        <v>7000</v>
      </c>
      <c r="P62" s="58">
        <f t="shared" si="0"/>
        <v>350000</v>
      </c>
    </row>
    <row r="63" spans="1:16" ht="26.25" customHeight="1" x14ac:dyDescent="0.2">
      <c r="A63" s="100"/>
      <c r="B63" s="100"/>
      <c r="C63" s="65" t="s">
        <v>5699</v>
      </c>
      <c r="D63" s="70" t="s">
        <v>57</v>
      </c>
      <c r="E63" s="12">
        <v>44559</v>
      </c>
      <c r="F63" s="68" t="s">
        <v>58</v>
      </c>
      <c r="G63" s="12">
        <v>44565</v>
      </c>
      <c r="H63" s="69" t="s">
        <v>5561</v>
      </c>
      <c r="I63" s="15">
        <v>98</v>
      </c>
      <c r="J63" s="15">
        <v>65</v>
      </c>
      <c r="K63" s="15">
        <v>31</v>
      </c>
      <c r="L63" s="15">
        <v>18</v>
      </c>
      <c r="M63" s="73">
        <v>49.3675</v>
      </c>
      <c r="N63" s="104">
        <v>50</v>
      </c>
      <c r="O63" s="57">
        <v>7000</v>
      </c>
      <c r="P63" s="58">
        <f t="shared" si="0"/>
        <v>350000</v>
      </c>
    </row>
    <row r="64" spans="1:16" ht="26.25" customHeight="1" x14ac:dyDescent="0.2">
      <c r="A64" s="100"/>
      <c r="B64" s="100"/>
      <c r="C64" s="65" t="s">
        <v>5700</v>
      </c>
      <c r="D64" s="70" t="s">
        <v>57</v>
      </c>
      <c r="E64" s="12">
        <v>44559</v>
      </c>
      <c r="F64" s="68" t="s">
        <v>58</v>
      </c>
      <c r="G64" s="12">
        <v>44565</v>
      </c>
      <c r="H64" s="69" t="s">
        <v>5561</v>
      </c>
      <c r="I64" s="15">
        <v>47</v>
      </c>
      <c r="J64" s="15">
        <v>40</v>
      </c>
      <c r="K64" s="15">
        <v>37</v>
      </c>
      <c r="L64" s="15">
        <v>1</v>
      </c>
      <c r="M64" s="73">
        <v>17.39</v>
      </c>
      <c r="N64" s="104">
        <v>18</v>
      </c>
      <c r="O64" s="57">
        <v>7000</v>
      </c>
      <c r="P64" s="58">
        <f t="shared" si="0"/>
        <v>126000</v>
      </c>
    </row>
    <row r="65" spans="1:16" ht="26.25" customHeight="1" x14ac:dyDescent="0.2">
      <c r="A65" s="100"/>
      <c r="B65" s="100"/>
      <c r="C65" s="65" t="s">
        <v>5701</v>
      </c>
      <c r="D65" s="70" t="s">
        <v>57</v>
      </c>
      <c r="E65" s="12">
        <v>44559</v>
      </c>
      <c r="F65" s="68" t="s">
        <v>58</v>
      </c>
      <c r="G65" s="12">
        <v>44565</v>
      </c>
      <c r="H65" s="69" t="s">
        <v>5561</v>
      </c>
      <c r="I65" s="15">
        <v>68</v>
      </c>
      <c r="J65" s="15">
        <v>25</v>
      </c>
      <c r="K65" s="15">
        <v>21</v>
      </c>
      <c r="L65" s="15">
        <v>6</v>
      </c>
      <c r="M65" s="73">
        <v>8.9250000000000007</v>
      </c>
      <c r="N65" s="104">
        <v>8.9250000000000007</v>
      </c>
      <c r="O65" s="57">
        <v>7000</v>
      </c>
      <c r="P65" s="58">
        <f t="shared" si="0"/>
        <v>62475.000000000007</v>
      </c>
    </row>
    <row r="66" spans="1:16" ht="26.25" customHeight="1" x14ac:dyDescent="0.2">
      <c r="A66" s="100"/>
      <c r="B66" s="100"/>
      <c r="C66" s="65" t="s">
        <v>5702</v>
      </c>
      <c r="D66" s="70" t="s">
        <v>57</v>
      </c>
      <c r="E66" s="12">
        <v>44559</v>
      </c>
      <c r="F66" s="68" t="s">
        <v>58</v>
      </c>
      <c r="G66" s="12">
        <v>44565</v>
      </c>
      <c r="H66" s="69" t="s">
        <v>5561</v>
      </c>
      <c r="I66" s="15">
        <v>35</v>
      </c>
      <c r="J66" s="15">
        <v>25</v>
      </c>
      <c r="K66" s="15">
        <v>10</v>
      </c>
      <c r="L66" s="15">
        <v>1</v>
      </c>
      <c r="M66" s="73">
        <v>2.1875</v>
      </c>
      <c r="N66" s="104">
        <v>2.1875</v>
      </c>
      <c r="O66" s="57">
        <v>7000</v>
      </c>
      <c r="P66" s="58">
        <f t="shared" si="0"/>
        <v>15312.5</v>
      </c>
    </row>
    <row r="67" spans="1:16" ht="26.25" customHeight="1" x14ac:dyDescent="0.2">
      <c r="A67" s="100"/>
      <c r="B67" s="100"/>
      <c r="C67" s="65" t="s">
        <v>5703</v>
      </c>
      <c r="D67" s="70" t="s">
        <v>57</v>
      </c>
      <c r="E67" s="12">
        <v>44559</v>
      </c>
      <c r="F67" s="68" t="s">
        <v>58</v>
      </c>
      <c r="G67" s="12">
        <v>44565</v>
      </c>
      <c r="H67" s="69" t="s">
        <v>5561</v>
      </c>
      <c r="I67" s="15">
        <v>42</v>
      </c>
      <c r="J67" s="15">
        <v>28</v>
      </c>
      <c r="K67" s="15">
        <v>28</v>
      </c>
      <c r="L67" s="15">
        <v>5</v>
      </c>
      <c r="M67" s="73">
        <v>8.2319999999999993</v>
      </c>
      <c r="N67" s="104">
        <v>8.2319999999999993</v>
      </c>
      <c r="O67" s="57">
        <v>7000</v>
      </c>
      <c r="P67" s="58">
        <f t="shared" ref="P67:P129" si="1">N67*O67</f>
        <v>57623.999999999993</v>
      </c>
    </row>
    <row r="68" spans="1:16" ht="26.25" customHeight="1" x14ac:dyDescent="0.2">
      <c r="A68" s="100"/>
      <c r="B68" s="100"/>
      <c r="C68" s="65" t="s">
        <v>5704</v>
      </c>
      <c r="D68" s="70" t="s">
        <v>57</v>
      </c>
      <c r="E68" s="12">
        <v>44559</v>
      </c>
      <c r="F68" s="68" t="s">
        <v>58</v>
      </c>
      <c r="G68" s="12">
        <v>44565</v>
      </c>
      <c r="H68" s="69" t="s">
        <v>5561</v>
      </c>
      <c r="I68" s="15">
        <v>67</v>
      </c>
      <c r="J68" s="15">
        <v>36</v>
      </c>
      <c r="K68" s="15">
        <v>28</v>
      </c>
      <c r="L68" s="15">
        <v>8</v>
      </c>
      <c r="M68" s="73">
        <v>16.884</v>
      </c>
      <c r="N68" s="104">
        <v>16.884</v>
      </c>
      <c r="O68" s="57">
        <v>7000</v>
      </c>
      <c r="P68" s="58">
        <f t="shared" si="1"/>
        <v>118188</v>
      </c>
    </row>
    <row r="69" spans="1:16" ht="26.25" customHeight="1" x14ac:dyDescent="0.2">
      <c r="A69" s="100"/>
      <c r="B69" s="100"/>
      <c r="C69" s="65" t="s">
        <v>5705</v>
      </c>
      <c r="D69" s="70" t="s">
        <v>57</v>
      </c>
      <c r="E69" s="12">
        <v>44559</v>
      </c>
      <c r="F69" s="68" t="s">
        <v>58</v>
      </c>
      <c r="G69" s="12">
        <v>44565</v>
      </c>
      <c r="H69" s="69" t="s">
        <v>5561</v>
      </c>
      <c r="I69" s="15">
        <v>47</v>
      </c>
      <c r="J69" s="15">
        <v>33</v>
      </c>
      <c r="K69" s="15">
        <v>26</v>
      </c>
      <c r="L69" s="15">
        <v>3</v>
      </c>
      <c r="M69" s="73">
        <v>10.0815</v>
      </c>
      <c r="N69" s="104">
        <v>10.0815</v>
      </c>
      <c r="O69" s="57">
        <v>7000</v>
      </c>
      <c r="P69" s="58">
        <f t="shared" si="1"/>
        <v>70570.5</v>
      </c>
    </row>
    <row r="70" spans="1:16" ht="26.25" customHeight="1" x14ac:dyDescent="0.2">
      <c r="A70" s="100"/>
      <c r="B70" s="100"/>
      <c r="C70" s="65" t="s">
        <v>5706</v>
      </c>
      <c r="D70" s="70" t="s">
        <v>57</v>
      </c>
      <c r="E70" s="12">
        <v>44559</v>
      </c>
      <c r="F70" s="68" t="s">
        <v>58</v>
      </c>
      <c r="G70" s="12">
        <v>44565</v>
      </c>
      <c r="H70" s="69" t="s">
        <v>5561</v>
      </c>
      <c r="I70" s="15">
        <v>46</v>
      </c>
      <c r="J70" s="15">
        <v>33</v>
      </c>
      <c r="K70" s="15">
        <v>22</v>
      </c>
      <c r="L70" s="15">
        <v>7</v>
      </c>
      <c r="M70" s="73">
        <v>8.3490000000000002</v>
      </c>
      <c r="N70" s="104">
        <v>9</v>
      </c>
      <c r="O70" s="57">
        <v>7000</v>
      </c>
      <c r="P70" s="58">
        <f t="shared" si="1"/>
        <v>63000</v>
      </c>
    </row>
    <row r="71" spans="1:16" ht="26.25" customHeight="1" x14ac:dyDescent="0.2">
      <c r="A71" s="100"/>
      <c r="B71" s="100"/>
      <c r="C71" s="65" t="s">
        <v>5707</v>
      </c>
      <c r="D71" s="70" t="s">
        <v>57</v>
      </c>
      <c r="E71" s="12">
        <v>44559</v>
      </c>
      <c r="F71" s="68" t="s">
        <v>58</v>
      </c>
      <c r="G71" s="12">
        <v>44565</v>
      </c>
      <c r="H71" s="69" t="s">
        <v>5561</v>
      </c>
      <c r="I71" s="15">
        <v>100</v>
      </c>
      <c r="J71" s="15">
        <v>28</v>
      </c>
      <c r="K71" s="15">
        <v>30</v>
      </c>
      <c r="L71" s="15">
        <v>13</v>
      </c>
      <c r="M71" s="73">
        <v>21</v>
      </c>
      <c r="N71" s="104">
        <v>21</v>
      </c>
      <c r="O71" s="57">
        <v>7000</v>
      </c>
      <c r="P71" s="58">
        <f t="shared" si="1"/>
        <v>147000</v>
      </c>
    </row>
    <row r="72" spans="1:16" ht="26.25" customHeight="1" x14ac:dyDescent="0.2">
      <c r="A72" s="100"/>
      <c r="B72" s="100"/>
      <c r="C72" s="65" t="s">
        <v>5708</v>
      </c>
      <c r="D72" s="70" t="s">
        <v>57</v>
      </c>
      <c r="E72" s="12">
        <v>44559</v>
      </c>
      <c r="F72" s="68" t="s">
        <v>58</v>
      </c>
      <c r="G72" s="12">
        <v>44565</v>
      </c>
      <c r="H72" s="69" t="s">
        <v>5561</v>
      </c>
      <c r="I72" s="15">
        <v>50</v>
      </c>
      <c r="J72" s="15">
        <v>50</v>
      </c>
      <c r="K72" s="15">
        <v>21</v>
      </c>
      <c r="L72" s="15">
        <v>9</v>
      </c>
      <c r="M72" s="73">
        <v>13.125</v>
      </c>
      <c r="N72" s="104">
        <v>13.125</v>
      </c>
      <c r="O72" s="57">
        <v>7000</v>
      </c>
      <c r="P72" s="58">
        <f t="shared" si="1"/>
        <v>91875</v>
      </c>
    </row>
    <row r="73" spans="1:16" ht="26.25" customHeight="1" x14ac:dyDescent="0.2">
      <c r="A73" s="100"/>
      <c r="B73" s="100"/>
      <c r="C73" s="65" t="s">
        <v>5709</v>
      </c>
      <c r="D73" s="70" t="s">
        <v>57</v>
      </c>
      <c r="E73" s="12">
        <v>44559</v>
      </c>
      <c r="F73" s="68" t="s">
        <v>58</v>
      </c>
      <c r="G73" s="12">
        <v>44565</v>
      </c>
      <c r="H73" s="69" t="s">
        <v>5561</v>
      </c>
      <c r="I73" s="15">
        <v>53</v>
      </c>
      <c r="J73" s="15">
        <v>44</v>
      </c>
      <c r="K73" s="15">
        <v>16</v>
      </c>
      <c r="L73" s="15">
        <v>3</v>
      </c>
      <c r="M73" s="73">
        <v>9.3279999999999994</v>
      </c>
      <c r="N73" s="104">
        <v>10</v>
      </c>
      <c r="O73" s="57">
        <v>7000</v>
      </c>
      <c r="P73" s="58">
        <f t="shared" si="1"/>
        <v>70000</v>
      </c>
    </row>
    <row r="74" spans="1:16" ht="26.25" customHeight="1" x14ac:dyDescent="0.2">
      <c r="A74" s="100"/>
      <c r="B74" s="100"/>
      <c r="C74" s="65" t="s">
        <v>5710</v>
      </c>
      <c r="D74" s="70" t="s">
        <v>57</v>
      </c>
      <c r="E74" s="12">
        <v>44559</v>
      </c>
      <c r="F74" s="68" t="s">
        <v>58</v>
      </c>
      <c r="G74" s="12">
        <v>44565</v>
      </c>
      <c r="H74" s="69" t="s">
        <v>5561</v>
      </c>
      <c r="I74" s="15">
        <v>84</v>
      </c>
      <c r="J74" s="15">
        <v>66</v>
      </c>
      <c r="K74" s="15">
        <v>19</v>
      </c>
      <c r="L74" s="15">
        <v>9</v>
      </c>
      <c r="M74" s="73">
        <v>26.334</v>
      </c>
      <c r="N74" s="104">
        <v>27</v>
      </c>
      <c r="O74" s="57">
        <v>7000</v>
      </c>
      <c r="P74" s="58">
        <f t="shared" si="1"/>
        <v>189000</v>
      </c>
    </row>
    <row r="75" spans="1:16" ht="26.25" customHeight="1" x14ac:dyDescent="0.2">
      <c r="A75" s="100"/>
      <c r="B75" s="100"/>
      <c r="C75" s="65" t="s">
        <v>5711</v>
      </c>
      <c r="D75" s="70" t="s">
        <v>57</v>
      </c>
      <c r="E75" s="12">
        <v>44559</v>
      </c>
      <c r="F75" s="68" t="s">
        <v>58</v>
      </c>
      <c r="G75" s="12">
        <v>44565</v>
      </c>
      <c r="H75" s="69" t="s">
        <v>5561</v>
      </c>
      <c r="I75" s="15">
        <v>85</v>
      </c>
      <c r="J75" s="15">
        <v>63</v>
      </c>
      <c r="K75" s="15">
        <v>15</v>
      </c>
      <c r="L75" s="15">
        <v>12</v>
      </c>
      <c r="M75" s="73">
        <v>20.081250000000001</v>
      </c>
      <c r="N75" s="104">
        <v>20.081250000000001</v>
      </c>
      <c r="O75" s="57">
        <v>7000</v>
      </c>
      <c r="P75" s="58">
        <f t="shared" si="1"/>
        <v>140568.75</v>
      </c>
    </row>
    <row r="76" spans="1:16" ht="26.25" customHeight="1" x14ac:dyDescent="0.2">
      <c r="A76" s="100"/>
      <c r="B76" s="100"/>
      <c r="C76" s="65" t="s">
        <v>5712</v>
      </c>
      <c r="D76" s="70" t="s">
        <v>57</v>
      </c>
      <c r="E76" s="12">
        <v>44559</v>
      </c>
      <c r="F76" s="68" t="s">
        <v>58</v>
      </c>
      <c r="G76" s="12">
        <v>44565</v>
      </c>
      <c r="H76" s="69" t="s">
        <v>5561</v>
      </c>
      <c r="I76" s="15">
        <v>58</v>
      </c>
      <c r="J76" s="15">
        <v>40</v>
      </c>
      <c r="K76" s="15">
        <v>17</v>
      </c>
      <c r="L76" s="15">
        <v>5</v>
      </c>
      <c r="M76" s="73">
        <v>9.86</v>
      </c>
      <c r="N76" s="104">
        <v>9.86</v>
      </c>
      <c r="O76" s="57">
        <v>7000</v>
      </c>
      <c r="P76" s="58">
        <f t="shared" si="1"/>
        <v>69020</v>
      </c>
    </row>
    <row r="77" spans="1:16" ht="26.25" customHeight="1" x14ac:dyDescent="0.2">
      <c r="A77" s="100"/>
      <c r="B77" s="100"/>
      <c r="C77" s="65" t="s">
        <v>5713</v>
      </c>
      <c r="D77" s="70" t="s">
        <v>57</v>
      </c>
      <c r="E77" s="12">
        <v>44559</v>
      </c>
      <c r="F77" s="68" t="s">
        <v>58</v>
      </c>
      <c r="G77" s="12">
        <v>44565</v>
      </c>
      <c r="H77" s="69" t="s">
        <v>5561</v>
      </c>
      <c r="I77" s="15">
        <v>67</v>
      </c>
      <c r="J77" s="15">
        <v>42</v>
      </c>
      <c r="K77" s="15">
        <v>16</v>
      </c>
      <c r="L77" s="15">
        <v>6</v>
      </c>
      <c r="M77" s="73">
        <v>11.256</v>
      </c>
      <c r="N77" s="104">
        <v>11.256</v>
      </c>
      <c r="O77" s="57">
        <v>7000</v>
      </c>
      <c r="P77" s="58">
        <f t="shared" si="1"/>
        <v>78792</v>
      </c>
    </row>
    <row r="78" spans="1:16" ht="26.25" customHeight="1" x14ac:dyDescent="0.2">
      <c r="A78" s="100"/>
      <c r="B78" s="100"/>
      <c r="C78" s="65" t="s">
        <v>5714</v>
      </c>
      <c r="D78" s="70" t="s">
        <v>57</v>
      </c>
      <c r="E78" s="12">
        <v>44559</v>
      </c>
      <c r="F78" s="68" t="s">
        <v>58</v>
      </c>
      <c r="G78" s="12">
        <v>44565</v>
      </c>
      <c r="H78" s="69" t="s">
        <v>5561</v>
      </c>
      <c r="I78" s="15">
        <v>81</v>
      </c>
      <c r="J78" s="15">
        <v>62</v>
      </c>
      <c r="K78" s="15">
        <v>18</v>
      </c>
      <c r="L78" s="15">
        <v>13</v>
      </c>
      <c r="M78" s="73">
        <v>22.599</v>
      </c>
      <c r="N78" s="104">
        <v>22.599</v>
      </c>
      <c r="O78" s="57">
        <v>7000</v>
      </c>
      <c r="P78" s="58">
        <f t="shared" si="1"/>
        <v>158193</v>
      </c>
    </row>
    <row r="79" spans="1:16" ht="26.25" customHeight="1" x14ac:dyDescent="0.2">
      <c r="A79" s="100"/>
      <c r="B79" s="100"/>
      <c r="C79" s="65" t="s">
        <v>5715</v>
      </c>
      <c r="D79" s="70" t="s">
        <v>57</v>
      </c>
      <c r="E79" s="12">
        <v>44559</v>
      </c>
      <c r="F79" s="68" t="s">
        <v>58</v>
      </c>
      <c r="G79" s="12">
        <v>44565</v>
      </c>
      <c r="H79" s="69" t="s">
        <v>5561</v>
      </c>
      <c r="I79" s="15">
        <v>75</v>
      </c>
      <c r="J79" s="15">
        <v>65</v>
      </c>
      <c r="K79" s="15">
        <v>12</v>
      </c>
      <c r="L79" s="15">
        <v>6</v>
      </c>
      <c r="M79" s="73">
        <v>14.625</v>
      </c>
      <c r="N79" s="104">
        <v>14.625</v>
      </c>
      <c r="O79" s="57">
        <v>7000</v>
      </c>
      <c r="P79" s="58">
        <f t="shared" si="1"/>
        <v>102375</v>
      </c>
    </row>
    <row r="80" spans="1:16" ht="26.25" customHeight="1" x14ac:dyDescent="0.2">
      <c r="A80" s="100"/>
      <c r="B80" s="100"/>
      <c r="C80" s="65" t="s">
        <v>5716</v>
      </c>
      <c r="D80" s="70" t="s">
        <v>57</v>
      </c>
      <c r="E80" s="12">
        <v>44559</v>
      </c>
      <c r="F80" s="68" t="s">
        <v>58</v>
      </c>
      <c r="G80" s="12">
        <v>44565</v>
      </c>
      <c r="H80" s="69" t="s">
        <v>5561</v>
      </c>
      <c r="I80" s="15">
        <v>86</v>
      </c>
      <c r="J80" s="15">
        <v>60</v>
      </c>
      <c r="K80" s="15">
        <v>32</v>
      </c>
      <c r="L80" s="15">
        <v>15</v>
      </c>
      <c r="M80" s="73">
        <v>41.28</v>
      </c>
      <c r="N80" s="104">
        <v>41.28</v>
      </c>
      <c r="O80" s="57">
        <v>7000</v>
      </c>
      <c r="P80" s="58">
        <f t="shared" si="1"/>
        <v>288960</v>
      </c>
    </row>
    <row r="81" spans="1:16" ht="26.25" customHeight="1" x14ac:dyDescent="0.2">
      <c r="A81" s="100"/>
      <c r="B81" s="100"/>
      <c r="C81" s="65" t="s">
        <v>5717</v>
      </c>
      <c r="D81" s="70" t="s">
        <v>57</v>
      </c>
      <c r="E81" s="12">
        <v>44559</v>
      </c>
      <c r="F81" s="68" t="s">
        <v>58</v>
      </c>
      <c r="G81" s="12">
        <v>44565</v>
      </c>
      <c r="H81" s="69" t="s">
        <v>5561</v>
      </c>
      <c r="I81" s="15">
        <v>75</v>
      </c>
      <c r="J81" s="15">
        <v>56</v>
      </c>
      <c r="K81" s="15">
        <v>21</v>
      </c>
      <c r="L81" s="15">
        <v>10</v>
      </c>
      <c r="M81" s="73">
        <v>22.05</v>
      </c>
      <c r="N81" s="104">
        <v>22.05</v>
      </c>
      <c r="O81" s="57">
        <v>7000</v>
      </c>
      <c r="P81" s="58">
        <f t="shared" si="1"/>
        <v>154350</v>
      </c>
    </row>
    <row r="82" spans="1:16" ht="26.25" customHeight="1" x14ac:dyDescent="0.2">
      <c r="A82" s="100"/>
      <c r="B82" s="100"/>
      <c r="C82" s="65" t="s">
        <v>5718</v>
      </c>
      <c r="D82" s="70" t="s">
        <v>57</v>
      </c>
      <c r="E82" s="12">
        <v>44559</v>
      </c>
      <c r="F82" s="68" t="s">
        <v>58</v>
      </c>
      <c r="G82" s="12">
        <v>44565</v>
      </c>
      <c r="H82" s="69" t="s">
        <v>5561</v>
      </c>
      <c r="I82" s="15">
        <v>69</v>
      </c>
      <c r="J82" s="15">
        <v>60</v>
      </c>
      <c r="K82" s="15">
        <v>18</v>
      </c>
      <c r="L82" s="15">
        <v>7</v>
      </c>
      <c r="M82" s="73">
        <v>18.63</v>
      </c>
      <c r="N82" s="104">
        <v>18.63</v>
      </c>
      <c r="O82" s="57">
        <v>7000</v>
      </c>
      <c r="P82" s="58">
        <f t="shared" si="1"/>
        <v>130410</v>
      </c>
    </row>
    <row r="83" spans="1:16" ht="26.25" customHeight="1" x14ac:dyDescent="0.2">
      <c r="A83" s="100"/>
      <c r="B83" s="100"/>
      <c r="C83" s="65" t="s">
        <v>5719</v>
      </c>
      <c r="D83" s="70" t="s">
        <v>57</v>
      </c>
      <c r="E83" s="12">
        <v>44559</v>
      </c>
      <c r="F83" s="68" t="s">
        <v>58</v>
      </c>
      <c r="G83" s="12">
        <v>44565</v>
      </c>
      <c r="H83" s="69" t="s">
        <v>5561</v>
      </c>
      <c r="I83" s="15">
        <v>76</v>
      </c>
      <c r="J83" s="15">
        <v>55</v>
      </c>
      <c r="K83" s="15">
        <v>22</v>
      </c>
      <c r="L83" s="15">
        <v>9</v>
      </c>
      <c r="M83" s="73">
        <v>22.99</v>
      </c>
      <c r="N83" s="104">
        <v>22.99</v>
      </c>
      <c r="O83" s="57">
        <v>7000</v>
      </c>
      <c r="P83" s="58">
        <f t="shared" si="1"/>
        <v>160930</v>
      </c>
    </row>
    <row r="84" spans="1:16" ht="26.25" customHeight="1" x14ac:dyDescent="0.2">
      <c r="A84" s="100"/>
      <c r="B84" s="100"/>
      <c r="C84" s="65" t="s">
        <v>5720</v>
      </c>
      <c r="D84" s="70" t="s">
        <v>57</v>
      </c>
      <c r="E84" s="12">
        <v>44559</v>
      </c>
      <c r="F84" s="68" t="s">
        <v>58</v>
      </c>
      <c r="G84" s="12">
        <v>44565</v>
      </c>
      <c r="H84" s="69" t="s">
        <v>5561</v>
      </c>
      <c r="I84" s="15">
        <v>95</v>
      </c>
      <c r="J84" s="15">
        <v>62</v>
      </c>
      <c r="K84" s="15">
        <v>22</v>
      </c>
      <c r="L84" s="15">
        <v>12</v>
      </c>
      <c r="M84" s="73">
        <v>32.395000000000003</v>
      </c>
      <c r="N84" s="104">
        <v>33</v>
      </c>
      <c r="O84" s="57">
        <v>7000</v>
      </c>
      <c r="P84" s="58">
        <f t="shared" si="1"/>
        <v>231000</v>
      </c>
    </row>
    <row r="85" spans="1:16" ht="26.25" customHeight="1" x14ac:dyDescent="0.2">
      <c r="A85" s="100"/>
      <c r="B85" s="100"/>
      <c r="C85" s="65" t="s">
        <v>5721</v>
      </c>
      <c r="D85" s="70" t="s">
        <v>57</v>
      </c>
      <c r="E85" s="12">
        <v>44559</v>
      </c>
      <c r="F85" s="68" t="s">
        <v>58</v>
      </c>
      <c r="G85" s="12">
        <v>44565</v>
      </c>
      <c r="H85" s="69" t="s">
        <v>5561</v>
      </c>
      <c r="I85" s="15">
        <v>92</v>
      </c>
      <c r="J85" s="15">
        <v>60</v>
      </c>
      <c r="K85" s="15">
        <v>16</v>
      </c>
      <c r="L85" s="15">
        <v>9</v>
      </c>
      <c r="M85" s="73">
        <v>22.08</v>
      </c>
      <c r="N85" s="104">
        <v>22.08</v>
      </c>
      <c r="O85" s="57">
        <v>7000</v>
      </c>
      <c r="P85" s="58">
        <f t="shared" si="1"/>
        <v>154560</v>
      </c>
    </row>
    <row r="86" spans="1:16" ht="26.25" customHeight="1" x14ac:dyDescent="0.2">
      <c r="A86" s="100"/>
      <c r="B86" s="100"/>
      <c r="C86" s="65" t="s">
        <v>5722</v>
      </c>
      <c r="D86" s="70" t="s">
        <v>57</v>
      </c>
      <c r="E86" s="12">
        <v>44559</v>
      </c>
      <c r="F86" s="68" t="s">
        <v>58</v>
      </c>
      <c r="G86" s="12">
        <v>44565</v>
      </c>
      <c r="H86" s="69" t="s">
        <v>5561</v>
      </c>
      <c r="I86" s="15">
        <v>85</v>
      </c>
      <c r="J86" s="15">
        <v>56</v>
      </c>
      <c r="K86" s="15">
        <v>23</v>
      </c>
      <c r="L86" s="15">
        <v>15</v>
      </c>
      <c r="M86" s="73">
        <v>27.37</v>
      </c>
      <c r="N86" s="104">
        <v>28</v>
      </c>
      <c r="O86" s="57">
        <v>7000</v>
      </c>
      <c r="P86" s="58">
        <f t="shared" si="1"/>
        <v>196000</v>
      </c>
    </row>
    <row r="87" spans="1:16" ht="26.25" customHeight="1" x14ac:dyDescent="0.2">
      <c r="A87" s="100"/>
      <c r="B87" s="100"/>
      <c r="C87" s="65" t="s">
        <v>5723</v>
      </c>
      <c r="D87" s="70" t="s">
        <v>57</v>
      </c>
      <c r="E87" s="12">
        <v>44559</v>
      </c>
      <c r="F87" s="68" t="s">
        <v>58</v>
      </c>
      <c r="G87" s="12">
        <v>44565</v>
      </c>
      <c r="H87" s="69" t="s">
        <v>5561</v>
      </c>
      <c r="I87" s="15">
        <v>80</v>
      </c>
      <c r="J87" s="15">
        <v>58</v>
      </c>
      <c r="K87" s="15">
        <v>17</v>
      </c>
      <c r="L87" s="15">
        <v>7</v>
      </c>
      <c r="M87" s="73">
        <v>19.72</v>
      </c>
      <c r="N87" s="104">
        <v>19.72</v>
      </c>
      <c r="O87" s="57">
        <v>7000</v>
      </c>
      <c r="P87" s="58">
        <f t="shared" si="1"/>
        <v>138040</v>
      </c>
    </row>
    <row r="88" spans="1:16" ht="26.25" customHeight="1" x14ac:dyDescent="0.2">
      <c r="A88" s="100"/>
      <c r="B88" s="100"/>
      <c r="C88" s="65" t="s">
        <v>5724</v>
      </c>
      <c r="D88" s="70" t="s">
        <v>57</v>
      </c>
      <c r="E88" s="12">
        <v>44559</v>
      </c>
      <c r="F88" s="68" t="s">
        <v>58</v>
      </c>
      <c r="G88" s="12">
        <v>44565</v>
      </c>
      <c r="H88" s="69" t="s">
        <v>5561</v>
      </c>
      <c r="I88" s="15">
        <v>77</v>
      </c>
      <c r="J88" s="15">
        <v>60</v>
      </c>
      <c r="K88" s="15">
        <v>17</v>
      </c>
      <c r="L88" s="15">
        <v>8</v>
      </c>
      <c r="M88" s="73">
        <v>19.635000000000002</v>
      </c>
      <c r="N88" s="104">
        <v>19.635000000000002</v>
      </c>
      <c r="O88" s="57">
        <v>7000</v>
      </c>
      <c r="P88" s="58">
        <f t="shared" si="1"/>
        <v>137445</v>
      </c>
    </row>
    <row r="89" spans="1:16" ht="26.25" customHeight="1" x14ac:dyDescent="0.2">
      <c r="A89" s="100"/>
      <c r="B89" s="100"/>
      <c r="C89" s="65" t="s">
        <v>5725</v>
      </c>
      <c r="D89" s="70" t="s">
        <v>57</v>
      </c>
      <c r="E89" s="12">
        <v>44559</v>
      </c>
      <c r="F89" s="68" t="s">
        <v>58</v>
      </c>
      <c r="G89" s="12">
        <v>44565</v>
      </c>
      <c r="H89" s="69" t="s">
        <v>5561</v>
      </c>
      <c r="I89" s="15">
        <v>101</v>
      </c>
      <c r="J89" s="15">
        <v>67</v>
      </c>
      <c r="K89" s="15">
        <v>35</v>
      </c>
      <c r="L89" s="15">
        <v>10</v>
      </c>
      <c r="M89" s="73">
        <v>59.21125</v>
      </c>
      <c r="N89" s="104">
        <v>59.21125</v>
      </c>
      <c r="O89" s="57">
        <v>7000</v>
      </c>
      <c r="P89" s="58">
        <f t="shared" si="1"/>
        <v>414478.75</v>
      </c>
    </row>
    <row r="90" spans="1:16" ht="26.25" customHeight="1" x14ac:dyDescent="0.2">
      <c r="A90" s="100"/>
      <c r="B90" s="100"/>
      <c r="C90" s="65" t="s">
        <v>5726</v>
      </c>
      <c r="D90" s="70" t="s">
        <v>57</v>
      </c>
      <c r="E90" s="12">
        <v>44559</v>
      </c>
      <c r="F90" s="68" t="s">
        <v>58</v>
      </c>
      <c r="G90" s="12">
        <v>44565</v>
      </c>
      <c r="H90" s="69" t="s">
        <v>5561</v>
      </c>
      <c r="I90" s="15">
        <v>85</v>
      </c>
      <c r="J90" s="15">
        <v>57</v>
      </c>
      <c r="K90" s="15">
        <v>23</v>
      </c>
      <c r="L90" s="15">
        <v>10</v>
      </c>
      <c r="M90" s="73">
        <v>27.858750000000001</v>
      </c>
      <c r="N90" s="104">
        <v>27.858750000000001</v>
      </c>
      <c r="O90" s="57">
        <v>7000</v>
      </c>
      <c r="P90" s="58">
        <f t="shared" si="1"/>
        <v>195011.25</v>
      </c>
    </row>
    <row r="91" spans="1:16" ht="26.25" customHeight="1" x14ac:dyDescent="0.2">
      <c r="A91" s="100"/>
      <c r="B91" s="100"/>
      <c r="C91" s="65" t="s">
        <v>5727</v>
      </c>
      <c r="D91" s="70" t="s">
        <v>57</v>
      </c>
      <c r="E91" s="12">
        <v>44559</v>
      </c>
      <c r="F91" s="68" t="s">
        <v>58</v>
      </c>
      <c r="G91" s="12">
        <v>44565</v>
      </c>
      <c r="H91" s="69" t="s">
        <v>5561</v>
      </c>
      <c r="I91" s="15">
        <v>64</v>
      </c>
      <c r="J91" s="15">
        <v>54</v>
      </c>
      <c r="K91" s="15">
        <v>14</v>
      </c>
      <c r="L91" s="15">
        <v>6</v>
      </c>
      <c r="M91" s="73">
        <v>12.096</v>
      </c>
      <c r="N91" s="104">
        <v>12.096</v>
      </c>
      <c r="O91" s="57">
        <v>7000</v>
      </c>
      <c r="P91" s="58">
        <f t="shared" si="1"/>
        <v>84672</v>
      </c>
    </row>
    <row r="92" spans="1:16" ht="26.25" customHeight="1" x14ac:dyDescent="0.2">
      <c r="A92" s="100"/>
      <c r="B92" s="100"/>
      <c r="C92" s="65" t="s">
        <v>5728</v>
      </c>
      <c r="D92" s="70" t="s">
        <v>57</v>
      </c>
      <c r="E92" s="12">
        <v>44559</v>
      </c>
      <c r="F92" s="68" t="s">
        <v>58</v>
      </c>
      <c r="G92" s="12">
        <v>44565</v>
      </c>
      <c r="H92" s="69" t="s">
        <v>5561</v>
      </c>
      <c r="I92" s="15">
        <v>75</v>
      </c>
      <c r="J92" s="15">
        <v>58</v>
      </c>
      <c r="K92" s="15">
        <v>23</v>
      </c>
      <c r="L92" s="15">
        <v>7</v>
      </c>
      <c r="M92" s="73">
        <v>25.012499999999999</v>
      </c>
      <c r="N92" s="104">
        <v>25.012499999999999</v>
      </c>
      <c r="O92" s="57">
        <v>7000</v>
      </c>
      <c r="P92" s="58">
        <f t="shared" si="1"/>
        <v>175087.5</v>
      </c>
    </row>
    <row r="93" spans="1:16" ht="26.25" customHeight="1" x14ac:dyDescent="0.2">
      <c r="A93" s="100"/>
      <c r="B93" s="100"/>
      <c r="C93" s="65" t="s">
        <v>5729</v>
      </c>
      <c r="D93" s="70" t="s">
        <v>57</v>
      </c>
      <c r="E93" s="12">
        <v>44559</v>
      </c>
      <c r="F93" s="68" t="s">
        <v>58</v>
      </c>
      <c r="G93" s="12">
        <v>44565</v>
      </c>
      <c r="H93" s="69" t="s">
        <v>5561</v>
      </c>
      <c r="I93" s="15">
        <v>67</v>
      </c>
      <c r="J93" s="15">
        <v>60</v>
      </c>
      <c r="K93" s="15">
        <v>18</v>
      </c>
      <c r="L93" s="15">
        <v>6</v>
      </c>
      <c r="M93" s="73">
        <v>18.09</v>
      </c>
      <c r="N93" s="104">
        <v>18.09</v>
      </c>
      <c r="O93" s="57">
        <v>7000</v>
      </c>
      <c r="P93" s="58">
        <f t="shared" si="1"/>
        <v>126630</v>
      </c>
    </row>
    <row r="94" spans="1:16" ht="26.25" customHeight="1" x14ac:dyDescent="0.2">
      <c r="A94" s="100"/>
      <c r="B94" s="100"/>
      <c r="C94" s="65" t="s">
        <v>5730</v>
      </c>
      <c r="D94" s="70" t="s">
        <v>57</v>
      </c>
      <c r="E94" s="12">
        <v>44559</v>
      </c>
      <c r="F94" s="68" t="s">
        <v>58</v>
      </c>
      <c r="G94" s="12">
        <v>44565</v>
      </c>
      <c r="H94" s="69" t="s">
        <v>5561</v>
      </c>
      <c r="I94" s="15">
        <v>95</v>
      </c>
      <c r="J94" s="15">
        <v>50</v>
      </c>
      <c r="K94" s="15">
        <v>23</v>
      </c>
      <c r="L94" s="15">
        <v>5</v>
      </c>
      <c r="M94" s="73">
        <v>27.3125</v>
      </c>
      <c r="N94" s="104">
        <v>28</v>
      </c>
      <c r="O94" s="57">
        <v>7000</v>
      </c>
      <c r="P94" s="58">
        <f t="shared" si="1"/>
        <v>196000</v>
      </c>
    </row>
    <row r="95" spans="1:16" ht="26.25" customHeight="1" x14ac:dyDescent="0.2">
      <c r="A95" s="100"/>
      <c r="B95" s="100"/>
      <c r="C95" s="65" t="s">
        <v>5731</v>
      </c>
      <c r="D95" s="70" t="s">
        <v>57</v>
      </c>
      <c r="E95" s="12">
        <v>44559</v>
      </c>
      <c r="F95" s="68" t="s">
        <v>58</v>
      </c>
      <c r="G95" s="12">
        <v>44565</v>
      </c>
      <c r="H95" s="69" t="s">
        <v>5561</v>
      </c>
      <c r="I95" s="15">
        <v>105</v>
      </c>
      <c r="J95" s="15">
        <v>55</v>
      </c>
      <c r="K95" s="15">
        <v>25</v>
      </c>
      <c r="L95" s="15">
        <v>12</v>
      </c>
      <c r="M95" s="73">
        <v>36.09375</v>
      </c>
      <c r="N95" s="104">
        <v>36.09375</v>
      </c>
      <c r="O95" s="57">
        <v>7000</v>
      </c>
      <c r="P95" s="58">
        <f t="shared" si="1"/>
        <v>252656.25</v>
      </c>
    </row>
    <row r="96" spans="1:16" ht="26.25" customHeight="1" x14ac:dyDescent="0.2">
      <c r="A96" s="100"/>
      <c r="B96" s="100"/>
      <c r="C96" s="65" t="s">
        <v>5732</v>
      </c>
      <c r="D96" s="70" t="s">
        <v>57</v>
      </c>
      <c r="E96" s="12">
        <v>44559</v>
      </c>
      <c r="F96" s="68" t="s">
        <v>58</v>
      </c>
      <c r="G96" s="12">
        <v>44565</v>
      </c>
      <c r="H96" s="69" t="s">
        <v>5561</v>
      </c>
      <c r="I96" s="15">
        <v>45</v>
      </c>
      <c r="J96" s="15">
        <v>35</v>
      </c>
      <c r="K96" s="15">
        <v>16</v>
      </c>
      <c r="L96" s="15">
        <v>2</v>
      </c>
      <c r="M96" s="73">
        <v>6.3</v>
      </c>
      <c r="N96" s="104">
        <v>7</v>
      </c>
      <c r="O96" s="57">
        <v>7000</v>
      </c>
      <c r="P96" s="58">
        <f t="shared" si="1"/>
        <v>49000</v>
      </c>
    </row>
    <row r="97" spans="1:16" ht="26.25" customHeight="1" x14ac:dyDescent="0.2">
      <c r="A97" s="100"/>
      <c r="B97" s="100"/>
      <c r="C97" s="65" t="s">
        <v>5733</v>
      </c>
      <c r="D97" s="70" t="s">
        <v>57</v>
      </c>
      <c r="E97" s="12">
        <v>44559</v>
      </c>
      <c r="F97" s="68" t="s">
        <v>58</v>
      </c>
      <c r="G97" s="12">
        <v>44565</v>
      </c>
      <c r="H97" s="69" t="s">
        <v>5561</v>
      </c>
      <c r="I97" s="15">
        <v>113</v>
      </c>
      <c r="J97" s="15">
        <v>7</v>
      </c>
      <c r="K97" s="15">
        <v>7</v>
      </c>
      <c r="L97" s="15">
        <v>8</v>
      </c>
      <c r="M97" s="73">
        <v>1.38425</v>
      </c>
      <c r="N97" s="104">
        <v>8</v>
      </c>
      <c r="O97" s="57">
        <v>7000</v>
      </c>
      <c r="P97" s="58">
        <f t="shared" si="1"/>
        <v>56000</v>
      </c>
    </row>
    <row r="98" spans="1:16" ht="26.25" customHeight="1" x14ac:dyDescent="0.2">
      <c r="A98" s="100"/>
      <c r="B98" s="100"/>
      <c r="C98" s="65" t="s">
        <v>5734</v>
      </c>
      <c r="D98" s="70" t="s">
        <v>57</v>
      </c>
      <c r="E98" s="12">
        <v>44559</v>
      </c>
      <c r="F98" s="68" t="s">
        <v>58</v>
      </c>
      <c r="G98" s="12">
        <v>44565</v>
      </c>
      <c r="H98" s="69" t="s">
        <v>5561</v>
      </c>
      <c r="I98" s="15">
        <v>50</v>
      </c>
      <c r="J98" s="15">
        <v>37</v>
      </c>
      <c r="K98" s="15">
        <v>15</v>
      </c>
      <c r="L98" s="15">
        <v>1</v>
      </c>
      <c r="M98" s="73">
        <v>6.9375</v>
      </c>
      <c r="N98" s="104">
        <v>6.9375</v>
      </c>
      <c r="O98" s="57">
        <v>7000</v>
      </c>
      <c r="P98" s="58">
        <f t="shared" si="1"/>
        <v>48562.5</v>
      </c>
    </row>
    <row r="99" spans="1:16" ht="26.25" customHeight="1" x14ac:dyDescent="0.2">
      <c r="A99" s="100"/>
      <c r="B99" s="100"/>
      <c r="C99" s="65" t="s">
        <v>5735</v>
      </c>
      <c r="D99" s="70" t="s">
        <v>57</v>
      </c>
      <c r="E99" s="12">
        <v>44559</v>
      </c>
      <c r="F99" s="68" t="s">
        <v>58</v>
      </c>
      <c r="G99" s="12">
        <v>44565</v>
      </c>
      <c r="H99" s="69" t="s">
        <v>5561</v>
      </c>
      <c r="I99" s="15">
        <v>71</v>
      </c>
      <c r="J99" s="15">
        <v>62</v>
      </c>
      <c r="K99" s="15">
        <v>22</v>
      </c>
      <c r="L99" s="15">
        <v>6</v>
      </c>
      <c r="M99" s="73">
        <v>24.210999999999999</v>
      </c>
      <c r="N99" s="104">
        <v>24.210999999999999</v>
      </c>
      <c r="O99" s="57">
        <v>7000</v>
      </c>
      <c r="P99" s="58">
        <f t="shared" si="1"/>
        <v>169477</v>
      </c>
    </row>
    <row r="100" spans="1:16" ht="26.25" customHeight="1" x14ac:dyDescent="0.2">
      <c r="A100" s="100"/>
      <c r="B100" s="100"/>
      <c r="C100" s="65" t="s">
        <v>5736</v>
      </c>
      <c r="D100" s="70" t="s">
        <v>57</v>
      </c>
      <c r="E100" s="12">
        <v>44559</v>
      </c>
      <c r="F100" s="68" t="s">
        <v>58</v>
      </c>
      <c r="G100" s="12">
        <v>44565</v>
      </c>
      <c r="H100" s="69" t="s">
        <v>5561</v>
      </c>
      <c r="I100" s="15">
        <v>90</v>
      </c>
      <c r="J100" s="15">
        <v>57</v>
      </c>
      <c r="K100" s="15">
        <v>44</v>
      </c>
      <c r="L100" s="15">
        <v>31</v>
      </c>
      <c r="M100" s="73">
        <v>56.43</v>
      </c>
      <c r="N100" s="104">
        <v>57</v>
      </c>
      <c r="O100" s="57">
        <v>7000</v>
      </c>
      <c r="P100" s="58">
        <f t="shared" si="1"/>
        <v>399000</v>
      </c>
    </row>
    <row r="101" spans="1:16" ht="26.25" customHeight="1" x14ac:dyDescent="0.2">
      <c r="A101" s="100"/>
      <c r="B101" s="100"/>
      <c r="C101" s="65" t="s">
        <v>5737</v>
      </c>
      <c r="D101" s="70" t="s">
        <v>57</v>
      </c>
      <c r="E101" s="12">
        <v>44559</v>
      </c>
      <c r="F101" s="68" t="s">
        <v>58</v>
      </c>
      <c r="G101" s="12">
        <v>44565</v>
      </c>
      <c r="H101" s="69" t="s">
        <v>5561</v>
      </c>
      <c r="I101" s="15">
        <v>56</v>
      </c>
      <c r="J101" s="15">
        <v>47</v>
      </c>
      <c r="K101" s="15">
        <v>28</v>
      </c>
      <c r="L101" s="15">
        <v>3</v>
      </c>
      <c r="M101" s="73">
        <v>18.423999999999999</v>
      </c>
      <c r="N101" s="104">
        <v>19</v>
      </c>
      <c r="O101" s="57">
        <v>7000</v>
      </c>
      <c r="P101" s="58">
        <f t="shared" si="1"/>
        <v>133000</v>
      </c>
    </row>
    <row r="102" spans="1:16" ht="26.25" customHeight="1" x14ac:dyDescent="0.2">
      <c r="A102" s="100"/>
      <c r="B102" s="100"/>
      <c r="C102" s="65" t="s">
        <v>5738</v>
      </c>
      <c r="D102" s="70" t="s">
        <v>57</v>
      </c>
      <c r="E102" s="12">
        <v>44559</v>
      </c>
      <c r="F102" s="68" t="s">
        <v>58</v>
      </c>
      <c r="G102" s="12">
        <v>44565</v>
      </c>
      <c r="H102" s="69" t="s">
        <v>5561</v>
      </c>
      <c r="I102" s="15">
        <v>94</v>
      </c>
      <c r="J102" s="15">
        <v>12</v>
      </c>
      <c r="K102" s="15">
        <v>12</v>
      </c>
      <c r="L102" s="15">
        <v>1</v>
      </c>
      <c r="M102" s="73">
        <v>3.3839999999999999</v>
      </c>
      <c r="N102" s="104">
        <v>4</v>
      </c>
      <c r="O102" s="57">
        <v>7000</v>
      </c>
      <c r="P102" s="58">
        <f t="shared" si="1"/>
        <v>28000</v>
      </c>
    </row>
    <row r="103" spans="1:16" ht="26.25" customHeight="1" x14ac:dyDescent="0.2">
      <c r="A103" s="100"/>
      <c r="B103" s="100"/>
      <c r="C103" s="65" t="s">
        <v>5739</v>
      </c>
      <c r="D103" s="70" t="s">
        <v>57</v>
      </c>
      <c r="E103" s="12">
        <v>44559</v>
      </c>
      <c r="F103" s="68" t="s">
        <v>58</v>
      </c>
      <c r="G103" s="12">
        <v>44565</v>
      </c>
      <c r="H103" s="69" t="s">
        <v>5561</v>
      </c>
      <c r="I103" s="15">
        <v>50</v>
      </c>
      <c r="J103" s="15">
        <v>32</v>
      </c>
      <c r="K103" s="15">
        <v>12</v>
      </c>
      <c r="L103" s="15">
        <v>6</v>
      </c>
      <c r="M103" s="73">
        <v>4.8</v>
      </c>
      <c r="N103" s="104">
        <v>6</v>
      </c>
      <c r="O103" s="57">
        <v>7000</v>
      </c>
      <c r="P103" s="58">
        <f t="shared" si="1"/>
        <v>42000</v>
      </c>
    </row>
    <row r="104" spans="1:16" ht="26.25" customHeight="1" x14ac:dyDescent="0.2">
      <c r="A104" s="100"/>
      <c r="B104" s="100"/>
      <c r="C104" s="65" t="s">
        <v>5740</v>
      </c>
      <c r="D104" s="70" t="s">
        <v>57</v>
      </c>
      <c r="E104" s="12">
        <v>44559</v>
      </c>
      <c r="F104" s="68" t="s">
        <v>58</v>
      </c>
      <c r="G104" s="12">
        <v>44565</v>
      </c>
      <c r="H104" s="69" t="s">
        <v>5561</v>
      </c>
      <c r="I104" s="15">
        <v>35</v>
      </c>
      <c r="J104" s="15">
        <v>21</v>
      </c>
      <c r="K104" s="15">
        <v>18</v>
      </c>
      <c r="L104" s="15">
        <v>5</v>
      </c>
      <c r="M104" s="73">
        <v>3.3075000000000001</v>
      </c>
      <c r="N104" s="104">
        <v>5</v>
      </c>
      <c r="O104" s="57">
        <v>7000</v>
      </c>
      <c r="P104" s="58">
        <f t="shared" si="1"/>
        <v>35000</v>
      </c>
    </row>
    <row r="105" spans="1:16" ht="26.25" customHeight="1" x14ac:dyDescent="0.2">
      <c r="A105" s="100"/>
      <c r="B105" s="100"/>
      <c r="C105" s="65" t="s">
        <v>5741</v>
      </c>
      <c r="D105" s="70" t="s">
        <v>57</v>
      </c>
      <c r="E105" s="12">
        <v>44559</v>
      </c>
      <c r="F105" s="68" t="s">
        <v>58</v>
      </c>
      <c r="G105" s="12">
        <v>44565</v>
      </c>
      <c r="H105" s="69" t="s">
        <v>5561</v>
      </c>
      <c r="I105" s="15">
        <v>84</v>
      </c>
      <c r="J105" s="15">
        <v>10</v>
      </c>
      <c r="K105" s="15">
        <v>10</v>
      </c>
      <c r="L105" s="15">
        <v>1</v>
      </c>
      <c r="M105" s="73">
        <v>2.1</v>
      </c>
      <c r="N105" s="104">
        <v>2.1</v>
      </c>
      <c r="O105" s="57">
        <v>7000</v>
      </c>
      <c r="P105" s="58">
        <f t="shared" si="1"/>
        <v>14700</v>
      </c>
    </row>
    <row r="106" spans="1:16" ht="26.25" customHeight="1" x14ac:dyDescent="0.2">
      <c r="A106" s="100"/>
      <c r="B106" s="100"/>
      <c r="C106" s="65" t="s">
        <v>5742</v>
      </c>
      <c r="D106" s="70" t="s">
        <v>57</v>
      </c>
      <c r="E106" s="12">
        <v>44559</v>
      </c>
      <c r="F106" s="68" t="s">
        <v>58</v>
      </c>
      <c r="G106" s="12">
        <v>44565</v>
      </c>
      <c r="H106" s="69" t="s">
        <v>5561</v>
      </c>
      <c r="I106" s="15">
        <v>44</v>
      </c>
      <c r="J106" s="15">
        <v>40</v>
      </c>
      <c r="K106" s="15">
        <v>21</v>
      </c>
      <c r="L106" s="15">
        <v>4</v>
      </c>
      <c r="M106" s="73">
        <v>9.24</v>
      </c>
      <c r="N106" s="104">
        <v>9.24</v>
      </c>
      <c r="O106" s="57">
        <v>7000</v>
      </c>
      <c r="P106" s="58">
        <f t="shared" si="1"/>
        <v>64680</v>
      </c>
    </row>
    <row r="107" spans="1:16" ht="26.25" customHeight="1" x14ac:dyDescent="0.2">
      <c r="A107" s="100"/>
      <c r="B107" s="100"/>
      <c r="C107" s="65" t="s">
        <v>5743</v>
      </c>
      <c r="D107" s="70" t="s">
        <v>57</v>
      </c>
      <c r="E107" s="12">
        <v>44559</v>
      </c>
      <c r="F107" s="68" t="s">
        <v>58</v>
      </c>
      <c r="G107" s="12">
        <v>44565</v>
      </c>
      <c r="H107" s="69" t="s">
        <v>5561</v>
      </c>
      <c r="I107" s="15">
        <v>90</v>
      </c>
      <c r="J107" s="15">
        <v>43</v>
      </c>
      <c r="K107" s="15">
        <v>12</v>
      </c>
      <c r="L107" s="15">
        <v>1</v>
      </c>
      <c r="M107" s="73">
        <v>11.61</v>
      </c>
      <c r="N107" s="104">
        <v>11.61</v>
      </c>
      <c r="O107" s="57">
        <v>7000</v>
      </c>
      <c r="P107" s="58">
        <f t="shared" si="1"/>
        <v>81270</v>
      </c>
    </row>
    <row r="108" spans="1:16" ht="26.25" customHeight="1" x14ac:dyDescent="0.2">
      <c r="A108" s="100"/>
      <c r="B108" s="100"/>
      <c r="C108" s="65" t="s">
        <v>5744</v>
      </c>
      <c r="D108" s="70" t="s">
        <v>57</v>
      </c>
      <c r="E108" s="12">
        <v>44559</v>
      </c>
      <c r="F108" s="68" t="s">
        <v>58</v>
      </c>
      <c r="G108" s="12">
        <v>44565</v>
      </c>
      <c r="H108" s="69" t="s">
        <v>5561</v>
      </c>
      <c r="I108" s="15">
        <v>30</v>
      </c>
      <c r="J108" s="15">
        <v>30</v>
      </c>
      <c r="K108" s="15">
        <v>16</v>
      </c>
      <c r="L108" s="15">
        <v>1</v>
      </c>
      <c r="M108" s="73">
        <v>3.6</v>
      </c>
      <c r="N108" s="104">
        <v>3.6</v>
      </c>
      <c r="O108" s="57">
        <v>7000</v>
      </c>
      <c r="P108" s="58">
        <f t="shared" si="1"/>
        <v>25200</v>
      </c>
    </row>
    <row r="109" spans="1:16" ht="26.25" customHeight="1" x14ac:dyDescent="0.2">
      <c r="A109" s="100"/>
      <c r="B109" s="100"/>
      <c r="C109" s="65" t="s">
        <v>5745</v>
      </c>
      <c r="D109" s="70" t="s">
        <v>57</v>
      </c>
      <c r="E109" s="12">
        <v>44559</v>
      </c>
      <c r="F109" s="68" t="s">
        <v>58</v>
      </c>
      <c r="G109" s="12">
        <v>44565</v>
      </c>
      <c r="H109" s="69" t="s">
        <v>5561</v>
      </c>
      <c r="I109" s="15">
        <v>90</v>
      </c>
      <c r="J109" s="15">
        <v>43</v>
      </c>
      <c r="K109" s="15">
        <v>12</v>
      </c>
      <c r="L109" s="15">
        <v>1</v>
      </c>
      <c r="M109" s="73">
        <v>11.61</v>
      </c>
      <c r="N109" s="104">
        <v>11.61</v>
      </c>
      <c r="O109" s="57">
        <v>7000</v>
      </c>
      <c r="P109" s="58">
        <f t="shared" si="1"/>
        <v>81270</v>
      </c>
    </row>
    <row r="110" spans="1:16" ht="26.25" customHeight="1" x14ac:dyDescent="0.2">
      <c r="A110" s="100"/>
      <c r="B110" s="100"/>
      <c r="C110" s="65" t="s">
        <v>5746</v>
      </c>
      <c r="D110" s="70" t="s">
        <v>57</v>
      </c>
      <c r="E110" s="12">
        <v>44559</v>
      </c>
      <c r="F110" s="68" t="s">
        <v>58</v>
      </c>
      <c r="G110" s="12">
        <v>44565</v>
      </c>
      <c r="H110" s="69" t="s">
        <v>5561</v>
      </c>
      <c r="I110" s="15">
        <v>90</v>
      </c>
      <c r="J110" s="15">
        <v>43</v>
      </c>
      <c r="K110" s="15">
        <v>12</v>
      </c>
      <c r="L110" s="15">
        <v>1</v>
      </c>
      <c r="M110" s="73">
        <v>11.61</v>
      </c>
      <c r="N110" s="104">
        <v>11.61</v>
      </c>
      <c r="O110" s="57">
        <v>7000</v>
      </c>
      <c r="P110" s="58">
        <f t="shared" si="1"/>
        <v>81270</v>
      </c>
    </row>
    <row r="111" spans="1:16" ht="26.25" customHeight="1" x14ac:dyDescent="0.2">
      <c r="A111" s="100"/>
      <c r="B111" s="100"/>
      <c r="C111" s="65" t="s">
        <v>5747</v>
      </c>
      <c r="D111" s="70" t="s">
        <v>57</v>
      </c>
      <c r="E111" s="12">
        <v>44559</v>
      </c>
      <c r="F111" s="68" t="s">
        <v>58</v>
      </c>
      <c r="G111" s="12">
        <v>44565</v>
      </c>
      <c r="H111" s="69" t="s">
        <v>5561</v>
      </c>
      <c r="I111" s="15">
        <v>67</v>
      </c>
      <c r="J111" s="15">
        <v>54</v>
      </c>
      <c r="K111" s="15">
        <v>20</v>
      </c>
      <c r="L111" s="15">
        <v>5</v>
      </c>
      <c r="M111" s="73">
        <v>18.09</v>
      </c>
      <c r="N111" s="104">
        <v>18.09</v>
      </c>
      <c r="O111" s="57">
        <v>7000</v>
      </c>
      <c r="P111" s="58">
        <f t="shared" si="1"/>
        <v>126630</v>
      </c>
    </row>
    <row r="112" spans="1:16" ht="26.25" customHeight="1" x14ac:dyDescent="0.2">
      <c r="A112" s="100"/>
      <c r="B112" s="100"/>
      <c r="C112" s="65" t="s">
        <v>5748</v>
      </c>
      <c r="D112" s="70" t="s">
        <v>57</v>
      </c>
      <c r="E112" s="12">
        <v>44559</v>
      </c>
      <c r="F112" s="68" t="s">
        <v>58</v>
      </c>
      <c r="G112" s="12">
        <v>44565</v>
      </c>
      <c r="H112" s="69" t="s">
        <v>5561</v>
      </c>
      <c r="I112" s="15">
        <v>111</v>
      </c>
      <c r="J112" s="15">
        <v>30</v>
      </c>
      <c r="K112" s="15">
        <v>15</v>
      </c>
      <c r="L112" s="15">
        <v>5</v>
      </c>
      <c r="M112" s="73">
        <v>12.487500000000001</v>
      </c>
      <c r="N112" s="104">
        <v>13</v>
      </c>
      <c r="O112" s="57">
        <v>7000</v>
      </c>
      <c r="P112" s="58">
        <f t="shared" si="1"/>
        <v>91000</v>
      </c>
    </row>
    <row r="113" spans="1:16" ht="26.25" customHeight="1" x14ac:dyDescent="0.2">
      <c r="A113" s="100"/>
      <c r="B113" s="100"/>
      <c r="C113" s="65" t="s">
        <v>5749</v>
      </c>
      <c r="D113" s="70" t="s">
        <v>57</v>
      </c>
      <c r="E113" s="12">
        <v>44559</v>
      </c>
      <c r="F113" s="68" t="s">
        <v>58</v>
      </c>
      <c r="G113" s="12">
        <v>44565</v>
      </c>
      <c r="H113" s="69" t="s">
        <v>5561</v>
      </c>
      <c r="I113" s="15">
        <v>88</v>
      </c>
      <c r="J113" s="15">
        <v>30</v>
      </c>
      <c r="K113" s="15">
        <v>13</v>
      </c>
      <c r="L113" s="15">
        <v>3</v>
      </c>
      <c r="M113" s="73">
        <v>8.58</v>
      </c>
      <c r="N113" s="104">
        <v>8.58</v>
      </c>
      <c r="O113" s="57">
        <v>7000</v>
      </c>
      <c r="P113" s="58">
        <f t="shared" si="1"/>
        <v>60060</v>
      </c>
    </row>
    <row r="114" spans="1:16" ht="26.25" customHeight="1" x14ac:dyDescent="0.2">
      <c r="A114" s="100"/>
      <c r="B114" s="100"/>
      <c r="C114" s="65" t="s">
        <v>5750</v>
      </c>
      <c r="D114" s="70" t="s">
        <v>57</v>
      </c>
      <c r="E114" s="12">
        <v>44559</v>
      </c>
      <c r="F114" s="68" t="s">
        <v>58</v>
      </c>
      <c r="G114" s="12">
        <v>44565</v>
      </c>
      <c r="H114" s="69" t="s">
        <v>5561</v>
      </c>
      <c r="I114" s="15">
        <v>120</v>
      </c>
      <c r="J114" s="15">
        <v>25</v>
      </c>
      <c r="K114" s="15">
        <v>5</v>
      </c>
      <c r="L114" s="15">
        <v>1</v>
      </c>
      <c r="M114" s="73">
        <v>3.75</v>
      </c>
      <c r="N114" s="104">
        <v>3.75</v>
      </c>
      <c r="O114" s="57">
        <v>7000</v>
      </c>
      <c r="P114" s="58">
        <f t="shared" si="1"/>
        <v>26250</v>
      </c>
    </row>
    <row r="115" spans="1:16" ht="26.25" customHeight="1" x14ac:dyDescent="0.2">
      <c r="A115" s="100"/>
      <c r="B115" s="100"/>
      <c r="C115" s="65" t="s">
        <v>5751</v>
      </c>
      <c r="D115" s="70" t="s">
        <v>57</v>
      </c>
      <c r="E115" s="12">
        <v>44559</v>
      </c>
      <c r="F115" s="68" t="s">
        <v>58</v>
      </c>
      <c r="G115" s="12">
        <v>44565</v>
      </c>
      <c r="H115" s="69" t="s">
        <v>5561</v>
      </c>
      <c r="I115" s="15">
        <v>85</v>
      </c>
      <c r="J115" s="15">
        <v>60</v>
      </c>
      <c r="K115" s="15">
        <v>25</v>
      </c>
      <c r="L115" s="15">
        <v>15</v>
      </c>
      <c r="M115" s="73">
        <v>31.875</v>
      </c>
      <c r="N115" s="104">
        <v>31.875</v>
      </c>
      <c r="O115" s="57">
        <v>7000</v>
      </c>
      <c r="P115" s="58">
        <f t="shared" si="1"/>
        <v>223125</v>
      </c>
    </row>
    <row r="116" spans="1:16" ht="26.25" customHeight="1" x14ac:dyDescent="0.2">
      <c r="A116" s="100"/>
      <c r="B116" s="100"/>
      <c r="C116" s="65" t="s">
        <v>5752</v>
      </c>
      <c r="D116" s="70" t="s">
        <v>57</v>
      </c>
      <c r="E116" s="12">
        <v>44559</v>
      </c>
      <c r="F116" s="68" t="s">
        <v>58</v>
      </c>
      <c r="G116" s="12">
        <v>44565</v>
      </c>
      <c r="H116" s="69" t="s">
        <v>5561</v>
      </c>
      <c r="I116" s="15">
        <v>108</v>
      </c>
      <c r="J116" s="15">
        <v>7</v>
      </c>
      <c r="K116" s="15">
        <v>7</v>
      </c>
      <c r="L116" s="15">
        <v>1</v>
      </c>
      <c r="M116" s="73">
        <v>1.323</v>
      </c>
      <c r="N116" s="104">
        <v>2</v>
      </c>
      <c r="O116" s="57">
        <v>7000</v>
      </c>
      <c r="P116" s="58">
        <f t="shared" si="1"/>
        <v>14000</v>
      </c>
    </row>
    <row r="117" spans="1:16" ht="26.25" customHeight="1" x14ac:dyDescent="0.2">
      <c r="A117" s="100"/>
      <c r="B117" s="100"/>
      <c r="C117" s="65" t="s">
        <v>5753</v>
      </c>
      <c r="D117" s="70" t="s">
        <v>57</v>
      </c>
      <c r="E117" s="12">
        <v>44559</v>
      </c>
      <c r="F117" s="68" t="s">
        <v>58</v>
      </c>
      <c r="G117" s="12">
        <v>44565</v>
      </c>
      <c r="H117" s="69" t="s">
        <v>5561</v>
      </c>
      <c r="I117" s="15">
        <v>35</v>
      </c>
      <c r="J117" s="15">
        <v>35</v>
      </c>
      <c r="K117" s="15">
        <v>18</v>
      </c>
      <c r="L117" s="15">
        <v>7</v>
      </c>
      <c r="M117" s="73">
        <v>5.5125000000000002</v>
      </c>
      <c r="N117" s="104">
        <v>7</v>
      </c>
      <c r="O117" s="57">
        <v>7000</v>
      </c>
      <c r="P117" s="58">
        <f t="shared" si="1"/>
        <v>49000</v>
      </c>
    </row>
    <row r="118" spans="1:16" ht="26.25" customHeight="1" x14ac:dyDescent="0.2">
      <c r="A118" s="100"/>
      <c r="B118" s="100"/>
      <c r="C118" s="65" t="s">
        <v>5754</v>
      </c>
      <c r="D118" s="70" t="s">
        <v>57</v>
      </c>
      <c r="E118" s="12">
        <v>44559</v>
      </c>
      <c r="F118" s="68" t="s">
        <v>58</v>
      </c>
      <c r="G118" s="12">
        <v>44565</v>
      </c>
      <c r="H118" s="69" t="s">
        <v>5561</v>
      </c>
      <c r="I118" s="15">
        <v>32</v>
      </c>
      <c r="J118" s="15">
        <v>21</v>
      </c>
      <c r="K118" s="15">
        <v>18</v>
      </c>
      <c r="L118" s="15">
        <v>1</v>
      </c>
      <c r="M118" s="73">
        <v>3.024</v>
      </c>
      <c r="N118" s="104">
        <v>3.024</v>
      </c>
      <c r="O118" s="57">
        <v>7000</v>
      </c>
      <c r="P118" s="58">
        <f t="shared" si="1"/>
        <v>21168</v>
      </c>
    </row>
    <row r="119" spans="1:16" ht="26.25" customHeight="1" x14ac:dyDescent="0.2">
      <c r="A119" s="100"/>
      <c r="B119" s="101"/>
      <c r="C119" s="65" t="s">
        <v>5766</v>
      </c>
      <c r="D119" s="70" t="s">
        <v>57</v>
      </c>
      <c r="E119" s="12">
        <v>44559</v>
      </c>
      <c r="F119" s="68" t="s">
        <v>58</v>
      </c>
      <c r="G119" s="12">
        <v>44565</v>
      </c>
      <c r="H119" s="69" t="s">
        <v>5561</v>
      </c>
      <c r="I119" s="15">
        <v>120</v>
      </c>
      <c r="J119" s="15">
        <v>50</v>
      </c>
      <c r="K119" s="15">
        <v>36</v>
      </c>
      <c r="L119" s="15">
        <v>37</v>
      </c>
      <c r="M119" s="73">
        <v>54</v>
      </c>
      <c r="N119" s="104">
        <v>54</v>
      </c>
      <c r="O119" s="57">
        <v>7000</v>
      </c>
      <c r="P119" s="58">
        <f t="shared" si="1"/>
        <v>378000</v>
      </c>
    </row>
    <row r="120" spans="1:16" ht="26.25" customHeight="1" x14ac:dyDescent="0.2">
      <c r="A120" s="100"/>
      <c r="B120" s="100" t="s">
        <v>5755</v>
      </c>
      <c r="C120" s="65" t="s">
        <v>5756</v>
      </c>
      <c r="D120" s="70" t="s">
        <v>57</v>
      </c>
      <c r="E120" s="12">
        <v>44559</v>
      </c>
      <c r="F120" s="68" t="s">
        <v>58</v>
      </c>
      <c r="G120" s="12">
        <v>44565</v>
      </c>
      <c r="H120" s="69" t="s">
        <v>5561</v>
      </c>
      <c r="I120" s="15">
        <v>25</v>
      </c>
      <c r="J120" s="15">
        <v>15</v>
      </c>
      <c r="K120" s="15">
        <v>10</v>
      </c>
      <c r="L120" s="15">
        <v>1</v>
      </c>
      <c r="M120" s="73">
        <v>0.9375</v>
      </c>
      <c r="N120" s="104">
        <v>1</v>
      </c>
      <c r="O120" s="57">
        <v>7000</v>
      </c>
      <c r="P120" s="58">
        <f t="shared" si="1"/>
        <v>7000</v>
      </c>
    </row>
    <row r="121" spans="1:16" ht="26.25" customHeight="1" x14ac:dyDescent="0.2">
      <c r="A121" s="100"/>
      <c r="B121" s="100"/>
      <c r="C121" s="65" t="s">
        <v>5757</v>
      </c>
      <c r="D121" s="70" t="s">
        <v>57</v>
      </c>
      <c r="E121" s="12">
        <v>44559</v>
      </c>
      <c r="F121" s="68" t="s">
        <v>58</v>
      </c>
      <c r="G121" s="12">
        <v>44565</v>
      </c>
      <c r="H121" s="69" t="s">
        <v>5561</v>
      </c>
      <c r="I121" s="15">
        <v>53</v>
      </c>
      <c r="J121" s="15">
        <v>40</v>
      </c>
      <c r="K121" s="15">
        <v>12</v>
      </c>
      <c r="L121" s="15">
        <v>5</v>
      </c>
      <c r="M121" s="73">
        <v>6.36</v>
      </c>
      <c r="N121" s="104">
        <v>7</v>
      </c>
      <c r="O121" s="57">
        <v>7000</v>
      </c>
      <c r="P121" s="58">
        <f t="shared" si="1"/>
        <v>49000</v>
      </c>
    </row>
    <row r="122" spans="1:16" ht="26.25" customHeight="1" x14ac:dyDescent="0.2">
      <c r="A122" s="100"/>
      <c r="B122" s="100"/>
      <c r="C122" s="65" t="s">
        <v>5758</v>
      </c>
      <c r="D122" s="70" t="s">
        <v>57</v>
      </c>
      <c r="E122" s="12">
        <v>44559</v>
      </c>
      <c r="F122" s="68" t="s">
        <v>58</v>
      </c>
      <c r="G122" s="12">
        <v>44565</v>
      </c>
      <c r="H122" s="69" t="s">
        <v>5561</v>
      </c>
      <c r="I122" s="15">
        <v>45</v>
      </c>
      <c r="J122" s="15">
        <v>34</v>
      </c>
      <c r="K122" s="15">
        <v>22</v>
      </c>
      <c r="L122" s="15">
        <v>5</v>
      </c>
      <c r="M122" s="73">
        <v>8.4149999999999991</v>
      </c>
      <c r="N122" s="104">
        <v>8.4149999999999991</v>
      </c>
      <c r="O122" s="57">
        <v>7000</v>
      </c>
      <c r="P122" s="58">
        <f t="shared" si="1"/>
        <v>58904.999999999993</v>
      </c>
    </row>
    <row r="123" spans="1:16" ht="26.25" customHeight="1" x14ac:dyDescent="0.2">
      <c r="A123" s="100"/>
      <c r="B123" s="100"/>
      <c r="C123" s="65" t="s">
        <v>5759</v>
      </c>
      <c r="D123" s="70" t="s">
        <v>57</v>
      </c>
      <c r="E123" s="12">
        <v>44559</v>
      </c>
      <c r="F123" s="68" t="s">
        <v>58</v>
      </c>
      <c r="G123" s="12">
        <v>44565</v>
      </c>
      <c r="H123" s="69" t="s">
        <v>5561</v>
      </c>
      <c r="I123" s="15">
        <v>42</v>
      </c>
      <c r="J123" s="15">
        <v>32</v>
      </c>
      <c r="K123" s="15">
        <v>10</v>
      </c>
      <c r="L123" s="15">
        <v>1</v>
      </c>
      <c r="M123" s="73">
        <v>3.36</v>
      </c>
      <c r="N123" s="104">
        <v>4</v>
      </c>
      <c r="O123" s="57">
        <v>7000</v>
      </c>
      <c r="P123" s="58">
        <f t="shared" si="1"/>
        <v>28000</v>
      </c>
    </row>
    <row r="124" spans="1:16" ht="26.25" customHeight="1" x14ac:dyDescent="0.2">
      <c r="A124" s="100"/>
      <c r="B124" s="100"/>
      <c r="C124" s="65" t="s">
        <v>5760</v>
      </c>
      <c r="D124" s="70" t="s">
        <v>57</v>
      </c>
      <c r="E124" s="12">
        <v>44559</v>
      </c>
      <c r="F124" s="68" t="s">
        <v>58</v>
      </c>
      <c r="G124" s="12">
        <v>44565</v>
      </c>
      <c r="H124" s="69" t="s">
        <v>5561</v>
      </c>
      <c r="I124" s="15">
        <v>47</v>
      </c>
      <c r="J124" s="15">
        <v>40</v>
      </c>
      <c r="K124" s="15">
        <v>20</v>
      </c>
      <c r="L124" s="15">
        <v>1</v>
      </c>
      <c r="M124" s="73">
        <v>9.4</v>
      </c>
      <c r="N124" s="104">
        <v>10</v>
      </c>
      <c r="O124" s="57">
        <v>7000</v>
      </c>
      <c r="P124" s="58">
        <f t="shared" si="1"/>
        <v>70000</v>
      </c>
    </row>
    <row r="125" spans="1:16" ht="26.25" customHeight="1" x14ac:dyDescent="0.2">
      <c r="A125" s="100"/>
      <c r="B125" s="100"/>
      <c r="C125" s="65" t="s">
        <v>5761</v>
      </c>
      <c r="D125" s="70" t="s">
        <v>57</v>
      </c>
      <c r="E125" s="12">
        <v>44559</v>
      </c>
      <c r="F125" s="68" t="s">
        <v>58</v>
      </c>
      <c r="G125" s="12">
        <v>44565</v>
      </c>
      <c r="H125" s="69" t="s">
        <v>5561</v>
      </c>
      <c r="I125" s="15">
        <v>50</v>
      </c>
      <c r="J125" s="15">
        <v>46</v>
      </c>
      <c r="K125" s="15">
        <v>9</v>
      </c>
      <c r="L125" s="15">
        <v>1</v>
      </c>
      <c r="M125" s="73">
        <v>5.1749999999999998</v>
      </c>
      <c r="N125" s="104">
        <v>5.1749999999999998</v>
      </c>
      <c r="O125" s="57">
        <v>7000</v>
      </c>
      <c r="P125" s="58">
        <f t="shared" si="1"/>
        <v>36225</v>
      </c>
    </row>
    <row r="126" spans="1:16" ht="26.25" customHeight="1" x14ac:dyDescent="0.2">
      <c r="A126" s="100"/>
      <c r="B126" s="100"/>
      <c r="C126" s="65" t="s">
        <v>5762</v>
      </c>
      <c r="D126" s="70" t="s">
        <v>57</v>
      </c>
      <c r="E126" s="12">
        <v>44559</v>
      </c>
      <c r="F126" s="68" t="s">
        <v>58</v>
      </c>
      <c r="G126" s="12">
        <v>44565</v>
      </c>
      <c r="H126" s="69" t="s">
        <v>5561</v>
      </c>
      <c r="I126" s="15">
        <v>46</v>
      </c>
      <c r="J126" s="15">
        <v>44</v>
      </c>
      <c r="K126" s="15">
        <v>12</v>
      </c>
      <c r="L126" s="15">
        <v>1</v>
      </c>
      <c r="M126" s="73">
        <v>6.0720000000000001</v>
      </c>
      <c r="N126" s="104">
        <v>6.0720000000000001</v>
      </c>
      <c r="O126" s="57">
        <v>7000</v>
      </c>
      <c r="P126" s="58">
        <f t="shared" si="1"/>
        <v>42504</v>
      </c>
    </row>
    <row r="127" spans="1:16" ht="26.25" customHeight="1" x14ac:dyDescent="0.2">
      <c r="A127" s="100"/>
      <c r="B127" s="100"/>
      <c r="C127" s="65" t="s">
        <v>5763</v>
      </c>
      <c r="D127" s="70" t="s">
        <v>57</v>
      </c>
      <c r="E127" s="12">
        <v>44559</v>
      </c>
      <c r="F127" s="68" t="s">
        <v>58</v>
      </c>
      <c r="G127" s="12">
        <v>44565</v>
      </c>
      <c r="H127" s="69" t="s">
        <v>5561</v>
      </c>
      <c r="I127" s="15">
        <v>65</v>
      </c>
      <c r="J127" s="15">
        <v>65</v>
      </c>
      <c r="K127" s="15">
        <v>15</v>
      </c>
      <c r="L127" s="15">
        <v>7</v>
      </c>
      <c r="M127" s="73">
        <v>15.84375</v>
      </c>
      <c r="N127" s="104">
        <v>15.84375</v>
      </c>
      <c r="O127" s="57">
        <v>7000</v>
      </c>
      <c r="P127" s="58">
        <f t="shared" si="1"/>
        <v>110906.25</v>
      </c>
    </row>
    <row r="128" spans="1:16" ht="26.25" customHeight="1" x14ac:dyDescent="0.2">
      <c r="A128" s="100"/>
      <c r="B128" s="100"/>
      <c r="C128" s="65" t="s">
        <v>5764</v>
      </c>
      <c r="D128" s="70" t="s">
        <v>57</v>
      </c>
      <c r="E128" s="12">
        <v>44559</v>
      </c>
      <c r="F128" s="68" t="s">
        <v>58</v>
      </c>
      <c r="G128" s="12">
        <v>44565</v>
      </c>
      <c r="H128" s="69" t="s">
        <v>5561</v>
      </c>
      <c r="I128" s="15">
        <v>83</v>
      </c>
      <c r="J128" s="15">
        <v>60</v>
      </c>
      <c r="K128" s="15">
        <v>20</v>
      </c>
      <c r="L128" s="15">
        <v>14</v>
      </c>
      <c r="M128" s="73">
        <v>24.9</v>
      </c>
      <c r="N128" s="104">
        <v>24.9</v>
      </c>
      <c r="O128" s="57">
        <v>7000</v>
      </c>
      <c r="P128" s="58">
        <f t="shared" si="1"/>
        <v>174300</v>
      </c>
    </row>
    <row r="129" spans="1:16" ht="26.25" customHeight="1" x14ac:dyDescent="0.2">
      <c r="A129" s="100"/>
      <c r="B129" s="100"/>
      <c r="C129" s="65" t="s">
        <v>5765</v>
      </c>
      <c r="D129" s="70" t="s">
        <v>57</v>
      </c>
      <c r="E129" s="12">
        <v>44559</v>
      </c>
      <c r="F129" s="68" t="s">
        <v>58</v>
      </c>
      <c r="G129" s="12">
        <v>44565</v>
      </c>
      <c r="H129" s="69" t="s">
        <v>5561</v>
      </c>
      <c r="I129" s="15">
        <v>65</v>
      </c>
      <c r="J129" s="15">
        <v>45</v>
      </c>
      <c r="K129" s="15">
        <v>23</v>
      </c>
      <c r="L129" s="15">
        <v>6</v>
      </c>
      <c r="M129" s="73">
        <v>16.818750000000001</v>
      </c>
      <c r="N129" s="104">
        <v>16.818750000000001</v>
      </c>
      <c r="O129" s="57">
        <v>7000</v>
      </c>
      <c r="P129" s="58">
        <f t="shared" si="1"/>
        <v>117731.25000000001</v>
      </c>
    </row>
    <row r="130" spans="1:16" ht="22.5" customHeight="1" x14ac:dyDescent="0.2">
      <c r="A130" s="159" t="s">
        <v>30</v>
      </c>
      <c r="B130" s="160"/>
      <c r="C130" s="160"/>
      <c r="D130" s="160"/>
      <c r="E130" s="160"/>
      <c r="F130" s="160"/>
      <c r="G130" s="160"/>
      <c r="H130" s="160"/>
      <c r="I130" s="160"/>
      <c r="J130" s="160"/>
      <c r="K130" s="160"/>
      <c r="L130" s="161"/>
      <c r="M130" s="71">
        <f>SUBTOTAL(109,Table2245789101123456789101112131415161718192021222324252627282930313233343537383940414243444546474849505152535455565758596061626364656667686970717273747576777879808182838485868788899091929394[KG VOLUME])</f>
        <v>2500.8085000000001</v>
      </c>
      <c r="N130" s="61">
        <f>SUM(N3:N129)</f>
        <v>2554.6952499999998</v>
      </c>
      <c r="O130" s="162">
        <f>SUM(P3:P129)</f>
        <v>17882866.75</v>
      </c>
      <c r="P130" s="163"/>
    </row>
    <row r="131" spans="1:16" ht="18" customHeight="1" x14ac:dyDescent="0.2">
      <c r="A131" s="78"/>
      <c r="B131" s="49" t="s">
        <v>42</v>
      </c>
      <c r="C131" s="48"/>
      <c r="D131" s="50" t="s">
        <v>43</v>
      </c>
      <c r="E131" s="78"/>
      <c r="F131" s="78"/>
      <c r="G131" s="78"/>
      <c r="H131" s="78"/>
      <c r="I131" s="78"/>
      <c r="J131" s="78"/>
      <c r="K131" s="78"/>
      <c r="L131" s="78"/>
      <c r="M131" s="79"/>
      <c r="N131" s="80" t="s">
        <v>52</v>
      </c>
      <c r="O131" s="81"/>
      <c r="P131" s="81">
        <v>0</v>
      </c>
    </row>
    <row r="132" spans="1:16" ht="18" customHeight="1" thickBot="1" x14ac:dyDescent="0.25">
      <c r="A132" s="78"/>
      <c r="B132" s="49"/>
      <c r="C132" s="48"/>
      <c r="D132" s="50"/>
      <c r="E132" s="78"/>
      <c r="F132" s="78"/>
      <c r="G132" s="78"/>
      <c r="H132" s="78"/>
      <c r="I132" s="78"/>
      <c r="J132" s="78"/>
      <c r="K132" s="78"/>
      <c r="L132" s="78"/>
      <c r="M132" s="79"/>
      <c r="N132" s="82" t="s">
        <v>53</v>
      </c>
      <c r="O132" s="83"/>
      <c r="P132" s="83">
        <f>O130-P131</f>
        <v>17882866.75</v>
      </c>
    </row>
    <row r="133" spans="1:16" ht="18" customHeight="1" x14ac:dyDescent="0.2">
      <c r="A133" s="10"/>
      <c r="H133" s="56"/>
      <c r="N133" s="55" t="s">
        <v>31</v>
      </c>
      <c r="P133" s="62">
        <f>P132*1%</f>
        <v>178828.66750000001</v>
      </c>
    </row>
    <row r="134" spans="1:16" ht="18" customHeight="1" thickBot="1" x14ac:dyDescent="0.25">
      <c r="A134" s="10"/>
      <c r="H134" s="56"/>
      <c r="N134" s="55" t="s">
        <v>54</v>
      </c>
      <c r="P134" s="64">
        <f>P132*2%</f>
        <v>357657.33500000002</v>
      </c>
    </row>
    <row r="135" spans="1:16" ht="18" customHeight="1" x14ac:dyDescent="0.2">
      <c r="A135" s="10"/>
      <c r="H135" s="56"/>
      <c r="N135" s="59" t="s">
        <v>32</v>
      </c>
      <c r="O135" s="60"/>
      <c r="P135" s="63">
        <f>P132+P133-P134</f>
        <v>17704038.0825</v>
      </c>
    </row>
    <row r="137" spans="1:16" x14ac:dyDescent="0.2">
      <c r="A137" s="10"/>
      <c r="H137" s="56"/>
      <c r="P137" s="64"/>
    </row>
    <row r="138" spans="1:16" x14ac:dyDescent="0.2">
      <c r="A138" s="10"/>
      <c r="H138" s="56"/>
      <c r="O138" s="51"/>
      <c r="P138" s="64"/>
    </row>
    <row r="139" spans="1:16" s="3" customFormat="1" x14ac:dyDescent="0.25">
      <c r="A139" s="10"/>
      <c r="B139" s="2"/>
      <c r="C139" s="2"/>
      <c r="E139" s="11"/>
      <c r="H139" s="56"/>
      <c r="N139" s="14"/>
      <c r="O139" s="14"/>
      <c r="P139" s="14"/>
    </row>
    <row r="140" spans="1:16" s="3" customFormat="1" x14ac:dyDescent="0.25">
      <c r="A140" s="10"/>
      <c r="B140" s="2"/>
      <c r="C140" s="2"/>
      <c r="E140" s="11"/>
      <c r="H140" s="56"/>
      <c r="N140" s="14"/>
      <c r="O140" s="14"/>
      <c r="P140" s="14"/>
    </row>
    <row r="141" spans="1:16" s="3" customFormat="1" x14ac:dyDescent="0.25">
      <c r="A141" s="10"/>
      <c r="B141" s="2"/>
      <c r="C141" s="2"/>
      <c r="E141" s="11"/>
      <c r="H141" s="56"/>
      <c r="N141" s="14"/>
      <c r="O141" s="14"/>
      <c r="P141" s="14"/>
    </row>
    <row r="142" spans="1:16" s="3" customFormat="1" x14ac:dyDescent="0.25">
      <c r="A142" s="10"/>
      <c r="B142" s="2"/>
      <c r="C142" s="2"/>
      <c r="E142" s="11"/>
      <c r="H142" s="56"/>
      <c r="N142" s="14"/>
      <c r="O142" s="14"/>
      <c r="P142" s="14"/>
    </row>
    <row r="143" spans="1:16" s="3" customFormat="1" x14ac:dyDescent="0.25">
      <c r="A143" s="10"/>
      <c r="B143" s="2"/>
      <c r="C143" s="2"/>
      <c r="E143" s="11"/>
      <c r="H143" s="56"/>
      <c r="N143" s="14"/>
      <c r="O143" s="14"/>
      <c r="P143" s="14"/>
    </row>
    <row r="144" spans="1:16" s="3" customFormat="1" x14ac:dyDescent="0.25">
      <c r="A144" s="10"/>
      <c r="B144" s="2"/>
      <c r="C144" s="2"/>
      <c r="E144" s="11"/>
      <c r="H144" s="56"/>
      <c r="N144" s="14"/>
      <c r="O144" s="14"/>
      <c r="P144" s="14"/>
    </row>
    <row r="145" spans="1:16" s="3" customFormat="1" x14ac:dyDescent="0.25">
      <c r="A145" s="10"/>
      <c r="B145" s="2"/>
      <c r="C145" s="2"/>
      <c r="E145" s="11"/>
      <c r="H145" s="56"/>
      <c r="N145" s="14"/>
      <c r="O145" s="14"/>
      <c r="P145" s="14"/>
    </row>
    <row r="146" spans="1:16" s="3" customFormat="1" x14ac:dyDescent="0.25">
      <c r="A146" s="10"/>
      <c r="B146" s="2"/>
      <c r="C146" s="2"/>
      <c r="E146" s="11"/>
      <c r="H146" s="56"/>
      <c r="N146" s="14"/>
      <c r="O146" s="14"/>
      <c r="P146" s="14"/>
    </row>
    <row r="147" spans="1:16" s="3" customFormat="1" x14ac:dyDescent="0.25">
      <c r="A147" s="10"/>
      <c r="B147" s="2"/>
      <c r="C147" s="2"/>
      <c r="E147" s="11"/>
      <c r="H147" s="56"/>
      <c r="N147" s="14"/>
      <c r="O147" s="14"/>
      <c r="P147" s="14"/>
    </row>
    <row r="148" spans="1:16" s="3" customFormat="1" x14ac:dyDescent="0.25">
      <c r="A148" s="10"/>
      <c r="B148" s="2"/>
      <c r="C148" s="2"/>
      <c r="E148" s="11"/>
      <c r="H148" s="56"/>
      <c r="N148" s="14"/>
      <c r="O148" s="14"/>
      <c r="P148" s="14"/>
    </row>
    <row r="149" spans="1:16" s="3" customFormat="1" x14ac:dyDescent="0.25">
      <c r="A149" s="10"/>
      <c r="B149" s="2"/>
      <c r="C149" s="2"/>
      <c r="E149" s="11"/>
      <c r="H149" s="56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56"/>
      <c r="N150" s="14"/>
      <c r="O150" s="14"/>
      <c r="P150" s="14"/>
    </row>
  </sheetData>
  <mergeCells count="2">
    <mergeCell ref="A130:L130"/>
    <mergeCell ref="O130:P130"/>
  </mergeCells>
  <conditionalFormatting sqref="C3:C129">
    <cfRule type="duplicateValues" dxfId="111" priority="12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workbookViewId="0">
      <selection activeCell="G11" sqref="G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403993</v>
      </c>
      <c r="B3" s="99" t="s">
        <v>5767</v>
      </c>
      <c r="C3" s="90" t="s">
        <v>5768</v>
      </c>
      <c r="D3" s="102" t="s">
        <v>57</v>
      </c>
      <c r="E3" s="91">
        <v>44560</v>
      </c>
      <c r="F3" s="102" t="s">
        <v>59</v>
      </c>
      <c r="G3" s="91">
        <v>44565</v>
      </c>
      <c r="H3" s="90" t="s">
        <v>5561</v>
      </c>
      <c r="I3" s="90">
        <v>102</v>
      </c>
      <c r="J3" s="90">
        <v>61</v>
      </c>
      <c r="K3" s="90">
        <v>25</v>
      </c>
      <c r="L3" s="90">
        <v>24</v>
      </c>
      <c r="M3" s="90">
        <v>38.887500000000003</v>
      </c>
      <c r="N3" s="104">
        <v>38.887500000000003</v>
      </c>
      <c r="O3" s="57">
        <v>7000</v>
      </c>
      <c r="P3" s="58">
        <f t="shared" ref="P3:P28" si="0">N3*O3</f>
        <v>272212.5</v>
      </c>
    </row>
    <row r="4" spans="1:16" ht="26.25" customHeight="1" x14ac:dyDescent="0.2">
      <c r="A4" s="100"/>
      <c r="B4" s="100"/>
      <c r="C4" s="90" t="s">
        <v>5769</v>
      </c>
      <c r="D4" s="102" t="s">
        <v>57</v>
      </c>
      <c r="E4" s="91">
        <v>44560</v>
      </c>
      <c r="F4" s="102" t="s">
        <v>59</v>
      </c>
      <c r="G4" s="91">
        <v>44565</v>
      </c>
      <c r="H4" s="90" t="s">
        <v>5561</v>
      </c>
      <c r="I4" s="90">
        <v>104</v>
      </c>
      <c r="J4" s="90">
        <v>59</v>
      </c>
      <c r="K4" s="90">
        <v>27</v>
      </c>
      <c r="L4" s="90">
        <v>23</v>
      </c>
      <c r="M4" s="90">
        <v>41.417999999999999</v>
      </c>
      <c r="N4" s="104">
        <v>42</v>
      </c>
      <c r="O4" s="57">
        <v>7000</v>
      </c>
      <c r="P4" s="58">
        <f t="shared" si="0"/>
        <v>294000</v>
      </c>
    </row>
    <row r="5" spans="1:16" ht="26.25" customHeight="1" x14ac:dyDescent="0.2">
      <c r="A5" s="100"/>
      <c r="B5" s="100"/>
      <c r="C5" s="90" t="s">
        <v>5770</v>
      </c>
      <c r="D5" s="102" t="s">
        <v>57</v>
      </c>
      <c r="E5" s="91">
        <v>44560</v>
      </c>
      <c r="F5" s="102" t="s">
        <v>59</v>
      </c>
      <c r="G5" s="91">
        <v>44565</v>
      </c>
      <c r="H5" s="90" t="s">
        <v>5561</v>
      </c>
      <c r="I5" s="90">
        <v>105</v>
      </c>
      <c r="J5" s="90">
        <v>55</v>
      </c>
      <c r="K5" s="90">
        <v>18</v>
      </c>
      <c r="L5" s="90">
        <v>7</v>
      </c>
      <c r="M5" s="90">
        <v>25.987500000000001</v>
      </c>
      <c r="N5" s="104">
        <v>25.987500000000001</v>
      </c>
      <c r="O5" s="57">
        <v>7000</v>
      </c>
      <c r="P5" s="58">
        <f t="shared" si="0"/>
        <v>181912.5</v>
      </c>
    </row>
    <row r="6" spans="1:16" ht="26.25" customHeight="1" x14ac:dyDescent="0.2">
      <c r="A6" s="100"/>
      <c r="B6" s="100"/>
      <c r="C6" s="90" t="s">
        <v>5771</v>
      </c>
      <c r="D6" s="102" t="s">
        <v>57</v>
      </c>
      <c r="E6" s="91">
        <v>44560</v>
      </c>
      <c r="F6" s="102" t="s">
        <v>59</v>
      </c>
      <c r="G6" s="91">
        <v>44565</v>
      </c>
      <c r="H6" s="90" t="s">
        <v>5561</v>
      </c>
      <c r="I6" s="90">
        <v>111</v>
      </c>
      <c r="J6" s="90">
        <v>62</v>
      </c>
      <c r="K6" s="90">
        <v>27</v>
      </c>
      <c r="L6" s="90">
        <v>23</v>
      </c>
      <c r="M6" s="90">
        <v>46.453499999999998</v>
      </c>
      <c r="N6" s="104">
        <v>47</v>
      </c>
      <c r="O6" s="57">
        <v>7000</v>
      </c>
      <c r="P6" s="58">
        <f t="shared" si="0"/>
        <v>329000</v>
      </c>
    </row>
    <row r="7" spans="1:16" ht="26.25" customHeight="1" x14ac:dyDescent="0.2">
      <c r="A7" s="100"/>
      <c r="B7" s="100"/>
      <c r="C7" s="65" t="s">
        <v>5772</v>
      </c>
      <c r="D7" s="70" t="s">
        <v>57</v>
      </c>
      <c r="E7" s="12">
        <v>44560</v>
      </c>
      <c r="F7" s="68" t="s">
        <v>59</v>
      </c>
      <c r="G7" s="12">
        <v>44565</v>
      </c>
      <c r="H7" s="69" t="s">
        <v>5561</v>
      </c>
      <c r="I7" s="15">
        <v>75</v>
      </c>
      <c r="J7" s="15">
        <v>61</v>
      </c>
      <c r="K7" s="15">
        <v>22</v>
      </c>
      <c r="L7" s="15">
        <v>4</v>
      </c>
      <c r="M7" s="73">
        <v>25.162500000000001</v>
      </c>
      <c r="N7" s="104">
        <v>25.162500000000001</v>
      </c>
      <c r="O7" s="57">
        <v>7000</v>
      </c>
      <c r="P7" s="58">
        <f t="shared" si="0"/>
        <v>176137.5</v>
      </c>
    </row>
    <row r="8" spans="1:16" ht="26.25" customHeight="1" x14ac:dyDescent="0.2">
      <c r="A8" s="100"/>
      <c r="B8" s="100"/>
      <c r="C8" s="65" t="s">
        <v>5773</v>
      </c>
      <c r="D8" s="70" t="s">
        <v>57</v>
      </c>
      <c r="E8" s="12">
        <v>44560</v>
      </c>
      <c r="F8" s="68" t="s">
        <v>59</v>
      </c>
      <c r="G8" s="12">
        <v>44565</v>
      </c>
      <c r="H8" s="69" t="s">
        <v>5561</v>
      </c>
      <c r="I8" s="15">
        <v>100</v>
      </c>
      <c r="J8" s="15">
        <v>50</v>
      </c>
      <c r="K8" s="15">
        <v>33</v>
      </c>
      <c r="L8" s="15">
        <v>7</v>
      </c>
      <c r="M8" s="73">
        <v>41.25</v>
      </c>
      <c r="N8" s="104">
        <v>41.25</v>
      </c>
      <c r="O8" s="57">
        <v>7000</v>
      </c>
      <c r="P8" s="58">
        <f t="shared" si="0"/>
        <v>288750</v>
      </c>
    </row>
    <row r="9" spans="1:16" ht="26.25" customHeight="1" x14ac:dyDescent="0.2">
      <c r="A9" s="100"/>
      <c r="B9" s="100"/>
      <c r="C9" s="65" t="s">
        <v>5774</v>
      </c>
      <c r="D9" s="70" t="s">
        <v>57</v>
      </c>
      <c r="E9" s="12">
        <v>44560</v>
      </c>
      <c r="F9" s="68" t="s">
        <v>59</v>
      </c>
      <c r="G9" s="12">
        <v>44565</v>
      </c>
      <c r="H9" s="69" t="s">
        <v>5561</v>
      </c>
      <c r="I9" s="15">
        <v>44</v>
      </c>
      <c r="J9" s="15">
        <v>43</v>
      </c>
      <c r="K9" s="15">
        <v>12</v>
      </c>
      <c r="L9" s="15">
        <v>2</v>
      </c>
      <c r="M9" s="73">
        <v>5.6760000000000002</v>
      </c>
      <c r="N9" s="104">
        <v>5.6760000000000002</v>
      </c>
      <c r="O9" s="57">
        <v>7000</v>
      </c>
      <c r="P9" s="58">
        <f t="shared" si="0"/>
        <v>39732</v>
      </c>
    </row>
    <row r="10" spans="1:16" ht="26.25" customHeight="1" x14ac:dyDescent="0.2">
      <c r="A10" s="100"/>
      <c r="B10" s="100"/>
      <c r="C10" s="65" t="s">
        <v>5775</v>
      </c>
      <c r="D10" s="70" t="s">
        <v>57</v>
      </c>
      <c r="E10" s="12">
        <v>44560</v>
      </c>
      <c r="F10" s="68" t="s">
        <v>59</v>
      </c>
      <c r="G10" s="12">
        <v>44565</v>
      </c>
      <c r="H10" s="69" t="s">
        <v>5561</v>
      </c>
      <c r="I10" s="15">
        <v>53</v>
      </c>
      <c r="J10" s="15">
        <v>41</v>
      </c>
      <c r="K10" s="15">
        <v>190</v>
      </c>
      <c r="L10" s="15">
        <v>2</v>
      </c>
      <c r="M10" s="73">
        <v>103.2175</v>
      </c>
      <c r="N10" s="104">
        <v>103.2175</v>
      </c>
      <c r="O10" s="57">
        <v>7000</v>
      </c>
      <c r="P10" s="58">
        <f t="shared" si="0"/>
        <v>722522.5</v>
      </c>
    </row>
    <row r="11" spans="1:16" ht="26.25" customHeight="1" x14ac:dyDescent="0.2">
      <c r="A11" s="100"/>
      <c r="B11" s="100"/>
      <c r="C11" s="65" t="s">
        <v>5776</v>
      </c>
      <c r="D11" s="70" t="s">
        <v>57</v>
      </c>
      <c r="E11" s="12">
        <v>44560</v>
      </c>
      <c r="F11" s="68" t="s">
        <v>59</v>
      </c>
      <c r="G11" s="12">
        <v>44565</v>
      </c>
      <c r="H11" s="69" t="s">
        <v>5561</v>
      </c>
      <c r="I11" s="15">
        <v>105</v>
      </c>
      <c r="J11" s="15">
        <v>25</v>
      </c>
      <c r="K11" s="15">
        <v>5</v>
      </c>
      <c r="L11" s="15">
        <v>2</v>
      </c>
      <c r="M11" s="73">
        <v>3.28125</v>
      </c>
      <c r="N11" s="104">
        <v>3.28125</v>
      </c>
      <c r="O11" s="57">
        <v>7000</v>
      </c>
      <c r="P11" s="58">
        <f t="shared" si="0"/>
        <v>22968.75</v>
      </c>
    </row>
    <row r="12" spans="1:16" ht="26.25" customHeight="1" x14ac:dyDescent="0.2">
      <c r="A12" s="100"/>
      <c r="B12" s="100"/>
      <c r="C12" s="65" t="s">
        <v>5777</v>
      </c>
      <c r="D12" s="70" t="s">
        <v>57</v>
      </c>
      <c r="E12" s="12">
        <v>44560</v>
      </c>
      <c r="F12" s="68" t="s">
        <v>59</v>
      </c>
      <c r="G12" s="12">
        <v>44565</v>
      </c>
      <c r="H12" s="69" t="s">
        <v>5561</v>
      </c>
      <c r="I12" s="15">
        <v>63</v>
      </c>
      <c r="J12" s="15">
        <v>32</v>
      </c>
      <c r="K12" s="15">
        <v>27</v>
      </c>
      <c r="L12" s="15">
        <v>3</v>
      </c>
      <c r="M12" s="73">
        <v>13.608000000000001</v>
      </c>
      <c r="N12" s="104">
        <v>13.608000000000001</v>
      </c>
      <c r="O12" s="57">
        <v>7000</v>
      </c>
      <c r="P12" s="58">
        <f t="shared" si="0"/>
        <v>95256</v>
      </c>
    </row>
    <row r="13" spans="1:16" ht="26.25" customHeight="1" x14ac:dyDescent="0.2">
      <c r="A13" s="100"/>
      <c r="B13" s="100"/>
      <c r="C13" s="65" t="s">
        <v>5778</v>
      </c>
      <c r="D13" s="70" t="s">
        <v>57</v>
      </c>
      <c r="E13" s="12">
        <v>44560</v>
      </c>
      <c r="F13" s="68" t="s">
        <v>59</v>
      </c>
      <c r="G13" s="12">
        <v>44565</v>
      </c>
      <c r="H13" s="69" t="s">
        <v>5561</v>
      </c>
      <c r="I13" s="15">
        <v>80</v>
      </c>
      <c r="J13" s="15">
        <v>52</v>
      </c>
      <c r="K13" s="15">
        <v>26</v>
      </c>
      <c r="L13" s="15">
        <v>5</v>
      </c>
      <c r="M13" s="73">
        <v>27.04</v>
      </c>
      <c r="N13" s="104">
        <v>27.04</v>
      </c>
      <c r="O13" s="57">
        <v>7000</v>
      </c>
      <c r="P13" s="58">
        <f t="shared" si="0"/>
        <v>189280</v>
      </c>
    </row>
    <row r="14" spans="1:16" ht="26.25" customHeight="1" x14ac:dyDescent="0.2">
      <c r="A14" s="100"/>
      <c r="B14" s="100"/>
      <c r="C14" s="65" t="s">
        <v>5779</v>
      </c>
      <c r="D14" s="70" t="s">
        <v>57</v>
      </c>
      <c r="E14" s="12">
        <v>44560</v>
      </c>
      <c r="F14" s="68" t="s">
        <v>59</v>
      </c>
      <c r="G14" s="12">
        <v>44565</v>
      </c>
      <c r="H14" s="69" t="s">
        <v>5561</v>
      </c>
      <c r="I14" s="15">
        <v>81</v>
      </c>
      <c r="J14" s="15">
        <v>61</v>
      </c>
      <c r="K14" s="15">
        <v>18</v>
      </c>
      <c r="L14" s="15">
        <v>5</v>
      </c>
      <c r="M14" s="73">
        <v>22.234500000000001</v>
      </c>
      <c r="N14" s="104">
        <v>22.234500000000001</v>
      </c>
      <c r="O14" s="57">
        <v>7000</v>
      </c>
      <c r="P14" s="58">
        <f t="shared" si="0"/>
        <v>155641.5</v>
      </c>
    </row>
    <row r="15" spans="1:16" ht="26.25" customHeight="1" x14ac:dyDescent="0.2">
      <c r="A15" s="100"/>
      <c r="B15" s="100"/>
      <c r="C15" s="65" t="s">
        <v>5780</v>
      </c>
      <c r="D15" s="70" t="s">
        <v>57</v>
      </c>
      <c r="E15" s="12">
        <v>44560</v>
      </c>
      <c r="F15" s="68" t="s">
        <v>59</v>
      </c>
      <c r="G15" s="12">
        <v>44565</v>
      </c>
      <c r="H15" s="69" t="s">
        <v>5561</v>
      </c>
      <c r="I15" s="15">
        <v>30</v>
      </c>
      <c r="J15" s="15">
        <v>26</v>
      </c>
      <c r="K15" s="15">
        <v>20</v>
      </c>
      <c r="L15" s="15">
        <v>1</v>
      </c>
      <c r="M15" s="73">
        <v>3.9</v>
      </c>
      <c r="N15" s="104">
        <v>3.9</v>
      </c>
      <c r="O15" s="57">
        <v>7000</v>
      </c>
      <c r="P15" s="58">
        <f t="shared" si="0"/>
        <v>27300</v>
      </c>
    </row>
    <row r="16" spans="1:16" ht="26.25" customHeight="1" x14ac:dyDescent="0.2">
      <c r="A16" s="100"/>
      <c r="B16" s="100"/>
      <c r="C16" s="65" t="s">
        <v>5781</v>
      </c>
      <c r="D16" s="70" t="s">
        <v>57</v>
      </c>
      <c r="E16" s="12">
        <v>44560</v>
      </c>
      <c r="F16" s="68" t="s">
        <v>59</v>
      </c>
      <c r="G16" s="12">
        <v>44565</v>
      </c>
      <c r="H16" s="69" t="s">
        <v>5561</v>
      </c>
      <c r="I16" s="15">
        <v>44</v>
      </c>
      <c r="J16" s="15">
        <v>30</v>
      </c>
      <c r="K16" s="15">
        <v>5</v>
      </c>
      <c r="L16" s="15">
        <v>1</v>
      </c>
      <c r="M16" s="73">
        <v>1.65</v>
      </c>
      <c r="N16" s="104">
        <v>1.65</v>
      </c>
      <c r="O16" s="57">
        <v>7000</v>
      </c>
      <c r="P16" s="58">
        <f t="shared" si="0"/>
        <v>11550</v>
      </c>
    </row>
    <row r="17" spans="1:16" ht="26.25" customHeight="1" x14ac:dyDescent="0.2">
      <c r="A17" s="100"/>
      <c r="B17" s="100"/>
      <c r="C17" s="65" t="s">
        <v>5782</v>
      </c>
      <c r="D17" s="70" t="s">
        <v>57</v>
      </c>
      <c r="E17" s="12">
        <v>44560</v>
      </c>
      <c r="F17" s="68" t="s">
        <v>59</v>
      </c>
      <c r="G17" s="12">
        <v>44565</v>
      </c>
      <c r="H17" s="69" t="s">
        <v>5561</v>
      </c>
      <c r="I17" s="15">
        <v>48</v>
      </c>
      <c r="J17" s="15">
        <v>48</v>
      </c>
      <c r="K17" s="15">
        <v>23</v>
      </c>
      <c r="L17" s="15">
        <v>11</v>
      </c>
      <c r="M17" s="73">
        <v>13.247999999999999</v>
      </c>
      <c r="N17" s="104">
        <v>13.247999999999999</v>
      </c>
      <c r="O17" s="57">
        <v>7000</v>
      </c>
      <c r="P17" s="58">
        <f t="shared" si="0"/>
        <v>92736</v>
      </c>
    </row>
    <row r="18" spans="1:16" ht="26.25" customHeight="1" x14ac:dyDescent="0.2">
      <c r="A18" s="100"/>
      <c r="B18" s="100"/>
      <c r="C18" s="65" t="s">
        <v>5783</v>
      </c>
      <c r="D18" s="70" t="s">
        <v>57</v>
      </c>
      <c r="E18" s="12">
        <v>44560</v>
      </c>
      <c r="F18" s="68" t="s">
        <v>59</v>
      </c>
      <c r="G18" s="12">
        <v>44565</v>
      </c>
      <c r="H18" s="69" t="s">
        <v>5561</v>
      </c>
      <c r="I18" s="15">
        <v>80</v>
      </c>
      <c r="J18" s="15">
        <v>55</v>
      </c>
      <c r="K18" s="15">
        <v>25</v>
      </c>
      <c r="L18" s="15">
        <v>4</v>
      </c>
      <c r="M18" s="73">
        <v>27.5</v>
      </c>
      <c r="N18" s="104">
        <v>29</v>
      </c>
      <c r="O18" s="57">
        <v>7000</v>
      </c>
      <c r="P18" s="58">
        <f t="shared" si="0"/>
        <v>203000</v>
      </c>
    </row>
    <row r="19" spans="1:16" ht="26.25" customHeight="1" x14ac:dyDescent="0.2">
      <c r="A19" s="100"/>
      <c r="B19" s="100"/>
      <c r="C19" s="65" t="s">
        <v>5784</v>
      </c>
      <c r="D19" s="70" t="s">
        <v>57</v>
      </c>
      <c r="E19" s="12">
        <v>44560</v>
      </c>
      <c r="F19" s="68" t="s">
        <v>59</v>
      </c>
      <c r="G19" s="12">
        <v>44565</v>
      </c>
      <c r="H19" s="69" t="s">
        <v>5561</v>
      </c>
      <c r="I19" s="15">
        <v>83</v>
      </c>
      <c r="J19" s="15">
        <v>63</v>
      </c>
      <c r="K19" s="15">
        <v>27</v>
      </c>
      <c r="L19" s="15">
        <v>15</v>
      </c>
      <c r="M19" s="73">
        <v>35.295749999999998</v>
      </c>
      <c r="N19" s="104">
        <v>36</v>
      </c>
      <c r="O19" s="57">
        <v>7000</v>
      </c>
      <c r="P19" s="58">
        <f t="shared" si="0"/>
        <v>252000</v>
      </c>
    </row>
    <row r="20" spans="1:16" ht="26.25" customHeight="1" x14ac:dyDescent="0.2">
      <c r="A20" s="100"/>
      <c r="B20" s="100"/>
      <c r="C20" s="65" t="s">
        <v>5785</v>
      </c>
      <c r="D20" s="70" t="s">
        <v>57</v>
      </c>
      <c r="E20" s="12">
        <v>44560</v>
      </c>
      <c r="F20" s="68" t="s">
        <v>59</v>
      </c>
      <c r="G20" s="12">
        <v>44565</v>
      </c>
      <c r="H20" s="69" t="s">
        <v>5561</v>
      </c>
      <c r="I20" s="15">
        <v>60</v>
      </c>
      <c r="J20" s="15">
        <v>40</v>
      </c>
      <c r="K20" s="15">
        <v>20</v>
      </c>
      <c r="L20" s="15">
        <v>3</v>
      </c>
      <c r="M20" s="73">
        <v>12</v>
      </c>
      <c r="N20" s="104">
        <v>12</v>
      </c>
      <c r="O20" s="57">
        <v>7000</v>
      </c>
      <c r="P20" s="58">
        <f t="shared" si="0"/>
        <v>84000</v>
      </c>
    </row>
    <row r="21" spans="1:16" ht="26.25" customHeight="1" x14ac:dyDescent="0.2">
      <c r="A21" s="100"/>
      <c r="B21" s="100"/>
      <c r="C21" s="65" t="s">
        <v>5786</v>
      </c>
      <c r="D21" s="70" t="s">
        <v>57</v>
      </c>
      <c r="E21" s="12">
        <v>44560</v>
      </c>
      <c r="F21" s="68" t="s">
        <v>59</v>
      </c>
      <c r="G21" s="12">
        <v>44565</v>
      </c>
      <c r="H21" s="69" t="s">
        <v>5561</v>
      </c>
      <c r="I21" s="15">
        <v>55</v>
      </c>
      <c r="J21" s="15">
        <v>34</v>
      </c>
      <c r="K21" s="15">
        <v>25</v>
      </c>
      <c r="L21" s="15">
        <v>5</v>
      </c>
      <c r="M21" s="73">
        <v>11.6875</v>
      </c>
      <c r="N21" s="104">
        <v>11.6875</v>
      </c>
      <c r="O21" s="57">
        <v>7000</v>
      </c>
      <c r="P21" s="58">
        <f t="shared" si="0"/>
        <v>81812.5</v>
      </c>
    </row>
    <row r="22" spans="1:16" ht="26.25" customHeight="1" x14ac:dyDescent="0.2">
      <c r="A22" s="100"/>
      <c r="B22" s="100"/>
      <c r="C22" s="65" t="s">
        <v>5787</v>
      </c>
      <c r="D22" s="70" t="s">
        <v>57</v>
      </c>
      <c r="E22" s="12">
        <v>44560</v>
      </c>
      <c r="F22" s="68" t="s">
        <v>59</v>
      </c>
      <c r="G22" s="12">
        <v>44565</v>
      </c>
      <c r="H22" s="69" t="s">
        <v>5561</v>
      </c>
      <c r="I22" s="15">
        <v>50</v>
      </c>
      <c r="J22" s="15">
        <v>45</v>
      </c>
      <c r="K22" s="15">
        <v>12</v>
      </c>
      <c r="L22" s="15">
        <v>1</v>
      </c>
      <c r="M22" s="73">
        <v>6.75</v>
      </c>
      <c r="N22" s="104">
        <v>6.75</v>
      </c>
      <c r="O22" s="57">
        <v>7000</v>
      </c>
      <c r="P22" s="58">
        <f t="shared" si="0"/>
        <v>47250</v>
      </c>
    </row>
    <row r="23" spans="1:16" ht="26.25" customHeight="1" x14ac:dyDescent="0.2">
      <c r="A23" s="100"/>
      <c r="B23" s="100"/>
      <c r="C23" s="65" t="s">
        <v>5788</v>
      </c>
      <c r="D23" s="70" t="s">
        <v>57</v>
      </c>
      <c r="E23" s="12">
        <v>44560</v>
      </c>
      <c r="F23" s="68" t="s">
        <v>59</v>
      </c>
      <c r="G23" s="12">
        <v>44565</v>
      </c>
      <c r="H23" s="69" t="s">
        <v>5561</v>
      </c>
      <c r="I23" s="15">
        <v>95</v>
      </c>
      <c r="J23" s="15">
        <v>40</v>
      </c>
      <c r="K23" s="15">
        <v>15</v>
      </c>
      <c r="L23" s="15">
        <v>7</v>
      </c>
      <c r="M23" s="73">
        <v>14.25</v>
      </c>
      <c r="N23" s="104">
        <v>14.25</v>
      </c>
      <c r="O23" s="57">
        <v>7000</v>
      </c>
      <c r="P23" s="58">
        <f t="shared" si="0"/>
        <v>99750</v>
      </c>
    </row>
    <row r="24" spans="1:16" ht="26.25" customHeight="1" x14ac:dyDescent="0.2">
      <c r="A24" s="100"/>
      <c r="B24" s="100"/>
      <c r="C24" s="65" t="s">
        <v>5789</v>
      </c>
      <c r="D24" s="70" t="s">
        <v>57</v>
      </c>
      <c r="E24" s="12">
        <v>44560</v>
      </c>
      <c r="F24" s="68" t="s">
        <v>59</v>
      </c>
      <c r="G24" s="12">
        <v>44565</v>
      </c>
      <c r="H24" s="69" t="s">
        <v>5561</v>
      </c>
      <c r="I24" s="15">
        <v>45</v>
      </c>
      <c r="J24" s="15">
        <v>30</v>
      </c>
      <c r="K24" s="15">
        <v>12</v>
      </c>
      <c r="L24" s="15">
        <v>1</v>
      </c>
      <c r="M24" s="73">
        <v>4.05</v>
      </c>
      <c r="N24" s="104">
        <v>4.05</v>
      </c>
      <c r="O24" s="57">
        <v>7000</v>
      </c>
      <c r="P24" s="58">
        <f t="shared" si="0"/>
        <v>28350</v>
      </c>
    </row>
    <row r="25" spans="1:16" ht="26.25" customHeight="1" x14ac:dyDescent="0.2">
      <c r="A25" s="100"/>
      <c r="B25" s="100"/>
      <c r="C25" s="65" t="s">
        <v>5790</v>
      </c>
      <c r="D25" s="70" t="s">
        <v>57</v>
      </c>
      <c r="E25" s="12">
        <v>44560</v>
      </c>
      <c r="F25" s="68" t="s">
        <v>59</v>
      </c>
      <c r="G25" s="12">
        <v>44565</v>
      </c>
      <c r="H25" s="69" t="s">
        <v>5561</v>
      </c>
      <c r="I25" s="15">
        <v>100</v>
      </c>
      <c r="J25" s="15">
        <v>40</v>
      </c>
      <c r="K25" s="15">
        <v>10</v>
      </c>
      <c r="L25" s="15">
        <v>1</v>
      </c>
      <c r="M25" s="73">
        <v>10</v>
      </c>
      <c r="N25" s="104">
        <v>10</v>
      </c>
      <c r="O25" s="57">
        <v>7000</v>
      </c>
      <c r="P25" s="58">
        <f t="shared" si="0"/>
        <v>70000</v>
      </c>
    </row>
    <row r="26" spans="1:16" ht="26.25" customHeight="1" x14ac:dyDescent="0.2">
      <c r="A26" s="100"/>
      <c r="B26" s="100"/>
      <c r="C26" s="65" t="s">
        <v>5791</v>
      </c>
      <c r="D26" s="70" t="s">
        <v>57</v>
      </c>
      <c r="E26" s="12">
        <v>44560</v>
      </c>
      <c r="F26" s="68" t="s">
        <v>59</v>
      </c>
      <c r="G26" s="12">
        <v>44565</v>
      </c>
      <c r="H26" s="69" t="s">
        <v>5561</v>
      </c>
      <c r="I26" s="15">
        <v>50</v>
      </c>
      <c r="J26" s="15">
        <v>40</v>
      </c>
      <c r="K26" s="15">
        <v>10</v>
      </c>
      <c r="L26" s="15">
        <v>2</v>
      </c>
      <c r="M26" s="73">
        <v>5</v>
      </c>
      <c r="N26" s="104">
        <v>5</v>
      </c>
      <c r="O26" s="57">
        <v>7000</v>
      </c>
      <c r="P26" s="58">
        <f t="shared" si="0"/>
        <v>35000</v>
      </c>
    </row>
    <row r="27" spans="1:16" ht="26.25" customHeight="1" x14ac:dyDescent="0.2">
      <c r="A27" s="100"/>
      <c r="B27" s="101"/>
      <c r="C27" s="65" t="s">
        <v>5792</v>
      </c>
      <c r="D27" s="70" t="s">
        <v>57</v>
      </c>
      <c r="E27" s="12">
        <v>44560</v>
      </c>
      <c r="F27" s="68" t="s">
        <v>59</v>
      </c>
      <c r="G27" s="12">
        <v>44565</v>
      </c>
      <c r="H27" s="69" t="s">
        <v>5561</v>
      </c>
      <c r="I27" s="15">
        <v>50</v>
      </c>
      <c r="J27" s="15">
        <v>40</v>
      </c>
      <c r="K27" s="15">
        <v>5</v>
      </c>
      <c r="L27" s="15">
        <v>1</v>
      </c>
      <c r="M27" s="73">
        <v>2.5</v>
      </c>
      <c r="N27" s="104">
        <v>4</v>
      </c>
      <c r="O27" s="57">
        <v>7000</v>
      </c>
      <c r="P27" s="58">
        <f t="shared" si="0"/>
        <v>28000</v>
      </c>
    </row>
    <row r="28" spans="1:16" ht="26.25" customHeight="1" x14ac:dyDescent="0.2">
      <c r="A28" s="100"/>
      <c r="B28" s="100" t="s">
        <v>5793</v>
      </c>
      <c r="C28" s="65" t="s">
        <v>5794</v>
      </c>
      <c r="D28" s="70" t="s">
        <v>57</v>
      </c>
      <c r="E28" s="12">
        <v>44560</v>
      </c>
      <c r="F28" s="68" t="s">
        <v>59</v>
      </c>
      <c r="G28" s="12">
        <v>44565</v>
      </c>
      <c r="H28" s="69" t="s">
        <v>5561</v>
      </c>
      <c r="I28" s="15">
        <v>75</v>
      </c>
      <c r="J28" s="15">
        <v>53</v>
      </c>
      <c r="K28" s="15">
        <v>30</v>
      </c>
      <c r="L28" s="15">
        <v>23</v>
      </c>
      <c r="M28" s="73">
        <v>29.8125</v>
      </c>
      <c r="N28" s="104">
        <v>29.8125</v>
      </c>
      <c r="O28" s="57">
        <v>7000</v>
      </c>
      <c r="P28" s="58">
        <f t="shared" si="0"/>
        <v>208687.5</v>
      </c>
    </row>
    <row r="29" spans="1:16" ht="22.5" customHeight="1" x14ac:dyDescent="0.2">
      <c r="A29" s="159" t="s">
        <v>30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1"/>
      <c r="M29" s="71">
        <f>SUBTOTAL(109,Table224578910112345678910111213141516171819202122232425262728293031323334353738394041424344454647484950515253545556575859606162636465666768697071727374757677787980818283848586878889909192939495[KG VOLUME])</f>
        <v>571.8599999999999</v>
      </c>
      <c r="N29" s="61">
        <f>SUM(N3:N28)</f>
        <v>576.69274999999993</v>
      </c>
      <c r="O29" s="162">
        <f>SUM(P3:P28)</f>
        <v>4036849.25</v>
      </c>
      <c r="P29" s="163"/>
    </row>
    <row r="30" spans="1:16" ht="18" customHeight="1" x14ac:dyDescent="0.2">
      <c r="A30" s="78"/>
      <c r="B30" s="49" t="s">
        <v>42</v>
      </c>
      <c r="C30" s="48"/>
      <c r="D30" s="50" t="s">
        <v>43</v>
      </c>
      <c r="E30" s="78"/>
      <c r="F30" s="78"/>
      <c r="G30" s="78"/>
      <c r="H30" s="78"/>
      <c r="I30" s="78"/>
      <c r="J30" s="78"/>
      <c r="K30" s="78"/>
      <c r="L30" s="78"/>
      <c r="M30" s="79"/>
      <c r="N30" s="80" t="s">
        <v>52</v>
      </c>
      <c r="O30" s="81"/>
      <c r="P30" s="81">
        <v>0</v>
      </c>
    </row>
    <row r="31" spans="1:16" ht="18" customHeight="1" thickBot="1" x14ac:dyDescent="0.25">
      <c r="A31" s="78"/>
      <c r="B31" s="49"/>
      <c r="C31" s="48"/>
      <c r="D31" s="50"/>
      <c r="E31" s="78"/>
      <c r="F31" s="78"/>
      <c r="G31" s="78"/>
      <c r="H31" s="78"/>
      <c r="I31" s="78"/>
      <c r="J31" s="78"/>
      <c r="K31" s="78"/>
      <c r="L31" s="78"/>
      <c r="M31" s="79"/>
      <c r="N31" s="82" t="s">
        <v>53</v>
      </c>
      <c r="O31" s="83"/>
      <c r="P31" s="83">
        <f>O29-P30</f>
        <v>4036849.25</v>
      </c>
    </row>
    <row r="32" spans="1:16" ht="18" customHeight="1" x14ac:dyDescent="0.2">
      <c r="A32" s="10"/>
      <c r="H32" s="56"/>
      <c r="N32" s="55" t="s">
        <v>31</v>
      </c>
      <c r="P32" s="62">
        <f>P31*1%</f>
        <v>40368.4925</v>
      </c>
    </row>
    <row r="33" spans="1:16" ht="18" customHeight="1" thickBot="1" x14ac:dyDescent="0.25">
      <c r="A33" s="10"/>
      <c r="H33" s="56"/>
      <c r="N33" s="55" t="s">
        <v>54</v>
      </c>
      <c r="P33" s="64">
        <f>P31*2%</f>
        <v>80736.985000000001</v>
      </c>
    </row>
    <row r="34" spans="1:16" ht="18" customHeight="1" x14ac:dyDescent="0.2">
      <c r="A34" s="10"/>
      <c r="H34" s="56"/>
      <c r="N34" s="59" t="s">
        <v>32</v>
      </c>
      <c r="O34" s="60"/>
      <c r="P34" s="63">
        <f>P31+P32-P33</f>
        <v>3996480.7575000003</v>
      </c>
    </row>
    <row r="36" spans="1:16" x14ac:dyDescent="0.2">
      <c r="A36" s="10"/>
      <c r="H36" s="56"/>
      <c r="P36" s="64"/>
    </row>
    <row r="37" spans="1:16" x14ac:dyDescent="0.2">
      <c r="A37" s="10"/>
      <c r="H37" s="56"/>
      <c r="O37" s="51"/>
      <c r="P37" s="6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56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56"/>
      <c r="N49" s="14"/>
      <c r="O49" s="14"/>
      <c r="P49" s="14"/>
    </row>
  </sheetData>
  <mergeCells count="2">
    <mergeCell ref="A29:L29"/>
    <mergeCell ref="O29:P29"/>
  </mergeCells>
  <conditionalFormatting sqref="C3:C28">
    <cfRule type="duplicateValues" dxfId="95" priority="12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topLeftCell="A23" workbookViewId="0">
      <selection activeCell="A3" sqref="A3:XFD2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3.25" customHeight="1" x14ac:dyDescent="0.2">
      <c r="A3" s="99">
        <v>402110</v>
      </c>
      <c r="B3" s="96" t="s">
        <v>5795</v>
      </c>
      <c r="C3" s="1" t="s">
        <v>5796</v>
      </c>
      <c r="D3" s="102" t="s">
        <v>57</v>
      </c>
      <c r="E3" s="91">
        <v>44560</v>
      </c>
      <c r="F3" s="102" t="s">
        <v>59</v>
      </c>
      <c r="G3" s="91">
        <v>44565</v>
      </c>
      <c r="H3" s="90" t="s">
        <v>5820</v>
      </c>
      <c r="I3" s="90">
        <v>68</v>
      </c>
      <c r="J3" s="90">
        <v>55</v>
      </c>
      <c r="K3" s="90">
        <v>16</v>
      </c>
      <c r="L3" s="90">
        <v>6</v>
      </c>
      <c r="M3" s="90">
        <v>14.96</v>
      </c>
      <c r="N3" s="104">
        <v>14.96</v>
      </c>
      <c r="O3" s="57">
        <v>7000</v>
      </c>
      <c r="P3" s="58">
        <f t="shared" ref="P3:P25" si="0">N3*O3</f>
        <v>104720</v>
      </c>
    </row>
    <row r="4" spans="1:16" ht="23.25" customHeight="1" x14ac:dyDescent="0.2">
      <c r="A4" s="100"/>
      <c r="B4" s="97"/>
      <c r="C4" s="1" t="s">
        <v>5797</v>
      </c>
      <c r="D4" s="102" t="s">
        <v>57</v>
      </c>
      <c r="E4" s="91">
        <v>44560</v>
      </c>
      <c r="F4" s="102" t="s">
        <v>59</v>
      </c>
      <c r="G4" s="91">
        <v>44565</v>
      </c>
      <c r="H4" s="90" t="s">
        <v>5820</v>
      </c>
      <c r="I4" s="90">
        <v>94</v>
      </c>
      <c r="J4" s="90">
        <v>52</v>
      </c>
      <c r="K4" s="90">
        <v>34</v>
      </c>
      <c r="L4" s="90">
        <v>17</v>
      </c>
      <c r="M4" s="90">
        <v>41.548000000000002</v>
      </c>
      <c r="N4" s="104">
        <v>41.548000000000002</v>
      </c>
      <c r="O4" s="57">
        <v>7000</v>
      </c>
      <c r="P4" s="58">
        <f t="shared" si="0"/>
        <v>290836</v>
      </c>
    </row>
    <row r="5" spans="1:16" ht="23.25" customHeight="1" x14ac:dyDescent="0.2">
      <c r="A5" s="100"/>
      <c r="B5" s="97"/>
      <c r="C5" s="1" t="s">
        <v>5798</v>
      </c>
      <c r="D5" s="102" t="s">
        <v>57</v>
      </c>
      <c r="E5" s="91">
        <v>44560</v>
      </c>
      <c r="F5" s="102" t="s">
        <v>59</v>
      </c>
      <c r="G5" s="91">
        <v>44565</v>
      </c>
      <c r="H5" s="90" t="s">
        <v>5820</v>
      </c>
      <c r="I5" s="90">
        <v>40</v>
      </c>
      <c r="J5" s="90">
        <v>42</v>
      </c>
      <c r="K5" s="90">
        <v>13</v>
      </c>
      <c r="L5" s="90">
        <v>2</v>
      </c>
      <c r="M5" s="90">
        <v>5.46</v>
      </c>
      <c r="N5" s="104">
        <v>6</v>
      </c>
      <c r="O5" s="57">
        <v>7000</v>
      </c>
      <c r="P5" s="58">
        <f t="shared" si="0"/>
        <v>42000</v>
      </c>
    </row>
    <row r="6" spans="1:16" ht="23.25" customHeight="1" x14ac:dyDescent="0.2">
      <c r="A6" s="100"/>
      <c r="B6" s="97"/>
      <c r="C6" s="1" t="s">
        <v>5799</v>
      </c>
      <c r="D6" s="102" t="s">
        <v>57</v>
      </c>
      <c r="E6" s="91">
        <v>44560</v>
      </c>
      <c r="F6" s="102" t="s">
        <v>59</v>
      </c>
      <c r="G6" s="91">
        <v>44565</v>
      </c>
      <c r="H6" s="90" t="s">
        <v>5820</v>
      </c>
      <c r="I6" s="90">
        <v>57</v>
      </c>
      <c r="J6" s="90">
        <v>50</v>
      </c>
      <c r="K6" s="90">
        <v>24</v>
      </c>
      <c r="L6" s="90">
        <v>15</v>
      </c>
      <c r="M6" s="90">
        <v>17.100000000000001</v>
      </c>
      <c r="N6" s="104">
        <v>17.100000000000001</v>
      </c>
      <c r="O6" s="57">
        <v>7000</v>
      </c>
      <c r="P6" s="58">
        <f t="shared" si="0"/>
        <v>119700.00000000001</v>
      </c>
    </row>
    <row r="7" spans="1:16" ht="23.25" customHeight="1" x14ac:dyDescent="0.2">
      <c r="A7" s="100"/>
      <c r="B7" s="97"/>
      <c r="C7" s="65" t="s">
        <v>5800</v>
      </c>
      <c r="D7" s="70" t="s">
        <v>57</v>
      </c>
      <c r="E7" s="12">
        <v>44560</v>
      </c>
      <c r="F7" s="68" t="s">
        <v>59</v>
      </c>
      <c r="G7" s="12">
        <v>44565</v>
      </c>
      <c r="H7" s="69" t="s">
        <v>5820</v>
      </c>
      <c r="I7" s="15">
        <v>62</v>
      </c>
      <c r="J7" s="15">
        <v>38</v>
      </c>
      <c r="K7" s="15">
        <v>16</v>
      </c>
      <c r="L7" s="15">
        <v>2</v>
      </c>
      <c r="M7" s="73">
        <v>9.4239999999999995</v>
      </c>
      <c r="N7" s="104">
        <v>10</v>
      </c>
      <c r="O7" s="57">
        <v>7000</v>
      </c>
      <c r="P7" s="58">
        <f t="shared" si="0"/>
        <v>70000</v>
      </c>
    </row>
    <row r="8" spans="1:16" ht="23.25" customHeight="1" x14ac:dyDescent="0.2">
      <c r="A8" s="100"/>
      <c r="B8" s="97"/>
      <c r="C8" s="65" t="s">
        <v>5801</v>
      </c>
      <c r="D8" s="70" t="s">
        <v>57</v>
      </c>
      <c r="E8" s="12">
        <v>44560</v>
      </c>
      <c r="F8" s="68" t="s">
        <v>59</v>
      </c>
      <c r="G8" s="12">
        <v>44565</v>
      </c>
      <c r="H8" s="69" t="s">
        <v>5820</v>
      </c>
      <c r="I8" s="15">
        <v>42</v>
      </c>
      <c r="J8" s="15">
        <v>32</v>
      </c>
      <c r="K8" s="15">
        <v>26</v>
      </c>
      <c r="L8" s="15">
        <v>2</v>
      </c>
      <c r="M8" s="73">
        <v>8.7360000000000007</v>
      </c>
      <c r="N8" s="104">
        <v>8.7360000000000007</v>
      </c>
      <c r="O8" s="57">
        <v>7000</v>
      </c>
      <c r="P8" s="58">
        <f t="shared" si="0"/>
        <v>61152.000000000007</v>
      </c>
    </row>
    <row r="9" spans="1:16" ht="23.25" customHeight="1" x14ac:dyDescent="0.2">
      <c r="A9" s="100"/>
      <c r="B9" s="97"/>
      <c r="C9" s="65" t="s">
        <v>5802</v>
      </c>
      <c r="D9" s="70" t="s">
        <v>57</v>
      </c>
      <c r="E9" s="12">
        <v>44560</v>
      </c>
      <c r="F9" s="68" t="s">
        <v>59</v>
      </c>
      <c r="G9" s="12">
        <v>44565</v>
      </c>
      <c r="H9" s="69" t="s">
        <v>5820</v>
      </c>
      <c r="I9" s="15">
        <v>58</v>
      </c>
      <c r="J9" s="15">
        <v>38</v>
      </c>
      <c r="K9" s="15">
        <v>15</v>
      </c>
      <c r="L9" s="15">
        <v>6</v>
      </c>
      <c r="M9" s="73">
        <v>8.2650000000000006</v>
      </c>
      <c r="N9" s="104">
        <v>8.2650000000000006</v>
      </c>
      <c r="O9" s="57">
        <v>7000</v>
      </c>
      <c r="P9" s="58">
        <f t="shared" si="0"/>
        <v>57855.000000000007</v>
      </c>
    </row>
    <row r="10" spans="1:16" ht="23.25" customHeight="1" x14ac:dyDescent="0.2">
      <c r="A10" s="100"/>
      <c r="B10" s="97"/>
      <c r="C10" s="65" t="s">
        <v>5803</v>
      </c>
      <c r="D10" s="70" t="s">
        <v>57</v>
      </c>
      <c r="E10" s="12">
        <v>44560</v>
      </c>
      <c r="F10" s="68" t="s">
        <v>59</v>
      </c>
      <c r="G10" s="12">
        <v>44565</v>
      </c>
      <c r="H10" s="69" t="s">
        <v>5820</v>
      </c>
      <c r="I10" s="15">
        <v>58</v>
      </c>
      <c r="J10" s="15">
        <v>38</v>
      </c>
      <c r="K10" s="15">
        <v>15</v>
      </c>
      <c r="L10" s="15">
        <v>6</v>
      </c>
      <c r="M10" s="73">
        <v>8.2650000000000006</v>
      </c>
      <c r="N10" s="104">
        <v>8.2650000000000006</v>
      </c>
      <c r="O10" s="57">
        <v>7000</v>
      </c>
      <c r="P10" s="58">
        <f t="shared" si="0"/>
        <v>57855.000000000007</v>
      </c>
    </row>
    <row r="11" spans="1:16" ht="23.25" customHeight="1" x14ac:dyDescent="0.2">
      <c r="A11" s="100"/>
      <c r="B11" s="97"/>
      <c r="C11" s="65" t="s">
        <v>5804</v>
      </c>
      <c r="D11" s="70" t="s">
        <v>57</v>
      </c>
      <c r="E11" s="12">
        <v>44560</v>
      </c>
      <c r="F11" s="68" t="s">
        <v>59</v>
      </c>
      <c r="G11" s="12">
        <v>44565</v>
      </c>
      <c r="H11" s="69" t="s">
        <v>5820</v>
      </c>
      <c r="I11" s="15">
        <v>36</v>
      </c>
      <c r="J11" s="15">
        <v>32</v>
      </c>
      <c r="K11" s="15">
        <v>7</v>
      </c>
      <c r="L11" s="15">
        <v>4</v>
      </c>
      <c r="M11" s="73">
        <v>2.016</v>
      </c>
      <c r="N11" s="104">
        <v>4</v>
      </c>
      <c r="O11" s="57">
        <v>7000</v>
      </c>
      <c r="P11" s="58">
        <f t="shared" si="0"/>
        <v>28000</v>
      </c>
    </row>
    <row r="12" spans="1:16" ht="23.25" customHeight="1" x14ac:dyDescent="0.2">
      <c r="A12" s="100"/>
      <c r="B12" s="97"/>
      <c r="C12" s="65" t="s">
        <v>5805</v>
      </c>
      <c r="D12" s="70" t="s">
        <v>57</v>
      </c>
      <c r="E12" s="12">
        <v>44560</v>
      </c>
      <c r="F12" s="68" t="s">
        <v>59</v>
      </c>
      <c r="G12" s="12">
        <v>44565</v>
      </c>
      <c r="H12" s="69" t="s">
        <v>5820</v>
      </c>
      <c r="I12" s="15">
        <v>36</v>
      </c>
      <c r="J12" s="15">
        <v>38</v>
      </c>
      <c r="K12" s="15">
        <v>16</v>
      </c>
      <c r="L12" s="15">
        <v>3</v>
      </c>
      <c r="M12" s="73">
        <v>5.4720000000000004</v>
      </c>
      <c r="N12" s="104">
        <v>6</v>
      </c>
      <c r="O12" s="57">
        <v>7000</v>
      </c>
      <c r="P12" s="58">
        <f t="shared" si="0"/>
        <v>42000</v>
      </c>
    </row>
    <row r="13" spans="1:16" ht="23.25" customHeight="1" x14ac:dyDescent="0.2">
      <c r="A13" s="100"/>
      <c r="B13" s="97"/>
      <c r="C13" s="65" t="s">
        <v>5806</v>
      </c>
      <c r="D13" s="70" t="s">
        <v>57</v>
      </c>
      <c r="E13" s="12">
        <v>44560</v>
      </c>
      <c r="F13" s="68" t="s">
        <v>59</v>
      </c>
      <c r="G13" s="12">
        <v>44565</v>
      </c>
      <c r="H13" s="69" t="s">
        <v>5820</v>
      </c>
      <c r="I13" s="15">
        <v>47</v>
      </c>
      <c r="J13" s="15">
        <v>28</v>
      </c>
      <c r="K13" s="15">
        <v>20</v>
      </c>
      <c r="L13" s="15">
        <v>1</v>
      </c>
      <c r="M13" s="73">
        <v>6.58</v>
      </c>
      <c r="N13" s="104">
        <v>6.58</v>
      </c>
      <c r="O13" s="57">
        <v>7000</v>
      </c>
      <c r="P13" s="58">
        <f t="shared" si="0"/>
        <v>46060</v>
      </c>
    </row>
    <row r="14" spans="1:16" ht="23.25" customHeight="1" x14ac:dyDescent="0.2">
      <c r="A14" s="100"/>
      <c r="B14" s="97"/>
      <c r="C14" s="65" t="s">
        <v>5807</v>
      </c>
      <c r="D14" s="70" t="s">
        <v>57</v>
      </c>
      <c r="E14" s="12">
        <v>44560</v>
      </c>
      <c r="F14" s="68" t="s">
        <v>59</v>
      </c>
      <c r="G14" s="12">
        <v>44565</v>
      </c>
      <c r="H14" s="69" t="s">
        <v>5820</v>
      </c>
      <c r="I14" s="15">
        <v>50</v>
      </c>
      <c r="J14" s="15">
        <v>50</v>
      </c>
      <c r="K14" s="15">
        <v>14</v>
      </c>
      <c r="L14" s="15">
        <v>3</v>
      </c>
      <c r="M14" s="73">
        <v>8.75</v>
      </c>
      <c r="N14" s="104">
        <v>8.75</v>
      </c>
      <c r="O14" s="57">
        <v>7000</v>
      </c>
      <c r="P14" s="58">
        <f t="shared" si="0"/>
        <v>61250</v>
      </c>
    </row>
    <row r="15" spans="1:16" ht="23.25" customHeight="1" x14ac:dyDescent="0.2">
      <c r="A15" s="100"/>
      <c r="B15" s="97"/>
      <c r="C15" s="65" t="s">
        <v>5808</v>
      </c>
      <c r="D15" s="70" t="s">
        <v>57</v>
      </c>
      <c r="E15" s="12">
        <v>44560</v>
      </c>
      <c r="F15" s="68" t="s">
        <v>59</v>
      </c>
      <c r="G15" s="12">
        <v>44565</v>
      </c>
      <c r="H15" s="69" t="s">
        <v>5820</v>
      </c>
      <c r="I15" s="15">
        <v>38</v>
      </c>
      <c r="J15" s="15">
        <v>28</v>
      </c>
      <c r="K15" s="15">
        <v>15</v>
      </c>
      <c r="L15" s="15">
        <v>7</v>
      </c>
      <c r="M15" s="73">
        <v>3.99</v>
      </c>
      <c r="N15" s="104">
        <v>7</v>
      </c>
      <c r="O15" s="57">
        <v>7000</v>
      </c>
      <c r="P15" s="58">
        <f t="shared" si="0"/>
        <v>49000</v>
      </c>
    </row>
    <row r="16" spans="1:16" ht="23.25" customHeight="1" x14ac:dyDescent="0.2">
      <c r="A16" s="100"/>
      <c r="B16" s="97"/>
      <c r="C16" s="65" t="s">
        <v>5809</v>
      </c>
      <c r="D16" s="70" t="s">
        <v>57</v>
      </c>
      <c r="E16" s="12">
        <v>44560</v>
      </c>
      <c r="F16" s="68" t="s">
        <v>59</v>
      </c>
      <c r="G16" s="12">
        <v>44565</v>
      </c>
      <c r="H16" s="69" t="s">
        <v>5820</v>
      </c>
      <c r="I16" s="15">
        <v>25</v>
      </c>
      <c r="J16" s="15">
        <v>24</v>
      </c>
      <c r="K16" s="15">
        <v>30</v>
      </c>
      <c r="L16" s="15">
        <v>3</v>
      </c>
      <c r="M16" s="73">
        <v>4.5</v>
      </c>
      <c r="N16" s="104">
        <v>6</v>
      </c>
      <c r="O16" s="57">
        <v>7000</v>
      </c>
      <c r="P16" s="58">
        <f t="shared" si="0"/>
        <v>42000</v>
      </c>
    </row>
    <row r="17" spans="1:16" ht="23.25" customHeight="1" x14ac:dyDescent="0.2">
      <c r="A17" s="100"/>
      <c r="B17" s="97"/>
      <c r="C17" s="65" t="s">
        <v>5810</v>
      </c>
      <c r="D17" s="70" t="s">
        <v>57</v>
      </c>
      <c r="E17" s="12">
        <v>44560</v>
      </c>
      <c r="F17" s="68" t="s">
        <v>59</v>
      </c>
      <c r="G17" s="12">
        <v>44565</v>
      </c>
      <c r="H17" s="69" t="s">
        <v>5820</v>
      </c>
      <c r="I17" s="15">
        <v>38</v>
      </c>
      <c r="J17" s="15">
        <v>33</v>
      </c>
      <c r="K17" s="15">
        <v>40</v>
      </c>
      <c r="L17" s="15">
        <v>8</v>
      </c>
      <c r="M17" s="73">
        <v>12.54</v>
      </c>
      <c r="N17" s="104">
        <v>12.54</v>
      </c>
      <c r="O17" s="57">
        <v>7000</v>
      </c>
      <c r="P17" s="58">
        <f t="shared" si="0"/>
        <v>87780</v>
      </c>
    </row>
    <row r="18" spans="1:16" ht="23.25" customHeight="1" x14ac:dyDescent="0.2">
      <c r="A18" s="100"/>
      <c r="B18" s="97"/>
      <c r="C18" s="65" t="s">
        <v>5811</v>
      </c>
      <c r="D18" s="70" t="s">
        <v>57</v>
      </c>
      <c r="E18" s="12">
        <v>44560</v>
      </c>
      <c r="F18" s="68" t="s">
        <v>59</v>
      </c>
      <c r="G18" s="12">
        <v>44565</v>
      </c>
      <c r="H18" s="69" t="s">
        <v>5820</v>
      </c>
      <c r="I18" s="15">
        <v>38</v>
      </c>
      <c r="J18" s="15">
        <v>33</v>
      </c>
      <c r="K18" s="15">
        <v>40</v>
      </c>
      <c r="L18" s="15">
        <v>7</v>
      </c>
      <c r="M18" s="73">
        <v>12.54</v>
      </c>
      <c r="N18" s="104">
        <v>12.54</v>
      </c>
      <c r="O18" s="57">
        <v>7000</v>
      </c>
      <c r="P18" s="58">
        <f t="shared" si="0"/>
        <v>87780</v>
      </c>
    </row>
    <row r="19" spans="1:16" ht="23.25" customHeight="1" x14ac:dyDescent="0.2">
      <c r="A19" s="100"/>
      <c r="B19" s="97"/>
      <c r="C19" s="65" t="s">
        <v>5812</v>
      </c>
      <c r="D19" s="70" t="s">
        <v>57</v>
      </c>
      <c r="E19" s="12">
        <v>44560</v>
      </c>
      <c r="F19" s="68" t="s">
        <v>59</v>
      </c>
      <c r="G19" s="12">
        <v>44565</v>
      </c>
      <c r="H19" s="69" t="s">
        <v>5820</v>
      </c>
      <c r="I19" s="15">
        <v>100</v>
      </c>
      <c r="J19" s="15">
        <v>57</v>
      </c>
      <c r="K19" s="15">
        <v>37</v>
      </c>
      <c r="L19" s="15">
        <v>25</v>
      </c>
      <c r="M19" s="73">
        <v>52.725000000000001</v>
      </c>
      <c r="N19" s="104">
        <v>52.725000000000001</v>
      </c>
      <c r="O19" s="57">
        <v>7000</v>
      </c>
      <c r="P19" s="58">
        <f t="shared" si="0"/>
        <v>369075</v>
      </c>
    </row>
    <row r="20" spans="1:16" ht="23.25" customHeight="1" x14ac:dyDescent="0.2">
      <c r="A20" s="100"/>
      <c r="B20" s="97"/>
      <c r="C20" s="65" t="s">
        <v>5813</v>
      </c>
      <c r="D20" s="70" t="s">
        <v>57</v>
      </c>
      <c r="E20" s="12">
        <v>44560</v>
      </c>
      <c r="F20" s="68" t="s">
        <v>59</v>
      </c>
      <c r="G20" s="12">
        <v>44565</v>
      </c>
      <c r="H20" s="69" t="s">
        <v>5820</v>
      </c>
      <c r="I20" s="15">
        <v>45</v>
      </c>
      <c r="J20" s="15">
        <v>38</v>
      </c>
      <c r="K20" s="15">
        <v>15</v>
      </c>
      <c r="L20" s="15">
        <v>2</v>
      </c>
      <c r="M20" s="73">
        <v>6.4124999999999996</v>
      </c>
      <c r="N20" s="104">
        <v>7</v>
      </c>
      <c r="O20" s="57">
        <v>7000</v>
      </c>
      <c r="P20" s="58">
        <f t="shared" si="0"/>
        <v>49000</v>
      </c>
    </row>
    <row r="21" spans="1:16" ht="23.25" customHeight="1" x14ac:dyDescent="0.2">
      <c r="A21" s="100"/>
      <c r="B21" s="97"/>
      <c r="C21" s="65" t="s">
        <v>5814</v>
      </c>
      <c r="D21" s="70" t="s">
        <v>57</v>
      </c>
      <c r="E21" s="12">
        <v>44560</v>
      </c>
      <c r="F21" s="68" t="s">
        <v>59</v>
      </c>
      <c r="G21" s="12">
        <v>44565</v>
      </c>
      <c r="H21" s="69" t="s">
        <v>5820</v>
      </c>
      <c r="I21" s="15">
        <v>28</v>
      </c>
      <c r="J21" s="15">
        <v>24</v>
      </c>
      <c r="K21" s="15">
        <v>8</v>
      </c>
      <c r="L21" s="15">
        <v>1</v>
      </c>
      <c r="M21" s="73">
        <v>1.3440000000000001</v>
      </c>
      <c r="N21" s="104">
        <v>2</v>
      </c>
      <c r="O21" s="57">
        <v>7000</v>
      </c>
      <c r="P21" s="58">
        <f t="shared" si="0"/>
        <v>14000</v>
      </c>
    </row>
    <row r="22" spans="1:16" ht="23.25" customHeight="1" x14ac:dyDescent="0.2">
      <c r="A22" s="100"/>
      <c r="B22" s="97"/>
      <c r="C22" s="65" t="s">
        <v>5815</v>
      </c>
      <c r="D22" s="70" t="s">
        <v>57</v>
      </c>
      <c r="E22" s="12">
        <v>44560</v>
      </c>
      <c r="F22" s="68" t="s">
        <v>59</v>
      </c>
      <c r="G22" s="12">
        <v>44565</v>
      </c>
      <c r="H22" s="69" t="s">
        <v>5820</v>
      </c>
      <c r="I22" s="15">
        <v>86</v>
      </c>
      <c r="J22" s="15">
        <v>50</v>
      </c>
      <c r="K22" s="15">
        <v>34</v>
      </c>
      <c r="L22" s="15">
        <v>21</v>
      </c>
      <c r="M22" s="73">
        <v>36.549999999999997</v>
      </c>
      <c r="N22" s="104">
        <v>36.549999999999997</v>
      </c>
      <c r="O22" s="57">
        <v>7000</v>
      </c>
      <c r="P22" s="58">
        <f t="shared" si="0"/>
        <v>255849.99999999997</v>
      </c>
    </row>
    <row r="23" spans="1:16" ht="23.25" customHeight="1" x14ac:dyDescent="0.2">
      <c r="A23" s="100"/>
      <c r="B23" s="97"/>
      <c r="C23" s="65" t="s">
        <v>5816</v>
      </c>
      <c r="D23" s="70" t="s">
        <v>57</v>
      </c>
      <c r="E23" s="12">
        <v>44560</v>
      </c>
      <c r="F23" s="68" t="s">
        <v>59</v>
      </c>
      <c r="G23" s="12">
        <v>44565</v>
      </c>
      <c r="H23" s="69" t="s">
        <v>5820</v>
      </c>
      <c r="I23" s="15">
        <v>55</v>
      </c>
      <c r="J23" s="15">
        <v>47</v>
      </c>
      <c r="K23" s="15">
        <v>25</v>
      </c>
      <c r="L23" s="15">
        <v>6</v>
      </c>
      <c r="M23" s="73">
        <v>16.15625</v>
      </c>
      <c r="N23" s="104">
        <v>16.15625</v>
      </c>
      <c r="O23" s="57">
        <v>7000</v>
      </c>
      <c r="P23" s="58">
        <f t="shared" si="0"/>
        <v>113093.75</v>
      </c>
    </row>
    <row r="24" spans="1:16" ht="23.25" customHeight="1" x14ac:dyDescent="0.2">
      <c r="A24" s="100"/>
      <c r="B24" s="98"/>
      <c r="C24" s="65" t="s">
        <v>5817</v>
      </c>
      <c r="D24" s="70" t="s">
        <v>57</v>
      </c>
      <c r="E24" s="12">
        <v>44560</v>
      </c>
      <c r="F24" s="68" t="s">
        <v>59</v>
      </c>
      <c r="G24" s="12">
        <v>44565</v>
      </c>
      <c r="H24" s="69" t="s">
        <v>5820</v>
      </c>
      <c r="I24" s="15">
        <v>66</v>
      </c>
      <c r="J24" s="15">
        <v>62</v>
      </c>
      <c r="K24" s="15">
        <v>24</v>
      </c>
      <c r="L24" s="15">
        <v>6</v>
      </c>
      <c r="M24" s="73">
        <v>24.552</v>
      </c>
      <c r="N24" s="104">
        <v>24.552</v>
      </c>
      <c r="O24" s="57">
        <v>7000</v>
      </c>
      <c r="P24" s="58">
        <f t="shared" si="0"/>
        <v>171864</v>
      </c>
    </row>
    <row r="25" spans="1:16" ht="23.25" customHeight="1" x14ac:dyDescent="0.2">
      <c r="A25" s="100"/>
      <c r="B25" s="97" t="s">
        <v>5818</v>
      </c>
      <c r="C25" s="65" t="s">
        <v>5819</v>
      </c>
      <c r="D25" s="70" t="s">
        <v>57</v>
      </c>
      <c r="E25" s="12">
        <v>44560</v>
      </c>
      <c r="F25" s="68" t="s">
        <v>59</v>
      </c>
      <c r="G25" s="12">
        <v>44565</v>
      </c>
      <c r="H25" s="69" t="s">
        <v>5820</v>
      </c>
      <c r="I25" s="15">
        <v>40</v>
      </c>
      <c r="J25" s="15">
        <v>36</v>
      </c>
      <c r="K25" s="15">
        <v>15</v>
      </c>
      <c r="L25" s="15">
        <v>3</v>
      </c>
      <c r="M25" s="73">
        <v>5.4</v>
      </c>
      <c r="N25" s="104">
        <v>6</v>
      </c>
      <c r="O25" s="57">
        <v>7000</v>
      </c>
      <c r="P25" s="58">
        <f t="shared" si="0"/>
        <v>42000</v>
      </c>
    </row>
    <row r="26" spans="1:16" ht="22.5" customHeight="1" x14ac:dyDescent="0.2">
      <c r="A26" s="159" t="s">
        <v>30</v>
      </c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M26" s="71">
        <f>SUBTOTAL(109,Table22457891011234567891011121314151617181920212223242526272829303132333435373839404142434445464748495051525354555657585960616263646566676869707172737475767778798081828384858687888990919293949596[KG VOLUME])</f>
        <v>313.28575000000001</v>
      </c>
      <c r="N26" s="61">
        <f>SUM(N3:N25)</f>
        <v>323.26724999999999</v>
      </c>
      <c r="O26" s="162">
        <f>SUM(P3:P25)</f>
        <v>2262870.75</v>
      </c>
      <c r="P26" s="163"/>
    </row>
    <row r="27" spans="1:16" ht="18" customHeight="1" x14ac:dyDescent="0.2">
      <c r="A27" s="78"/>
      <c r="B27" s="49" t="s">
        <v>42</v>
      </c>
      <c r="C27" s="48"/>
      <c r="D27" s="50" t="s">
        <v>43</v>
      </c>
      <c r="E27" s="78"/>
      <c r="F27" s="78"/>
      <c r="G27" s="78"/>
      <c r="H27" s="78"/>
      <c r="I27" s="78"/>
      <c r="J27" s="78"/>
      <c r="K27" s="78"/>
      <c r="L27" s="78"/>
      <c r="M27" s="79"/>
      <c r="N27" s="80" t="s">
        <v>52</v>
      </c>
      <c r="O27" s="81"/>
      <c r="P27" s="81">
        <v>0</v>
      </c>
    </row>
    <row r="28" spans="1:16" ht="18" customHeight="1" thickBot="1" x14ac:dyDescent="0.25">
      <c r="A28" s="78"/>
      <c r="B28" s="49"/>
      <c r="C28" s="48"/>
      <c r="D28" s="50"/>
      <c r="E28" s="78"/>
      <c r="F28" s="78"/>
      <c r="G28" s="78"/>
      <c r="H28" s="78"/>
      <c r="I28" s="78"/>
      <c r="J28" s="78"/>
      <c r="K28" s="78"/>
      <c r="L28" s="78"/>
      <c r="M28" s="79"/>
      <c r="N28" s="82" t="s">
        <v>53</v>
      </c>
      <c r="O28" s="83"/>
      <c r="P28" s="83">
        <f>O26-P27</f>
        <v>2262870.75</v>
      </c>
    </row>
    <row r="29" spans="1:16" ht="18" customHeight="1" x14ac:dyDescent="0.2">
      <c r="A29" s="10"/>
      <c r="H29" s="56"/>
      <c r="N29" s="55" t="s">
        <v>31</v>
      </c>
      <c r="P29" s="62">
        <f>P28*1%</f>
        <v>22628.7075</v>
      </c>
    </row>
    <row r="30" spans="1:16" ht="18" customHeight="1" thickBot="1" x14ac:dyDescent="0.25">
      <c r="A30" s="10"/>
      <c r="H30" s="56"/>
      <c r="N30" s="55" t="s">
        <v>54</v>
      </c>
      <c r="P30" s="64">
        <f>P28*2%</f>
        <v>45257.415000000001</v>
      </c>
    </row>
    <row r="31" spans="1:16" ht="18" customHeight="1" x14ac:dyDescent="0.2">
      <c r="A31" s="10"/>
      <c r="H31" s="56"/>
      <c r="N31" s="59" t="s">
        <v>32</v>
      </c>
      <c r="O31" s="60"/>
      <c r="P31" s="63">
        <f>P28+P29-P30</f>
        <v>2240242.0425</v>
      </c>
    </row>
    <row r="33" spans="1:16" x14ac:dyDescent="0.2">
      <c r="A33" s="10"/>
      <c r="H33" s="56"/>
      <c r="P33" s="64"/>
    </row>
    <row r="34" spans="1:16" x14ac:dyDescent="0.2">
      <c r="A34" s="10"/>
      <c r="H34" s="56"/>
      <c r="O34" s="51"/>
      <c r="P34" s="64"/>
    </row>
    <row r="35" spans="1:16" s="3" customFormat="1" x14ac:dyDescent="0.25">
      <c r="A35" s="10"/>
      <c r="B35" s="2"/>
      <c r="C35" s="2"/>
      <c r="E35" s="11"/>
      <c r="H35" s="56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</sheetData>
  <mergeCells count="2">
    <mergeCell ref="A26:L26"/>
    <mergeCell ref="O26:P26"/>
  </mergeCells>
  <conditionalFormatting sqref="C3:C25">
    <cfRule type="duplicateValues" dxfId="79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0"/>
  <sheetViews>
    <sheetView topLeftCell="A140" workbookViewId="0">
      <selection activeCell="N139" sqref="N3:N13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402752</v>
      </c>
      <c r="B3" s="99" t="s">
        <v>5821</v>
      </c>
      <c r="C3" s="90" t="s">
        <v>5822</v>
      </c>
      <c r="D3" s="102" t="s">
        <v>57</v>
      </c>
      <c r="E3" s="91">
        <v>44560</v>
      </c>
      <c r="F3" s="102" t="s">
        <v>59</v>
      </c>
      <c r="G3" s="91">
        <v>44565</v>
      </c>
      <c r="H3" s="90" t="s">
        <v>5820</v>
      </c>
      <c r="I3" s="90">
        <v>104</v>
      </c>
      <c r="J3" s="90">
        <v>12</v>
      </c>
      <c r="K3" s="90">
        <v>12</v>
      </c>
      <c r="L3" s="90">
        <v>3</v>
      </c>
      <c r="M3" s="90">
        <v>3.7440000000000002</v>
      </c>
      <c r="N3" s="104">
        <v>3.7440000000000002</v>
      </c>
      <c r="O3" s="57">
        <v>7000</v>
      </c>
      <c r="P3" s="58">
        <f t="shared" ref="P3:P66" si="0">N3*O3</f>
        <v>26208</v>
      </c>
    </row>
    <row r="4" spans="1:16" ht="26.25" customHeight="1" x14ac:dyDescent="0.2">
      <c r="A4" s="100"/>
      <c r="B4" s="100"/>
      <c r="C4" s="90" t="s">
        <v>5823</v>
      </c>
      <c r="D4" s="102" t="s">
        <v>57</v>
      </c>
      <c r="E4" s="91">
        <v>44560</v>
      </c>
      <c r="F4" s="102" t="s">
        <v>59</v>
      </c>
      <c r="G4" s="91">
        <v>44565</v>
      </c>
      <c r="H4" s="90" t="s">
        <v>5820</v>
      </c>
      <c r="I4" s="90">
        <v>65</v>
      </c>
      <c r="J4" s="90">
        <v>12</v>
      </c>
      <c r="K4" s="90">
        <v>12</v>
      </c>
      <c r="L4" s="90">
        <v>1</v>
      </c>
      <c r="M4" s="90">
        <v>2.34</v>
      </c>
      <c r="N4" s="104">
        <v>3</v>
      </c>
      <c r="O4" s="57">
        <v>7000</v>
      </c>
      <c r="P4" s="58">
        <f t="shared" si="0"/>
        <v>21000</v>
      </c>
    </row>
    <row r="5" spans="1:16" ht="26.25" customHeight="1" x14ac:dyDescent="0.2">
      <c r="A5" s="100"/>
      <c r="B5" s="100"/>
      <c r="C5" s="65" t="s">
        <v>5824</v>
      </c>
      <c r="D5" s="70" t="s">
        <v>57</v>
      </c>
      <c r="E5" s="12">
        <v>44560</v>
      </c>
      <c r="F5" s="68" t="s">
        <v>59</v>
      </c>
      <c r="G5" s="12">
        <v>44565</v>
      </c>
      <c r="H5" s="69" t="s">
        <v>5820</v>
      </c>
      <c r="I5" s="15">
        <v>57</v>
      </c>
      <c r="J5" s="15">
        <v>32</v>
      </c>
      <c r="K5" s="15">
        <v>5</v>
      </c>
      <c r="L5" s="15">
        <v>1</v>
      </c>
      <c r="M5" s="73">
        <v>2.2799999999999998</v>
      </c>
      <c r="N5" s="104">
        <v>2.2799999999999998</v>
      </c>
      <c r="O5" s="57">
        <v>7000</v>
      </c>
      <c r="P5" s="58">
        <f t="shared" si="0"/>
        <v>15959.999999999998</v>
      </c>
    </row>
    <row r="6" spans="1:16" ht="26.25" customHeight="1" x14ac:dyDescent="0.2">
      <c r="A6" s="100"/>
      <c r="B6" s="100"/>
      <c r="C6" s="65" t="s">
        <v>5825</v>
      </c>
      <c r="D6" s="70" t="s">
        <v>57</v>
      </c>
      <c r="E6" s="12">
        <v>44560</v>
      </c>
      <c r="F6" s="68" t="s">
        <v>59</v>
      </c>
      <c r="G6" s="12">
        <v>44565</v>
      </c>
      <c r="H6" s="69" t="s">
        <v>5820</v>
      </c>
      <c r="I6" s="15">
        <v>130</v>
      </c>
      <c r="J6" s="15">
        <v>8</v>
      </c>
      <c r="K6" s="15">
        <v>8</v>
      </c>
      <c r="L6" s="15">
        <v>1</v>
      </c>
      <c r="M6" s="73">
        <v>2.08</v>
      </c>
      <c r="N6" s="104">
        <v>2.08</v>
      </c>
      <c r="O6" s="57">
        <v>7000</v>
      </c>
      <c r="P6" s="58">
        <f t="shared" si="0"/>
        <v>14560</v>
      </c>
    </row>
    <row r="7" spans="1:16" ht="26.25" customHeight="1" x14ac:dyDescent="0.2">
      <c r="A7" s="100"/>
      <c r="B7" s="100"/>
      <c r="C7" s="65" t="s">
        <v>5826</v>
      </c>
      <c r="D7" s="70" t="s">
        <v>57</v>
      </c>
      <c r="E7" s="12">
        <v>44560</v>
      </c>
      <c r="F7" s="68" t="s">
        <v>59</v>
      </c>
      <c r="G7" s="12">
        <v>44565</v>
      </c>
      <c r="H7" s="69" t="s">
        <v>5820</v>
      </c>
      <c r="I7" s="15">
        <v>107</v>
      </c>
      <c r="J7" s="15">
        <v>10</v>
      </c>
      <c r="K7" s="15">
        <v>10</v>
      </c>
      <c r="L7" s="15">
        <v>1</v>
      </c>
      <c r="M7" s="73">
        <v>2.6749999999999998</v>
      </c>
      <c r="N7" s="104">
        <v>2.6749999999999998</v>
      </c>
      <c r="O7" s="57">
        <v>7000</v>
      </c>
      <c r="P7" s="58">
        <f t="shared" si="0"/>
        <v>18725</v>
      </c>
    </row>
    <row r="8" spans="1:16" ht="26.25" customHeight="1" x14ac:dyDescent="0.2">
      <c r="A8" s="100"/>
      <c r="B8" s="100"/>
      <c r="C8" s="65" t="s">
        <v>5827</v>
      </c>
      <c r="D8" s="70" t="s">
        <v>57</v>
      </c>
      <c r="E8" s="12">
        <v>44560</v>
      </c>
      <c r="F8" s="68" t="s">
        <v>59</v>
      </c>
      <c r="G8" s="12">
        <v>44565</v>
      </c>
      <c r="H8" s="69" t="s">
        <v>5820</v>
      </c>
      <c r="I8" s="15">
        <v>74</v>
      </c>
      <c r="J8" s="15">
        <v>10</v>
      </c>
      <c r="K8" s="15">
        <v>10</v>
      </c>
      <c r="L8" s="15">
        <v>1</v>
      </c>
      <c r="M8" s="73">
        <v>1.85</v>
      </c>
      <c r="N8" s="104">
        <v>1.85</v>
      </c>
      <c r="O8" s="57">
        <v>7000</v>
      </c>
      <c r="P8" s="58">
        <f t="shared" si="0"/>
        <v>12950</v>
      </c>
    </row>
    <row r="9" spans="1:16" ht="26.25" customHeight="1" x14ac:dyDescent="0.2">
      <c r="A9" s="100"/>
      <c r="B9" s="100"/>
      <c r="C9" s="65" t="s">
        <v>5828</v>
      </c>
      <c r="D9" s="70" t="s">
        <v>57</v>
      </c>
      <c r="E9" s="12">
        <v>44560</v>
      </c>
      <c r="F9" s="68" t="s">
        <v>59</v>
      </c>
      <c r="G9" s="12">
        <v>44565</v>
      </c>
      <c r="H9" s="69" t="s">
        <v>5820</v>
      </c>
      <c r="I9" s="15">
        <v>74</v>
      </c>
      <c r="J9" s="15">
        <v>10</v>
      </c>
      <c r="K9" s="15">
        <v>10</v>
      </c>
      <c r="L9" s="15">
        <v>1</v>
      </c>
      <c r="M9" s="73">
        <v>1.85</v>
      </c>
      <c r="N9" s="104">
        <v>1.85</v>
      </c>
      <c r="O9" s="57">
        <v>7000</v>
      </c>
      <c r="P9" s="58">
        <f t="shared" si="0"/>
        <v>12950</v>
      </c>
    </row>
    <row r="10" spans="1:16" ht="26.25" customHeight="1" x14ac:dyDescent="0.2">
      <c r="A10" s="100"/>
      <c r="B10" s="100"/>
      <c r="C10" s="65" t="s">
        <v>5829</v>
      </c>
      <c r="D10" s="70" t="s">
        <v>57</v>
      </c>
      <c r="E10" s="12">
        <v>44560</v>
      </c>
      <c r="F10" s="68" t="s">
        <v>59</v>
      </c>
      <c r="G10" s="12">
        <v>44565</v>
      </c>
      <c r="H10" s="69" t="s">
        <v>5820</v>
      </c>
      <c r="I10" s="15">
        <v>98</v>
      </c>
      <c r="J10" s="15">
        <v>65</v>
      </c>
      <c r="K10" s="15">
        <v>38</v>
      </c>
      <c r="L10" s="15">
        <v>18</v>
      </c>
      <c r="M10" s="73">
        <v>60.515000000000001</v>
      </c>
      <c r="N10" s="104">
        <v>60.515000000000001</v>
      </c>
      <c r="O10" s="57">
        <v>7000</v>
      </c>
      <c r="P10" s="58">
        <f t="shared" si="0"/>
        <v>423605</v>
      </c>
    </row>
    <row r="11" spans="1:16" ht="26.25" customHeight="1" x14ac:dyDescent="0.2">
      <c r="A11" s="100"/>
      <c r="B11" s="100"/>
      <c r="C11" s="65" t="s">
        <v>5830</v>
      </c>
      <c r="D11" s="70" t="s">
        <v>57</v>
      </c>
      <c r="E11" s="12">
        <v>44560</v>
      </c>
      <c r="F11" s="68" t="s">
        <v>59</v>
      </c>
      <c r="G11" s="12">
        <v>44565</v>
      </c>
      <c r="H11" s="69" t="s">
        <v>5820</v>
      </c>
      <c r="I11" s="15">
        <v>95</v>
      </c>
      <c r="J11" s="15">
        <v>25</v>
      </c>
      <c r="K11" s="15">
        <v>12</v>
      </c>
      <c r="L11" s="15">
        <v>27</v>
      </c>
      <c r="M11" s="73">
        <v>7.125</v>
      </c>
      <c r="N11" s="104">
        <v>27</v>
      </c>
      <c r="O11" s="57">
        <v>7000</v>
      </c>
      <c r="P11" s="58">
        <f t="shared" si="0"/>
        <v>189000</v>
      </c>
    </row>
    <row r="12" spans="1:16" ht="26.25" customHeight="1" x14ac:dyDescent="0.2">
      <c r="A12" s="100"/>
      <c r="B12" s="100"/>
      <c r="C12" s="65" t="s">
        <v>5831</v>
      </c>
      <c r="D12" s="70" t="s">
        <v>57</v>
      </c>
      <c r="E12" s="12">
        <v>44560</v>
      </c>
      <c r="F12" s="68" t="s">
        <v>59</v>
      </c>
      <c r="G12" s="12">
        <v>44565</v>
      </c>
      <c r="H12" s="69" t="s">
        <v>5820</v>
      </c>
      <c r="I12" s="15">
        <v>86</v>
      </c>
      <c r="J12" s="15">
        <v>63</v>
      </c>
      <c r="K12" s="15">
        <v>25</v>
      </c>
      <c r="L12" s="15">
        <v>8</v>
      </c>
      <c r="M12" s="73">
        <v>33.862499999999997</v>
      </c>
      <c r="N12" s="104">
        <v>33.862499999999997</v>
      </c>
      <c r="O12" s="57">
        <v>7000</v>
      </c>
      <c r="P12" s="58">
        <f t="shared" si="0"/>
        <v>237037.49999999997</v>
      </c>
    </row>
    <row r="13" spans="1:16" ht="26.25" customHeight="1" x14ac:dyDescent="0.2">
      <c r="A13" s="100"/>
      <c r="B13" s="100"/>
      <c r="C13" s="65" t="s">
        <v>5832</v>
      </c>
      <c r="D13" s="70" t="s">
        <v>57</v>
      </c>
      <c r="E13" s="12">
        <v>44560</v>
      </c>
      <c r="F13" s="68" t="s">
        <v>59</v>
      </c>
      <c r="G13" s="12">
        <v>44565</v>
      </c>
      <c r="H13" s="69" t="s">
        <v>5820</v>
      </c>
      <c r="I13" s="15">
        <v>92</v>
      </c>
      <c r="J13" s="15">
        <v>57</v>
      </c>
      <c r="K13" s="15">
        <v>38</v>
      </c>
      <c r="L13" s="15">
        <v>11</v>
      </c>
      <c r="M13" s="73">
        <v>49.817999999999998</v>
      </c>
      <c r="N13" s="104">
        <v>49.817999999999998</v>
      </c>
      <c r="O13" s="57">
        <v>7000</v>
      </c>
      <c r="P13" s="58">
        <f t="shared" si="0"/>
        <v>348726</v>
      </c>
    </row>
    <row r="14" spans="1:16" ht="26.25" customHeight="1" x14ac:dyDescent="0.2">
      <c r="A14" s="100"/>
      <c r="B14" s="100"/>
      <c r="C14" s="65" t="s">
        <v>5833</v>
      </c>
      <c r="D14" s="70" t="s">
        <v>57</v>
      </c>
      <c r="E14" s="12">
        <v>44560</v>
      </c>
      <c r="F14" s="68" t="s">
        <v>59</v>
      </c>
      <c r="G14" s="12">
        <v>44565</v>
      </c>
      <c r="H14" s="69" t="s">
        <v>5820</v>
      </c>
      <c r="I14" s="15">
        <v>82</v>
      </c>
      <c r="J14" s="15">
        <v>52</v>
      </c>
      <c r="K14" s="15">
        <v>35</v>
      </c>
      <c r="L14" s="15">
        <v>1</v>
      </c>
      <c r="M14" s="73">
        <v>37.31</v>
      </c>
      <c r="N14" s="104">
        <v>38</v>
      </c>
      <c r="O14" s="57">
        <v>7000</v>
      </c>
      <c r="P14" s="58">
        <f t="shared" si="0"/>
        <v>266000</v>
      </c>
    </row>
    <row r="15" spans="1:16" ht="26.25" customHeight="1" x14ac:dyDescent="0.2">
      <c r="A15" s="100"/>
      <c r="B15" s="100"/>
      <c r="C15" s="65" t="s">
        <v>5834</v>
      </c>
      <c r="D15" s="70" t="s">
        <v>57</v>
      </c>
      <c r="E15" s="12">
        <v>44560</v>
      </c>
      <c r="F15" s="68" t="s">
        <v>59</v>
      </c>
      <c r="G15" s="12">
        <v>44565</v>
      </c>
      <c r="H15" s="69" t="s">
        <v>5820</v>
      </c>
      <c r="I15" s="15">
        <v>40</v>
      </c>
      <c r="J15" s="15">
        <v>40</v>
      </c>
      <c r="K15" s="15">
        <v>10</v>
      </c>
      <c r="L15" s="15">
        <v>11</v>
      </c>
      <c r="M15" s="73">
        <v>4</v>
      </c>
      <c r="N15" s="104">
        <v>11</v>
      </c>
      <c r="O15" s="57">
        <v>7000</v>
      </c>
      <c r="P15" s="58">
        <f t="shared" si="0"/>
        <v>77000</v>
      </c>
    </row>
    <row r="16" spans="1:16" ht="26.25" customHeight="1" x14ac:dyDescent="0.2">
      <c r="A16" s="100"/>
      <c r="B16" s="100"/>
      <c r="C16" s="65" t="s">
        <v>5835</v>
      </c>
      <c r="D16" s="70" t="s">
        <v>57</v>
      </c>
      <c r="E16" s="12">
        <v>44560</v>
      </c>
      <c r="F16" s="68" t="s">
        <v>59</v>
      </c>
      <c r="G16" s="12">
        <v>44565</v>
      </c>
      <c r="H16" s="69" t="s">
        <v>5820</v>
      </c>
      <c r="I16" s="15">
        <v>45</v>
      </c>
      <c r="J16" s="15">
        <v>43</v>
      </c>
      <c r="K16" s="15">
        <v>14</v>
      </c>
      <c r="L16" s="15">
        <v>6</v>
      </c>
      <c r="M16" s="73">
        <v>6.7725</v>
      </c>
      <c r="N16" s="104">
        <v>6.7725</v>
      </c>
      <c r="O16" s="57">
        <v>7000</v>
      </c>
      <c r="P16" s="58">
        <f t="shared" si="0"/>
        <v>47407.5</v>
      </c>
    </row>
    <row r="17" spans="1:16" ht="26.25" customHeight="1" x14ac:dyDescent="0.2">
      <c r="A17" s="100"/>
      <c r="B17" s="100"/>
      <c r="C17" s="65" t="s">
        <v>5836</v>
      </c>
      <c r="D17" s="70" t="s">
        <v>57</v>
      </c>
      <c r="E17" s="12">
        <v>44560</v>
      </c>
      <c r="F17" s="68" t="s">
        <v>59</v>
      </c>
      <c r="G17" s="12">
        <v>44565</v>
      </c>
      <c r="H17" s="69" t="s">
        <v>5820</v>
      </c>
      <c r="I17" s="15">
        <v>89</v>
      </c>
      <c r="J17" s="15">
        <v>57</v>
      </c>
      <c r="K17" s="15">
        <v>37</v>
      </c>
      <c r="L17" s="15">
        <v>30</v>
      </c>
      <c r="M17" s="73">
        <v>46.925249999999998</v>
      </c>
      <c r="N17" s="104">
        <v>46.925249999999998</v>
      </c>
      <c r="O17" s="57">
        <v>7000</v>
      </c>
      <c r="P17" s="58">
        <f t="shared" si="0"/>
        <v>328476.75</v>
      </c>
    </row>
    <row r="18" spans="1:16" ht="26.25" customHeight="1" x14ac:dyDescent="0.2">
      <c r="A18" s="100"/>
      <c r="B18" s="100"/>
      <c r="C18" s="65" t="s">
        <v>5837</v>
      </c>
      <c r="D18" s="70" t="s">
        <v>57</v>
      </c>
      <c r="E18" s="12">
        <v>44560</v>
      </c>
      <c r="F18" s="68" t="s">
        <v>59</v>
      </c>
      <c r="G18" s="12">
        <v>44565</v>
      </c>
      <c r="H18" s="69" t="s">
        <v>5820</v>
      </c>
      <c r="I18" s="15">
        <v>77</v>
      </c>
      <c r="J18" s="15">
        <v>96</v>
      </c>
      <c r="K18" s="15">
        <v>17</v>
      </c>
      <c r="L18" s="15">
        <v>15</v>
      </c>
      <c r="M18" s="73">
        <v>31.416</v>
      </c>
      <c r="N18" s="104">
        <v>32</v>
      </c>
      <c r="O18" s="57">
        <v>7000</v>
      </c>
      <c r="P18" s="58">
        <f t="shared" si="0"/>
        <v>224000</v>
      </c>
    </row>
    <row r="19" spans="1:16" ht="26.25" customHeight="1" x14ac:dyDescent="0.2">
      <c r="A19" s="100"/>
      <c r="B19" s="100"/>
      <c r="C19" s="65" t="s">
        <v>5838</v>
      </c>
      <c r="D19" s="70" t="s">
        <v>57</v>
      </c>
      <c r="E19" s="12">
        <v>44560</v>
      </c>
      <c r="F19" s="68" t="s">
        <v>59</v>
      </c>
      <c r="G19" s="12">
        <v>44565</v>
      </c>
      <c r="H19" s="69" t="s">
        <v>5820</v>
      </c>
      <c r="I19" s="15">
        <v>33</v>
      </c>
      <c r="J19" s="15">
        <v>30</v>
      </c>
      <c r="K19" s="15">
        <v>23</v>
      </c>
      <c r="L19" s="15">
        <v>1</v>
      </c>
      <c r="M19" s="73">
        <v>5.6924999999999999</v>
      </c>
      <c r="N19" s="104">
        <v>5.6924999999999999</v>
      </c>
      <c r="O19" s="57">
        <v>7000</v>
      </c>
      <c r="P19" s="58">
        <f t="shared" si="0"/>
        <v>39847.5</v>
      </c>
    </row>
    <row r="20" spans="1:16" ht="26.25" customHeight="1" x14ac:dyDescent="0.2">
      <c r="A20" s="100"/>
      <c r="B20" s="100"/>
      <c r="C20" s="65" t="s">
        <v>5839</v>
      </c>
      <c r="D20" s="70" t="s">
        <v>57</v>
      </c>
      <c r="E20" s="12">
        <v>44560</v>
      </c>
      <c r="F20" s="68" t="s">
        <v>59</v>
      </c>
      <c r="G20" s="12">
        <v>44565</v>
      </c>
      <c r="H20" s="69" t="s">
        <v>5820</v>
      </c>
      <c r="I20" s="15">
        <v>50</v>
      </c>
      <c r="J20" s="15">
        <v>23</v>
      </c>
      <c r="K20" s="15">
        <v>25</v>
      </c>
      <c r="L20" s="15">
        <v>16</v>
      </c>
      <c r="M20" s="73">
        <v>7.1875</v>
      </c>
      <c r="N20" s="104">
        <v>16</v>
      </c>
      <c r="O20" s="57">
        <v>7000</v>
      </c>
      <c r="P20" s="58">
        <f t="shared" si="0"/>
        <v>112000</v>
      </c>
    </row>
    <row r="21" spans="1:16" ht="26.25" customHeight="1" x14ac:dyDescent="0.2">
      <c r="A21" s="100"/>
      <c r="B21" s="100"/>
      <c r="C21" s="65" t="s">
        <v>5840</v>
      </c>
      <c r="D21" s="70" t="s">
        <v>57</v>
      </c>
      <c r="E21" s="12">
        <v>44560</v>
      </c>
      <c r="F21" s="68" t="s">
        <v>59</v>
      </c>
      <c r="G21" s="12">
        <v>44565</v>
      </c>
      <c r="H21" s="69" t="s">
        <v>5820</v>
      </c>
      <c r="I21" s="15">
        <v>40</v>
      </c>
      <c r="J21" s="15">
        <v>25</v>
      </c>
      <c r="K21" s="15">
        <v>20</v>
      </c>
      <c r="L21" s="15">
        <v>1</v>
      </c>
      <c r="M21" s="73">
        <v>5</v>
      </c>
      <c r="N21" s="104">
        <v>5</v>
      </c>
      <c r="O21" s="57">
        <v>7000</v>
      </c>
      <c r="P21" s="58">
        <f t="shared" si="0"/>
        <v>35000</v>
      </c>
    </row>
    <row r="22" spans="1:16" ht="26.25" customHeight="1" x14ac:dyDescent="0.2">
      <c r="A22" s="100"/>
      <c r="B22" s="100"/>
      <c r="C22" s="65" t="s">
        <v>5841</v>
      </c>
      <c r="D22" s="70" t="s">
        <v>57</v>
      </c>
      <c r="E22" s="12">
        <v>44560</v>
      </c>
      <c r="F22" s="68" t="s">
        <v>59</v>
      </c>
      <c r="G22" s="12">
        <v>44565</v>
      </c>
      <c r="H22" s="69" t="s">
        <v>5820</v>
      </c>
      <c r="I22" s="15">
        <v>62</v>
      </c>
      <c r="J22" s="15">
        <v>40</v>
      </c>
      <c r="K22" s="15">
        <v>33</v>
      </c>
      <c r="L22" s="15">
        <v>6</v>
      </c>
      <c r="M22" s="73">
        <v>20.46</v>
      </c>
      <c r="N22" s="104">
        <v>21</v>
      </c>
      <c r="O22" s="57">
        <v>7000</v>
      </c>
      <c r="P22" s="58">
        <f t="shared" si="0"/>
        <v>147000</v>
      </c>
    </row>
    <row r="23" spans="1:16" ht="26.25" customHeight="1" x14ac:dyDescent="0.2">
      <c r="A23" s="100"/>
      <c r="B23" s="100"/>
      <c r="C23" s="65" t="s">
        <v>5842</v>
      </c>
      <c r="D23" s="70" t="s">
        <v>57</v>
      </c>
      <c r="E23" s="12">
        <v>44560</v>
      </c>
      <c r="F23" s="68" t="s">
        <v>59</v>
      </c>
      <c r="G23" s="12">
        <v>44565</v>
      </c>
      <c r="H23" s="69" t="s">
        <v>5820</v>
      </c>
      <c r="I23" s="15">
        <v>45</v>
      </c>
      <c r="J23" s="15">
        <v>42</v>
      </c>
      <c r="K23" s="15">
        <v>22</v>
      </c>
      <c r="L23" s="15">
        <v>19</v>
      </c>
      <c r="M23" s="73">
        <v>10.395</v>
      </c>
      <c r="N23" s="104">
        <v>20</v>
      </c>
      <c r="O23" s="57">
        <v>7000</v>
      </c>
      <c r="P23" s="58">
        <f t="shared" si="0"/>
        <v>140000</v>
      </c>
    </row>
    <row r="24" spans="1:16" ht="26.25" customHeight="1" x14ac:dyDescent="0.2">
      <c r="A24" s="100"/>
      <c r="B24" s="100"/>
      <c r="C24" s="65" t="s">
        <v>5843</v>
      </c>
      <c r="D24" s="70" t="s">
        <v>57</v>
      </c>
      <c r="E24" s="12">
        <v>44560</v>
      </c>
      <c r="F24" s="68" t="s">
        <v>59</v>
      </c>
      <c r="G24" s="12">
        <v>44565</v>
      </c>
      <c r="H24" s="69" t="s">
        <v>5820</v>
      </c>
      <c r="I24" s="15">
        <v>55</v>
      </c>
      <c r="J24" s="15">
        <v>44</v>
      </c>
      <c r="K24" s="15">
        <v>20</v>
      </c>
      <c r="L24" s="15">
        <v>23</v>
      </c>
      <c r="M24" s="73">
        <v>12.1</v>
      </c>
      <c r="N24" s="104">
        <v>23</v>
      </c>
      <c r="O24" s="57">
        <v>7000</v>
      </c>
      <c r="P24" s="58">
        <f t="shared" si="0"/>
        <v>161000</v>
      </c>
    </row>
    <row r="25" spans="1:16" ht="26.25" customHeight="1" x14ac:dyDescent="0.2">
      <c r="A25" s="100"/>
      <c r="B25" s="100"/>
      <c r="C25" s="65" t="s">
        <v>5844</v>
      </c>
      <c r="D25" s="70" t="s">
        <v>57</v>
      </c>
      <c r="E25" s="12">
        <v>44560</v>
      </c>
      <c r="F25" s="68" t="s">
        <v>59</v>
      </c>
      <c r="G25" s="12">
        <v>44565</v>
      </c>
      <c r="H25" s="69" t="s">
        <v>5820</v>
      </c>
      <c r="I25" s="15">
        <v>74</v>
      </c>
      <c r="J25" s="15">
        <v>42</v>
      </c>
      <c r="K25" s="15">
        <v>33</v>
      </c>
      <c r="L25" s="15">
        <v>1</v>
      </c>
      <c r="M25" s="73">
        <v>25.640999999999998</v>
      </c>
      <c r="N25" s="104">
        <v>25.640999999999998</v>
      </c>
      <c r="O25" s="57">
        <v>7000</v>
      </c>
      <c r="P25" s="58">
        <f t="shared" si="0"/>
        <v>179487</v>
      </c>
    </row>
    <row r="26" spans="1:16" ht="26.25" customHeight="1" x14ac:dyDescent="0.2">
      <c r="A26" s="100"/>
      <c r="B26" s="100"/>
      <c r="C26" s="65" t="s">
        <v>5845</v>
      </c>
      <c r="D26" s="70" t="s">
        <v>57</v>
      </c>
      <c r="E26" s="12">
        <v>44560</v>
      </c>
      <c r="F26" s="68" t="s">
        <v>59</v>
      </c>
      <c r="G26" s="12">
        <v>44565</v>
      </c>
      <c r="H26" s="69" t="s">
        <v>5820</v>
      </c>
      <c r="I26" s="15">
        <v>62</v>
      </c>
      <c r="J26" s="15">
        <v>32</v>
      </c>
      <c r="K26" s="15">
        <v>38</v>
      </c>
      <c r="L26" s="15">
        <v>9</v>
      </c>
      <c r="M26" s="73">
        <v>18.847999999999999</v>
      </c>
      <c r="N26" s="104">
        <v>18.847999999999999</v>
      </c>
      <c r="O26" s="57">
        <v>7000</v>
      </c>
      <c r="P26" s="58">
        <f t="shared" si="0"/>
        <v>131936</v>
      </c>
    </row>
    <row r="27" spans="1:16" ht="26.25" customHeight="1" x14ac:dyDescent="0.2">
      <c r="A27" s="100"/>
      <c r="B27" s="100"/>
      <c r="C27" s="65" t="s">
        <v>5846</v>
      </c>
      <c r="D27" s="70" t="s">
        <v>57</v>
      </c>
      <c r="E27" s="12">
        <v>44560</v>
      </c>
      <c r="F27" s="68" t="s">
        <v>59</v>
      </c>
      <c r="G27" s="12">
        <v>44565</v>
      </c>
      <c r="H27" s="69" t="s">
        <v>5820</v>
      </c>
      <c r="I27" s="15">
        <v>47</v>
      </c>
      <c r="J27" s="15">
        <v>40</v>
      </c>
      <c r="K27" s="15">
        <v>12</v>
      </c>
      <c r="L27" s="15">
        <v>21</v>
      </c>
      <c r="M27" s="73">
        <v>5.64</v>
      </c>
      <c r="N27" s="104">
        <v>21</v>
      </c>
      <c r="O27" s="57">
        <v>7000</v>
      </c>
      <c r="P27" s="58">
        <f t="shared" si="0"/>
        <v>147000</v>
      </c>
    </row>
    <row r="28" spans="1:16" ht="26.25" customHeight="1" x14ac:dyDescent="0.2">
      <c r="A28" s="100"/>
      <c r="B28" s="100"/>
      <c r="C28" s="65" t="s">
        <v>5847</v>
      </c>
      <c r="D28" s="70" t="s">
        <v>57</v>
      </c>
      <c r="E28" s="12">
        <v>44560</v>
      </c>
      <c r="F28" s="68" t="s">
        <v>59</v>
      </c>
      <c r="G28" s="12">
        <v>44565</v>
      </c>
      <c r="H28" s="69" t="s">
        <v>5820</v>
      </c>
      <c r="I28" s="15">
        <v>48</v>
      </c>
      <c r="J28" s="15">
        <v>34</v>
      </c>
      <c r="K28" s="15">
        <v>27</v>
      </c>
      <c r="L28" s="15">
        <v>2</v>
      </c>
      <c r="M28" s="73">
        <v>11.016</v>
      </c>
      <c r="N28" s="104">
        <v>11.016</v>
      </c>
      <c r="O28" s="57">
        <v>7000</v>
      </c>
      <c r="P28" s="58">
        <f t="shared" si="0"/>
        <v>77112</v>
      </c>
    </row>
    <row r="29" spans="1:16" ht="26.25" customHeight="1" x14ac:dyDescent="0.2">
      <c r="A29" s="100"/>
      <c r="B29" s="100"/>
      <c r="C29" s="65" t="s">
        <v>5848</v>
      </c>
      <c r="D29" s="70" t="s">
        <v>57</v>
      </c>
      <c r="E29" s="12">
        <v>44560</v>
      </c>
      <c r="F29" s="68" t="s">
        <v>59</v>
      </c>
      <c r="G29" s="12">
        <v>44565</v>
      </c>
      <c r="H29" s="69" t="s">
        <v>5820</v>
      </c>
      <c r="I29" s="15">
        <v>62</v>
      </c>
      <c r="J29" s="15">
        <v>27</v>
      </c>
      <c r="K29" s="15">
        <v>17</v>
      </c>
      <c r="L29" s="15">
        <v>10</v>
      </c>
      <c r="M29" s="73">
        <v>7.1144999999999996</v>
      </c>
      <c r="N29" s="104">
        <v>10</v>
      </c>
      <c r="O29" s="57">
        <v>7000</v>
      </c>
      <c r="P29" s="58">
        <f t="shared" si="0"/>
        <v>70000</v>
      </c>
    </row>
    <row r="30" spans="1:16" ht="26.25" customHeight="1" x14ac:dyDescent="0.2">
      <c r="A30" s="100"/>
      <c r="B30" s="100"/>
      <c r="C30" s="65" t="s">
        <v>5849</v>
      </c>
      <c r="D30" s="70" t="s">
        <v>57</v>
      </c>
      <c r="E30" s="12">
        <v>44560</v>
      </c>
      <c r="F30" s="68" t="s">
        <v>59</v>
      </c>
      <c r="G30" s="12">
        <v>44565</v>
      </c>
      <c r="H30" s="69" t="s">
        <v>5820</v>
      </c>
      <c r="I30" s="15">
        <v>82</v>
      </c>
      <c r="J30" s="15">
        <v>32</v>
      </c>
      <c r="K30" s="15">
        <v>14</v>
      </c>
      <c r="L30" s="15">
        <v>10</v>
      </c>
      <c r="M30" s="73">
        <v>9.1839999999999993</v>
      </c>
      <c r="N30" s="104">
        <v>10</v>
      </c>
      <c r="O30" s="57">
        <v>7000</v>
      </c>
      <c r="P30" s="58">
        <f t="shared" si="0"/>
        <v>70000</v>
      </c>
    </row>
    <row r="31" spans="1:16" ht="26.25" customHeight="1" x14ac:dyDescent="0.2">
      <c r="A31" s="100"/>
      <c r="B31" s="100"/>
      <c r="C31" s="65" t="s">
        <v>5850</v>
      </c>
      <c r="D31" s="70" t="s">
        <v>57</v>
      </c>
      <c r="E31" s="12">
        <v>44560</v>
      </c>
      <c r="F31" s="68" t="s">
        <v>59</v>
      </c>
      <c r="G31" s="12">
        <v>44565</v>
      </c>
      <c r="H31" s="69" t="s">
        <v>5820</v>
      </c>
      <c r="I31" s="15">
        <v>52</v>
      </c>
      <c r="J31" s="15">
        <v>36</v>
      </c>
      <c r="K31" s="15">
        <v>42</v>
      </c>
      <c r="L31" s="15">
        <v>8</v>
      </c>
      <c r="M31" s="73">
        <v>19.655999999999999</v>
      </c>
      <c r="N31" s="104">
        <v>19.655999999999999</v>
      </c>
      <c r="O31" s="57">
        <v>7000</v>
      </c>
      <c r="P31" s="58">
        <f t="shared" si="0"/>
        <v>137592</v>
      </c>
    </row>
    <row r="32" spans="1:16" ht="26.25" customHeight="1" x14ac:dyDescent="0.2">
      <c r="A32" s="100"/>
      <c r="B32" s="100"/>
      <c r="C32" s="65" t="s">
        <v>5851</v>
      </c>
      <c r="D32" s="70" t="s">
        <v>57</v>
      </c>
      <c r="E32" s="12">
        <v>44560</v>
      </c>
      <c r="F32" s="68" t="s">
        <v>59</v>
      </c>
      <c r="G32" s="12">
        <v>44565</v>
      </c>
      <c r="H32" s="69" t="s">
        <v>5820</v>
      </c>
      <c r="I32" s="15">
        <v>68</v>
      </c>
      <c r="J32" s="15">
        <v>32</v>
      </c>
      <c r="K32" s="15">
        <v>47</v>
      </c>
      <c r="L32" s="15">
        <v>5</v>
      </c>
      <c r="M32" s="73">
        <v>25.568000000000001</v>
      </c>
      <c r="N32" s="104">
        <v>25.568000000000001</v>
      </c>
      <c r="O32" s="57">
        <v>7000</v>
      </c>
      <c r="P32" s="58">
        <f t="shared" si="0"/>
        <v>178976</v>
      </c>
    </row>
    <row r="33" spans="1:16" ht="26.25" customHeight="1" x14ac:dyDescent="0.2">
      <c r="A33" s="100"/>
      <c r="B33" s="100"/>
      <c r="C33" s="65" t="s">
        <v>5852</v>
      </c>
      <c r="D33" s="70" t="s">
        <v>57</v>
      </c>
      <c r="E33" s="12">
        <v>44560</v>
      </c>
      <c r="F33" s="68" t="s">
        <v>59</v>
      </c>
      <c r="G33" s="12">
        <v>44565</v>
      </c>
      <c r="H33" s="69" t="s">
        <v>5820</v>
      </c>
      <c r="I33" s="15">
        <v>85</v>
      </c>
      <c r="J33" s="15">
        <v>64</v>
      </c>
      <c r="K33" s="15">
        <v>8</v>
      </c>
      <c r="L33" s="15">
        <v>9</v>
      </c>
      <c r="M33" s="73">
        <v>10.88</v>
      </c>
      <c r="N33" s="104">
        <v>10.88</v>
      </c>
      <c r="O33" s="57">
        <v>7000</v>
      </c>
      <c r="P33" s="58">
        <f t="shared" si="0"/>
        <v>76160</v>
      </c>
    </row>
    <row r="34" spans="1:16" ht="26.25" customHeight="1" x14ac:dyDescent="0.2">
      <c r="A34" s="100"/>
      <c r="B34" s="100"/>
      <c r="C34" s="65" t="s">
        <v>5853</v>
      </c>
      <c r="D34" s="70" t="s">
        <v>57</v>
      </c>
      <c r="E34" s="12">
        <v>44560</v>
      </c>
      <c r="F34" s="68" t="s">
        <v>59</v>
      </c>
      <c r="G34" s="12">
        <v>44565</v>
      </c>
      <c r="H34" s="69" t="s">
        <v>5820</v>
      </c>
      <c r="I34" s="15">
        <v>85</v>
      </c>
      <c r="J34" s="15">
        <v>50</v>
      </c>
      <c r="K34" s="15">
        <v>10</v>
      </c>
      <c r="L34" s="15">
        <v>14</v>
      </c>
      <c r="M34" s="73">
        <v>10.625</v>
      </c>
      <c r="N34" s="104">
        <v>14</v>
      </c>
      <c r="O34" s="57">
        <v>7000</v>
      </c>
      <c r="P34" s="58">
        <f t="shared" si="0"/>
        <v>98000</v>
      </c>
    </row>
    <row r="35" spans="1:16" ht="26.25" customHeight="1" x14ac:dyDescent="0.2">
      <c r="A35" s="100"/>
      <c r="B35" s="100"/>
      <c r="C35" s="65" t="s">
        <v>5854</v>
      </c>
      <c r="D35" s="70" t="s">
        <v>57</v>
      </c>
      <c r="E35" s="12">
        <v>44560</v>
      </c>
      <c r="F35" s="68" t="s">
        <v>59</v>
      </c>
      <c r="G35" s="12">
        <v>44565</v>
      </c>
      <c r="H35" s="69" t="s">
        <v>5820</v>
      </c>
      <c r="I35" s="15">
        <v>48</v>
      </c>
      <c r="J35" s="15">
        <v>33</v>
      </c>
      <c r="K35" s="15">
        <v>37</v>
      </c>
      <c r="L35" s="15">
        <v>3</v>
      </c>
      <c r="M35" s="73">
        <v>14.651999999999999</v>
      </c>
      <c r="N35" s="104">
        <v>14.651999999999999</v>
      </c>
      <c r="O35" s="57">
        <v>7000</v>
      </c>
      <c r="P35" s="58">
        <f t="shared" si="0"/>
        <v>102564</v>
      </c>
    </row>
    <row r="36" spans="1:16" ht="26.25" customHeight="1" x14ac:dyDescent="0.2">
      <c r="A36" s="100"/>
      <c r="B36" s="100"/>
      <c r="C36" s="65" t="s">
        <v>5855</v>
      </c>
      <c r="D36" s="70" t="s">
        <v>57</v>
      </c>
      <c r="E36" s="12">
        <v>44560</v>
      </c>
      <c r="F36" s="68" t="s">
        <v>59</v>
      </c>
      <c r="G36" s="12">
        <v>44565</v>
      </c>
      <c r="H36" s="69" t="s">
        <v>5820</v>
      </c>
      <c r="I36" s="15">
        <v>34</v>
      </c>
      <c r="J36" s="15">
        <v>22</v>
      </c>
      <c r="K36" s="15">
        <v>25</v>
      </c>
      <c r="L36" s="15">
        <v>17</v>
      </c>
      <c r="M36" s="73">
        <v>4.6749999999999998</v>
      </c>
      <c r="N36" s="104">
        <v>17</v>
      </c>
      <c r="O36" s="57">
        <v>7000</v>
      </c>
      <c r="P36" s="58">
        <f t="shared" si="0"/>
        <v>119000</v>
      </c>
    </row>
    <row r="37" spans="1:16" ht="26.25" customHeight="1" x14ac:dyDescent="0.2">
      <c r="A37" s="100"/>
      <c r="B37" s="100"/>
      <c r="C37" s="65" t="s">
        <v>5856</v>
      </c>
      <c r="D37" s="70" t="s">
        <v>57</v>
      </c>
      <c r="E37" s="12">
        <v>44560</v>
      </c>
      <c r="F37" s="68" t="s">
        <v>59</v>
      </c>
      <c r="G37" s="12">
        <v>44565</v>
      </c>
      <c r="H37" s="69" t="s">
        <v>5820</v>
      </c>
      <c r="I37" s="15">
        <v>98</v>
      </c>
      <c r="J37" s="15">
        <v>10</v>
      </c>
      <c r="K37" s="15">
        <v>10</v>
      </c>
      <c r="L37" s="15">
        <v>1</v>
      </c>
      <c r="M37" s="73">
        <v>2.4500000000000002</v>
      </c>
      <c r="N37" s="104">
        <v>3</v>
      </c>
      <c r="O37" s="57">
        <v>7000</v>
      </c>
      <c r="P37" s="58">
        <f t="shared" si="0"/>
        <v>21000</v>
      </c>
    </row>
    <row r="38" spans="1:16" ht="26.25" customHeight="1" x14ac:dyDescent="0.2">
      <c r="A38" s="100"/>
      <c r="B38" s="100"/>
      <c r="C38" s="65" t="s">
        <v>5857</v>
      </c>
      <c r="D38" s="70" t="s">
        <v>57</v>
      </c>
      <c r="E38" s="12">
        <v>44560</v>
      </c>
      <c r="F38" s="68" t="s">
        <v>59</v>
      </c>
      <c r="G38" s="12">
        <v>44565</v>
      </c>
      <c r="H38" s="69" t="s">
        <v>5820</v>
      </c>
      <c r="I38" s="15">
        <v>57</v>
      </c>
      <c r="J38" s="15">
        <v>29</v>
      </c>
      <c r="K38" s="15">
        <v>39</v>
      </c>
      <c r="L38" s="15">
        <v>11</v>
      </c>
      <c r="M38" s="73">
        <v>16.11675</v>
      </c>
      <c r="N38" s="104">
        <v>16.11675</v>
      </c>
      <c r="O38" s="57">
        <v>7000</v>
      </c>
      <c r="P38" s="58">
        <f t="shared" si="0"/>
        <v>112817.25</v>
      </c>
    </row>
    <row r="39" spans="1:16" ht="26.25" customHeight="1" x14ac:dyDescent="0.2">
      <c r="A39" s="100"/>
      <c r="B39" s="100"/>
      <c r="C39" s="65" t="s">
        <v>5858</v>
      </c>
      <c r="D39" s="70" t="s">
        <v>57</v>
      </c>
      <c r="E39" s="12">
        <v>44560</v>
      </c>
      <c r="F39" s="68" t="s">
        <v>59</v>
      </c>
      <c r="G39" s="12">
        <v>44565</v>
      </c>
      <c r="H39" s="69" t="s">
        <v>5820</v>
      </c>
      <c r="I39" s="15">
        <v>57</v>
      </c>
      <c r="J39" s="15">
        <v>29</v>
      </c>
      <c r="K39" s="15">
        <v>39</v>
      </c>
      <c r="L39" s="15">
        <v>9</v>
      </c>
      <c r="M39" s="73">
        <v>16.11675</v>
      </c>
      <c r="N39" s="104">
        <v>16.11675</v>
      </c>
      <c r="O39" s="57">
        <v>7000</v>
      </c>
      <c r="P39" s="58">
        <f t="shared" si="0"/>
        <v>112817.25</v>
      </c>
    </row>
    <row r="40" spans="1:16" ht="26.25" customHeight="1" x14ac:dyDescent="0.2">
      <c r="A40" s="100"/>
      <c r="B40" s="100"/>
      <c r="C40" s="65" t="s">
        <v>5859</v>
      </c>
      <c r="D40" s="70" t="s">
        <v>57</v>
      </c>
      <c r="E40" s="12">
        <v>44560</v>
      </c>
      <c r="F40" s="68" t="s">
        <v>59</v>
      </c>
      <c r="G40" s="12">
        <v>44565</v>
      </c>
      <c r="H40" s="69" t="s">
        <v>5820</v>
      </c>
      <c r="I40" s="15">
        <v>54</v>
      </c>
      <c r="J40" s="15">
        <v>37</v>
      </c>
      <c r="K40" s="15">
        <v>10</v>
      </c>
      <c r="L40" s="15">
        <v>3</v>
      </c>
      <c r="M40" s="73">
        <v>4.9950000000000001</v>
      </c>
      <c r="N40" s="104">
        <v>4.9950000000000001</v>
      </c>
      <c r="O40" s="57">
        <v>7000</v>
      </c>
      <c r="P40" s="58">
        <f t="shared" si="0"/>
        <v>34965</v>
      </c>
    </row>
    <row r="41" spans="1:16" ht="26.25" customHeight="1" x14ac:dyDescent="0.2">
      <c r="A41" s="100"/>
      <c r="B41" s="100"/>
      <c r="C41" s="65" t="s">
        <v>5860</v>
      </c>
      <c r="D41" s="70" t="s">
        <v>57</v>
      </c>
      <c r="E41" s="12">
        <v>44560</v>
      </c>
      <c r="F41" s="68" t="s">
        <v>59</v>
      </c>
      <c r="G41" s="12">
        <v>44565</v>
      </c>
      <c r="H41" s="69" t="s">
        <v>5820</v>
      </c>
      <c r="I41" s="15">
        <v>42</v>
      </c>
      <c r="J41" s="15">
        <v>31</v>
      </c>
      <c r="K41" s="15">
        <v>15</v>
      </c>
      <c r="L41" s="15">
        <v>20</v>
      </c>
      <c r="M41" s="73">
        <v>4.8825000000000003</v>
      </c>
      <c r="N41" s="104">
        <v>20</v>
      </c>
      <c r="O41" s="57">
        <v>7000</v>
      </c>
      <c r="P41" s="58">
        <f t="shared" si="0"/>
        <v>140000</v>
      </c>
    </row>
    <row r="42" spans="1:16" ht="26.25" customHeight="1" x14ac:dyDescent="0.2">
      <c r="A42" s="100"/>
      <c r="B42" s="100"/>
      <c r="C42" s="65" t="s">
        <v>5861</v>
      </c>
      <c r="D42" s="70" t="s">
        <v>57</v>
      </c>
      <c r="E42" s="12">
        <v>44560</v>
      </c>
      <c r="F42" s="68" t="s">
        <v>59</v>
      </c>
      <c r="G42" s="12">
        <v>44565</v>
      </c>
      <c r="H42" s="69" t="s">
        <v>5820</v>
      </c>
      <c r="I42" s="15">
        <v>65</v>
      </c>
      <c r="J42" s="15">
        <v>57</v>
      </c>
      <c r="K42" s="15">
        <v>13</v>
      </c>
      <c r="L42" s="15">
        <v>8</v>
      </c>
      <c r="M42" s="73">
        <v>12.04125</v>
      </c>
      <c r="N42" s="104">
        <v>12.04125</v>
      </c>
      <c r="O42" s="57">
        <v>7000</v>
      </c>
      <c r="P42" s="58">
        <f t="shared" si="0"/>
        <v>84288.75</v>
      </c>
    </row>
    <row r="43" spans="1:16" ht="26.25" customHeight="1" x14ac:dyDescent="0.2">
      <c r="A43" s="100"/>
      <c r="B43" s="100"/>
      <c r="C43" s="65" t="s">
        <v>5862</v>
      </c>
      <c r="D43" s="70" t="s">
        <v>57</v>
      </c>
      <c r="E43" s="12">
        <v>44560</v>
      </c>
      <c r="F43" s="68" t="s">
        <v>59</v>
      </c>
      <c r="G43" s="12">
        <v>44565</v>
      </c>
      <c r="H43" s="69" t="s">
        <v>5820</v>
      </c>
      <c r="I43" s="15">
        <v>115</v>
      </c>
      <c r="J43" s="15">
        <v>55</v>
      </c>
      <c r="K43" s="15">
        <v>27</v>
      </c>
      <c r="L43" s="15">
        <v>2</v>
      </c>
      <c r="M43" s="73">
        <v>42.693750000000001</v>
      </c>
      <c r="N43" s="104">
        <v>42.693750000000001</v>
      </c>
      <c r="O43" s="57">
        <v>7000</v>
      </c>
      <c r="P43" s="58">
        <f t="shared" si="0"/>
        <v>298856.25</v>
      </c>
    </row>
    <row r="44" spans="1:16" ht="26.25" customHeight="1" x14ac:dyDescent="0.2">
      <c r="A44" s="100"/>
      <c r="B44" s="100"/>
      <c r="C44" s="65" t="s">
        <v>5863</v>
      </c>
      <c r="D44" s="70" t="s">
        <v>57</v>
      </c>
      <c r="E44" s="12">
        <v>44560</v>
      </c>
      <c r="F44" s="68" t="s">
        <v>59</v>
      </c>
      <c r="G44" s="12">
        <v>44565</v>
      </c>
      <c r="H44" s="69" t="s">
        <v>5820</v>
      </c>
      <c r="I44" s="15">
        <v>91</v>
      </c>
      <c r="J44" s="15">
        <v>62</v>
      </c>
      <c r="K44" s="15">
        <v>25</v>
      </c>
      <c r="L44" s="15">
        <v>7</v>
      </c>
      <c r="M44" s="73">
        <v>35.262500000000003</v>
      </c>
      <c r="N44" s="104">
        <v>35.262500000000003</v>
      </c>
      <c r="O44" s="57">
        <v>7000</v>
      </c>
      <c r="P44" s="58">
        <f t="shared" si="0"/>
        <v>246837.50000000003</v>
      </c>
    </row>
    <row r="45" spans="1:16" ht="26.25" customHeight="1" x14ac:dyDescent="0.2">
      <c r="A45" s="100"/>
      <c r="B45" s="100"/>
      <c r="C45" s="65" t="s">
        <v>5864</v>
      </c>
      <c r="D45" s="70" t="s">
        <v>57</v>
      </c>
      <c r="E45" s="12">
        <v>44560</v>
      </c>
      <c r="F45" s="68" t="s">
        <v>59</v>
      </c>
      <c r="G45" s="12">
        <v>44565</v>
      </c>
      <c r="H45" s="69" t="s">
        <v>5820</v>
      </c>
      <c r="I45" s="15">
        <v>102</v>
      </c>
      <c r="J45" s="15">
        <v>64</v>
      </c>
      <c r="K45" s="15">
        <v>24</v>
      </c>
      <c r="L45" s="15">
        <v>6</v>
      </c>
      <c r="M45" s="73">
        <v>39.167999999999999</v>
      </c>
      <c r="N45" s="104">
        <v>39.167999999999999</v>
      </c>
      <c r="O45" s="57">
        <v>7000</v>
      </c>
      <c r="P45" s="58">
        <f t="shared" si="0"/>
        <v>274176</v>
      </c>
    </row>
    <row r="46" spans="1:16" ht="26.25" customHeight="1" x14ac:dyDescent="0.2">
      <c r="A46" s="100"/>
      <c r="B46" s="100"/>
      <c r="C46" s="65" t="s">
        <v>5865</v>
      </c>
      <c r="D46" s="70" t="s">
        <v>57</v>
      </c>
      <c r="E46" s="12">
        <v>44560</v>
      </c>
      <c r="F46" s="68" t="s">
        <v>59</v>
      </c>
      <c r="G46" s="12">
        <v>44565</v>
      </c>
      <c r="H46" s="69" t="s">
        <v>5820</v>
      </c>
      <c r="I46" s="15">
        <v>95</v>
      </c>
      <c r="J46" s="15">
        <v>64</v>
      </c>
      <c r="K46" s="15">
        <v>31</v>
      </c>
      <c r="L46" s="15">
        <v>11</v>
      </c>
      <c r="M46" s="73">
        <v>47.12</v>
      </c>
      <c r="N46" s="104">
        <v>47.12</v>
      </c>
      <c r="O46" s="57">
        <v>7000</v>
      </c>
      <c r="P46" s="58">
        <f t="shared" si="0"/>
        <v>329840</v>
      </c>
    </row>
    <row r="47" spans="1:16" ht="26.25" customHeight="1" x14ac:dyDescent="0.2">
      <c r="A47" s="100"/>
      <c r="B47" s="100"/>
      <c r="C47" s="65" t="s">
        <v>5866</v>
      </c>
      <c r="D47" s="70" t="s">
        <v>57</v>
      </c>
      <c r="E47" s="12">
        <v>44560</v>
      </c>
      <c r="F47" s="68" t="s">
        <v>59</v>
      </c>
      <c r="G47" s="12">
        <v>44565</v>
      </c>
      <c r="H47" s="69" t="s">
        <v>5820</v>
      </c>
      <c r="I47" s="15">
        <v>95</v>
      </c>
      <c r="J47" s="15">
        <v>52</v>
      </c>
      <c r="K47" s="15">
        <v>37</v>
      </c>
      <c r="L47" s="15">
        <v>27</v>
      </c>
      <c r="M47" s="73">
        <v>45.695</v>
      </c>
      <c r="N47" s="104">
        <v>45.695</v>
      </c>
      <c r="O47" s="57">
        <v>7000</v>
      </c>
      <c r="P47" s="58">
        <f t="shared" si="0"/>
        <v>319865</v>
      </c>
    </row>
    <row r="48" spans="1:16" ht="26.25" customHeight="1" x14ac:dyDescent="0.2">
      <c r="A48" s="100"/>
      <c r="B48" s="100"/>
      <c r="C48" s="65" t="s">
        <v>5867</v>
      </c>
      <c r="D48" s="70" t="s">
        <v>57</v>
      </c>
      <c r="E48" s="12">
        <v>44560</v>
      </c>
      <c r="F48" s="68" t="s">
        <v>59</v>
      </c>
      <c r="G48" s="12">
        <v>44565</v>
      </c>
      <c r="H48" s="69" t="s">
        <v>5820</v>
      </c>
      <c r="I48" s="15">
        <v>44</v>
      </c>
      <c r="J48" s="15">
        <v>40</v>
      </c>
      <c r="K48" s="15">
        <v>25</v>
      </c>
      <c r="L48" s="15">
        <v>10</v>
      </c>
      <c r="M48" s="73">
        <v>11</v>
      </c>
      <c r="N48" s="104">
        <v>11</v>
      </c>
      <c r="O48" s="57">
        <v>7000</v>
      </c>
      <c r="P48" s="58">
        <f t="shared" si="0"/>
        <v>77000</v>
      </c>
    </row>
    <row r="49" spans="1:16" ht="26.25" customHeight="1" x14ac:dyDescent="0.2">
      <c r="A49" s="100"/>
      <c r="B49" s="100"/>
      <c r="C49" s="65" t="s">
        <v>5868</v>
      </c>
      <c r="D49" s="70" t="s">
        <v>57</v>
      </c>
      <c r="E49" s="12">
        <v>44560</v>
      </c>
      <c r="F49" s="68" t="s">
        <v>59</v>
      </c>
      <c r="G49" s="12">
        <v>44565</v>
      </c>
      <c r="H49" s="69" t="s">
        <v>5820</v>
      </c>
      <c r="I49" s="15">
        <v>37</v>
      </c>
      <c r="J49" s="15">
        <v>37</v>
      </c>
      <c r="K49" s="15">
        <v>41</v>
      </c>
      <c r="L49" s="15">
        <v>1</v>
      </c>
      <c r="M49" s="73">
        <v>14.032249999999999</v>
      </c>
      <c r="N49" s="104">
        <v>14.032249999999999</v>
      </c>
      <c r="O49" s="57">
        <v>7000</v>
      </c>
      <c r="P49" s="58">
        <f t="shared" si="0"/>
        <v>98225.75</v>
      </c>
    </row>
    <row r="50" spans="1:16" ht="26.25" customHeight="1" x14ac:dyDescent="0.2">
      <c r="A50" s="100"/>
      <c r="B50" s="100"/>
      <c r="C50" s="65" t="s">
        <v>5869</v>
      </c>
      <c r="D50" s="70" t="s">
        <v>57</v>
      </c>
      <c r="E50" s="12">
        <v>44560</v>
      </c>
      <c r="F50" s="68" t="s">
        <v>59</v>
      </c>
      <c r="G50" s="12">
        <v>44565</v>
      </c>
      <c r="H50" s="69" t="s">
        <v>5820</v>
      </c>
      <c r="I50" s="15">
        <v>55</v>
      </c>
      <c r="J50" s="15">
        <v>24</v>
      </c>
      <c r="K50" s="15">
        <v>12</v>
      </c>
      <c r="L50" s="15">
        <v>16</v>
      </c>
      <c r="M50" s="73">
        <v>3.96</v>
      </c>
      <c r="N50" s="104">
        <v>16</v>
      </c>
      <c r="O50" s="57">
        <v>7000</v>
      </c>
      <c r="P50" s="58">
        <f t="shared" si="0"/>
        <v>112000</v>
      </c>
    </row>
    <row r="51" spans="1:16" ht="26.25" customHeight="1" x14ac:dyDescent="0.2">
      <c r="A51" s="100"/>
      <c r="B51" s="100"/>
      <c r="C51" s="65" t="s">
        <v>5870</v>
      </c>
      <c r="D51" s="70" t="s">
        <v>57</v>
      </c>
      <c r="E51" s="12">
        <v>44560</v>
      </c>
      <c r="F51" s="68" t="s">
        <v>59</v>
      </c>
      <c r="G51" s="12">
        <v>44565</v>
      </c>
      <c r="H51" s="69" t="s">
        <v>5820</v>
      </c>
      <c r="I51" s="15">
        <v>91</v>
      </c>
      <c r="J51" s="15">
        <v>54</v>
      </c>
      <c r="K51" s="15">
        <v>25</v>
      </c>
      <c r="L51" s="15">
        <v>9</v>
      </c>
      <c r="M51" s="73">
        <v>30.712499999999999</v>
      </c>
      <c r="N51" s="104">
        <v>30.712499999999999</v>
      </c>
      <c r="O51" s="57">
        <v>7000</v>
      </c>
      <c r="P51" s="58">
        <f t="shared" si="0"/>
        <v>214987.5</v>
      </c>
    </row>
    <row r="52" spans="1:16" ht="26.25" customHeight="1" x14ac:dyDescent="0.2">
      <c r="A52" s="100"/>
      <c r="B52" s="100"/>
      <c r="C52" s="65" t="s">
        <v>5871</v>
      </c>
      <c r="D52" s="70" t="s">
        <v>57</v>
      </c>
      <c r="E52" s="12">
        <v>44560</v>
      </c>
      <c r="F52" s="68" t="s">
        <v>59</v>
      </c>
      <c r="G52" s="12">
        <v>44565</v>
      </c>
      <c r="H52" s="69" t="s">
        <v>5820</v>
      </c>
      <c r="I52" s="15">
        <v>26</v>
      </c>
      <c r="J52" s="15">
        <v>14</v>
      </c>
      <c r="K52" s="15">
        <v>10</v>
      </c>
      <c r="L52" s="15">
        <v>7</v>
      </c>
      <c r="M52" s="73">
        <v>0.91</v>
      </c>
      <c r="N52" s="104">
        <v>7</v>
      </c>
      <c r="O52" s="57">
        <v>7000</v>
      </c>
      <c r="P52" s="58">
        <f t="shared" si="0"/>
        <v>49000</v>
      </c>
    </row>
    <row r="53" spans="1:16" ht="26.25" customHeight="1" x14ac:dyDescent="0.2">
      <c r="A53" s="100"/>
      <c r="B53" s="100"/>
      <c r="C53" s="65" t="s">
        <v>5872</v>
      </c>
      <c r="D53" s="70" t="s">
        <v>57</v>
      </c>
      <c r="E53" s="12">
        <v>44560</v>
      </c>
      <c r="F53" s="68" t="s">
        <v>59</v>
      </c>
      <c r="G53" s="12">
        <v>44565</v>
      </c>
      <c r="H53" s="69" t="s">
        <v>5820</v>
      </c>
      <c r="I53" s="15">
        <v>66</v>
      </c>
      <c r="J53" s="15">
        <v>51</v>
      </c>
      <c r="K53" s="15">
        <v>21</v>
      </c>
      <c r="L53" s="15">
        <v>3</v>
      </c>
      <c r="M53" s="73">
        <v>17.671500000000002</v>
      </c>
      <c r="N53" s="104">
        <v>17.671500000000002</v>
      </c>
      <c r="O53" s="57">
        <v>7000</v>
      </c>
      <c r="P53" s="58">
        <f t="shared" si="0"/>
        <v>123700.50000000001</v>
      </c>
    </row>
    <row r="54" spans="1:16" ht="26.25" customHeight="1" x14ac:dyDescent="0.2">
      <c r="A54" s="100"/>
      <c r="B54" s="100"/>
      <c r="C54" s="65" t="s">
        <v>5873</v>
      </c>
      <c r="D54" s="70" t="s">
        <v>57</v>
      </c>
      <c r="E54" s="12">
        <v>44560</v>
      </c>
      <c r="F54" s="68" t="s">
        <v>59</v>
      </c>
      <c r="G54" s="12">
        <v>44565</v>
      </c>
      <c r="H54" s="69" t="s">
        <v>5820</v>
      </c>
      <c r="I54" s="15">
        <v>75</v>
      </c>
      <c r="J54" s="15">
        <v>48</v>
      </c>
      <c r="K54" s="15">
        <v>23</v>
      </c>
      <c r="L54" s="15">
        <v>7</v>
      </c>
      <c r="M54" s="73">
        <v>20.7</v>
      </c>
      <c r="N54" s="104">
        <v>20.7</v>
      </c>
      <c r="O54" s="57">
        <v>7000</v>
      </c>
      <c r="P54" s="58">
        <f t="shared" si="0"/>
        <v>144900</v>
      </c>
    </row>
    <row r="55" spans="1:16" ht="26.25" customHeight="1" x14ac:dyDescent="0.2">
      <c r="A55" s="100"/>
      <c r="B55" s="100"/>
      <c r="C55" s="65" t="s">
        <v>5874</v>
      </c>
      <c r="D55" s="70" t="s">
        <v>57</v>
      </c>
      <c r="E55" s="12">
        <v>44560</v>
      </c>
      <c r="F55" s="68" t="s">
        <v>59</v>
      </c>
      <c r="G55" s="12">
        <v>44565</v>
      </c>
      <c r="H55" s="69" t="s">
        <v>5820</v>
      </c>
      <c r="I55" s="15">
        <v>42</v>
      </c>
      <c r="J55" s="15">
        <v>40</v>
      </c>
      <c r="K55" s="15">
        <v>38</v>
      </c>
      <c r="L55" s="15">
        <v>7</v>
      </c>
      <c r="M55" s="73">
        <v>15.96</v>
      </c>
      <c r="N55" s="104">
        <v>15.96</v>
      </c>
      <c r="O55" s="57">
        <v>7000</v>
      </c>
      <c r="P55" s="58">
        <f t="shared" si="0"/>
        <v>111720</v>
      </c>
    </row>
    <row r="56" spans="1:16" ht="26.25" customHeight="1" x14ac:dyDescent="0.2">
      <c r="A56" s="100"/>
      <c r="B56" s="100"/>
      <c r="C56" s="65" t="s">
        <v>5875</v>
      </c>
      <c r="D56" s="70" t="s">
        <v>57</v>
      </c>
      <c r="E56" s="12">
        <v>44560</v>
      </c>
      <c r="F56" s="68" t="s">
        <v>59</v>
      </c>
      <c r="G56" s="12">
        <v>44565</v>
      </c>
      <c r="H56" s="69" t="s">
        <v>5820</v>
      </c>
      <c r="I56" s="15">
        <v>30</v>
      </c>
      <c r="J56" s="15">
        <v>21</v>
      </c>
      <c r="K56" s="15">
        <v>6</v>
      </c>
      <c r="L56" s="15">
        <v>3</v>
      </c>
      <c r="M56" s="73">
        <v>0.94499999999999995</v>
      </c>
      <c r="N56" s="104">
        <v>3</v>
      </c>
      <c r="O56" s="57">
        <v>7000</v>
      </c>
      <c r="P56" s="58">
        <f t="shared" si="0"/>
        <v>21000</v>
      </c>
    </row>
    <row r="57" spans="1:16" ht="26.25" customHeight="1" x14ac:dyDescent="0.2">
      <c r="A57" s="100"/>
      <c r="B57" s="100"/>
      <c r="C57" s="65" t="s">
        <v>5876</v>
      </c>
      <c r="D57" s="70" t="s">
        <v>57</v>
      </c>
      <c r="E57" s="12">
        <v>44560</v>
      </c>
      <c r="F57" s="68" t="s">
        <v>59</v>
      </c>
      <c r="G57" s="12">
        <v>44565</v>
      </c>
      <c r="H57" s="69" t="s">
        <v>5820</v>
      </c>
      <c r="I57" s="15">
        <v>62</v>
      </c>
      <c r="J57" s="15">
        <v>52</v>
      </c>
      <c r="K57" s="15">
        <v>41</v>
      </c>
      <c r="L57" s="15">
        <v>6</v>
      </c>
      <c r="M57" s="73">
        <v>33.045999999999999</v>
      </c>
      <c r="N57" s="104">
        <v>33.045999999999999</v>
      </c>
      <c r="O57" s="57">
        <v>7000</v>
      </c>
      <c r="P57" s="58">
        <f t="shared" si="0"/>
        <v>231322</v>
      </c>
    </row>
    <row r="58" spans="1:16" ht="26.25" customHeight="1" x14ac:dyDescent="0.2">
      <c r="A58" s="100"/>
      <c r="B58" s="100"/>
      <c r="C58" s="65" t="s">
        <v>5877</v>
      </c>
      <c r="D58" s="70" t="s">
        <v>57</v>
      </c>
      <c r="E58" s="12">
        <v>44560</v>
      </c>
      <c r="F58" s="68" t="s">
        <v>59</v>
      </c>
      <c r="G58" s="12">
        <v>44565</v>
      </c>
      <c r="H58" s="69" t="s">
        <v>5820</v>
      </c>
      <c r="I58" s="15">
        <v>82</v>
      </c>
      <c r="J58" s="15">
        <v>58</v>
      </c>
      <c r="K58" s="15">
        <v>27</v>
      </c>
      <c r="L58" s="15">
        <v>28</v>
      </c>
      <c r="M58" s="73">
        <v>32.103000000000002</v>
      </c>
      <c r="N58" s="104">
        <v>32.103000000000002</v>
      </c>
      <c r="O58" s="57">
        <v>7000</v>
      </c>
      <c r="P58" s="58">
        <f t="shared" si="0"/>
        <v>224721</v>
      </c>
    </row>
    <row r="59" spans="1:16" ht="26.25" customHeight="1" x14ac:dyDescent="0.2">
      <c r="A59" s="100"/>
      <c r="B59" s="100"/>
      <c r="C59" s="65" t="s">
        <v>5878</v>
      </c>
      <c r="D59" s="70" t="s">
        <v>57</v>
      </c>
      <c r="E59" s="12">
        <v>44560</v>
      </c>
      <c r="F59" s="68" t="s">
        <v>59</v>
      </c>
      <c r="G59" s="12">
        <v>44565</v>
      </c>
      <c r="H59" s="69" t="s">
        <v>5820</v>
      </c>
      <c r="I59" s="15">
        <v>33</v>
      </c>
      <c r="J59" s="15">
        <v>30</v>
      </c>
      <c r="K59" s="15">
        <v>15</v>
      </c>
      <c r="L59" s="15">
        <v>12</v>
      </c>
      <c r="M59" s="73">
        <v>3.7124999999999999</v>
      </c>
      <c r="N59" s="104">
        <v>12</v>
      </c>
      <c r="O59" s="57">
        <v>7000</v>
      </c>
      <c r="P59" s="58">
        <f t="shared" si="0"/>
        <v>84000</v>
      </c>
    </row>
    <row r="60" spans="1:16" ht="26.25" customHeight="1" x14ac:dyDescent="0.2">
      <c r="A60" s="100"/>
      <c r="B60" s="100"/>
      <c r="C60" s="65" t="s">
        <v>5879</v>
      </c>
      <c r="D60" s="70" t="s">
        <v>57</v>
      </c>
      <c r="E60" s="12">
        <v>44560</v>
      </c>
      <c r="F60" s="68" t="s">
        <v>59</v>
      </c>
      <c r="G60" s="12">
        <v>44565</v>
      </c>
      <c r="H60" s="69" t="s">
        <v>5820</v>
      </c>
      <c r="I60" s="15">
        <v>66</v>
      </c>
      <c r="J60" s="15">
        <v>57</v>
      </c>
      <c r="K60" s="15">
        <v>18</v>
      </c>
      <c r="L60" s="15">
        <v>19</v>
      </c>
      <c r="M60" s="73">
        <v>16.928999999999998</v>
      </c>
      <c r="N60" s="104">
        <v>19</v>
      </c>
      <c r="O60" s="57">
        <v>7000</v>
      </c>
      <c r="P60" s="58">
        <f t="shared" si="0"/>
        <v>133000</v>
      </c>
    </row>
    <row r="61" spans="1:16" ht="26.25" customHeight="1" x14ac:dyDescent="0.2">
      <c r="A61" s="100"/>
      <c r="B61" s="100"/>
      <c r="C61" s="65" t="s">
        <v>5880</v>
      </c>
      <c r="D61" s="70" t="s">
        <v>57</v>
      </c>
      <c r="E61" s="12">
        <v>44560</v>
      </c>
      <c r="F61" s="68" t="s">
        <v>59</v>
      </c>
      <c r="G61" s="12">
        <v>44565</v>
      </c>
      <c r="H61" s="69" t="s">
        <v>5820</v>
      </c>
      <c r="I61" s="15">
        <v>76</v>
      </c>
      <c r="J61" s="15">
        <v>68</v>
      </c>
      <c r="K61" s="15">
        <v>36</v>
      </c>
      <c r="L61" s="15">
        <v>17</v>
      </c>
      <c r="M61" s="73">
        <v>46.512</v>
      </c>
      <c r="N61" s="104">
        <v>46.512</v>
      </c>
      <c r="O61" s="57">
        <v>7000</v>
      </c>
      <c r="P61" s="58">
        <f t="shared" si="0"/>
        <v>325584</v>
      </c>
    </row>
    <row r="62" spans="1:16" ht="26.25" customHeight="1" x14ac:dyDescent="0.2">
      <c r="A62" s="100"/>
      <c r="B62" s="100"/>
      <c r="C62" s="65" t="s">
        <v>5881</v>
      </c>
      <c r="D62" s="70" t="s">
        <v>57</v>
      </c>
      <c r="E62" s="12">
        <v>44560</v>
      </c>
      <c r="F62" s="68" t="s">
        <v>59</v>
      </c>
      <c r="G62" s="12">
        <v>44565</v>
      </c>
      <c r="H62" s="69" t="s">
        <v>5820</v>
      </c>
      <c r="I62" s="15">
        <v>75</v>
      </c>
      <c r="J62" s="15">
        <v>53</v>
      </c>
      <c r="K62" s="15">
        <v>25</v>
      </c>
      <c r="L62" s="15">
        <v>21</v>
      </c>
      <c r="M62" s="73">
        <v>24.84375</v>
      </c>
      <c r="N62" s="104">
        <v>24.84375</v>
      </c>
      <c r="O62" s="57">
        <v>7000</v>
      </c>
      <c r="P62" s="58">
        <f t="shared" si="0"/>
        <v>173906.25</v>
      </c>
    </row>
    <row r="63" spans="1:16" ht="26.25" customHeight="1" x14ac:dyDescent="0.2">
      <c r="A63" s="100"/>
      <c r="B63" s="100"/>
      <c r="C63" s="65" t="s">
        <v>5882</v>
      </c>
      <c r="D63" s="70" t="s">
        <v>57</v>
      </c>
      <c r="E63" s="12">
        <v>44560</v>
      </c>
      <c r="F63" s="68" t="s">
        <v>59</v>
      </c>
      <c r="G63" s="12">
        <v>44565</v>
      </c>
      <c r="H63" s="69" t="s">
        <v>5820</v>
      </c>
      <c r="I63" s="15">
        <v>60</v>
      </c>
      <c r="J63" s="15">
        <v>35</v>
      </c>
      <c r="K63" s="15">
        <v>15</v>
      </c>
      <c r="L63" s="15">
        <v>7</v>
      </c>
      <c r="M63" s="73">
        <v>7.875</v>
      </c>
      <c r="N63" s="104">
        <v>7.875</v>
      </c>
      <c r="O63" s="57">
        <v>7000</v>
      </c>
      <c r="P63" s="58">
        <f t="shared" si="0"/>
        <v>55125</v>
      </c>
    </row>
    <row r="64" spans="1:16" ht="26.25" customHeight="1" x14ac:dyDescent="0.2">
      <c r="A64" s="100"/>
      <c r="B64" s="100"/>
      <c r="C64" s="65" t="s">
        <v>5883</v>
      </c>
      <c r="D64" s="70" t="s">
        <v>57</v>
      </c>
      <c r="E64" s="12">
        <v>44560</v>
      </c>
      <c r="F64" s="68" t="s">
        <v>59</v>
      </c>
      <c r="G64" s="12">
        <v>44565</v>
      </c>
      <c r="H64" s="69" t="s">
        <v>5820</v>
      </c>
      <c r="I64" s="15">
        <v>61</v>
      </c>
      <c r="J64" s="15">
        <v>41</v>
      </c>
      <c r="K64" s="15">
        <v>12</v>
      </c>
      <c r="L64" s="15">
        <v>7</v>
      </c>
      <c r="M64" s="73">
        <v>7.5030000000000001</v>
      </c>
      <c r="N64" s="104">
        <v>9</v>
      </c>
      <c r="O64" s="57">
        <v>7000</v>
      </c>
      <c r="P64" s="58">
        <f t="shared" si="0"/>
        <v>63000</v>
      </c>
    </row>
    <row r="65" spans="1:16" ht="26.25" customHeight="1" x14ac:dyDescent="0.2">
      <c r="A65" s="100"/>
      <c r="B65" s="100"/>
      <c r="C65" s="65" t="s">
        <v>5884</v>
      </c>
      <c r="D65" s="70" t="s">
        <v>57</v>
      </c>
      <c r="E65" s="12">
        <v>44560</v>
      </c>
      <c r="F65" s="68" t="s">
        <v>59</v>
      </c>
      <c r="G65" s="12">
        <v>44565</v>
      </c>
      <c r="H65" s="69" t="s">
        <v>5820</v>
      </c>
      <c r="I65" s="15">
        <v>31</v>
      </c>
      <c r="J65" s="15">
        <v>15</v>
      </c>
      <c r="K65" s="15">
        <v>20</v>
      </c>
      <c r="L65" s="15">
        <v>16</v>
      </c>
      <c r="M65" s="73">
        <v>2.3250000000000002</v>
      </c>
      <c r="N65" s="104">
        <v>17</v>
      </c>
      <c r="O65" s="57">
        <v>7000</v>
      </c>
      <c r="P65" s="58">
        <f t="shared" si="0"/>
        <v>119000</v>
      </c>
    </row>
    <row r="66" spans="1:16" ht="26.25" customHeight="1" x14ac:dyDescent="0.2">
      <c r="A66" s="100"/>
      <c r="B66" s="100"/>
      <c r="C66" s="65" t="s">
        <v>5885</v>
      </c>
      <c r="D66" s="70" t="s">
        <v>57</v>
      </c>
      <c r="E66" s="12">
        <v>44560</v>
      </c>
      <c r="F66" s="68" t="s">
        <v>59</v>
      </c>
      <c r="G66" s="12">
        <v>44565</v>
      </c>
      <c r="H66" s="69" t="s">
        <v>5820</v>
      </c>
      <c r="I66" s="15">
        <v>51</v>
      </c>
      <c r="J66" s="15">
        <v>21</v>
      </c>
      <c r="K66" s="15">
        <v>11</v>
      </c>
      <c r="L66" s="15">
        <v>14</v>
      </c>
      <c r="M66" s="73">
        <v>2.9452500000000001</v>
      </c>
      <c r="N66" s="104">
        <v>14</v>
      </c>
      <c r="O66" s="57">
        <v>7000</v>
      </c>
      <c r="P66" s="58">
        <f t="shared" si="0"/>
        <v>98000</v>
      </c>
    </row>
    <row r="67" spans="1:16" ht="26.25" customHeight="1" x14ac:dyDescent="0.2">
      <c r="A67" s="100"/>
      <c r="B67" s="100"/>
      <c r="C67" s="65" t="s">
        <v>5886</v>
      </c>
      <c r="D67" s="70" t="s">
        <v>57</v>
      </c>
      <c r="E67" s="12">
        <v>44560</v>
      </c>
      <c r="F67" s="68" t="s">
        <v>59</v>
      </c>
      <c r="G67" s="12">
        <v>44565</v>
      </c>
      <c r="H67" s="69" t="s">
        <v>5820</v>
      </c>
      <c r="I67" s="15">
        <v>33</v>
      </c>
      <c r="J67" s="15">
        <v>28</v>
      </c>
      <c r="K67" s="15">
        <v>10</v>
      </c>
      <c r="L67" s="15">
        <v>6</v>
      </c>
      <c r="M67" s="73">
        <v>2.31</v>
      </c>
      <c r="N67" s="104">
        <v>7</v>
      </c>
      <c r="O67" s="57">
        <v>7000</v>
      </c>
      <c r="P67" s="58">
        <f t="shared" ref="P67:P130" si="1">N67*O67</f>
        <v>49000</v>
      </c>
    </row>
    <row r="68" spans="1:16" ht="26.25" customHeight="1" x14ac:dyDescent="0.2">
      <c r="A68" s="100"/>
      <c r="B68" s="100"/>
      <c r="C68" s="65" t="s">
        <v>5887</v>
      </c>
      <c r="D68" s="70" t="s">
        <v>57</v>
      </c>
      <c r="E68" s="12">
        <v>44560</v>
      </c>
      <c r="F68" s="68" t="s">
        <v>59</v>
      </c>
      <c r="G68" s="12">
        <v>44565</v>
      </c>
      <c r="H68" s="69" t="s">
        <v>5820</v>
      </c>
      <c r="I68" s="15">
        <v>93</v>
      </c>
      <c r="J68" s="15">
        <v>45</v>
      </c>
      <c r="K68" s="15">
        <v>32</v>
      </c>
      <c r="L68" s="15">
        <v>9</v>
      </c>
      <c r="M68" s="73">
        <v>33.479999999999997</v>
      </c>
      <c r="N68" s="104">
        <v>34</v>
      </c>
      <c r="O68" s="57">
        <v>7000</v>
      </c>
      <c r="P68" s="58">
        <f t="shared" si="1"/>
        <v>238000</v>
      </c>
    </row>
    <row r="69" spans="1:16" ht="26.25" customHeight="1" x14ac:dyDescent="0.2">
      <c r="A69" s="100"/>
      <c r="B69" s="100"/>
      <c r="C69" s="65" t="s">
        <v>5888</v>
      </c>
      <c r="D69" s="70" t="s">
        <v>57</v>
      </c>
      <c r="E69" s="12">
        <v>44560</v>
      </c>
      <c r="F69" s="68" t="s">
        <v>59</v>
      </c>
      <c r="G69" s="12">
        <v>44565</v>
      </c>
      <c r="H69" s="69" t="s">
        <v>5820</v>
      </c>
      <c r="I69" s="15">
        <v>96</v>
      </c>
      <c r="J69" s="15">
        <v>33</v>
      </c>
      <c r="K69" s="15">
        <v>31</v>
      </c>
      <c r="L69" s="15">
        <v>1</v>
      </c>
      <c r="M69" s="73">
        <v>24.552</v>
      </c>
      <c r="N69" s="104">
        <v>24.552</v>
      </c>
      <c r="O69" s="57">
        <v>7000</v>
      </c>
      <c r="P69" s="58">
        <f t="shared" si="1"/>
        <v>171864</v>
      </c>
    </row>
    <row r="70" spans="1:16" ht="26.25" customHeight="1" x14ac:dyDescent="0.2">
      <c r="A70" s="100"/>
      <c r="B70" s="100"/>
      <c r="C70" s="65" t="s">
        <v>5889</v>
      </c>
      <c r="D70" s="70" t="s">
        <v>57</v>
      </c>
      <c r="E70" s="12">
        <v>44560</v>
      </c>
      <c r="F70" s="68" t="s">
        <v>59</v>
      </c>
      <c r="G70" s="12">
        <v>44565</v>
      </c>
      <c r="H70" s="69" t="s">
        <v>5820</v>
      </c>
      <c r="I70" s="15">
        <v>96</v>
      </c>
      <c r="J70" s="15">
        <v>33</v>
      </c>
      <c r="K70" s="15">
        <v>31</v>
      </c>
      <c r="L70" s="15">
        <v>1</v>
      </c>
      <c r="M70" s="73">
        <v>24.552</v>
      </c>
      <c r="N70" s="104">
        <v>24.552</v>
      </c>
      <c r="O70" s="57">
        <v>7000</v>
      </c>
      <c r="P70" s="58">
        <f t="shared" si="1"/>
        <v>171864</v>
      </c>
    </row>
    <row r="71" spans="1:16" ht="26.25" customHeight="1" x14ac:dyDescent="0.2">
      <c r="A71" s="100"/>
      <c r="B71" s="100"/>
      <c r="C71" s="65" t="s">
        <v>5890</v>
      </c>
      <c r="D71" s="70" t="s">
        <v>57</v>
      </c>
      <c r="E71" s="12">
        <v>44560</v>
      </c>
      <c r="F71" s="68" t="s">
        <v>59</v>
      </c>
      <c r="G71" s="12">
        <v>44565</v>
      </c>
      <c r="H71" s="69" t="s">
        <v>5820</v>
      </c>
      <c r="I71" s="15">
        <v>87</v>
      </c>
      <c r="J71" s="15">
        <v>64</v>
      </c>
      <c r="K71" s="15">
        <v>22</v>
      </c>
      <c r="L71" s="15">
        <v>6</v>
      </c>
      <c r="M71" s="73">
        <v>30.623999999999999</v>
      </c>
      <c r="N71" s="104">
        <v>30.623999999999999</v>
      </c>
      <c r="O71" s="57">
        <v>7000</v>
      </c>
      <c r="P71" s="58">
        <f t="shared" si="1"/>
        <v>214368</v>
      </c>
    </row>
    <row r="72" spans="1:16" ht="26.25" customHeight="1" x14ac:dyDescent="0.2">
      <c r="A72" s="100"/>
      <c r="B72" s="100"/>
      <c r="C72" s="65" t="s">
        <v>5891</v>
      </c>
      <c r="D72" s="70" t="s">
        <v>57</v>
      </c>
      <c r="E72" s="12">
        <v>44560</v>
      </c>
      <c r="F72" s="68" t="s">
        <v>59</v>
      </c>
      <c r="G72" s="12">
        <v>44565</v>
      </c>
      <c r="H72" s="69" t="s">
        <v>5820</v>
      </c>
      <c r="I72" s="15">
        <v>62</v>
      </c>
      <c r="J72" s="15">
        <v>61</v>
      </c>
      <c r="K72" s="15">
        <v>23</v>
      </c>
      <c r="L72" s="15">
        <v>7</v>
      </c>
      <c r="M72" s="73">
        <v>21.746500000000001</v>
      </c>
      <c r="N72" s="104">
        <v>21.746500000000001</v>
      </c>
      <c r="O72" s="57">
        <v>7000</v>
      </c>
      <c r="P72" s="58">
        <f t="shared" si="1"/>
        <v>152225.5</v>
      </c>
    </row>
    <row r="73" spans="1:16" ht="26.25" customHeight="1" x14ac:dyDescent="0.2">
      <c r="A73" s="100"/>
      <c r="B73" s="100"/>
      <c r="C73" s="65" t="s">
        <v>5892</v>
      </c>
      <c r="D73" s="70" t="s">
        <v>57</v>
      </c>
      <c r="E73" s="12">
        <v>44560</v>
      </c>
      <c r="F73" s="68" t="s">
        <v>59</v>
      </c>
      <c r="G73" s="12">
        <v>44565</v>
      </c>
      <c r="H73" s="69" t="s">
        <v>5820</v>
      </c>
      <c r="I73" s="15">
        <v>71</v>
      </c>
      <c r="J73" s="15">
        <v>42</v>
      </c>
      <c r="K73" s="15">
        <v>22</v>
      </c>
      <c r="L73" s="15">
        <v>1</v>
      </c>
      <c r="M73" s="73">
        <v>16.401</v>
      </c>
      <c r="N73" s="104">
        <v>17</v>
      </c>
      <c r="O73" s="57">
        <v>7000</v>
      </c>
      <c r="P73" s="58">
        <f t="shared" si="1"/>
        <v>119000</v>
      </c>
    </row>
    <row r="74" spans="1:16" ht="26.25" customHeight="1" x14ac:dyDescent="0.2">
      <c r="A74" s="100"/>
      <c r="B74" s="100"/>
      <c r="C74" s="65" t="s">
        <v>5893</v>
      </c>
      <c r="D74" s="70" t="s">
        <v>57</v>
      </c>
      <c r="E74" s="12">
        <v>44560</v>
      </c>
      <c r="F74" s="68" t="s">
        <v>59</v>
      </c>
      <c r="G74" s="12">
        <v>44565</v>
      </c>
      <c r="H74" s="69" t="s">
        <v>5820</v>
      </c>
      <c r="I74" s="15">
        <v>75</v>
      </c>
      <c r="J74" s="15">
        <v>59</v>
      </c>
      <c r="K74" s="15">
        <v>12</v>
      </c>
      <c r="L74" s="15">
        <v>5</v>
      </c>
      <c r="M74" s="73">
        <v>13.275</v>
      </c>
      <c r="N74" s="104">
        <v>13.275</v>
      </c>
      <c r="O74" s="57">
        <v>7000</v>
      </c>
      <c r="P74" s="58">
        <f t="shared" si="1"/>
        <v>92925</v>
      </c>
    </row>
    <row r="75" spans="1:16" ht="26.25" customHeight="1" x14ac:dyDescent="0.2">
      <c r="A75" s="100"/>
      <c r="B75" s="100"/>
      <c r="C75" s="65" t="s">
        <v>5894</v>
      </c>
      <c r="D75" s="70" t="s">
        <v>57</v>
      </c>
      <c r="E75" s="12">
        <v>44560</v>
      </c>
      <c r="F75" s="68" t="s">
        <v>59</v>
      </c>
      <c r="G75" s="12">
        <v>44565</v>
      </c>
      <c r="H75" s="69" t="s">
        <v>5820</v>
      </c>
      <c r="I75" s="15">
        <v>51</v>
      </c>
      <c r="J75" s="15">
        <v>41</v>
      </c>
      <c r="K75" s="15">
        <v>17</v>
      </c>
      <c r="L75" s="15">
        <v>3</v>
      </c>
      <c r="M75" s="73">
        <v>8.8867499999999993</v>
      </c>
      <c r="N75" s="104">
        <v>8.8867499999999993</v>
      </c>
      <c r="O75" s="57">
        <v>7000</v>
      </c>
      <c r="P75" s="58">
        <f t="shared" si="1"/>
        <v>62207.249999999993</v>
      </c>
    </row>
    <row r="76" spans="1:16" ht="26.25" customHeight="1" x14ac:dyDescent="0.2">
      <c r="A76" s="100"/>
      <c r="B76" s="100"/>
      <c r="C76" s="65" t="s">
        <v>5895</v>
      </c>
      <c r="D76" s="70" t="s">
        <v>57</v>
      </c>
      <c r="E76" s="12">
        <v>44560</v>
      </c>
      <c r="F76" s="68" t="s">
        <v>59</v>
      </c>
      <c r="G76" s="12">
        <v>44565</v>
      </c>
      <c r="H76" s="69" t="s">
        <v>5820</v>
      </c>
      <c r="I76" s="15">
        <v>88</v>
      </c>
      <c r="J76" s="15">
        <v>57</v>
      </c>
      <c r="K76" s="15">
        <v>23</v>
      </c>
      <c r="L76" s="15">
        <v>6</v>
      </c>
      <c r="M76" s="73">
        <v>28.841999999999999</v>
      </c>
      <c r="N76" s="104">
        <v>28.841999999999999</v>
      </c>
      <c r="O76" s="57">
        <v>7000</v>
      </c>
      <c r="P76" s="58">
        <f t="shared" si="1"/>
        <v>201894</v>
      </c>
    </row>
    <row r="77" spans="1:16" ht="26.25" customHeight="1" x14ac:dyDescent="0.2">
      <c r="A77" s="100"/>
      <c r="B77" s="100"/>
      <c r="C77" s="65" t="s">
        <v>5896</v>
      </c>
      <c r="D77" s="70" t="s">
        <v>57</v>
      </c>
      <c r="E77" s="12">
        <v>44560</v>
      </c>
      <c r="F77" s="68" t="s">
        <v>59</v>
      </c>
      <c r="G77" s="12">
        <v>44565</v>
      </c>
      <c r="H77" s="69" t="s">
        <v>5820</v>
      </c>
      <c r="I77" s="15">
        <v>92</v>
      </c>
      <c r="J77" s="15">
        <v>62</v>
      </c>
      <c r="K77" s="15">
        <v>16</v>
      </c>
      <c r="L77" s="15">
        <v>3</v>
      </c>
      <c r="M77" s="73">
        <v>22.815999999999999</v>
      </c>
      <c r="N77" s="104">
        <v>22.815999999999999</v>
      </c>
      <c r="O77" s="57">
        <v>7000</v>
      </c>
      <c r="P77" s="58">
        <f t="shared" si="1"/>
        <v>159712</v>
      </c>
    </row>
    <row r="78" spans="1:16" ht="26.25" customHeight="1" x14ac:dyDescent="0.2">
      <c r="A78" s="100"/>
      <c r="B78" s="100"/>
      <c r="C78" s="65" t="s">
        <v>5897</v>
      </c>
      <c r="D78" s="70" t="s">
        <v>57</v>
      </c>
      <c r="E78" s="12">
        <v>44560</v>
      </c>
      <c r="F78" s="68" t="s">
        <v>59</v>
      </c>
      <c r="G78" s="12">
        <v>44565</v>
      </c>
      <c r="H78" s="69" t="s">
        <v>5820</v>
      </c>
      <c r="I78" s="15">
        <v>83</v>
      </c>
      <c r="J78" s="15">
        <v>57</v>
      </c>
      <c r="K78" s="15">
        <v>38</v>
      </c>
      <c r="L78" s="15">
        <v>4</v>
      </c>
      <c r="M78" s="73">
        <v>44.944499999999998</v>
      </c>
      <c r="N78" s="104">
        <v>44.944499999999998</v>
      </c>
      <c r="O78" s="57">
        <v>7000</v>
      </c>
      <c r="P78" s="58">
        <f t="shared" si="1"/>
        <v>314611.5</v>
      </c>
    </row>
    <row r="79" spans="1:16" ht="26.25" customHeight="1" x14ac:dyDescent="0.2">
      <c r="A79" s="100"/>
      <c r="B79" s="100"/>
      <c r="C79" s="65" t="s">
        <v>5898</v>
      </c>
      <c r="D79" s="70" t="s">
        <v>57</v>
      </c>
      <c r="E79" s="12">
        <v>44560</v>
      </c>
      <c r="F79" s="68" t="s">
        <v>59</v>
      </c>
      <c r="G79" s="12">
        <v>44565</v>
      </c>
      <c r="H79" s="69" t="s">
        <v>5820</v>
      </c>
      <c r="I79" s="15">
        <v>64</v>
      </c>
      <c r="J79" s="15">
        <v>51</v>
      </c>
      <c r="K79" s="15">
        <v>12</v>
      </c>
      <c r="L79" s="15">
        <v>13</v>
      </c>
      <c r="M79" s="73">
        <v>9.7919999999999998</v>
      </c>
      <c r="N79" s="104">
        <v>13</v>
      </c>
      <c r="O79" s="57">
        <v>7000</v>
      </c>
      <c r="P79" s="58">
        <f t="shared" si="1"/>
        <v>91000</v>
      </c>
    </row>
    <row r="80" spans="1:16" ht="26.25" customHeight="1" x14ac:dyDescent="0.2">
      <c r="A80" s="100"/>
      <c r="B80" s="100"/>
      <c r="C80" s="65" t="s">
        <v>5899</v>
      </c>
      <c r="D80" s="70" t="s">
        <v>57</v>
      </c>
      <c r="E80" s="12">
        <v>44560</v>
      </c>
      <c r="F80" s="68" t="s">
        <v>59</v>
      </c>
      <c r="G80" s="12">
        <v>44565</v>
      </c>
      <c r="H80" s="69" t="s">
        <v>5820</v>
      </c>
      <c r="I80" s="15">
        <v>105</v>
      </c>
      <c r="J80" s="15">
        <v>67</v>
      </c>
      <c r="K80" s="15">
        <v>30</v>
      </c>
      <c r="L80" s="15">
        <v>6</v>
      </c>
      <c r="M80" s="73">
        <v>52.762500000000003</v>
      </c>
      <c r="N80" s="104">
        <v>52.762500000000003</v>
      </c>
      <c r="O80" s="57">
        <v>7000</v>
      </c>
      <c r="P80" s="58">
        <f t="shared" si="1"/>
        <v>369337.5</v>
      </c>
    </row>
    <row r="81" spans="1:16" ht="26.25" customHeight="1" x14ac:dyDescent="0.2">
      <c r="A81" s="100"/>
      <c r="B81" s="100"/>
      <c r="C81" s="65" t="s">
        <v>5900</v>
      </c>
      <c r="D81" s="70" t="s">
        <v>57</v>
      </c>
      <c r="E81" s="12">
        <v>44560</v>
      </c>
      <c r="F81" s="68" t="s">
        <v>59</v>
      </c>
      <c r="G81" s="12">
        <v>44565</v>
      </c>
      <c r="H81" s="69" t="s">
        <v>5820</v>
      </c>
      <c r="I81" s="15">
        <v>53</v>
      </c>
      <c r="J81" s="15">
        <v>38</v>
      </c>
      <c r="K81" s="15">
        <v>12</v>
      </c>
      <c r="L81" s="15">
        <v>9</v>
      </c>
      <c r="M81" s="73">
        <v>6.0419999999999998</v>
      </c>
      <c r="N81" s="104">
        <v>9</v>
      </c>
      <c r="O81" s="57">
        <v>7000</v>
      </c>
      <c r="P81" s="58">
        <f t="shared" si="1"/>
        <v>63000</v>
      </c>
    </row>
    <row r="82" spans="1:16" ht="26.25" customHeight="1" x14ac:dyDescent="0.2">
      <c r="A82" s="100"/>
      <c r="B82" s="100"/>
      <c r="C82" s="65" t="s">
        <v>5901</v>
      </c>
      <c r="D82" s="70" t="s">
        <v>57</v>
      </c>
      <c r="E82" s="12">
        <v>44560</v>
      </c>
      <c r="F82" s="68" t="s">
        <v>59</v>
      </c>
      <c r="G82" s="12">
        <v>44565</v>
      </c>
      <c r="H82" s="69" t="s">
        <v>5820</v>
      </c>
      <c r="I82" s="15">
        <v>77</v>
      </c>
      <c r="J82" s="15">
        <v>53</v>
      </c>
      <c r="K82" s="15">
        <v>18</v>
      </c>
      <c r="L82" s="15">
        <v>10</v>
      </c>
      <c r="M82" s="73">
        <v>18.3645</v>
      </c>
      <c r="N82" s="104">
        <v>19</v>
      </c>
      <c r="O82" s="57">
        <v>7000</v>
      </c>
      <c r="P82" s="58">
        <f t="shared" si="1"/>
        <v>133000</v>
      </c>
    </row>
    <row r="83" spans="1:16" ht="26.25" customHeight="1" x14ac:dyDescent="0.2">
      <c r="A83" s="100"/>
      <c r="B83" s="100"/>
      <c r="C83" s="65" t="s">
        <v>5902</v>
      </c>
      <c r="D83" s="70" t="s">
        <v>57</v>
      </c>
      <c r="E83" s="12">
        <v>44560</v>
      </c>
      <c r="F83" s="68" t="s">
        <v>59</v>
      </c>
      <c r="G83" s="12">
        <v>44565</v>
      </c>
      <c r="H83" s="69" t="s">
        <v>5820</v>
      </c>
      <c r="I83" s="15">
        <v>95</v>
      </c>
      <c r="J83" s="15">
        <v>59</v>
      </c>
      <c r="K83" s="15">
        <v>38</v>
      </c>
      <c r="L83" s="15">
        <v>1</v>
      </c>
      <c r="M83" s="73">
        <v>53.247500000000002</v>
      </c>
      <c r="N83" s="104">
        <v>53.247500000000002</v>
      </c>
      <c r="O83" s="57">
        <v>7000</v>
      </c>
      <c r="P83" s="58">
        <f t="shared" si="1"/>
        <v>372732.5</v>
      </c>
    </row>
    <row r="84" spans="1:16" ht="26.25" customHeight="1" x14ac:dyDescent="0.2">
      <c r="A84" s="100"/>
      <c r="B84" s="100"/>
      <c r="C84" s="65" t="s">
        <v>5903</v>
      </c>
      <c r="D84" s="70" t="s">
        <v>57</v>
      </c>
      <c r="E84" s="12">
        <v>44560</v>
      </c>
      <c r="F84" s="68" t="s">
        <v>59</v>
      </c>
      <c r="G84" s="12">
        <v>44565</v>
      </c>
      <c r="H84" s="69" t="s">
        <v>5820</v>
      </c>
      <c r="I84" s="15">
        <v>94</v>
      </c>
      <c r="J84" s="15">
        <v>63</v>
      </c>
      <c r="K84" s="15">
        <v>35</v>
      </c>
      <c r="L84" s="15">
        <v>13</v>
      </c>
      <c r="M84" s="73">
        <v>51.817500000000003</v>
      </c>
      <c r="N84" s="104">
        <v>51.817500000000003</v>
      </c>
      <c r="O84" s="57">
        <v>7000</v>
      </c>
      <c r="P84" s="58">
        <f t="shared" si="1"/>
        <v>362722.5</v>
      </c>
    </row>
    <row r="85" spans="1:16" ht="26.25" customHeight="1" x14ac:dyDescent="0.2">
      <c r="A85" s="100"/>
      <c r="B85" s="100"/>
      <c r="C85" s="65" t="s">
        <v>5904</v>
      </c>
      <c r="D85" s="70" t="s">
        <v>57</v>
      </c>
      <c r="E85" s="12">
        <v>44560</v>
      </c>
      <c r="F85" s="68" t="s">
        <v>59</v>
      </c>
      <c r="G85" s="12">
        <v>44565</v>
      </c>
      <c r="H85" s="69" t="s">
        <v>5820</v>
      </c>
      <c r="I85" s="15">
        <v>41</v>
      </c>
      <c r="J85" s="15">
        <v>23</v>
      </c>
      <c r="K85" s="15">
        <v>8</v>
      </c>
      <c r="L85" s="15">
        <v>4</v>
      </c>
      <c r="M85" s="73">
        <v>1.8859999999999999</v>
      </c>
      <c r="N85" s="104">
        <v>4</v>
      </c>
      <c r="O85" s="57">
        <v>7000</v>
      </c>
      <c r="P85" s="58">
        <f t="shared" si="1"/>
        <v>28000</v>
      </c>
    </row>
    <row r="86" spans="1:16" ht="26.25" customHeight="1" x14ac:dyDescent="0.2">
      <c r="A86" s="100"/>
      <c r="B86" s="100"/>
      <c r="C86" s="65" t="s">
        <v>5905</v>
      </c>
      <c r="D86" s="70" t="s">
        <v>57</v>
      </c>
      <c r="E86" s="12">
        <v>44560</v>
      </c>
      <c r="F86" s="68" t="s">
        <v>59</v>
      </c>
      <c r="G86" s="12">
        <v>44565</v>
      </c>
      <c r="H86" s="69" t="s">
        <v>5820</v>
      </c>
      <c r="I86" s="15">
        <v>55</v>
      </c>
      <c r="J86" s="15">
        <v>44</v>
      </c>
      <c r="K86" s="15">
        <v>14</v>
      </c>
      <c r="L86" s="15">
        <v>15</v>
      </c>
      <c r="M86" s="73">
        <v>8.4700000000000006</v>
      </c>
      <c r="N86" s="104">
        <v>16</v>
      </c>
      <c r="O86" s="57">
        <v>7000</v>
      </c>
      <c r="P86" s="58">
        <f t="shared" si="1"/>
        <v>112000</v>
      </c>
    </row>
    <row r="87" spans="1:16" ht="26.25" customHeight="1" x14ac:dyDescent="0.2">
      <c r="A87" s="100"/>
      <c r="B87" s="100"/>
      <c r="C87" s="65" t="s">
        <v>5906</v>
      </c>
      <c r="D87" s="70" t="s">
        <v>57</v>
      </c>
      <c r="E87" s="12">
        <v>44560</v>
      </c>
      <c r="F87" s="68" t="s">
        <v>59</v>
      </c>
      <c r="G87" s="12">
        <v>44565</v>
      </c>
      <c r="H87" s="69" t="s">
        <v>5820</v>
      </c>
      <c r="I87" s="15">
        <v>98</v>
      </c>
      <c r="J87" s="15">
        <v>67</v>
      </c>
      <c r="K87" s="15">
        <v>32</v>
      </c>
      <c r="L87" s="15">
        <v>37</v>
      </c>
      <c r="M87" s="73">
        <v>52.527999999999999</v>
      </c>
      <c r="N87" s="104">
        <v>52.527999999999999</v>
      </c>
      <c r="O87" s="57">
        <v>7000</v>
      </c>
      <c r="P87" s="58">
        <f t="shared" si="1"/>
        <v>367696</v>
      </c>
    </row>
    <row r="88" spans="1:16" ht="26.25" customHeight="1" x14ac:dyDescent="0.2">
      <c r="A88" s="100"/>
      <c r="B88" s="100"/>
      <c r="C88" s="65" t="s">
        <v>5907</v>
      </c>
      <c r="D88" s="70" t="s">
        <v>57</v>
      </c>
      <c r="E88" s="12">
        <v>44560</v>
      </c>
      <c r="F88" s="68" t="s">
        <v>59</v>
      </c>
      <c r="G88" s="12">
        <v>44565</v>
      </c>
      <c r="H88" s="69" t="s">
        <v>5820</v>
      </c>
      <c r="I88" s="15">
        <v>97</v>
      </c>
      <c r="J88" s="15">
        <v>42</v>
      </c>
      <c r="K88" s="15">
        <v>28</v>
      </c>
      <c r="L88" s="15">
        <v>15</v>
      </c>
      <c r="M88" s="73">
        <v>28.518000000000001</v>
      </c>
      <c r="N88" s="104">
        <v>28.518000000000001</v>
      </c>
      <c r="O88" s="57">
        <v>7000</v>
      </c>
      <c r="P88" s="58">
        <f t="shared" si="1"/>
        <v>199626</v>
      </c>
    </row>
    <row r="89" spans="1:16" ht="26.25" customHeight="1" x14ac:dyDescent="0.2">
      <c r="A89" s="100"/>
      <c r="B89" s="100"/>
      <c r="C89" s="65" t="s">
        <v>5908</v>
      </c>
      <c r="D89" s="70" t="s">
        <v>57</v>
      </c>
      <c r="E89" s="12">
        <v>44560</v>
      </c>
      <c r="F89" s="68" t="s">
        <v>59</v>
      </c>
      <c r="G89" s="12">
        <v>44565</v>
      </c>
      <c r="H89" s="69" t="s">
        <v>5820</v>
      </c>
      <c r="I89" s="15">
        <v>61</v>
      </c>
      <c r="J89" s="15">
        <v>52</v>
      </c>
      <c r="K89" s="15">
        <v>15</v>
      </c>
      <c r="L89" s="15">
        <v>6</v>
      </c>
      <c r="M89" s="73">
        <v>11.895</v>
      </c>
      <c r="N89" s="104">
        <v>11.895</v>
      </c>
      <c r="O89" s="57">
        <v>7000</v>
      </c>
      <c r="P89" s="58">
        <f t="shared" si="1"/>
        <v>83265</v>
      </c>
    </row>
    <row r="90" spans="1:16" ht="26.25" customHeight="1" x14ac:dyDescent="0.2">
      <c r="A90" s="100"/>
      <c r="B90" s="100"/>
      <c r="C90" s="65" t="s">
        <v>5909</v>
      </c>
      <c r="D90" s="70" t="s">
        <v>57</v>
      </c>
      <c r="E90" s="12">
        <v>44560</v>
      </c>
      <c r="F90" s="68" t="s">
        <v>59</v>
      </c>
      <c r="G90" s="12">
        <v>44565</v>
      </c>
      <c r="H90" s="69" t="s">
        <v>5820</v>
      </c>
      <c r="I90" s="15">
        <v>57</v>
      </c>
      <c r="J90" s="15">
        <v>45</v>
      </c>
      <c r="K90" s="15">
        <v>17</v>
      </c>
      <c r="L90" s="15">
        <v>6</v>
      </c>
      <c r="M90" s="73">
        <v>10.901249999999999</v>
      </c>
      <c r="N90" s="104">
        <v>10.901249999999999</v>
      </c>
      <c r="O90" s="57">
        <v>7000</v>
      </c>
      <c r="P90" s="58">
        <f t="shared" si="1"/>
        <v>76308.75</v>
      </c>
    </row>
    <row r="91" spans="1:16" ht="26.25" customHeight="1" x14ac:dyDescent="0.2">
      <c r="A91" s="100"/>
      <c r="B91" s="100"/>
      <c r="C91" s="65" t="s">
        <v>5910</v>
      </c>
      <c r="D91" s="70" t="s">
        <v>57</v>
      </c>
      <c r="E91" s="12">
        <v>44560</v>
      </c>
      <c r="F91" s="68" t="s">
        <v>59</v>
      </c>
      <c r="G91" s="12">
        <v>44565</v>
      </c>
      <c r="H91" s="69" t="s">
        <v>5820</v>
      </c>
      <c r="I91" s="15">
        <v>20</v>
      </c>
      <c r="J91" s="15">
        <v>13</v>
      </c>
      <c r="K91" s="15">
        <v>13</v>
      </c>
      <c r="L91" s="15">
        <v>7</v>
      </c>
      <c r="M91" s="73">
        <v>0.84499999999999997</v>
      </c>
      <c r="N91" s="104">
        <v>7</v>
      </c>
      <c r="O91" s="57">
        <v>7000</v>
      </c>
      <c r="P91" s="58">
        <f t="shared" si="1"/>
        <v>49000</v>
      </c>
    </row>
    <row r="92" spans="1:16" ht="26.25" customHeight="1" x14ac:dyDescent="0.2">
      <c r="A92" s="100"/>
      <c r="B92" s="100"/>
      <c r="C92" s="65" t="s">
        <v>5911</v>
      </c>
      <c r="D92" s="70" t="s">
        <v>57</v>
      </c>
      <c r="E92" s="12">
        <v>44560</v>
      </c>
      <c r="F92" s="68" t="s">
        <v>59</v>
      </c>
      <c r="G92" s="12">
        <v>44565</v>
      </c>
      <c r="H92" s="69" t="s">
        <v>5820</v>
      </c>
      <c r="I92" s="15">
        <v>77</v>
      </c>
      <c r="J92" s="15">
        <v>61</v>
      </c>
      <c r="K92" s="15">
        <v>19</v>
      </c>
      <c r="L92" s="15">
        <v>16</v>
      </c>
      <c r="M92" s="73">
        <v>22.310749999999999</v>
      </c>
      <c r="N92" s="104">
        <v>23</v>
      </c>
      <c r="O92" s="57">
        <v>7000</v>
      </c>
      <c r="P92" s="58">
        <f t="shared" si="1"/>
        <v>161000</v>
      </c>
    </row>
    <row r="93" spans="1:16" ht="26.25" customHeight="1" x14ac:dyDescent="0.2">
      <c r="A93" s="100"/>
      <c r="B93" s="100"/>
      <c r="C93" s="65" t="s">
        <v>5912</v>
      </c>
      <c r="D93" s="70" t="s">
        <v>57</v>
      </c>
      <c r="E93" s="12">
        <v>44560</v>
      </c>
      <c r="F93" s="68" t="s">
        <v>59</v>
      </c>
      <c r="G93" s="12">
        <v>44565</v>
      </c>
      <c r="H93" s="69" t="s">
        <v>5820</v>
      </c>
      <c r="I93" s="15">
        <v>93</v>
      </c>
      <c r="J93" s="15">
        <v>59</v>
      </c>
      <c r="K93" s="15">
        <v>24</v>
      </c>
      <c r="L93" s="15">
        <v>15</v>
      </c>
      <c r="M93" s="73">
        <v>32.921999999999997</v>
      </c>
      <c r="N93" s="104">
        <v>32.921999999999997</v>
      </c>
      <c r="O93" s="57">
        <v>7000</v>
      </c>
      <c r="P93" s="58">
        <f t="shared" si="1"/>
        <v>230453.99999999997</v>
      </c>
    </row>
    <row r="94" spans="1:16" ht="26.25" customHeight="1" x14ac:dyDescent="0.2">
      <c r="A94" s="100"/>
      <c r="B94" s="100"/>
      <c r="C94" s="65" t="s">
        <v>5913</v>
      </c>
      <c r="D94" s="70" t="s">
        <v>57</v>
      </c>
      <c r="E94" s="12">
        <v>44560</v>
      </c>
      <c r="F94" s="68" t="s">
        <v>59</v>
      </c>
      <c r="G94" s="12">
        <v>44565</v>
      </c>
      <c r="H94" s="69" t="s">
        <v>5820</v>
      </c>
      <c r="I94" s="15">
        <v>45</v>
      </c>
      <c r="J94" s="15">
        <v>32</v>
      </c>
      <c r="K94" s="15">
        <v>20</v>
      </c>
      <c r="L94" s="15">
        <v>47</v>
      </c>
      <c r="M94" s="73">
        <v>7.2</v>
      </c>
      <c r="N94" s="104">
        <v>47</v>
      </c>
      <c r="O94" s="57">
        <v>7000</v>
      </c>
      <c r="P94" s="58">
        <f t="shared" si="1"/>
        <v>329000</v>
      </c>
    </row>
    <row r="95" spans="1:16" ht="26.25" customHeight="1" x14ac:dyDescent="0.2">
      <c r="A95" s="100"/>
      <c r="B95" s="100"/>
      <c r="C95" s="65" t="s">
        <v>5914</v>
      </c>
      <c r="D95" s="70" t="s">
        <v>57</v>
      </c>
      <c r="E95" s="12">
        <v>44560</v>
      </c>
      <c r="F95" s="68" t="s">
        <v>59</v>
      </c>
      <c r="G95" s="12">
        <v>44565</v>
      </c>
      <c r="H95" s="69" t="s">
        <v>5820</v>
      </c>
      <c r="I95" s="15">
        <v>82</v>
      </c>
      <c r="J95" s="15">
        <v>67</v>
      </c>
      <c r="K95" s="15">
        <v>31</v>
      </c>
      <c r="L95" s="15">
        <v>24</v>
      </c>
      <c r="M95" s="73">
        <v>42.578499999999998</v>
      </c>
      <c r="N95" s="104">
        <v>42.578499999999998</v>
      </c>
      <c r="O95" s="57">
        <v>7000</v>
      </c>
      <c r="P95" s="58">
        <f t="shared" si="1"/>
        <v>298049.5</v>
      </c>
    </row>
    <row r="96" spans="1:16" ht="26.25" customHeight="1" x14ac:dyDescent="0.2">
      <c r="A96" s="100"/>
      <c r="B96" s="100"/>
      <c r="C96" s="65" t="s">
        <v>5915</v>
      </c>
      <c r="D96" s="70" t="s">
        <v>57</v>
      </c>
      <c r="E96" s="12">
        <v>44560</v>
      </c>
      <c r="F96" s="68" t="s">
        <v>59</v>
      </c>
      <c r="G96" s="12">
        <v>44565</v>
      </c>
      <c r="H96" s="69" t="s">
        <v>5820</v>
      </c>
      <c r="I96" s="15">
        <v>61</v>
      </c>
      <c r="J96" s="15">
        <v>51</v>
      </c>
      <c r="K96" s="15">
        <v>52</v>
      </c>
      <c r="L96" s="15">
        <v>7</v>
      </c>
      <c r="M96" s="73">
        <v>40.442999999999998</v>
      </c>
      <c r="N96" s="104">
        <v>41</v>
      </c>
      <c r="O96" s="57">
        <v>7000</v>
      </c>
      <c r="P96" s="58">
        <f t="shared" si="1"/>
        <v>287000</v>
      </c>
    </row>
    <row r="97" spans="1:16" ht="26.25" customHeight="1" x14ac:dyDescent="0.2">
      <c r="A97" s="100"/>
      <c r="B97" s="100"/>
      <c r="C97" s="65" t="s">
        <v>5916</v>
      </c>
      <c r="D97" s="70" t="s">
        <v>57</v>
      </c>
      <c r="E97" s="12">
        <v>44560</v>
      </c>
      <c r="F97" s="68" t="s">
        <v>59</v>
      </c>
      <c r="G97" s="12">
        <v>44565</v>
      </c>
      <c r="H97" s="69" t="s">
        <v>5820</v>
      </c>
      <c r="I97" s="15">
        <v>75</v>
      </c>
      <c r="J97" s="15">
        <v>35</v>
      </c>
      <c r="K97" s="15">
        <v>28</v>
      </c>
      <c r="L97" s="15">
        <v>1</v>
      </c>
      <c r="M97" s="73">
        <v>18.375</v>
      </c>
      <c r="N97" s="104">
        <v>19</v>
      </c>
      <c r="O97" s="57">
        <v>7000</v>
      </c>
      <c r="P97" s="58">
        <f t="shared" si="1"/>
        <v>133000</v>
      </c>
    </row>
    <row r="98" spans="1:16" ht="26.25" customHeight="1" x14ac:dyDescent="0.2">
      <c r="A98" s="100"/>
      <c r="B98" s="100"/>
      <c r="C98" s="65" t="s">
        <v>5917</v>
      </c>
      <c r="D98" s="70" t="s">
        <v>57</v>
      </c>
      <c r="E98" s="12">
        <v>44560</v>
      </c>
      <c r="F98" s="68" t="s">
        <v>59</v>
      </c>
      <c r="G98" s="12">
        <v>44565</v>
      </c>
      <c r="H98" s="69" t="s">
        <v>5820</v>
      </c>
      <c r="I98" s="15">
        <v>45</v>
      </c>
      <c r="J98" s="15">
        <v>41</v>
      </c>
      <c r="K98" s="15">
        <v>28</v>
      </c>
      <c r="L98" s="15">
        <v>2</v>
      </c>
      <c r="M98" s="73">
        <v>12.914999999999999</v>
      </c>
      <c r="N98" s="104">
        <v>12.914999999999999</v>
      </c>
      <c r="O98" s="57">
        <v>7000</v>
      </c>
      <c r="P98" s="58">
        <f t="shared" si="1"/>
        <v>90405</v>
      </c>
    </row>
    <row r="99" spans="1:16" ht="26.25" customHeight="1" x14ac:dyDescent="0.2">
      <c r="A99" s="100"/>
      <c r="B99" s="100"/>
      <c r="C99" s="65" t="s">
        <v>5918</v>
      </c>
      <c r="D99" s="70" t="s">
        <v>57</v>
      </c>
      <c r="E99" s="12">
        <v>44560</v>
      </c>
      <c r="F99" s="68" t="s">
        <v>59</v>
      </c>
      <c r="G99" s="12">
        <v>44565</v>
      </c>
      <c r="H99" s="69" t="s">
        <v>5820</v>
      </c>
      <c r="I99" s="15">
        <v>82</v>
      </c>
      <c r="J99" s="15">
        <v>55</v>
      </c>
      <c r="K99" s="15">
        <v>33</v>
      </c>
      <c r="L99" s="15">
        <v>9</v>
      </c>
      <c r="M99" s="73">
        <v>37.207500000000003</v>
      </c>
      <c r="N99" s="104">
        <v>37.207500000000003</v>
      </c>
      <c r="O99" s="57">
        <v>7000</v>
      </c>
      <c r="P99" s="58">
        <f t="shared" si="1"/>
        <v>260452.50000000003</v>
      </c>
    </row>
    <row r="100" spans="1:16" ht="26.25" customHeight="1" x14ac:dyDescent="0.2">
      <c r="A100" s="100"/>
      <c r="B100" s="100"/>
      <c r="C100" s="65" t="s">
        <v>5919</v>
      </c>
      <c r="D100" s="70" t="s">
        <v>57</v>
      </c>
      <c r="E100" s="12">
        <v>44560</v>
      </c>
      <c r="F100" s="68" t="s">
        <v>59</v>
      </c>
      <c r="G100" s="12">
        <v>44565</v>
      </c>
      <c r="H100" s="69" t="s">
        <v>5820</v>
      </c>
      <c r="I100" s="15">
        <v>31</v>
      </c>
      <c r="J100" s="15">
        <v>25</v>
      </c>
      <c r="K100" s="15">
        <v>16</v>
      </c>
      <c r="L100" s="15">
        <v>1</v>
      </c>
      <c r="M100" s="73">
        <v>3.1</v>
      </c>
      <c r="N100" s="104">
        <v>3.1</v>
      </c>
      <c r="O100" s="57">
        <v>7000</v>
      </c>
      <c r="P100" s="58">
        <f t="shared" si="1"/>
        <v>21700</v>
      </c>
    </row>
    <row r="101" spans="1:16" ht="26.25" customHeight="1" x14ac:dyDescent="0.2">
      <c r="A101" s="100"/>
      <c r="B101" s="100"/>
      <c r="C101" s="65" t="s">
        <v>5920</v>
      </c>
      <c r="D101" s="70" t="s">
        <v>57</v>
      </c>
      <c r="E101" s="12">
        <v>44560</v>
      </c>
      <c r="F101" s="68" t="s">
        <v>59</v>
      </c>
      <c r="G101" s="12">
        <v>44565</v>
      </c>
      <c r="H101" s="69" t="s">
        <v>5820</v>
      </c>
      <c r="I101" s="15">
        <v>57</v>
      </c>
      <c r="J101" s="15">
        <v>35</v>
      </c>
      <c r="K101" s="15">
        <v>17</v>
      </c>
      <c r="L101" s="15">
        <v>17</v>
      </c>
      <c r="M101" s="73">
        <v>8.4787499999999998</v>
      </c>
      <c r="N101" s="104">
        <v>18</v>
      </c>
      <c r="O101" s="57">
        <v>7000</v>
      </c>
      <c r="P101" s="58">
        <f t="shared" si="1"/>
        <v>126000</v>
      </c>
    </row>
    <row r="102" spans="1:16" ht="26.25" customHeight="1" x14ac:dyDescent="0.2">
      <c r="A102" s="100"/>
      <c r="B102" s="100"/>
      <c r="C102" s="65" t="s">
        <v>5921</v>
      </c>
      <c r="D102" s="70" t="s">
        <v>57</v>
      </c>
      <c r="E102" s="12">
        <v>44560</v>
      </c>
      <c r="F102" s="68" t="s">
        <v>59</v>
      </c>
      <c r="G102" s="12">
        <v>44565</v>
      </c>
      <c r="H102" s="69" t="s">
        <v>5820</v>
      </c>
      <c r="I102" s="15">
        <v>44</v>
      </c>
      <c r="J102" s="15">
        <v>32</v>
      </c>
      <c r="K102" s="15">
        <v>15</v>
      </c>
      <c r="L102" s="15">
        <v>1</v>
      </c>
      <c r="M102" s="73">
        <v>5.28</v>
      </c>
      <c r="N102" s="104">
        <v>5.28</v>
      </c>
      <c r="O102" s="57">
        <v>7000</v>
      </c>
      <c r="P102" s="58">
        <f t="shared" si="1"/>
        <v>36960</v>
      </c>
    </row>
    <row r="103" spans="1:16" ht="26.25" customHeight="1" x14ac:dyDescent="0.2">
      <c r="A103" s="100"/>
      <c r="B103" s="100"/>
      <c r="C103" s="65" t="s">
        <v>5922</v>
      </c>
      <c r="D103" s="70" t="s">
        <v>57</v>
      </c>
      <c r="E103" s="12">
        <v>44560</v>
      </c>
      <c r="F103" s="68" t="s">
        <v>59</v>
      </c>
      <c r="G103" s="12">
        <v>44565</v>
      </c>
      <c r="H103" s="69" t="s">
        <v>5820</v>
      </c>
      <c r="I103" s="15">
        <v>48</v>
      </c>
      <c r="J103" s="15">
        <v>48</v>
      </c>
      <c r="K103" s="15">
        <v>124</v>
      </c>
      <c r="L103" s="15">
        <v>4</v>
      </c>
      <c r="M103" s="73">
        <v>71.424000000000007</v>
      </c>
      <c r="N103" s="104">
        <v>72</v>
      </c>
      <c r="O103" s="57">
        <v>7000</v>
      </c>
      <c r="P103" s="58">
        <f t="shared" si="1"/>
        <v>504000</v>
      </c>
    </row>
    <row r="104" spans="1:16" ht="26.25" customHeight="1" x14ac:dyDescent="0.2">
      <c r="A104" s="100"/>
      <c r="B104" s="100"/>
      <c r="C104" s="65" t="s">
        <v>5923</v>
      </c>
      <c r="D104" s="70" t="s">
        <v>57</v>
      </c>
      <c r="E104" s="12">
        <v>44560</v>
      </c>
      <c r="F104" s="68" t="s">
        <v>59</v>
      </c>
      <c r="G104" s="12">
        <v>44565</v>
      </c>
      <c r="H104" s="69" t="s">
        <v>5820</v>
      </c>
      <c r="I104" s="15">
        <v>55</v>
      </c>
      <c r="J104" s="15">
        <v>55</v>
      </c>
      <c r="K104" s="15">
        <v>38</v>
      </c>
      <c r="L104" s="15">
        <v>3</v>
      </c>
      <c r="M104" s="73">
        <v>28.737500000000001</v>
      </c>
      <c r="N104" s="104">
        <v>28.737500000000001</v>
      </c>
      <c r="O104" s="57">
        <v>7000</v>
      </c>
      <c r="P104" s="58">
        <f t="shared" si="1"/>
        <v>201162.5</v>
      </c>
    </row>
    <row r="105" spans="1:16" ht="26.25" customHeight="1" x14ac:dyDescent="0.2">
      <c r="A105" s="100"/>
      <c r="B105" s="101"/>
      <c r="C105" s="65" t="s">
        <v>5924</v>
      </c>
      <c r="D105" s="70" t="s">
        <v>57</v>
      </c>
      <c r="E105" s="12">
        <v>44560</v>
      </c>
      <c r="F105" s="68" t="s">
        <v>59</v>
      </c>
      <c r="G105" s="12">
        <v>44565</v>
      </c>
      <c r="H105" s="69" t="s">
        <v>5820</v>
      </c>
      <c r="I105" s="15">
        <v>78</v>
      </c>
      <c r="J105" s="15">
        <v>46</v>
      </c>
      <c r="K105" s="15">
        <v>23</v>
      </c>
      <c r="L105" s="15">
        <v>4</v>
      </c>
      <c r="M105" s="73">
        <v>20.631</v>
      </c>
      <c r="N105" s="104">
        <v>20.631</v>
      </c>
      <c r="O105" s="57">
        <v>7000</v>
      </c>
      <c r="P105" s="58">
        <f t="shared" si="1"/>
        <v>144417</v>
      </c>
    </row>
    <row r="106" spans="1:16" ht="26.25" customHeight="1" x14ac:dyDescent="0.2">
      <c r="A106" s="100"/>
      <c r="B106" s="100" t="s">
        <v>5925</v>
      </c>
      <c r="C106" s="65" t="s">
        <v>5926</v>
      </c>
      <c r="D106" s="70" t="s">
        <v>57</v>
      </c>
      <c r="E106" s="12">
        <v>44560</v>
      </c>
      <c r="F106" s="68" t="s">
        <v>59</v>
      </c>
      <c r="G106" s="12">
        <v>44565</v>
      </c>
      <c r="H106" s="69" t="s">
        <v>5820</v>
      </c>
      <c r="I106" s="15">
        <v>88</v>
      </c>
      <c r="J106" s="15">
        <v>65</v>
      </c>
      <c r="K106" s="15">
        <v>34</v>
      </c>
      <c r="L106" s="15">
        <v>49</v>
      </c>
      <c r="M106" s="73">
        <v>48.62</v>
      </c>
      <c r="N106" s="104">
        <v>49</v>
      </c>
      <c r="O106" s="57">
        <v>7000</v>
      </c>
      <c r="P106" s="58">
        <f t="shared" si="1"/>
        <v>343000</v>
      </c>
    </row>
    <row r="107" spans="1:16" ht="26.25" customHeight="1" x14ac:dyDescent="0.2">
      <c r="A107" s="100"/>
      <c r="B107" s="100"/>
      <c r="C107" s="65" t="s">
        <v>5927</v>
      </c>
      <c r="D107" s="70" t="s">
        <v>57</v>
      </c>
      <c r="E107" s="12">
        <v>44560</v>
      </c>
      <c r="F107" s="68" t="s">
        <v>59</v>
      </c>
      <c r="G107" s="12">
        <v>44565</v>
      </c>
      <c r="H107" s="69" t="s">
        <v>5820</v>
      </c>
      <c r="I107" s="15">
        <v>88</v>
      </c>
      <c r="J107" s="15">
        <v>65</v>
      </c>
      <c r="K107" s="15">
        <v>34</v>
      </c>
      <c r="L107" s="15">
        <v>48</v>
      </c>
      <c r="M107" s="73">
        <v>48.62</v>
      </c>
      <c r="N107" s="104">
        <v>48.62</v>
      </c>
      <c r="O107" s="57">
        <v>7000</v>
      </c>
      <c r="P107" s="58">
        <f t="shared" si="1"/>
        <v>340340</v>
      </c>
    </row>
    <row r="108" spans="1:16" ht="26.25" customHeight="1" x14ac:dyDescent="0.2">
      <c r="A108" s="100"/>
      <c r="B108" s="100"/>
      <c r="C108" s="65" t="s">
        <v>5928</v>
      </c>
      <c r="D108" s="70" t="s">
        <v>57</v>
      </c>
      <c r="E108" s="12">
        <v>44560</v>
      </c>
      <c r="F108" s="68" t="s">
        <v>59</v>
      </c>
      <c r="G108" s="12">
        <v>44565</v>
      </c>
      <c r="H108" s="69" t="s">
        <v>5820</v>
      </c>
      <c r="I108" s="15">
        <v>75</v>
      </c>
      <c r="J108" s="15">
        <v>45</v>
      </c>
      <c r="K108" s="15">
        <v>15</v>
      </c>
      <c r="L108" s="15">
        <v>11</v>
      </c>
      <c r="M108" s="73">
        <v>12.65625</v>
      </c>
      <c r="N108" s="104">
        <v>12.65625</v>
      </c>
      <c r="O108" s="57">
        <v>7000</v>
      </c>
      <c r="P108" s="58">
        <f t="shared" si="1"/>
        <v>88593.75</v>
      </c>
    </row>
    <row r="109" spans="1:16" ht="26.25" customHeight="1" x14ac:dyDescent="0.2">
      <c r="A109" s="100"/>
      <c r="B109" s="100"/>
      <c r="C109" s="65" t="s">
        <v>5929</v>
      </c>
      <c r="D109" s="70" t="s">
        <v>57</v>
      </c>
      <c r="E109" s="12">
        <v>44560</v>
      </c>
      <c r="F109" s="68" t="s">
        <v>59</v>
      </c>
      <c r="G109" s="12">
        <v>44565</v>
      </c>
      <c r="H109" s="69" t="s">
        <v>5820</v>
      </c>
      <c r="I109" s="15">
        <v>45</v>
      </c>
      <c r="J109" s="15">
        <v>25</v>
      </c>
      <c r="K109" s="15">
        <v>11</v>
      </c>
      <c r="L109" s="15">
        <v>5</v>
      </c>
      <c r="M109" s="73">
        <v>3.09375</v>
      </c>
      <c r="N109" s="104">
        <v>5</v>
      </c>
      <c r="O109" s="57">
        <v>7000</v>
      </c>
      <c r="P109" s="58">
        <f t="shared" si="1"/>
        <v>35000</v>
      </c>
    </row>
    <row r="110" spans="1:16" ht="26.25" customHeight="1" x14ac:dyDescent="0.2">
      <c r="A110" s="100"/>
      <c r="B110" s="100"/>
      <c r="C110" s="65" t="s">
        <v>5930</v>
      </c>
      <c r="D110" s="70" t="s">
        <v>57</v>
      </c>
      <c r="E110" s="12">
        <v>44560</v>
      </c>
      <c r="F110" s="68" t="s">
        <v>59</v>
      </c>
      <c r="G110" s="12">
        <v>44565</v>
      </c>
      <c r="H110" s="69" t="s">
        <v>5820</v>
      </c>
      <c r="I110" s="15">
        <v>88</v>
      </c>
      <c r="J110" s="15">
        <v>57</v>
      </c>
      <c r="K110" s="15">
        <v>26</v>
      </c>
      <c r="L110" s="15">
        <v>26</v>
      </c>
      <c r="M110" s="73">
        <v>32.603999999999999</v>
      </c>
      <c r="N110" s="104">
        <v>32.603999999999999</v>
      </c>
      <c r="O110" s="57">
        <v>7000</v>
      </c>
      <c r="P110" s="58">
        <f t="shared" si="1"/>
        <v>228228</v>
      </c>
    </row>
    <row r="111" spans="1:16" ht="26.25" customHeight="1" x14ac:dyDescent="0.2">
      <c r="A111" s="100"/>
      <c r="B111" s="100"/>
      <c r="C111" s="65" t="s">
        <v>5931</v>
      </c>
      <c r="D111" s="70" t="s">
        <v>57</v>
      </c>
      <c r="E111" s="12">
        <v>44560</v>
      </c>
      <c r="F111" s="68" t="s">
        <v>59</v>
      </c>
      <c r="G111" s="12">
        <v>44565</v>
      </c>
      <c r="H111" s="69" t="s">
        <v>5820</v>
      </c>
      <c r="I111" s="15">
        <v>75</v>
      </c>
      <c r="J111" s="15">
        <v>53</v>
      </c>
      <c r="K111" s="15">
        <v>18</v>
      </c>
      <c r="L111" s="15">
        <v>8</v>
      </c>
      <c r="M111" s="73">
        <v>17.887499999999999</v>
      </c>
      <c r="N111" s="104">
        <v>17.887499999999999</v>
      </c>
      <c r="O111" s="57">
        <v>7000</v>
      </c>
      <c r="P111" s="58">
        <f t="shared" si="1"/>
        <v>125212.5</v>
      </c>
    </row>
    <row r="112" spans="1:16" ht="26.25" customHeight="1" x14ac:dyDescent="0.2">
      <c r="A112" s="100"/>
      <c r="B112" s="100"/>
      <c r="C112" s="65" t="s">
        <v>5932</v>
      </c>
      <c r="D112" s="70" t="s">
        <v>57</v>
      </c>
      <c r="E112" s="12">
        <v>44560</v>
      </c>
      <c r="F112" s="68" t="s">
        <v>59</v>
      </c>
      <c r="G112" s="12">
        <v>44565</v>
      </c>
      <c r="H112" s="69" t="s">
        <v>5820</v>
      </c>
      <c r="I112" s="15">
        <v>87</v>
      </c>
      <c r="J112" s="15">
        <v>65</v>
      </c>
      <c r="K112" s="15">
        <v>26</v>
      </c>
      <c r="L112" s="15">
        <v>15</v>
      </c>
      <c r="M112" s="73">
        <v>36.7575</v>
      </c>
      <c r="N112" s="104">
        <v>36.7575</v>
      </c>
      <c r="O112" s="57">
        <v>7000</v>
      </c>
      <c r="P112" s="58">
        <f t="shared" si="1"/>
        <v>257302.5</v>
      </c>
    </row>
    <row r="113" spans="1:16" ht="26.25" customHeight="1" x14ac:dyDescent="0.2">
      <c r="A113" s="100"/>
      <c r="B113" s="100"/>
      <c r="C113" s="65" t="s">
        <v>5933</v>
      </c>
      <c r="D113" s="70" t="s">
        <v>57</v>
      </c>
      <c r="E113" s="12">
        <v>44560</v>
      </c>
      <c r="F113" s="68" t="s">
        <v>59</v>
      </c>
      <c r="G113" s="12">
        <v>44565</v>
      </c>
      <c r="H113" s="69" t="s">
        <v>5820</v>
      </c>
      <c r="I113" s="15">
        <v>77</v>
      </c>
      <c r="J113" s="15">
        <v>58</v>
      </c>
      <c r="K113" s="15">
        <v>21</v>
      </c>
      <c r="L113" s="15">
        <v>10</v>
      </c>
      <c r="M113" s="73">
        <v>23.4465</v>
      </c>
      <c r="N113" s="104">
        <v>24</v>
      </c>
      <c r="O113" s="57">
        <v>7000</v>
      </c>
      <c r="P113" s="58">
        <f t="shared" si="1"/>
        <v>168000</v>
      </c>
    </row>
    <row r="114" spans="1:16" ht="26.25" customHeight="1" x14ac:dyDescent="0.2">
      <c r="A114" s="100"/>
      <c r="B114" s="100"/>
      <c r="C114" s="65" t="s">
        <v>5934</v>
      </c>
      <c r="D114" s="70" t="s">
        <v>57</v>
      </c>
      <c r="E114" s="12">
        <v>44560</v>
      </c>
      <c r="F114" s="68" t="s">
        <v>59</v>
      </c>
      <c r="G114" s="12">
        <v>44565</v>
      </c>
      <c r="H114" s="69" t="s">
        <v>5820</v>
      </c>
      <c r="I114" s="15">
        <v>77</v>
      </c>
      <c r="J114" s="15">
        <v>58</v>
      </c>
      <c r="K114" s="15">
        <v>21</v>
      </c>
      <c r="L114" s="15">
        <v>10</v>
      </c>
      <c r="M114" s="73">
        <v>23.4465</v>
      </c>
      <c r="N114" s="104">
        <v>24</v>
      </c>
      <c r="O114" s="57">
        <v>7000</v>
      </c>
      <c r="P114" s="58">
        <f t="shared" si="1"/>
        <v>168000</v>
      </c>
    </row>
    <row r="115" spans="1:16" ht="26.25" customHeight="1" x14ac:dyDescent="0.2">
      <c r="A115" s="100"/>
      <c r="B115" s="101"/>
      <c r="C115" s="65" t="s">
        <v>5935</v>
      </c>
      <c r="D115" s="70" t="s">
        <v>57</v>
      </c>
      <c r="E115" s="12">
        <v>44560</v>
      </c>
      <c r="F115" s="68" t="s">
        <v>59</v>
      </c>
      <c r="G115" s="12">
        <v>44565</v>
      </c>
      <c r="H115" s="69" t="s">
        <v>5820</v>
      </c>
      <c r="I115" s="15">
        <v>25</v>
      </c>
      <c r="J115" s="15">
        <v>10</v>
      </c>
      <c r="K115" s="15">
        <v>8</v>
      </c>
      <c r="L115" s="15">
        <v>2</v>
      </c>
      <c r="M115" s="73">
        <v>0.5</v>
      </c>
      <c r="N115" s="104">
        <v>3</v>
      </c>
      <c r="O115" s="57">
        <v>7000</v>
      </c>
      <c r="P115" s="58">
        <f t="shared" si="1"/>
        <v>21000</v>
      </c>
    </row>
    <row r="116" spans="1:16" ht="26.25" customHeight="1" x14ac:dyDescent="0.2">
      <c r="A116" s="100"/>
      <c r="B116" s="100" t="s">
        <v>5936</v>
      </c>
      <c r="C116" s="65" t="s">
        <v>5937</v>
      </c>
      <c r="D116" s="70" t="s">
        <v>57</v>
      </c>
      <c r="E116" s="12">
        <v>44560</v>
      </c>
      <c r="F116" s="68" t="s">
        <v>59</v>
      </c>
      <c r="G116" s="12">
        <v>44565</v>
      </c>
      <c r="H116" s="69" t="s">
        <v>5820</v>
      </c>
      <c r="I116" s="15">
        <v>43</v>
      </c>
      <c r="J116" s="15">
        <v>32</v>
      </c>
      <c r="K116" s="15">
        <v>18</v>
      </c>
      <c r="L116" s="15">
        <v>9</v>
      </c>
      <c r="M116" s="73">
        <v>6.1920000000000002</v>
      </c>
      <c r="N116" s="104">
        <v>9</v>
      </c>
      <c r="O116" s="57">
        <v>7000</v>
      </c>
      <c r="P116" s="58">
        <f t="shared" si="1"/>
        <v>63000</v>
      </c>
    </row>
    <row r="117" spans="1:16" ht="26.25" customHeight="1" x14ac:dyDescent="0.2">
      <c r="A117" s="100"/>
      <c r="B117" s="100"/>
      <c r="C117" s="65" t="s">
        <v>5938</v>
      </c>
      <c r="D117" s="70" t="s">
        <v>57</v>
      </c>
      <c r="E117" s="12">
        <v>44560</v>
      </c>
      <c r="F117" s="68" t="s">
        <v>59</v>
      </c>
      <c r="G117" s="12">
        <v>44565</v>
      </c>
      <c r="H117" s="69" t="s">
        <v>5820</v>
      </c>
      <c r="I117" s="15">
        <v>43</v>
      </c>
      <c r="J117" s="15">
        <v>32</v>
      </c>
      <c r="K117" s="15">
        <v>18</v>
      </c>
      <c r="L117" s="15">
        <v>9</v>
      </c>
      <c r="M117" s="73">
        <v>6.1920000000000002</v>
      </c>
      <c r="N117" s="104">
        <v>9</v>
      </c>
      <c r="O117" s="57">
        <v>7000</v>
      </c>
      <c r="P117" s="58">
        <f t="shared" si="1"/>
        <v>63000</v>
      </c>
    </row>
    <row r="118" spans="1:16" ht="26.25" customHeight="1" x14ac:dyDescent="0.2">
      <c r="A118" s="100"/>
      <c r="B118" s="100"/>
      <c r="C118" s="65" t="s">
        <v>5939</v>
      </c>
      <c r="D118" s="70" t="s">
        <v>57</v>
      </c>
      <c r="E118" s="12">
        <v>44560</v>
      </c>
      <c r="F118" s="68" t="s">
        <v>59</v>
      </c>
      <c r="G118" s="12">
        <v>44565</v>
      </c>
      <c r="H118" s="69" t="s">
        <v>5820</v>
      </c>
      <c r="I118" s="15">
        <v>43</v>
      </c>
      <c r="J118" s="15">
        <v>34</v>
      </c>
      <c r="K118" s="15">
        <v>15</v>
      </c>
      <c r="L118" s="15">
        <v>11</v>
      </c>
      <c r="M118" s="73">
        <v>5.4824999999999999</v>
      </c>
      <c r="N118" s="104">
        <v>12</v>
      </c>
      <c r="O118" s="57">
        <v>7000</v>
      </c>
      <c r="P118" s="58">
        <f t="shared" si="1"/>
        <v>84000</v>
      </c>
    </row>
    <row r="119" spans="1:16" ht="26.25" customHeight="1" x14ac:dyDescent="0.2">
      <c r="A119" s="100"/>
      <c r="B119" s="100"/>
      <c r="C119" s="65" t="s">
        <v>5940</v>
      </c>
      <c r="D119" s="70" t="s">
        <v>57</v>
      </c>
      <c r="E119" s="12">
        <v>44560</v>
      </c>
      <c r="F119" s="68" t="s">
        <v>59</v>
      </c>
      <c r="G119" s="12">
        <v>44565</v>
      </c>
      <c r="H119" s="69" t="s">
        <v>5820</v>
      </c>
      <c r="I119" s="15">
        <v>43</v>
      </c>
      <c r="J119" s="15">
        <v>32</v>
      </c>
      <c r="K119" s="15">
        <v>18</v>
      </c>
      <c r="L119" s="15">
        <v>9</v>
      </c>
      <c r="M119" s="73">
        <v>6.1920000000000002</v>
      </c>
      <c r="N119" s="104">
        <v>9</v>
      </c>
      <c r="O119" s="57">
        <v>7000</v>
      </c>
      <c r="P119" s="58">
        <f t="shared" si="1"/>
        <v>63000</v>
      </c>
    </row>
    <row r="120" spans="1:16" ht="26.25" customHeight="1" x14ac:dyDescent="0.2">
      <c r="A120" s="100"/>
      <c r="B120" s="100"/>
      <c r="C120" s="65" t="s">
        <v>5941</v>
      </c>
      <c r="D120" s="70" t="s">
        <v>57</v>
      </c>
      <c r="E120" s="12">
        <v>44560</v>
      </c>
      <c r="F120" s="68" t="s">
        <v>59</v>
      </c>
      <c r="G120" s="12">
        <v>44565</v>
      </c>
      <c r="H120" s="69" t="s">
        <v>5820</v>
      </c>
      <c r="I120" s="15">
        <v>45</v>
      </c>
      <c r="J120" s="15">
        <v>43</v>
      </c>
      <c r="K120" s="15">
        <v>26</v>
      </c>
      <c r="L120" s="15">
        <v>12</v>
      </c>
      <c r="M120" s="73">
        <v>12.577500000000001</v>
      </c>
      <c r="N120" s="104">
        <v>12.577500000000001</v>
      </c>
      <c r="O120" s="57">
        <v>7000</v>
      </c>
      <c r="P120" s="58">
        <f t="shared" si="1"/>
        <v>88042.5</v>
      </c>
    </row>
    <row r="121" spans="1:16" ht="26.25" customHeight="1" x14ac:dyDescent="0.2">
      <c r="A121" s="100"/>
      <c r="B121" s="100"/>
      <c r="C121" s="65" t="s">
        <v>5942</v>
      </c>
      <c r="D121" s="70" t="s">
        <v>57</v>
      </c>
      <c r="E121" s="12">
        <v>44560</v>
      </c>
      <c r="F121" s="68" t="s">
        <v>59</v>
      </c>
      <c r="G121" s="12">
        <v>44565</v>
      </c>
      <c r="H121" s="69" t="s">
        <v>5820</v>
      </c>
      <c r="I121" s="15">
        <v>45</v>
      </c>
      <c r="J121" s="15">
        <v>43</v>
      </c>
      <c r="K121" s="15">
        <v>26</v>
      </c>
      <c r="L121" s="15">
        <v>12</v>
      </c>
      <c r="M121" s="73">
        <v>12.577500000000001</v>
      </c>
      <c r="N121" s="104">
        <v>12.577500000000001</v>
      </c>
      <c r="O121" s="57">
        <v>7000</v>
      </c>
      <c r="P121" s="58">
        <f t="shared" si="1"/>
        <v>88042.5</v>
      </c>
    </row>
    <row r="122" spans="1:16" ht="26.25" customHeight="1" x14ac:dyDescent="0.2">
      <c r="A122" s="100"/>
      <c r="B122" s="100"/>
      <c r="C122" s="65" t="s">
        <v>5943</v>
      </c>
      <c r="D122" s="70" t="s">
        <v>57</v>
      </c>
      <c r="E122" s="12">
        <v>44560</v>
      </c>
      <c r="F122" s="68" t="s">
        <v>59</v>
      </c>
      <c r="G122" s="12">
        <v>44565</v>
      </c>
      <c r="H122" s="69" t="s">
        <v>5820</v>
      </c>
      <c r="I122" s="15">
        <v>45</v>
      </c>
      <c r="J122" s="15">
        <v>43</v>
      </c>
      <c r="K122" s="15">
        <v>26</v>
      </c>
      <c r="L122" s="15">
        <v>12</v>
      </c>
      <c r="M122" s="73">
        <v>12.577500000000001</v>
      </c>
      <c r="N122" s="104">
        <v>12.577500000000001</v>
      </c>
      <c r="O122" s="57">
        <v>7000</v>
      </c>
      <c r="P122" s="58">
        <f t="shared" si="1"/>
        <v>88042.5</v>
      </c>
    </row>
    <row r="123" spans="1:16" ht="26.25" customHeight="1" x14ac:dyDescent="0.2">
      <c r="A123" s="100"/>
      <c r="B123" s="100"/>
      <c r="C123" s="65" t="s">
        <v>5944</v>
      </c>
      <c r="D123" s="70" t="s">
        <v>57</v>
      </c>
      <c r="E123" s="12">
        <v>44560</v>
      </c>
      <c r="F123" s="68" t="s">
        <v>59</v>
      </c>
      <c r="G123" s="12">
        <v>44565</v>
      </c>
      <c r="H123" s="69" t="s">
        <v>5820</v>
      </c>
      <c r="I123" s="15">
        <v>32</v>
      </c>
      <c r="J123" s="15">
        <v>23</v>
      </c>
      <c r="K123" s="15">
        <v>18</v>
      </c>
      <c r="L123" s="15">
        <v>7</v>
      </c>
      <c r="M123" s="73">
        <v>3.3119999999999998</v>
      </c>
      <c r="N123" s="104">
        <v>8</v>
      </c>
      <c r="O123" s="57">
        <v>7000</v>
      </c>
      <c r="P123" s="58">
        <f t="shared" si="1"/>
        <v>56000</v>
      </c>
    </row>
    <row r="124" spans="1:16" ht="26.25" customHeight="1" x14ac:dyDescent="0.2">
      <c r="A124" s="100"/>
      <c r="B124" s="100"/>
      <c r="C124" s="65" t="s">
        <v>5945</v>
      </c>
      <c r="D124" s="70" t="s">
        <v>57</v>
      </c>
      <c r="E124" s="12">
        <v>44560</v>
      </c>
      <c r="F124" s="68" t="s">
        <v>59</v>
      </c>
      <c r="G124" s="12">
        <v>44565</v>
      </c>
      <c r="H124" s="69" t="s">
        <v>5820</v>
      </c>
      <c r="I124" s="15">
        <v>32</v>
      </c>
      <c r="J124" s="15">
        <v>23</v>
      </c>
      <c r="K124" s="15">
        <v>18</v>
      </c>
      <c r="L124" s="15">
        <v>7</v>
      </c>
      <c r="M124" s="73">
        <v>3.3119999999999998</v>
      </c>
      <c r="N124" s="104">
        <v>8</v>
      </c>
      <c r="O124" s="57">
        <v>7000</v>
      </c>
      <c r="P124" s="58">
        <f t="shared" si="1"/>
        <v>56000</v>
      </c>
    </row>
    <row r="125" spans="1:16" ht="26.25" customHeight="1" x14ac:dyDescent="0.2">
      <c r="A125" s="100"/>
      <c r="B125" s="100"/>
      <c r="C125" s="65" t="s">
        <v>5946</v>
      </c>
      <c r="D125" s="70" t="s">
        <v>57</v>
      </c>
      <c r="E125" s="12">
        <v>44560</v>
      </c>
      <c r="F125" s="68" t="s">
        <v>59</v>
      </c>
      <c r="G125" s="12">
        <v>44565</v>
      </c>
      <c r="H125" s="69" t="s">
        <v>5820</v>
      </c>
      <c r="I125" s="15">
        <v>45</v>
      </c>
      <c r="J125" s="15">
        <v>43</v>
      </c>
      <c r="K125" s="15">
        <v>26</v>
      </c>
      <c r="L125" s="15">
        <v>12</v>
      </c>
      <c r="M125" s="73">
        <v>12.577500000000001</v>
      </c>
      <c r="N125" s="104">
        <v>12.577500000000001</v>
      </c>
      <c r="O125" s="57">
        <v>7000</v>
      </c>
      <c r="P125" s="58">
        <f t="shared" si="1"/>
        <v>88042.5</v>
      </c>
    </row>
    <row r="126" spans="1:16" ht="26.25" customHeight="1" x14ac:dyDescent="0.2">
      <c r="A126" s="100"/>
      <c r="B126" s="100"/>
      <c r="C126" s="65" t="s">
        <v>5947</v>
      </c>
      <c r="D126" s="70" t="s">
        <v>57</v>
      </c>
      <c r="E126" s="12">
        <v>44560</v>
      </c>
      <c r="F126" s="68" t="s">
        <v>59</v>
      </c>
      <c r="G126" s="12">
        <v>44565</v>
      </c>
      <c r="H126" s="69" t="s">
        <v>5820</v>
      </c>
      <c r="I126" s="15">
        <v>43</v>
      </c>
      <c r="J126" s="15">
        <v>32</v>
      </c>
      <c r="K126" s="15">
        <v>18</v>
      </c>
      <c r="L126" s="15">
        <v>9</v>
      </c>
      <c r="M126" s="73">
        <v>6.1920000000000002</v>
      </c>
      <c r="N126" s="104">
        <v>9</v>
      </c>
      <c r="O126" s="57">
        <v>7000</v>
      </c>
      <c r="P126" s="58">
        <f t="shared" si="1"/>
        <v>63000</v>
      </c>
    </row>
    <row r="127" spans="1:16" ht="26.25" customHeight="1" x14ac:dyDescent="0.2">
      <c r="A127" s="100"/>
      <c r="B127" s="100"/>
      <c r="C127" s="65" t="s">
        <v>5948</v>
      </c>
      <c r="D127" s="70" t="s">
        <v>57</v>
      </c>
      <c r="E127" s="12">
        <v>44560</v>
      </c>
      <c r="F127" s="68" t="s">
        <v>59</v>
      </c>
      <c r="G127" s="12">
        <v>44565</v>
      </c>
      <c r="H127" s="69" t="s">
        <v>5820</v>
      </c>
      <c r="I127" s="15">
        <v>45</v>
      </c>
      <c r="J127" s="15">
        <v>43</v>
      </c>
      <c r="K127" s="15">
        <v>26</v>
      </c>
      <c r="L127" s="15">
        <v>10</v>
      </c>
      <c r="M127" s="73">
        <v>12.577500000000001</v>
      </c>
      <c r="N127" s="104">
        <v>12.577500000000001</v>
      </c>
      <c r="O127" s="57">
        <v>7000</v>
      </c>
      <c r="P127" s="58">
        <f t="shared" si="1"/>
        <v>88042.5</v>
      </c>
    </row>
    <row r="128" spans="1:16" ht="26.25" customHeight="1" x14ac:dyDescent="0.2">
      <c r="A128" s="100"/>
      <c r="B128" s="100"/>
      <c r="C128" s="65" t="s">
        <v>5949</v>
      </c>
      <c r="D128" s="70" t="s">
        <v>57</v>
      </c>
      <c r="E128" s="12">
        <v>44560</v>
      </c>
      <c r="F128" s="68" t="s">
        <v>59</v>
      </c>
      <c r="G128" s="12">
        <v>44565</v>
      </c>
      <c r="H128" s="69" t="s">
        <v>5820</v>
      </c>
      <c r="I128" s="15">
        <v>45</v>
      </c>
      <c r="J128" s="15">
        <v>43</v>
      </c>
      <c r="K128" s="15">
        <v>26</v>
      </c>
      <c r="L128" s="15">
        <v>10</v>
      </c>
      <c r="M128" s="73">
        <v>12.577500000000001</v>
      </c>
      <c r="N128" s="104">
        <v>12.577500000000001</v>
      </c>
      <c r="O128" s="57">
        <v>7000</v>
      </c>
      <c r="P128" s="58">
        <f t="shared" si="1"/>
        <v>88042.5</v>
      </c>
    </row>
    <row r="129" spans="1:16" ht="26.25" customHeight="1" x14ac:dyDescent="0.2">
      <c r="A129" s="100"/>
      <c r="B129" s="100"/>
      <c r="C129" s="65" t="s">
        <v>5950</v>
      </c>
      <c r="D129" s="70" t="s">
        <v>57</v>
      </c>
      <c r="E129" s="12">
        <v>44560</v>
      </c>
      <c r="F129" s="68" t="s">
        <v>59</v>
      </c>
      <c r="G129" s="12">
        <v>44565</v>
      </c>
      <c r="H129" s="69" t="s">
        <v>5820</v>
      </c>
      <c r="I129" s="15">
        <v>43</v>
      </c>
      <c r="J129" s="15">
        <v>34</v>
      </c>
      <c r="K129" s="15">
        <v>15</v>
      </c>
      <c r="L129" s="15">
        <v>11</v>
      </c>
      <c r="M129" s="73">
        <v>5.4824999999999999</v>
      </c>
      <c r="N129" s="104">
        <v>12</v>
      </c>
      <c r="O129" s="57">
        <v>7000</v>
      </c>
      <c r="P129" s="58">
        <f t="shared" si="1"/>
        <v>84000</v>
      </c>
    </row>
    <row r="130" spans="1:16" ht="26.25" customHeight="1" x14ac:dyDescent="0.2">
      <c r="A130" s="100"/>
      <c r="B130" s="100"/>
      <c r="C130" s="65" t="s">
        <v>5951</v>
      </c>
      <c r="D130" s="70" t="s">
        <v>57</v>
      </c>
      <c r="E130" s="12">
        <v>44560</v>
      </c>
      <c r="F130" s="68" t="s">
        <v>59</v>
      </c>
      <c r="G130" s="12">
        <v>44565</v>
      </c>
      <c r="H130" s="69" t="s">
        <v>5820</v>
      </c>
      <c r="I130" s="15">
        <v>76</v>
      </c>
      <c r="J130" s="15">
        <v>54</v>
      </c>
      <c r="K130" s="15">
        <v>16</v>
      </c>
      <c r="L130" s="15">
        <v>15</v>
      </c>
      <c r="M130" s="73">
        <v>16.416</v>
      </c>
      <c r="N130" s="104">
        <v>17</v>
      </c>
      <c r="O130" s="57">
        <v>7000</v>
      </c>
      <c r="P130" s="58">
        <f t="shared" si="1"/>
        <v>119000</v>
      </c>
    </row>
    <row r="131" spans="1:16" ht="26.25" customHeight="1" x14ac:dyDescent="0.2">
      <c r="A131" s="100"/>
      <c r="B131" s="100"/>
      <c r="C131" s="65" t="s">
        <v>5952</v>
      </c>
      <c r="D131" s="70" t="s">
        <v>57</v>
      </c>
      <c r="E131" s="12">
        <v>44560</v>
      </c>
      <c r="F131" s="68" t="s">
        <v>59</v>
      </c>
      <c r="G131" s="12">
        <v>44565</v>
      </c>
      <c r="H131" s="69" t="s">
        <v>5820</v>
      </c>
      <c r="I131" s="15">
        <v>32</v>
      </c>
      <c r="J131" s="15">
        <v>23</v>
      </c>
      <c r="K131" s="15">
        <v>18</v>
      </c>
      <c r="L131" s="15">
        <v>6</v>
      </c>
      <c r="M131" s="73">
        <v>3.3119999999999998</v>
      </c>
      <c r="N131" s="104">
        <v>7</v>
      </c>
      <c r="O131" s="57">
        <v>7000</v>
      </c>
      <c r="P131" s="58">
        <f t="shared" ref="P131:P139" si="2">N131*O131</f>
        <v>49000</v>
      </c>
    </row>
    <row r="132" spans="1:16" ht="26.25" customHeight="1" x14ac:dyDescent="0.2">
      <c r="A132" s="100"/>
      <c r="B132" s="100"/>
      <c r="C132" s="65" t="s">
        <v>5953</v>
      </c>
      <c r="D132" s="70" t="s">
        <v>57</v>
      </c>
      <c r="E132" s="12">
        <v>44560</v>
      </c>
      <c r="F132" s="68" t="s">
        <v>59</v>
      </c>
      <c r="G132" s="12">
        <v>44565</v>
      </c>
      <c r="H132" s="69" t="s">
        <v>5820</v>
      </c>
      <c r="I132" s="15">
        <v>43</v>
      </c>
      <c r="J132" s="15">
        <v>34</v>
      </c>
      <c r="K132" s="15">
        <v>15</v>
      </c>
      <c r="L132" s="15">
        <v>11</v>
      </c>
      <c r="M132" s="73">
        <v>5.4824999999999999</v>
      </c>
      <c r="N132" s="104">
        <v>12</v>
      </c>
      <c r="O132" s="57">
        <v>7000</v>
      </c>
      <c r="P132" s="58">
        <f t="shared" si="2"/>
        <v>84000</v>
      </c>
    </row>
    <row r="133" spans="1:16" ht="26.25" customHeight="1" x14ac:dyDescent="0.2">
      <c r="A133" s="100"/>
      <c r="B133" s="100"/>
      <c r="C133" s="65" t="s">
        <v>5954</v>
      </c>
      <c r="D133" s="70" t="s">
        <v>57</v>
      </c>
      <c r="E133" s="12">
        <v>44560</v>
      </c>
      <c r="F133" s="68" t="s">
        <v>59</v>
      </c>
      <c r="G133" s="12">
        <v>44565</v>
      </c>
      <c r="H133" s="69" t="s">
        <v>5820</v>
      </c>
      <c r="I133" s="15">
        <v>32</v>
      </c>
      <c r="J133" s="15">
        <v>23</v>
      </c>
      <c r="K133" s="15">
        <v>18</v>
      </c>
      <c r="L133" s="15">
        <v>7</v>
      </c>
      <c r="M133" s="73">
        <v>3.3119999999999998</v>
      </c>
      <c r="N133" s="104">
        <v>8</v>
      </c>
      <c r="O133" s="57">
        <v>7000</v>
      </c>
      <c r="P133" s="58">
        <f t="shared" si="2"/>
        <v>56000</v>
      </c>
    </row>
    <row r="134" spans="1:16" ht="26.25" customHeight="1" x14ac:dyDescent="0.2">
      <c r="A134" s="100"/>
      <c r="B134" s="100"/>
      <c r="C134" s="65" t="s">
        <v>5955</v>
      </c>
      <c r="D134" s="70" t="s">
        <v>57</v>
      </c>
      <c r="E134" s="12">
        <v>44560</v>
      </c>
      <c r="F134" s="68" t="s">
        <v>59</v>
      </c>
      <c r="G134" s="12">
        <v>44565</v>
      </c>
      <c r="H134" s="69" t="s">
        <v>5820</v>
      </c>
      <c r="I134" s="15">
        <v>43</v>
      </c>
      <c r="J134" s="15">
        <v>32</v>
      </c>
      <c r="K134" s="15">
        <v>18</v>
      </c>
      <c r="L134" s="15">
        <v>9</v>
      </c>
      <c r="M134" s="73">
        <v>6.1920000000000002</v>
      </c>
      <c r="N134" s="104">
        <v>9</v>
      </c>
      <c r="O134" s="57">
        <v>7000</v>
      </c>
      <c r="P134" s="58">
        <f t="shared" si="2"/>
        <v>63000</v>
      </c>
    </row>
    <row r="135" spans="1:16" ht="26.25" customHeight="1" x14ac:dyDescent="0.2">
      <c r="A135" s="100"/>
      <c r="B135" s="100"/>
      <c r="C135" s="65" t="s">
        <v>5956</v>
      </c>
      <c r="D135" s="70" t="s">
        <v>57</v>
      </c>
      <c r="E135" s="12">
        <v>44560</v>
      </c>
      <c r="F135" s="68" t="s">
        <v>59</v>
      </c>
      <c r="G135" s="12">
        <v>44565</v>
      </c>
      <c r="H135" s="69" t="s">
        <v>5820</v>
      </c>
      <c r="I135" s="15">
        <v>45</v>
      </c>
      <c r="J135" s="15">
        <v>43</v>
      </c>
      <c r="K135" s="15">
        <v>26</v>
      </c>
      <c r="L135" s="15">
        <v>12</v>
      </c>
      <c r="M135" s="73">
        <v>12.577500000000001</v>
      </c>
      <c r="N135" s="104">
        <v>12.577500000000001</v>
      </c>
      <c r="O135" s="57">
        <v>7000</v>
      </c>
      <c r="P135" s="58">
        <f t="shared" si="2"/>
        <v>88042.5</v>
      </c>
    </row>
    <row r="136" spans="1:16" ht="26.25" customHeight="1" x14ac:dyDescent="0.2">
      <c r="A136" s="100"/>
      <c r="B136" s="100"/>
      <c r="C136" s="65" t="s">
        <v>5957</v>
      </c>
      <c r="D136" s="70" t="s">
        <v>57</v>
      </c>
      <c r="E136" s="12">
        <v>44560</v>
      </c>
      <c r="F136" s="68" t="s">
        <v>59</v>
      </c>
      <c r="G136" s="12">
        <v>44565</v>
      </c>
      <c r="H136" s="69" t="s">
        <v>5820</v>
      </c>
      <c r="I136" s="15">
        <v>32</v>
      </c>
      <c r="J136" s="15">
        <v>23</v>
      </c>
      <c r="K136" s="15">
        <v>18</v>
      </c>
      <c r="L136" s="15">
        <v>7</v>
      </c>
      <c r="M136" s="73">
        <v>3.3119999999999998</v>
      </c>
      <c r="N136" s="104">
        <v>8</v>
      </c>
      <c r="O136" s="57">
        <v>7000</v>
      </c>
      <c r="P136" s="58">
        <f t="shared" si="2"/>
        <v>56000</v>
      </c>
    </row>
    <row r="137" spans="1:16" ht="26.25" customHeight="1" x14ac:dyDescent="0.2">
      <c r="A137" s="100"/>
      <c r="B137" s="100"/>
      <c r="C137" s="65" t="s">
        <v>5958</v>
      </c>
      <c r="D137" s="70" t="s">
        <v>57</v>
      </c>
      <c r="E137" s="12">
        <v>44560</v>
      </c>
      <c r="F137" s="68" t="s">
        <v>59</v>
      </c>
      <c r="G137" s="12">
        <v>44565</v>
      </c>
      <c r="H137" s="69" t="s">
        <v>5820</v>
      </c>
      <c r="I137" s="15">
        <v>45</v>
      </c>
      <c r="J137" s="15">
        <v>43</v>
      </c>
      <c r="K137" s="15">
        <v>26</v>
      </c>
      <c r="L137" s="15">
        <v>10</v>
      </c>
      <c r="M137" s="73">
        <v>12.577500000000001</v>
      </c>
      <c r="N137" s="104">
        <v>12.577500000000001</v>
      </c>
      <c r="O137" s="57">
        <v>7000</v>
      </c>
      <c r="P137" s="58">
        <f t="shared" si="2"/>
        <v>88042.5</v>
      </c>
    </row>
    <row r="138" spans="1:16" ht="26.25" customHeight="1" x14ac:dyDescent="0.2">
      <c r="A138" s="100"/>
      <c r="B138" s="100"/>
      <c r="C138" s="65" t="s">
        <v>5959</v>
      </c>
      <c r="D138" s="70" t="s">
        <v>57</v>
      </c>
      <c r="E138" s="12">
        <v>44560</v>
      </c>
      <c r="F138" s="68" t="s">
        <v>59</v>
      </c>
      <c r="G138" s="12">
        <v>44565</v>
      </c>
      <c r="H138" s="69" t="s">
        <v>5820</v>
      </c>
      <c r="I138" s="15">
        <v>45</v>
      </c>
      <c r="J138" s="15">
        <v>43</v>
      </c>
      <c r="K138" s="15">
        <v>26</v>
      </c>
      <c r="L138" s="15">
        <v>12</v>
      </c>
      <c r="M138" s="73">
        <v>12.577500000000001</v>
      </c>
      <c r="N138" s="104">
        <v>12.577500000000001</v>
      </c>
      <c r="O138" s="57">
        <v>7000</v>
      </c>
      <c r="P138" s="58">
        <f t="shared" si="2"/>
        <v>88042.5</v>
      </c>
    </row>
    <row r="139" spans="1:16" ht="26.25" customHeight="1" x14ac:dyDescent="0.2">
      <c r="A139" s="100"/>
      <c r="B139" s="100"/>
      <c r="C139" s="65" t="s">
        <v>5960</v>
      </c>
      <c r="D139" s="70" t="s">
        <v>57</v>
      </c>
      <c r="E139" s="12">
        <v>44560</v>
      </c>
      <c r="F139" s="68" t="s">
        <v>59</v>
      </c>
      <c r="G139" s="12">
        <v>44565</v>
      </c>
      <c r="H139" s="69" t="s">
        <v>5820</v>
      </c>
      <c r="I139" s="15">
        <v>43</v>
      </c>
      <c r="J139" s="15">
        <v>32</v>
      </c>
      <c r="K139" s="15">
        <v>18</v>
      </c>
      <c r="L139" s="15">
        <v>9</v>
      </c>
      <c r="M139" s="73">
        <v>6.1920000000000002</v>
      </c>
      <c r="N139" s="104">
        <v>9</v>
      </c>
      <c r="O139" s="57">
        <v>7000</v>
      </c>
      <c r="P139" s="58">
        <f t="shared" si="2"/>
        <v>63000</v>
      </c>
    </row>
    <row r="140" spans="1:16" ht="22.5" customHeight="1" x14ac:dyDescent="0.2">
      <c r="A140" s="159" t="s">
        <v>30</v>
      </c>
      <c r="B140" s="160"/>
      <c r="C140" s="160"/>
      <c r="D140" s="160"/>
      <c r="E140" s="160"/>
      <c r="F140" s="160"/>
      <c r="G140" s="160"/>
      <c r="H140" s="160"/>
      <c r="I140" s="160"/>
      <c r="J140" s="160"/>
      <c r="K140" s="160"/>
      <c r="L140" s="161"/>
      <c r="M140" s="71">
        <f>SUBTOTAL(109,Table2245789101123456789101112131415161718192021222324252627282930313233343537383940414243444546474849505152535455565758596061626364656667686970717273747576777879808182838485868788899091929394959697[KG VOLUME])</f>
        <v>2457.6319999999987</v>
      </c>
      <c r="N140" s="61">
        <f>SUM(N3:N139)</f>
        <v>2769.9934999999991</v>
      </c>
      <c r="O140" s="162">
        <f>SUM(P3:P139)</f>
        <v>19389954.5</v>
      </c>
      <c r="P140" s="163"/>
    </row>
    <row r="141" spans="1:16" ht="18" customHeight="1" x14ac:dyDescent="0.2">
      <c r="A141" s="78"/>
      <c r="B141" s="49" t="s">
        <v>42</v>
      </c>
      <c r="C141" s="48"/>
      <c r="D141" s="50" t="s">
        <v>43</v>
      </c>
      <c r="E141" s="78"/>
      <c r="F141" s="78"/>
      <c r="G141" s="78"/>
      <c r="H141" s="78"/>
      <c r="I141" s="78"/>
      <c r="J141" s="78"/>
      <c r="K141" s="78"/>
      <c r="L141" s="78"/>
      <c r="M141" s="79"/>
      <c r="N141" s="80" t="s">
        <v>52</v>
      </c>
      <c r="O141" s="81"/>
      <c r="P141" s="81">
        <v>0</v>
      </c>
    </row>
    <row r="142" spans="1:16" ht="18" customHeight="1" thickBot="1" x14ac:dyDescent="0.25">
      <c r="A142" s="78"/>
      <c r="B142" s="49"/>
      <c r="C142" s="48"/>
      <c r="D142" s="50"/>
      <c r="E142" s="78"/>
      <c r="F142" s="78"/>
      <c r="G142" s="78"/>
      <c r="H142" s="78"/>
      <c r="I142" s="78"/>
      <c r="J142" s="78"/>
      <c r="K142" s="78"/>
      <c r="L142" s="78"/>
      <c r="M142" s="79"/>
      <c r="N142" s="82" t="s">
        <v>53</v>
      </c>
      <c r="O142" s="83"/>
      <c r="P142" s="83">
        <f>O140-P141</f>
        <v>19389954.5</v>
      </c>
    </row>
    <row r="143" spans="1:16" ht="18" customHeight="1" x14ac:dyDescent="0.2">
      <c r="A143" s="10"/>
      <c r="H143" s="56"/>
      <c r="N143" s="55" t="s">
        <v>31</v>
      </c>
      <c r="P143" s="62">
        <f>P142*1%</f>
        <v>193899.54500000001</v>
      </c>
    </row>
    <row r="144" spans="1:16" ht="18" customHeight="1" thickBot="1" x14ac:dyDescent="0.25">
      <c r="A144" s="10"/>
      <c r="H144" s="56"/>
      <c r="N144" s="55" t="s">
        <v>54</v>
      </c>
      <c r="P144" s="64">
        <f>P142*2%</f>
        <v>387799.09</v>
      </c>
    </row>
    <row r="145" spans="1:16" ht="18" customHeight="1" x14ac:dyDescent="0.2">
      <c r="A145" s="10"/>
      <c r="H145" s="56"/>
      <c r="N145" s="59" t="s">
        <v>32</v>
      </c>
      <c r="O145" s="60"/>
      <c r="P145" s="63">
        <f>P142+P143-P144</f>
        <v>19196054.955000002</v>
      </c>
    </row>
    <row r="147" spans="1:16" x14ac:dyDescent="0.2">
      <c r="A147" s="10"/>
      <c r="H147" s="56"/>
      <c r="P147" s="64"/>
    </row>
    <row r="148" spans="1:16" x14ac:dyDescent="0.2">
      <c r="A148" s="10"/>
      <c r="H148" s="56"/>
      <c r="O148" s="51"/>
      <c r="P148" s="64"/>
    </row>
    <row r="149" spans="1:16" s="3" customFormat="1" x14ac:dyDescent="0.25">
      <c r="A149" s="10"/>
      <c r="B149" s="2"/>
      <c r="C149" s="2"/>
      <c r="E149" s="11"/>
      <c r="H149" s="56"/>
      <c r="N149" s="14"/>
      <c r="O149" s="14"/>
      <c r="P149" s="14"/>
    </row>
    <row r="150" spans="1:16" s="3" customFormat="1" x14ac:dyDescent="0.25">
      <c r="A150" s="10"/>
      <c r="B150" s="2"/>
      <c r="C150" s="2"/>
      <c r="E150" s="11"/>
      <c r="H150" s="56"/>
      <c r="N150" s="14"/>
      <c r="O150" s="14"/>
      <c r="P150" s="14"/>
    </row>
    <row r="151" spans="1:16" s="3" customFormat="1" x14ac:dyDescent="0.25">
      <c r="A151" s="10"/>
      <c r="B151" s="2"/>
      <c r="C151" s="2"/>
      <c r="E151" s="11"/>
      <c r="H151" s="56"/>
      <c r="N151" s="14"/>
      <c r="O151" s="14"/>
      <c r="P151" s="14"/>
    </row>
    <row r="152" spans="1:16" s="3" customFormat="1" x14ac:dyDescent="0.25">
      <c r="A152" s="10"/>
      <c r="B152" s="2"/>
      <c r="C152" s="2"/>
      <c r="E152" s="11"/>
      <c r="H152" s="56"/>
      <c r="N152" s="14"/>
      <c r="O152" s="14"/>
      <c r="P152" s="14"/>
    </row>
    <row r="153" spans="1:16" s="3" customFormat="1" x14ac:dyDescent="0.25">
      <c r="A153" s="10"/>
      <c r="B153" s="2"/>
      <c r="C153" s="2"/>
      <c r="E153" s="11"/>
      <c r="H153" s="56"/>
      <c r="N153" s="14"/>
      <c r="O153" s="14"/>
      <c r="P153" s="14"/>
    </row>
    <row r="154" spans="1:16" s="3" customFormat="1" x14ac:dyDescent="0.25">
      <c r="A154" s="10"/>
      <c r="B154" s="2"/>
      <c r="C154" s="2"/>
      <c r="E154" s="11"/>
      <c r="H154" s="56"/>
      <c r="N154" s="14"/>
      <c r="O154" s="14"/>
      <c r="P154" s="14"/>
    </row>
    <row r="155" spans="1:16" s="3" customFormat="1" x14ac:dyDescent="0.25">
      <c r="A155" s="10"/>
      <c r="B155" s="2"/>
      <c r="C155" s="2"/>
      <c r="E155" s="11"/>
      <c r="H155" s="56"/>
      <c r="N155" s="14"/>
      <c r="O155" s="14"/>
      <c r="P155" s="14"/>
    </row>
    <row r="156" spans="1:16" s="3" customFormat="1" x14ac:dyDescent="0.25">
      <c r="A156" s="10"/>
      <c r="B156" s="2"/>
      <c r="C156" s="2"/>
      <c r="E156" s="11"/>
      <c r="H156" s="56"/>
      <c r="N156" s="14"/>
      <c r="O156" s="14"/>
      <c r="P156" s="14"/>
    </row>
    <row r="157" spans="1:16" s="3" customFormat="1" x14ac:dyDescent="0.25">
      <c r="A157" s="10"/>
      <c r="B157" s="2"/>
      <c r="C157" s="2"/>
      <c r="E157" s="11"/>
      <c r="H157" s="56"/>
      <c r="N157" s="14"/>
      <c r="O157" s="14"/>
      <c r="P157" s="14"/>
    </row>
    <row r="158" spans="1:16" s="3" customFormat="1" x14ac:dyDescent="0.25">
      <c r="A158" s="10"/>
      <c r="B158" s="2"/>
      <c r="C158" s="2"/>
      <c r="E158" s="11"/>
      <c r="H158" s="56"/>
      <c r="N158" s="14"/>
      <c r="O158" s="14"/>
      <c r="P158" s="14"/>
    </row>
    <row r="159" spans="1:16" s="3" customFormat="1" x14ac:dyDescent="0.25">
      <c r="A159" s="10"/>
      <c r="B159" s="2"/>
      <c r="C159" s="2"/>
      <c r="E159" s="11"/>
      <c r="H159" s="56"/>
      <c r="N159" s="14"/>
      <c r="O159" s="14"/>
      <c r="P159" s="14"/>
    </row>
    <row r="160" spans="1:16" s="3" customFormat="1" x14ac:dyDescent="0.25">
      <c r="A160" s="10"/>
      <c r="B160" s="2"/>
      <c r="C160" s="2"/>
      <c r="E160" s="11"/>
      <c r="H160" s="56"/>
      <c r="N160" s="14"/>
      <c r="O160" s="14"/>
      <c r="P160" s="14"/>
    </row>
  </sheetData>
  <mergeCells count="2">
    <mergeCell ref="A140:L140"/>
    <mergeCell ref="O140:P140"/>
  </mergeCells>
  <conditionalFormatting sqref="C3:C139">
    <cfRule type="duplicateValues" dxfId="63" priority="12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5"/>
  <sheetViews>
    <sheetView topLeftCell="A35" workbookViewId="0">
      <selection activeCell="O46" sqref="O4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6.25" customHeight="1" x14ac:dyDescent="0.2">
      <c r="A3" s="99">
        <v>406139</v>
      </c>
      <c r="B3" s="90" t="s">
        <v>5961</v>
      </c>
      <c r="C3" s="90" t="s">
        <v>5962</v>
      </c>
      <c r="D3" s="102" t="s">
        <v>57</v>
      </c>
      <c r="E3" s="91">
        <v>44561</v>
      </c>
      <c r="F3" s="102" t="s">
        <v>58</v>
      </c>
      <c r="G3" s="91">
        <v>44567</v>
      </c>
      <c r="H3" s="90" t="s">
        <v>6172</v>
      </c>
      <c r="I3" s="90">
        <v>100</v>
      </c>
      <c r="J3" s="90">
        <v>49</v>
      </c>
      <c r="K3" s="90">
        <v>35</v>
      </c>
      <c r="L3" s="90">
        <v>21</v>
      </c>
      <c r="M3" s="90">
        <v>42.875</v>
      </c>
      <c r="N3" s="104">
        <v>42.875</v>
      </c>
      <c r="O3" s="57">
        <v>7000</v>
      </c>
      <c r="P3" s="58">
        <f t="shared" ref="P3:P44" si="0">N3*O3</f>
        <v>300125</v>
      </c>
    </row>
    <row r="4" spans="1:16" ht="26.25" customHeight="1" x14ac:dyDescent="0.2">
      <c r="A4" s="100"/>
      <c r="B4" s="100" t="s">
        <v>5963</v>
      </c>
      <c r="C4" s="90" t="s">
        <v>5964</v>
      </c>
      <c r="D4" s="102" t="s">
        <v>57</v>
      </c>
      <c r="E4" s="91">
        <v>44561</v>
      </c>
      <c r="F4" s="102" t="s">
        <v>58</v>
      </c>
      <c r="G4" s="91">
        <v>44567</v>
      </c>
      <c r="H4" s="90" t="s">
        <v>6172</v>
      </c>
      <c r="I4" s="90">
        <v>115</v>
      </c>
      <c r="J4" s="90">
        <v>60</v>
      </c>
      <c r="K4" s="90">
        <v>22</v>
      </c>
      <c r="L4" s="90">
        <v>25</v>
      </c>
      <c r="M4" s="90">
        <v>37.950000000000003</v>
      </c>
      <c r="N4" s="104">
        <v>37.950000000000003</v>
      </c>
      <c r="O4" s="57">
        <v>7000</v>
      </c>
      <c r="P4" s="58">
        <f t="shared" si="0"/>
        <v>265650</v>
      </c>
    </row>
    <row r="5" spans="1:16" ht="26.25" customHeight="1" x14ac:dyDescent="0.2">
      <c r="A5" s="100"/>
      <c r="B5" s="100"/>
      <c r="C5" s="90" t="s">
        <v>5965</v>
      </c>
      <c r="D5" s="102" t="s">
        <v>57</v>
      </c>
      <c r="E5" s="91">
        <v>44561</v>
      </c>
      <c r="F5" s="102" t="s">
        <v>58</v>
      </c>
      <c r="G5" s="91">
        <v>44567</v>
      </c>
      <c r="H5" s="90" t="s">
        <v>6172</v>
      </c>
      <c r="I5" s="90">
        <v>60</v>
      </c>
      <c r="J5" s="90">
        <v>54</v>
      </c>
      <c r="K5" s="90">
        <v>15</v>
      </c>
      <c r="L5" s="90">
        <v>3</v>
      </c>
      <c r="M5" s="90">
        <v>12.15</v>
      </c>
      <c r="N5" s="104">
        <v>12.15</v>
      </c>
      <c r="O5" s="57">
        <v>7000</v>
      </c>
      <c r="P5" s="58">
        <f t="shared" si="0"/>
        <v>85050</v>
      </c>
    </row>
    <row r="6" spans="1:16" ht="26.25" customHeight="1" x14ac:dyDescent="0.2">
      <c r="A6" s="100"/>
      <c r="B6" s="100"/>
      <c r="C6" s="65" t="s">
        <v>5966</v>
      </c>
      <c r="D6" s="70" t="s">
        <v>57</v>
      </c>
      <c r="E6" s="12">
        <v>44561</v>
      </c>
      <c r="F6" s="68" t="s">
        <v>58</v>
      </c>
      <c r="G6" s="12">
        <v>44567</v>
      </c>
      <c r="H6" s="69" t="s">
        <v>6172</v>
      </c>
      <c r="I6" s="15">
        <v>75</v>
      </c>
      <c r="J6" s="15">
        <v>50</v>
      </c>
      <c r="K6" s="15">
        <v>25</v>
      </c>
      <c r="L6" s="15">
        <v>5</v>
      </c>
      <c r="M6" s="73">
        <v>23.4375</v>
      </c>
      <c r="N6" s="104">
        <v>24</v>
      </c>
      <c r="O6" s="57">
        <v>7000</v>
      </c>
      <c r="P6" s="58">
        <f t="shared" si="0"/>
        <v>168000</v>
      </c>
    </row>
    <row r="7" spans="1:16" ht="26.25" customHeight="1" x14ac:dyDescent="0.2">
      <c r="A7" s="100"/>
      <c r="B7" s="100"/>
      <c r="C7" s="65" t="s">
        <v>5967</v>
      </c>
      <c r="D7" s="70" t="s">
        <v>57</v>
      </c>
      <c r="E7" s="12">
        <v>44561</v>
      </c>
      <c r="F7" s="68" t="s">
        <v>58</v>
      </c>
      <c r="G7" s="12">
        <v>44567</v>
      </c>
      <c r="H7" s="69" t="s">
        <v>6172</v>
      </c>
      <c r="I7" s="15">
        <v>98</v>
      </c>
      <c r="J7" s="15">
        <v>65</v>
      </c>
      <c r="K7" s="15">
        <v>35</v>
      </c>
      <c r="L7" s="15">
        <v>10</v>
      </c>
      <c r="M7" s="73">
        <v>55.737499999999997</v>
      </c>
      <c r="N7" s="104">
        <v>55.737499999999997</v>
      </c>
      <c r="O7" s="57">
        <v>7000</v>
      </c>
      <c r="P7" s="58">
        <f t="shared" si="0"/>
        <v>390162.5</v>
      </c>
    </row>
    <row r="8" spans="1:16" ht="26.25" customHeight="1" x14ac:dyDescent="0.2">
      <c r="A8" s="100"/>
      <c r="B8" s="100"/>
      <c r="C8" s="65" t="s">
        <v>5968</v>
      </c>
      <c r="D8" s="70" t="s">
        <v>57</v>
      </c>
      <c r="E8" s="12">
        <v>44561</v>
      </c>
      <c r="F8" s="68" t="s">
        <v>58</v>
      </c>
      <c r="G8" s="12">
        <v>44567</v>
      </c>
      <c r="H8" s="69" t="s">
        <v>6172</v>
      </c>
      <c r="I8" s="15">
        <v>86</v>
      </c>
      <c r="J8" s="15">
        <v>64</v>
      </c>
      <c r="K8" s="15">
        <v>26</v>
      </c>
      <c r="L8" s="15">
        <v>6</v>
      </c>
      <c r="M8" s="73">
        <v>35.776000000000003</v>
      </c>
      <c r="N8" s="104">
        <v>35.776000000000003</v>
      </c>
      <c r="O8" s="57">
        <v>7000</v>
      </c>
      <c r="P8" s="58">
        <f t="shared" si="0"/>
        <v>250432.00000000003</v>
      </c>
    </row>
    <row r="9" spans="1:16" ht="26.25" customHeight="1" x14ac:dyDescent="0.2">
      <c r="A9" s="100"/>
      <c r="B9" s="100"/>
      <c r="C9" s="65" t="s">
        <v>5969</v>
      </c>
      <c r="D9" s="70" t="s">
        <v>57</v>
      </c>
      <c r="E9" s="12">
        <v>44561</v>
      </c>
      <c r="F9" s="68" t="s">
        <v>58</v>
      </c>
      <c r="G9" s="12">
        <v>44567</v>
      </c>
      <c r="H9" s="69" t="s">
        <v>6172</v>
      </c>
      <c r="I9" s="15">
        <v>47</v>
      </c>
      <c r="J9" s="15">
        <v>40</v>
      </c>
      <c r="K9" s="15">
        <v>16</v>
      </c>
      <c r="L9" s="15">
        <v>3</v>
      </c>
      <c r="M9" s="73">
        <v>7.52</v>
      </c>
      <c r="N9" s="104">
        <v>7.52</v>
      </c>
      <c r="O9" s="57">
        <v>7000</v>
      </c>
      <c r="P9" s="58">
        <f t="shared" si="0"/>
        <v>52640</v>
      </c>
    </row>
    <row r="10" spans="1:16" ht="26.25" customHeight="1" x14ac:dyDescent="0.2">
      <c r="A10" s="100"/>
      <c r="B10" s="100"/>
      <c r="C10" s="65" t="s">
        <v>5970</v>
      </c>
      <c r="D10" s="70" t="s">
        <v>57</v>
      </c>
      <c r="E10" s="12">
        <v>44561</v>
      </c>
      <c r="F10" s="68" t="s">
        <v>58</v>
      </c>
      <c r="G10" s="12">
        <v>44567</v>
      </c>
      <c r="H10" s="69" t="s">
        <v>6172</v>
      </c>
      <c r="I10" s="15">
        <v>48</v>
      </c>
      <c r="J10" s="15">
        <v>40</v>
      </c>
      <c r="K10" s="15">
        <v>15</v>
      </c>
      <c r="L10" s="15">
        <v>2</v>
      </c>
      <c r="M10" s="73">
        <v>7.2</v>
      </c>
      <c r="N10" s="104">
        <v>7.2</v>
      </c>
      <c r="O10" s="57">
        <v>7000</v>
      </c>
      <c r="P10" s="58">
        <f t="shared" si="0"/>
        <v>50400</v>
      </c>
    </row>
    <row r="11" spans="1:16" ht="26.25" customHeight="1" x14ac:dyDescent="0.2">
      <c r="A11" s="100"/>
      <c r="B11" s="100"/>
      <c r="C11" s="65" t="s">
        <v>5971</v>
      </c>
      <c r="D11" s="70" t="s">
        <v>57</v>
      </c>
      <c r="E11" s="12">
        <v>44561</v>
      </c>
      <c r="F11" s="68" t="s">
        <v>58</v>
      </c>
      <c r="G11" s="12">
        <v>44567</v>
      </c>
      <c r="H11" s="69" t="s">
        <v>6172</v>
      </c>
      <c r="I11" s="15">
        <v>45</v>
      </c>
      <c r="J11" s="15">
        <v>40</v>
      </c>
      <c r="K11" s="15">
        <v>20</v>
      </c>
      <c r="L11" s="15">
        <v>2</v>
      </c>
      <c r="M11" s="73">
        <v>9</v>
      </c>
      <c r="N11" s="104">
        <v>9</v>
      </c>
      <c r="O11" s="57">
        <v>7000</v>
      </c>
      <c r="P11" s="58">
        <f t="shared" si="0"/>
        <v>63000</v>
      </c>
    </row>
    <row r="12" spans="1:16" ht="26.25" customHeight="1" x14ac:dyDescent="0.2">
      <c r="A12" s="100"/>
      <c r="B12" s="100"/>
      <c r="C12" s="65" t="s">
        <v>5972</v>
      </c>
      <c r="D12" s="70" t="s">
        <v>57</v>
      </c>
      <c r="E12" s="12">
        <v>44561</v>
      </c>
      <c r="F12" s="68" t="s">
        <v>58</v>
      </c>
      <c r="G12" s="12">
        <v>44567</v>
      </c>
      <c r="H12" s="69" t="s">
        <v>6172</v>
      </c>
      <c r="I12" s="15">
        <v>60</v>
      </c>
      <c r="J12" s="15">
        <v>40</v>
      </c>
      <c r="K12" s="15">
        <v>20</v>
      </c>
      <c r="L12" s="15">
        <v>4</v>
      </c>
      <c r="M12" s="73">
        <v>12</v>
      </c>
      <c r="N12" s="104">
        <v>12</v>
      </c>
      <c r="O12" s="57">
        <v>7000</v>
      </c>
      <c r="P12" s="58">
        <f t="shared" si="0"/>
        <v>84000</v>
      </c>
    </row>
    <row r="13" spans="1:16" ht="26.25" customHeight="1" x14ac:dyDescent="0.2">
      <c r="A13" s="100"/>
      <c r="B13" s="100"/>
      <c r="C13" s="65" t="s">
        <v>5973</v>
      </c>
      <c r="D13" s="70" t="s">
        <v>57</v>
      </c>
      <c r="E13" s="12">
        <v>44561</v>
      </c>
      <c r="F13" s="68" t="s">
        <v>58</v>
      </c>
      <c r="G13" s="12">
        <v>44567</v>
      </c>
      <c r="H13" s="69" t="s">
        <v>6172</v>
      </c>
      <c r="I13" s="15">
        <v>35</v>
      </c>
      <c r="J13" s="15">
        <v>30</v>
      </c>
      <c r="K13" s="15">
        <v>19</v>
      </c>
      <c r="L13" s="15">
        <v>1</v>
      </c>
      <c r="M13" s="73">
        <v>4.9874999999999998</v>
      </c>
      <c r="N13" s="104">
        <v>4.9874999999999998</v>
      </c>
      <c r="O13" s="57">
        <v>7000</v>
      </c>
      <c r="P13" s="58">
        <f t="shared" si="0"/>
        <v>34912.5</v>
      </c>
    </row>
    <row r="14" spans="1:16" ht="26.25" customHeight="1" x14ac:dyDescent="0.2">
      <c r="A14" s="100"/>
      <c r="B14" s="100"/>
      <c r="C14" s="65" t="s">
        <v>5974</v>
      </c>
      <c r="D14" s="70" t="s">
        <v>57</v>
      </c>
      <c r="E14" s="12">
        <v>44561</v>
      </c>
      <c r="F14" s="68" t="s">
        <v>58</v>
      </c>
      <c r="G14" s="12">
        <v>44567</v>
      </c>
      <c r="H14" s="69" t="s">
        <v>6172</v>
      </c>
      <c r="I14" s="15">
        <v>56</v>
      </c>
      <c r="J14" s="15">
        <v>40</v>
      </c>
      <c r="K14" s="15">
        <v>20</v>
      </c>
      <c r="L14" s="15">
        <v>4</v>
      </c>
      <c r="M14" s="73">
        <v>11.2</v>
      </c>
      <c r="N14" s="104">
        <v>11.2</v>
      </c>
      <c r="O14" s="57">
        <v>7000</v>
      </c>
      <c r="P14" s="58">
        <f t="shared" si="0"/>
        <v>78400</v>
      </c>
    </row>
    <row r="15" spans="1:16" ht="26.25" customHeight="1" x14ac:dyDescent="0.2">
      <c r="A15" s="100"/>
      <c r="B15" s="100"/>
      <c r="C15" s="65" t="s">
        <v>5975</v>
      </c>
      <c r="D15" s="70" t="s">
        <v>57</v>
      </c>
      <c r="E15" s="12">
        <v>44561</v>
      </c>
      <c r="F15" s="68" t="s">
        <v>58</v>
      </c>
      <c r="G15" s="12">
        <v>44567</v>
      </c>
      <c r="H15" s="69" t="s">
        <v>6172</v>
      </c>
      <c r="I15" s="15">
        <v>60</v>
      </c>
      <c r="J15" s="15">
        <v>60</v>
      </c>
      <c r="K15" s="15">
        <v>25</v>
      </c>
      <c r="L15" s="15">
        <v>6</v>
      </c>
      <c r="M15" s="73">
        <v>22.5</v>
      </c>
      <c r="N15" s="104">
        <v>24</v>
      </c>
      <c r="O15" s="57">
        <v>7000</v>
      </c>
      <c r="P15" s="58">
        <f t="shared" si="0"/>
        <v>168000</v>
      </c>
    </row>
    <row r="16" spans="1:16" ht="26.25" customHeight="1" x14ac:dyDescent="0.2">
      <c r="A16" s="100"/>
      <c r="B16" s="100"/>
      <c r="C16" s="65" t="s">
        <v>5976</v>
      </c>
      <c r="D16" s="70" t="s">
        <v>57</v>
      </c>
      <c r="E16" s="12">
        <v>44561</v>
      </c>
      <c r="F16" s="68" t="s">
        <v>58</v>
      </c>
      <c r="G16" s="12">
        <v>44567</v>
      </c>
      <c r="H16" s="69" t="s">
        <v>6172</v>
      </c>
      <c r="I16" s="15">
        <v>46</v>
      </c>
      <c r="J16" s="15">
        <v>45</v>
      </c>
      <c r="K16" s="15">
        <v>10</v>
      </c>
      <c r="L16" s="15">
        <v>2</v>
      </c>
      <c r="M16" s="73">
        <v>5.1749999999999998</v>
      </c>
      <c r="N16" s="104">
        <v>5.1749999999999998</v>
      </c>
      <c r="O16" s="57">
        <v>7000</v>
      </c>
      <c r="P16" s="58">
        <f t="shared" si="0"/>
        <v>36225</v>
      </c>
    </row>
    <row r="17" spans="1:16" ht="26.25" customHeight="1" x14ac:dyDescent="0.2">
      <c r="A17" s="100"/>
      <c r="B17" s="100"/>
      <c r="C17" s="65" t="s">
        <v>5977</v>
      </c>
      <c r="D17" s="70" t="s">
        <v>57</v>
      </c>
      <c r="E17" s="12">
        <v>44561</v>
      </c>
      <c r="F17" s="68" t="s">
        <v>58</v>
      </c>
      <c r="G17" s="12">
        <v>44567</v>
      </c>
      <c r="H17" s="69" t="s">
        <v>6172</v>
      </c>
      <c r="I17" s="15">
        <v>71</v>
      </c>
      <c r="J17" s="15">
        <v>25</v>
      </c>
      <c r="K17" s="15">
        <v>20</v>
      </c>
      <c r="L17" s="15">
        <v>2</v>
      </c>
      <c r="M17" s="73">
        <v>8.875</v>
      </c>
      <c r="N17" s="104">
        <v>8.875</v>
      </c>
      <c r="O17" s="57">
        <v>7000</v>
      </c>
      <c r="P17" s="58">
        <f t="shared" si="0"/>
        <v>62125</v>
      </c>
    </row>
    <row r="18" spans="1:16" ht="26.25" customHeight="1" x14ac:dyDescent="0.2">
      <c r="A18" s="100"/>
      <c r="B18" s="100"/>
      <c r="C18" s="65" t="s">
        <v>5978</v>
      </c>
      <c r="D18" s="70" t="s">
        <v>57</v>
      </c>
      <c r="E18" s="12">
        <v>44561</v>
      </c>
      <c r="F18" s="68" t="s">
        <v>58</v>
      </c>
      <c r="G18" s="12">
        <v>44567</v>
      </c>
      <c r="H18" s="69" t="s">
        <v>6172</v>
      </c>
      <c r="I18" s="15">
        <v>98</v>
      </c>
      <c r="J18" s="15">
        <v>67</v>
      </c>
      <c r="K18" s="15">
        <v>26</v>
      </c>
      <c r="L18" s="15">
        <v>28</v>
      </c>
      <c r="M18" s="73">
        <v>42.679000000000002</v>
      </c>
      <c r="N18" s="104">
        <v>42.679000000000002</v>
      </c>
      <c r="O18" s="57">
        <v>7000</v>
      </c>
      <c r="P18" s="58">
        <f t="shared" si="0"/>
        <v>298753</v>
      </c>
    </row>
    <row r="19" spans="1:16" ht="26.25" customHeight="1" x14ac:dyDescent="0.2">
      <c r="A19" s="100"/>
      <c r="B19" s="100"/>
      <c r="C19" s="65" t="s">
        <v>5979</v>
      </c>
      <c r="D19" s="70" t="s">
        <v>57</v>
      </c>
      <c r="E19" s="12">
        <v>44561</v>
      </c>
      <c r="F19" s="68" t="s">
        <v>58</v>
      </c>
      <c r="G19" s="12">
        <v>44567</v>
      </c>
      <c r="H19" s="69" t="s">
        <v>6172</v>
      </c>
      <c r="I19" s="15">
        <v>72</v>
      </c>
      <c r="J19" s="15">
        <v>56</v>
      </c>
      <c r="K19" s="15">
        <v>24</v>
      </c>
      <c r="L19" s="15">
        <v>11</v>
      </c>
      <c r="M19" s="73">
        <v>24.192</v>
      </c>
      <c r="N19" s="104">
        <v>24.192</v>
      </c>
      <c r="O19" s="57">
        <v>7000</v>
      </c>
      <c r="P19" s="58">
        <f t="shared" si="0"/>
        <v>169344</v>
      </c>
    </row>
    <row r="20" spans="1:16" ht="26.25" customHeight="1" x14ac:dyDescent="0.2">
      <c r="A20" s="100"/>
      <c r="B20" s="100"/>
      <c r="C20" s="65" t="s">
        <v>5980</v>
      </c>
      <c r="D20" s="70" t="s">
        <v>57</v>
      </c>
      <c r="E20" s="12">
        <v>44561</v>
      </c>
      <c r="F20" s="68" t="s">
        <v>58</v>
      </c>
      <c r="G20" s="12">
        <v>44567</v>
      </c>
      <c r="H20" s="69" t="s">
        <v>6172</v>
      </c>
      <c r="I20" s="15">
        <v>73</v>
      </c>
      <c r="J20" s="15">
        <v>57</v>
      </c>
      <c r="K20" s="15">
        <v>23</v>
      </c>
      <c r="L20" s="15">
        <v>7</v>
      </c>
      <c r="M20" s="73">
        <v>23.925750000000001</v>
      </c>
      <c r="N20" s="104">
        <v>23.925750000000001</v>
      </c>
      <c r="O20" s="57">
        <v>7000</v>
      </c>
      <c r="P20" s="58">
        <f t="shared" si="0"/>
        <v>167480.25</v>
      </c>
    </row>
    <row r="21" spans="1:16" ht="26.25" customHeight="1" x14ac:dyDescent="0.2">
      <c r="A21" s="100"/>
      <c r="B21" s="100"/>
      <c r="C21" s="65" t="s">
        <v>5981</v>
      </c>
      <c r="D21" s="70" t="s">
        <v>57</v>
      </c>
      <c r="E21" s="12">
        <v>44561</v>
      </c>
      <c r="F21" s="68" t="s">
        <v>58</v>
      </c>
      <c r="G21" s="12">
        <v>44567</v>
      </c>
      <c r="H21" s="69" t="s">
        <v>6172</v>
      </c>
      <c r="I21" s="15">
        <v>70</v>
      </c>
      <c r="J21" s="15">
        <v>58</v>
      </c>
      <c r="K21" s="15">
        <v>22</v>
      </c>
      <c r="L21" s="15">
        <v>7</v>
      </c>
      <c r="M21" s="73">
        <v>22.33</v>
      </c>
      <c r="N21" s="104">
        <v>23</v>
      </c>
      <c r="O21" s="57">
        <v>7000</v>
      </c>
      <c r="P21" s="58">
        <f t="shared" si="0"/>
        <v>161000</v>
      </c>
    </row>
    <row r="22" spans="1:16" ht="26.25" customHeight="1" x14ac:dyDescent="0.2">
      <c r="A22" s="100"/>
      <c r="B22" s="100"/>
      <c r="C22" s="65" t="s">
        <v>5982</v>
      </c>
      <c r="D22" s="70" t="s">
        <v>57</v>
      </c>
      <c r="E22" s="12">
        <v>44561</v>
      </c>
      <c r="F22" s="68" t="s">
        <v>58</v>
      </c>
      <c r="G22" s="12">
        <v>44567</v>
      </c>
      <c r="H22" s="69" t="s">
        <v>6172</v>
      </c>
      <c r="I22" s="15">
        <v>92</v>
      </c>
      <c r="J22" s="15">
        <v>44</v>
      </c>
      <c r="K22" s="15">
        <v>14</v>
      </c>
      <c r="L22" s="15">
        <v>1</v>
      </c>
      <c r="M22" s="73">
        <v>14.167999999999999</v>
      </c>
      <c r="N22" s="104">
        <v>14.167999999999999</v>
      </c>
      <c r="O22" s="57">
        <v>7000</v>
      </c>
      <c r="P22" s="58">
        <f t="shared" si="0"/>
        <v>99176</v>
      </c>
    </row>
    <row r="23" spans="1:16" ht="26.25" customHeight="1" x14ac:dyDescent="0.2">
      <c r="A23" s="100"/>
      <c r="B23" s="100"/>
      <c r="C23" s="65" t="s">
        <v>5983</v>
      </c>
      <c r="D23" s="70" t="s">
        <v>57</v>
      </c>
      <c r="E23" s="12">
        <v>44561</v>
      </c>
      <c r="F23" s="68" t="s">
        <v>58</v>
      </c>
      <c r="G23" s="12">
        <v>44567</v>
      </c>
      <c r="H23" s="69" t="s">
        <v>6172</v>
      </c>
      <c r="I23" s="15">
        <v>51</v>
      </c>
      <c r="J23" s="15">
        <v>40</v>
      </c>
      <c r="K23" s="15">
        <v>15</v>
      </c>
      <c r="L23" s="15">
        <v>4</v>
      </c>
      <c r="M23" s="73">
        <v>7.65</v>
      </c>
      <c r="N23" s="104">
        <v>7.65</v>
      </c>
      <c r="O23" s="57">
        <v>7000</v>
      </c>
      <c r="P23" s="58">
        <f t="shared" si="0"/>
        <v>53550</v>
      </c>
    </row>
    <row r="24" spans="1:16" ht="26.25" customHeight="1" x14ac:dyDescent="0.2">
      <c r="A24" s="100"/>
      <c r="B24" s="100"/>
      <c r="C24" s="65" t="s">
        <v>5984</v>
      </c>
      <c r="D24" s="70" t="s">
        <v>57</v>
      </c>
      <c r="E24" s="12">
        <v>44561</v>
      </c>
      <c r="F24" s="68" t="s">
        <v>58</v>
      </c>
      <c r="G24" s="12">
        <v>44567</v>
      </c>
      <c r="H24" s="69" t="s">
        <v>6172</v>
      </c>
      <c r="I24" s="15">
        <v>51</v>
      </c>
      <c r="J24" s="15">
        <v>48</v>
      </c>
      <c r="K24" s="15">
        <v>2</v>
      </c>
      <c r="L24" s="15">
        <v>1</v>
      </c>
      <c r="M24" s="73">
        <v>1.224</v>
      </c>
      <c r="N24" s="104">
        <v>1.224</v>
      </c>
      <c r="O24" s="57">
        <v>7000</v>
      </c>
      <c r="P24" s="58">
        <f t="shared" si="0"/>
        <v>8568</v>
      </c>
    </row>
    <row r="25" spans="1:16" ht="26.25" customHeight="1" x14ac:dyDescent="0.2">
      <c r="A25" s="100"/>
      <c r="B25" s="100"/>
      <c r="C25" s="65" t="s">
        <v>5985</v>
      </c>
      <c r="D25" s="70" t="s">
        <v>57</v>
      </c>
      <c r="E25" s="12">
        <v>44561</v>
      </c>
      <c r="F25" s="68" t="s">
        <v>58</v>
      </c>
      <c r="G25" s="12">
        <v>44567</v>
      </c>
      <c r="H25" s="69" t="s">
        <v>6172</v>
      </c>
      <c r="I25" s="15">
        <v>66</v>
      </c>
      <c r="J25" s="15">
        <v>44</v>
      </c>
      <c r="K25" s="15">
        <v>36</v>
      </c>
      <c r="L25" s="15">
        <v>5</v>
      </c>
      <c r="M25" s="73">
        <v>26.135999999999999</v>
      </c>
      <c r="N25" s="104">
        <v>26.135999999999999</v>
      </c>
      <c r="O25" s="57">
        <v>7000</v>
      </c>
      <c r="P25" s="58">
        <f t="shared" si="0"/>
        <v>182952</v>
      </c>
    </row>
    <row r="26" spans="1:16" ht="26.25" customHeight="1" x14ac:dyDescent="0.2">
      <c r="A26" s="100"/>
      <c r="B26" s="100"/>
      <c r="C26" s="65" t="s">
        <v>5986</v>
      </c>
      <c r="D26" s="70" t="s">
        <v>57</v>
      </c>
      <c r="E26" s="12">
        <v>44561</v>
      </c>
      <c r="F26" s="68" t="s">
        <v>58</v>
      </c>
      <c r="G26" s="12">
        <v>44567</v>
      </c>
      <c r="H26" s="69" t="s">
        <v>6172</v>
      </c>
      <c r="I26" s="15">
        <v>80</v>
      </c>
      <c r="J26" s="15">
        <v>50</v>
      </c>
      <c r="K26" s="15">
        <v>13</v>
      </c>
      <c r="L26" s="15">
        <v>2</v>
      </c>
      <c r="M26" s="73">
        <v>13</v>
      </c>
      <c r="N26" s="104">
        <v>13</v>
      </c>
      <c r="O26" s="57">
        <v>7000</v>
      </c>
      <c r="P26" s="58">
        <f t="shared" si="0"/>
        <v>91000</v>
      </c>
    </row>
    <row r="27" spans="1:16" ht="26.25" customHeight="1" x14ac:dyDescent="0.2">
      <c r="A27" s="100"/>
      <c r="B27" s="100"/>
      <c r="C27" s="65" t="s">
        <v>5987</v>
      </c>
      <c r="D27" s="70" t="s">
        <v>57</v>
      </c>
      <c r="E27" s="12">
        <v>44561</v>
      </c>
      <c r="F27" s="68" t="s">
        <v>58</v>
      </c>
      <c r="G27" s="12">
        <v>44567</v>
      </c>
      <c r="H27" s="69" t="s">
        <v>6172</v>
      </c>
      <c r="I27" s="15">
        <v>50</v>
      </c>
      <c r="J27" s="15">
        <v>49</v>
      </c>
      <c r="K27" s="15">
        <v>2</v>
      </c>
      <c r="L27" s="15">
        <v>1</v>
      </c>
      <c r="M27" s="73">
        <v>1.2250000000000001</v>
      </c>
      <c r="N27" s="104">
        <v>1.2250000000000001</v>
      </c>
      <c r="O27" s="57">
        <v>7000</v>
      </c>
      <c r="P27" s="58">
        <f t="shared" si="0"/>
        <v>8575</v>
      </c>
    </row>
    <row r="28" spans="1:16" ht="26.25" customHeight="1" x14ac:dyDescent="0.2">
      <c r="A28" s="100"/>
      <c r="B28" s="100"/>
      <c r="C28" s="65" t="s">
        <v>5988</v>
      </c>
      <c r="D28" s="70" t="s">
        <v>57</v>
      </c>
      <c r="E28" s="12">
        <v>44561</v>
      </c>
      <c r="F28" s="68" t="s">
        <v>58</v>
      </c>
      <c r="G28" s="12">
        <v>44567</v>
      </c>
      <c r="H28" s="69" t="s">
        <v>6172</v>
      </c>
      <c r="I28" s="15">
        <v>50</v>
      </c>
      <c r="J28" s="15">
        <v>49</v>
      </c>
      <c r="K28" s="15">
        <v>2</v>
      </c>
      <c r="L28" s="15">
        <v>1</v>
      </c>
      <c r="M28" s="73">
        <v>1.2250000000000001</v>
      </c>
      <c r="N28" s="104">
        <v>1.2250000000000001</v>
      </c>
      <c r="O28" s="57">
        <v>7000</v>
      </c>
      <c r="P28" s="58">
        <f t="shared" si="0"/>
        <v>8575</v>
      </c>
    </row>
    <row r="29" spans="1:16" ht="26.25" customHeight="1" x14ac:dyDescent="0.2">
      <c r="A29" s="100"/>
      <c r="B29" s="100"/>
      <c r="C29" s="65" t="s">
        <v>5989</v>
      </c>
      <c r="D29" s="70" t="s">
        <v>57</v>
      </c>
      <c r="E29" s="12">
        <v>44561</v>
      </c>
      <c r="F29" s="68" t="s">
        <v>58</v>
      </c>
      <c r="G29" s="12">
        <v>44567</v>
      </c>
      <c r="H29" s="69" t="s">
        <v>6172</v>
      </c>
      <c r="I29" s="15">
        <v>74</v>
      </c>
      <c r="J29" s="15">
        <v>42</v>
      </c>
      <c r="K29" s="15">
        <v>9</v>
      </c>
      <c r="L29" s="15">
        <v>1</v>
      </c>
      <c r="M29" s="73">
        <v>6.9930000000000003</v>
      </c>
      <c r="N29" s="104">
        <v>6.9930000000000003</v>
      </c>
      <c r="O29" s="57">
        <v>7000</v>
      </c>
      <c r="P29" s="58">
        <f t="shared" si="0"/>
        <v>48951</v>
      </c>
    </row>
    <row r="30" spans="1:16" ht="26.25" customHeight="1" x14ac:dyDescent="0.2">
      <c r="A30" s="100"/>
      <c r="B30" s="100"/>
      <c r="C30" s="65" t="s">
        <v>5990</v>
      </c>
      <c r="D30" s="70" t="s">
        <v>57</v>
      </c>
      <c r="E30" s="12">
        <v>44561</v>
      </c>
      <c r="F30" s="68" t="s">
        <v>58</v>
      </c>
      <c r="G30" s="12">
        <v>44567</v>
      </c>
      <c r="H30" s="69" t="s">
        <v>6172</v>
      </c>
      <c r="I30" s="15">
        <v>76</v>
      </c>
      <c r="J30" s="15">
        <v>30</v>
      </c>
      <c r="K30" s="15">
        <v>14</v>
      </c>
      <c r="L30" s="15">
        <v>2</v>
      </c>
      <c r="M30" s="73">
        <v>7.98</v>
      </c>
      <c r="N30" s="104">
        <v>7.98</v>
      </c>
      <c r="O30" s="57">
        <v>7000</v>
      </c>
      <c r="P30" s="58">
        <f t="shared" si="0"/>
        <v>55860</v>
      </c>
    </row>
    <row r="31" spans="1:16" ht="26.25" customHeight="1" x14ac:dyDescent="0.2">
      <c r="A31" s="100"/>
      <c r="B31" s="100"/>
      <c r="C31" s="65" t="s">
        <v>5991</v>
      </c>
      <c r="D31" s="70" t="s">
        <v>57</v>
      </c>
      <c r="E31" s="12">
        <v>44561</v>
      </c>
      <c r="F31" s="68" t="s">
        <v>58</v>
      </c>
      <c r="G31" s="12">
        <v>44567</v>
      </c>
      <c r="H31" s="69" t="s">
        <v>6172</v>
      </c>
      <c r="I31" s="15">
        <v>55</v>
      </c>
      <c r="J31" s="15">
        <v>34</v>
      </c>
      <c r="K31" s="15">
        <v>13</v>
      </c>
      <c r="L31" s="15">
        <v>1</v>
      </c>
      <c r="M31" s="73">
        <v>6.0774999999999997</v>
      </c>
      <c r="N31" s="104">
        <v>6.0774999999999997</v>
      </c>
      <c r="O31" s="57">
        <v>7000</v>
      </c>
      <c r="P31" s="58">
        <f t="shared" si="0"/>
        <v>42542.5</v>
      </c>
    </row>
    <row r="32" spans="1:16" ht="26.25" customHeight="1" x14ac:dyDescent="0.2">
      <c r="A32" s="100"/>
      <c r="B32" s="100"/>
      <c r="C32" s="65" t="s">
        <v>5992</v>
      </c>
      <c r="D32" s="70" t="s">
        <v>57</v>
      </c>
      <c r="E32" s="12">
        <v>44561</v>
      </c>
      <c r="F32" s="68" t="s">
        <v>58</v>
      </c>
      <c r="G32" s="12">
        <v>44567</v>
      </c>
      <c r="H32" s="69" t="s">
        <v>6172</v>
      </c>
      <c r="I32" s="15">
        <v>112</v>
      </c>
      <c r="J32" s="15">
        <v>25</v>
      </c>
      <c r="K32" s="15">
        <v>9</v>
      </c>
      <c r="L32" s="15">
        <v>1</v>
      </c>
      <c r="M32" s="73">
        <v>6.3</v>
      </c>
      <c r="N32" s="104">
        <v>7</v>
      </c>
      <c r="O32" s="57">
        <v>7000</v>
      </c>
      <c r="P32" s="58">
        <f t="shared" si="0"/>
        <v>49000</v>
      </c>
    </row>
    <row r="33" spans="1:16" ht="26.25" customHeight="1" x14ac:dyDescent="0.2">
      <c r="A33" s="100"/>
      <c r="B33" s="100"/>
      <c r="C33" s="65" t="s">
        <v>5993</v>
      </c>
      <c r="D33" s="70" t="s">
        <v>57</v>
      </c>
      <c r="E33" s="12">
        <v>44561</v>
      </c>
      <c r="F33" s="68" t="s">
        <v>58</v>
      </c>
      <c r="G33" s="12">
        <v>44567</v>
      </c>
      <c r="H33" s="69" t="s">
        <v>6172</v>
      </c>
      <c r="I33" s="15">
        <v>92</v>
      </c>
      <c r="J33" s="15">
        <v>44</v>
      </c>
      <c r="K33" s="15">
        <v>13</v>
      </c>
      <c r="L33" s="15">
        <v>1</v>
      </c>
      <c r="M33" s="73">
        <v>13.156000000000001</v>
      </c>
      <c r="N33" s="104">
        <v>13.156000000000001</v>
      </c>
      <c r="O33" s="57">
        <v>7000</v>
      </c>
      <c r="P33" s="58">
        <f t="shared" si="0"/>
        <v>92092</v>
      </c>
    </row>
    <row r="34" spans="1:16" ht="26.25" customHeight="1" x14ac:dyDescent="0.2">
      <c r="A34" s="100"/>
      <c r="B34" s="100"/>
      <c r="C34" s="65" t="s">
        <v>5994</v>
      </c>
      <c r="D34" s="70" t="s">
        <v>57</v>
      </c>
      <c r="E34" s="12">
        <v>44561</v>
      </c>
      <c r="F34" s="68" t="s">
        <v>58</v>
      </c>
      <c r="G34" s="12">
        <v>44567</v>
      </c>
      <c r="H34" s="69" t="s">
        <v>6172</v>
      </c>
      <c r="I34" s="15">
        <v>75</v>
      </c>
      <c r="J34" s="15">
        <v>55</v>
      </c>
      <c r="K34" s="15">
        <v>26</v>
      </c>
      <c r="L34" s="15">
        <v>12</v>
      </c>
      <c r="M34" s="73">
        <v>26.8125</v>
      </c>
      <c r="N34" s="104">
        <v>26.8125</v>
      </c>
      <c r="O34" s="57">
        <v>7000</v>
      </c>
      <c r="P34" s="58">
        <f t="shared" si="0"/>
        <v>187687.5</v>
      </c>
    </row>
    <row r="35" spans="1:16" ht="26.25" customHeight="1" x14ac:dyDescent="0.2">
      <c r="A35" s="100"/>
      <c r="B35" s="100"/>
      <c r="C35" s="65" t="s">
        <v>5995</v>
      </c>
      <c r="D35" s="70" t="s">
        <v>57</v>
      </c>
      <c r="E35" s="12">
        <v>44561</v>
      </c>
      <c r="F35" s="68" t="s">
        <v>58</v>
      </c>
      <c r="G35" s="12">
        <v>44567</v>
      </c>
      <c r="H35" s="69" t="s">
        <v>6172</v>
      </c>
      <c r="I35" s="15">
        <v>92</v>
      </c>
      <c r="J35" s="15">
        <v>66</v>
      </c>
      <c r="K35" s="15">
        <v>32</v>
      </c>
      <c r="L35" s="15">
        <v>21</v>
      </c>
      <c r="M35" s="73">
        <v>48.576000000000001</v>
      </c>
      <c r="N35" s="104">
        <v>48.576000000000001</v>
      </c>
      <c r="O35" s="57">
        <v>7000</v>
      </c>
      <c r="P35" s="58">
        <f t="shared" si="0"/>
        <v>340032</v>
      </c>
    </row>
    <row r="36" spans="1:16" ht="26.25" customHeight="1" x14ac:dyDescent="0.2">
      <c r="A36" s="100"/>
      <c r="B36" s="100"/>
      <c r="C36" s="65" t="s">
        <v>5996</v>
      </c>
      <c r="D36" s="70" t="s">
        <v>57</v>
      </c>
      <c r="E36" s="12">
        <v>44561</v>
      </c>
      <c r="F36" s="68" t="s">
        <v>58</v>
      </c>
      <c r="G36" s="12">
        <v>44567</v>
      </c>
      <c r="H36" s="69" t="s">
        <v>6172</v>
      </c>
      <c r="I36" s="15">
        <v>51</v>
      </c>
      <c r="J36" s="15">
        <v>33</v>
      </c>
      <c r="K36" s="15">
        <v>29</v>
      </c>
      <c r="L36" s="15">
        <v>22</v>
      </c>
      <c r="M36" s="73">
        <v>12.201750000000001</v>
      </c>
      <c r="N36" s="104">
        <v>22</v>
      </c>
      <c r="O36" s="57">
        <v>7000</v>
      </c>
      <c r="P36" s="58">
        <f t="shared" si="0"/>
        <v>154000</v>
      </c>
    </row>
    <row r="37" spans="1:16" ht="26.25" customHeight="1" x14ac:dyDescent="0.2">
      <c r="A37" s="100"/>
      <c r="B37" s="100"/>
      <c r="C37" s="65" t="s">
        <v>5997</v>
      </c>
      <c r="D37" s="70" t="s">
        <v>57</v>
      </c>
      <c r="E37" s="12">
        <v>44561</v>
      </c>
      <c r="F37" s="68" t="s">
        <v>58</v>
      </c>
      <c r="G37" s="12">
        <v>44567</v>
      </c>
      <c r="H37" s="69" t="s">
        <v>6172</v>
      </c>
      <c r="I37" s="15">
        <v>45</v>
      </c>
      <c r="J37" s="15">
        <v>38</v>
      </c>
      <c r="K37" s="15">
        <v>21</v>
      </c>
      <c r="L37" s="15">
        <v>1</v>
      </c>
      <c r="M37" s="73">
        <v>8.9774999999999991</v>
      </c>
      <c r="N37" s="104">
        <v>8.9774999999999991</v>
      </c>
      <c r="O37" s="57">
        <v>7000</v>
      </c>
      <c r="P37" s="58">
        <f t="shared" si="0"/>
        <v>62842.499999999993</v>
      </c>
    </row>
    <row r="38" spans="1:16" ht="26.25" customHeight="1" x14ac:dyDescent="0.2">
      <c r="A38" s="100"/>
      <c r="B38" s="100"/>
      <c r="C38" s="65" t="s">
        <v>5998</v>
      </c>
      <c r="D38" s="70" t="s">
        <v>57</v>
      </c>
      <c r="E38" s="12">
        <v>44561</v>
      </c>
      <c r="F38" s="68" t="s">
        <v>58</v>
      </c>
      <c r="G38" s="12">
        <v>44567</v>
      </c>
      <c r="H38" s="69" t="s">
        <v>6172</v>
      </c>
      <c r="I38" s="15">
        <v>70</v>
      </c>
      <c r="J38" s="15">
        <v>57</v>
      </c>
      <c r="K38" s="15">
        <v>20</v>
      </c>
      <c r="L38" s="15">
        <v>11</v>
      </c>
      <c r="M38" s="73">
        <v>19.95</v>
      </c>
      <c r="N38" s="104">
        <v>19.95</v>
      </c>
      <c r="O38" s="57">
        <v>7000</v>
      </c>
      <c r="P38" s="58">
        <f t="shared" si="0"/>
        <v>139650</v>
      </c>
    </row>
    <row r="39" spans="1:16" ht="26.25" customHeight="1" x14ac:dyDescent="0.2">
      <c r="A39" s="100"/>
      <c r="B39" s="100"/>
      <c r="C39" s="90" t="s">
        <v>5999</v>
      </c>
      <c r="D39" s="102" t="s">
        <v>57</v>
      </c>
      <c r="E39" s="91">
        <v>44561</v>
      </c>
      <c r="F39" s="102" t="s">
        <v>58</v>
      </c>
      <c r="G39" s="91">
        <v>44567</v>
      </c>
      <c r="H39" s="90" t="s">
        <v>6172</v>
      </c>
      <c r="I39" s="90">
        <v>61</v>
      </c>
      <c r="J39" s="90">
        <v>43</v>
      </c>
      <c r="K39" s="90">
        <v>20</v>
      </c>
      <c r="L39" s="90">
        <v>5</v>
      </c>
      <c r="M39" s="90">
        <v>13.115</v>
      </c>
      <c r="N39" s="104">
        <v>13.115</v>
      </c>
      <c r="O39" s="57">
        <v>7000</v>
      </c>
      <c r="P39" s="58">
        <f t="shared" si="0"/>
        <v>91805</v>
      </c>
    </row>
    <row r="40" spans="1:16" ht="26.25" customHeight="1" x14ac:dyDescent="0.2">
      <c r="A40" s="100"/>
      <c r="B40" s="100"/>
      <c r="C40" s="65" t="s">
        <v>6000</v>
      </c>
      <c r="D40" s="70" t="s">
        <v>57</v>
      </c>
      <c r="E40" s="12">
        <v>44561</v>
      </c>
      <c r="F40" s="68" t="s">
        <v>58</v>
      </c>
      <c r="G40" s="12">
        <v>44567</v>
      </c>
      <c r="H40" s="69" t="s">
        <v>6172</v>
      </c>
      <c r="I40" s="15">
        <v>56</v>
      </c>
      <c r="J40" s="15">
        <v>30</v>
      </c>
      <c r="K40" s="15">
        <v>25</v>
      </c>
      <c r="L40" s="15">
        <v>3</v>
      </c>
      <c r="M40" s="73">
        <v>10.5</v>
      </c>
      <c r="N40" s="104">
        <v>12</v>
      </c>
      <c r="O40" s="57">
        <v>7000</v>
      </c>
      <c r="P40" s="58">
        <f t="shared" si="0"/>
        <v>84000</v>
      </c>
    </row>
    <row r="41" spans="1:16" ht="26.25" customHeight="1" x14ac:dyDescent="0.2">
      <c r="A41" s="100"/>
      <c r="B41" s="100"/>
      <c r="C41" s="65" t="s">
        <v>6001</v>
      </c>
      <c r="D41" s="70" t="s">
        <v>57</v>
      </c>
      <c r="E41" s="12">
        <v>44561</v>
      </c>
      <c r="F41" s="68" t="s">
        <v>58</v>
      </c>
      <c r="G41" s="12">
        <v>44567</v>
      </c>
      <c r="H41" s="69" t="s">
        <v>6172</v>
      </c>
      <c r="I41" s="15">
        <v>92</v>
      </c>
      <c r="J41" s="15">
        <v>54</v>
      </c>
      <c r="K41" s="15">
        <v>30</v>
      </c>
      <c r="L41" s="15">
        <v>26</v>
      </c>
      <c r="M41" s="73">
        <v>37.26</v>
      </c>
      <c r="N41" s="104">
        <v>37.26</v>
      </c>
      <c r="O41" s="57">
        <v>7000</v>
      </c>
      <c r="P41" s="58">
        <f t="shared" si="0"/>
        <v>260820</v>
      </c>
    </row>
    <row r="42" spans="1:16" ht="26.25" customHeight="1" x14ac:dyDescent="0.2">
      <c r="A42" s="100"/>
      <c r="B42" s="100"/>
      <c r="C42" s="65" t="s">
        <v>6002</v>
      </c>
      <c r="D42" s="70" t="s">
        <v>57</v>
      </c>
      <c r="E42" s="12">
        <v>44561</v>
      </c>
      <c r="F42" s="68" t="s">
        <v>58</v>
      </c>
      <c r="G42" s="12">
        <v>44567</v>
      </c>
      <c r="H42" s="69" t="s">
        <v>6172</v>
      </c>
      <c r="I42" s="15">
        <v>60</v>
      </c>
      <c r="J42" s="15">
        <v>40</v>
      </c>
      <c r="K42" s="15">
        <v>40</v>
      </c>
      <c r="L42" s="15">
        <v>24</v>
      </c>
      <c r="M42" s="73">
        <v>24</v>
      </c>
      <c r="N42" s="104">
        <v>24</v>
      </c>
      <c r="O42" s="57">
        <v>7000</v>
      </c>
      <c r="P42" s="58">
        <f t="shared" si="0"/>
        <v>168000</v>
      </c>
    </row>
    <row r="43" spans="1:16" ht="26.25" customHeight="1" x14ac:dyDescent="0.2">
      <c r="A43" s="100"/>
      <c r="B43" s="100"/>
      <c r="C43" s="65" t="s">
        <v>6003</v>
      </c>
      <c r="D43" s="70" t="s">
        <v>57</v>
      </c>
      <c r="E43" s="12">
        <v>44561</v>
      </c>
      <c r="F43" s="68" t="s">
        <v>58</v>
      </c>
      <c r="G43" s="12">
        <v>44567</v>
      </c>
      <c r="H43" s="69" t="s">
        <v>6172</v>
      </c>
      <c r="I43" s="15">
        <v>90</v>
      </c>
      <c r="J43" s="15">
        <v>59</v>
      </c>
      <c r="K43" s="15">
        <v>29</v>
      </c>
      <c r="L43" s="15">
        <v>20</v>
      </c>
      <c r="M43" s="73">
        <v>38.497500000000002</v>
      </c>
      <c r="N43" s="104">
        <v>39</v>
      </c>
      <c r="O43" s="57">
        <v>7000</v>
      </c>
      <c r="P43" s="58">
        <f t="shared" si="0"/>
        <v>273000</v>
      </c>
    </row>
    <row r="44" spans="1:16" ht="26.25" customHeight="1" x14ac:dyDescent="0.2">
      <c r="A44" s="100"/>
      <c r="B44" s="100"/>
      <c r="C44" s="65" t="s">
        <v>6004</v>
      </c>
      <c r="D44" s="70" t="s">
        <v>57</v>
      </c>
      <c r="E44" s="12">
        <v>44561</v>
      </c>
      <c r="F44" s="68" t="s">
        <v>58</v>
      </c>
      <c r="G44" s="12">
        <v>44567</v>
      </c>
      <c r="H44" s="69" t="s">
        <v>6172</v>
      </c>
      <c r="I44" s="15">
        <v>102</v>
      </c>
      <c r="J44" s="15">
        <v>50</v>
      </c>
      <c r="K44" s="15">
        <v>33</v>
      </c>
      <c r="L44" s="15">
        <v>36</v>
      </c>
      <c r="M44" s="73">
        <v>42.075000000000003</v>
      </c>
      <c r="N44" s="104">
        <v>42.075000000000003</v>
      </c>
      <c r="O44" s="57">
        <v>7000</v>
      </c>
      <c r="P44" s="58">
        <f t="shared" si="0"/>
        <v>294525</v>
      </c>
    </row>
    <row r="45" spans="1:16" ht="22.5" customHeight="1" x14ac:dyDescent="0.2">
      <c r="A45" s="159" t="s">
        <v>30</v>
      </c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1"/>
      <c r="M45" s="71">
        <f>SUBTOTAL(109,Table224578910112345678910111213141516171819202122232425262728293031323334353738394041424344454647484950515253545556575859606162636465666768697071727374757677787980818283848586878889909192939495969798[KG VOLUME])</f>
        <v>796.61000000000013</v>
      </c>
      <c r="N45" s="61">
        <f>SUM(N3:N44)</f>
        <v>811.84325000000013</v>
      </c>
      <c r="O45" s="162">
        <f>SUM(P3:P44)</f>
        <v>5682902.75</v>
      </c>
      <c r="P45" s="163"/>
    </row>
    <row r="46" spans="1:16" ht="18" customHeight="1" x14ac:dyDescent="0.2">
      <c r="A46" s="78"/>
      <c r="B46" s="49" t="s">
        <v>42</v>
      </c>
      <c r="C46" s="48"/>
      <c r="D46" s="50" t="s">
        <v>43</v>
      </c>
      <c r="E46" s="78"/>
      <c r="F46" s="78"/>
      <c r="G46" s="78"/>
      <c r="H46" s="78"/>
      <c r="I46" s="78"/>
      <c r="J46" s="78"/>
      <c r="K46" s="78"/>
      <c r="L46" s="78"/>
      <c r="M46" s="79"/>
      <c r="N46" s="80" t="s">
        <v>52</v>
      </c>
      <c r="O46" s="81"/>
      <c r="P46" s="81">
        <v>0</v>
      </c>
    </row>
    <row r="47" spans="1:16" ht="18" customHeight="1" thickBot="1" x14ac:dyDescent="0.25">
      <c r="A47" s="78"/>
      <c r="B47" s="49"/>
      <c r="C47" s="48"/>
      <c r="D47" s="50"/>
      <c r="E47" s="78"/>
      <c r="F47" s="78"/>
      <c r="G47" s="78"/>
      <c r="H47" s="78"/>
      <c r="I47" s="78"/>
      <c r="J47" s="78"/>
      <c r="K47" s="78"/>
      <c r="L47" s="78"/>
      <c r="M47" s="79"/>
      <c r="N47" s="82" t="s">
        <v>53</v>
      </c>
      <c r="O47" s="83"/>
      <c r="P47" s="83">
        <f>O45-P46</f>
        <v>5682902.75</v>
      </c>
    </row>
    <row r="48" spans="1:16" ht="18" customHeight="1" x14ac:dyDescent="0.2">
      <c r="A48" s="10"/>
      <c r="H48" s="56"/>
      <c r="N48" s="55" t="s">
        <v>31</v>
      </c>
      <c r="P48" s="62">
        <f>P47*1%</f>
        <v>56829.027500000004</v>
      </c>
    </row>
    <row r="49" spans="1:16" ht="18" customHeight="1" thickBot="1" x14ac:dyDescent="0.25">
      <c r="A49" s="10"/>
      <c r="H49" s="56"/>
      <c r="N49" s="55" t="s">
        <v>54</v>
      </c>
      <c r="P49" s="64">
        <f>P47*2%</f>
        <v>113658.05500000001</v>
      </c>
    </row>
    <row r="50" spans="1:16" ht="18" customHeight="1" x14ac:dyDescent="0.2">
      <c r="A50" s="10"/>
      <c r="H50" s="56"/>
      <c r="N50" s="59" t="s">
        <v>32</v>
      </c>
      <c r="O50" s="60"/>
      <c r="P50" s="63">
        <f>P47+P48-P49</f>
        <v>5626073.7225000001</v>
      </c>
    </row>
    <row r="52" spans="1:16" x14ac:dyDescent="0.2">
      <c r="A52" s="10"/>
      <c r="H52" s="56"/>
      <c r="P52" s="64"/>
    </row>
    <row r="53" spans="1:16" x14ac:dyDescent="0.2">
      <c r="A53" s="10"/>
      <c r="H53" s="56"/>
      <c r="O53" s="51"/>
      <c r="P53" s="64"/>
    </row>
    <row r="54" spans="1:16" s="3" customFormat="1" x14ac:dyDescent="0.25">
      <c r="A54" s="10"/>
      <c r="B54" s="2"/>
      <c r="C54" s="2"/>
      <c r="E54" s="11"/>
      <c r="H54" s="56"/>
      <c r="N54" s="14"/>
      <c r="O54" s="14"/>
      <c r="P54" s="14"/>
    </row>
    <row r="55" spans="1:16" s="3" customFormat="1" x14ac:dyDescent="0.25">
      <c r="A55" s="10"/>
      <c r="B55" s="2"/>
      <c r="C55" s="2"/>
      <c r="E55" s="11"/>
      <c r="H55" s="56"/>
      <c r="N55" s="14"/>
      <c r="O55" s="14"/>
      <c r="P55" s="14"/>
    </row>
    <row r="56" spans="1:16" s="3" customFormat="1" x14ac:dyDescent="0.25">
      <c r="A56" s="10"/>
      <c r="B56" s="2"/>
      <c r="C56" s="2"/>
      <c r="E56" s="11"/>
      <c r="H56" s="56"/>
      <c r="N56" s="14"/>
      <c r="O56" s="14"/>
      <c r="P56" s="14"/>
    </row>
    <row r="57" spans="1:16" s="3" customFormat="1" x14ac:dyDescent="0.25">
      <c r="A57" s="10"/>
      <c r="B57" s="2"/>
      <c r="C57" s="2"/>
      <c r="E57" s="11"/>
      <c r="H57" s="56"/>
      <c r="N57" s="14"/>
      <c r="O57" s="14"/>
      <c r="P57" s="14"/>
    </row>
    <row r="58" spans="1:16" s="3" customFormat="1" x14ac:dyDescent="0.25">
      <c r="A58" s="10"/>
      <c r="B58" s="2"/>
      <c r="C58" s="2"/>
      <c r="E58" s="11"/>
      <c r="H58" s="56"/>
      <c r="N58" s="14"/>
      <c r="O58" s="14"/>
      <c r="P58" s="14"/>
    </row>
    <row r="59" spans="1:16" s="3" customFormat="1" x14ac:dyDescent="0.25">
      <c r="A59" s="10"/>
      <c r="B59" s="2"/>
      <c r="C59" s="2"/>
      <c r="E59" s="11"/>
      <c r="H59" s="56"/>
      <c r="N59" s="14"/>
      <c r="O59" s="14"/>
      <c r="P59" s="14"/>
    </row>
    <row r="60" spans="1:16" s="3" customFormat="1" x14ac:dyDescent="0.25">
      <c r="A60" s="10"/>
      <c r="B60" s="2"/>
      <c r="C60" s="2"/>
      <c r="E60" s="11"/>
      <c r="H60" s="56"/>
      <c r="N60" s="14"/>
      <c r="O60" s="14"/>
      <c r="P60" s="14"/>
    </row>
    <row r="61" spans="1:16" s="3" customFormat="1" x14ac:dyDescent="0.25">
      <c r="A61" s="10"/>
      <c r="B61" s="2"/>
      <c r="C61" s="2"/>
      <c r="E61" s="11"/>
      <c r="H61" s="56"/>
      <c r="N61" s="14"/>
      <c r="O61" s="14"/>
      <c r="P61" s="14"/>
    </row>
    <row r="62" spans="1:16" s="3" customFormat="1" x14ac:dyDescent="0.25">
      <c r="A62" s="10"/>
      <c r="B62" s="2"/>
      <c r="C62" s="2"/>
      <c r="E62" s="11"/>
      <c r="H62" s="56"/>
      <c r="N62" s="14"/>
      <c r="O62" s="14"/>
      <c r="P62" s="14"/>
    </row>
    <row r="63" spans="1:16" s="3" customFormat="1" x14ac:dyDescent="0.25">
      <c r="A63" s="10"/>
      <c r="B63" s="2"/>
      <c r="C63" s="2"/>
      <c r="E63" s="11"/>
      <c r="H63" s="56"/>
      <c r="N63" s="14"/>
      <c r="O63" s="14"/>
      <c r="P63" s="14"/>
    </row>
    <row r="64" spans="1:16" s="3" customFormat="1" x14ac:dyDescent="0.25">
      <c r="A64" s="10"/>
      <c r="B64" s="2"/>
      <c r="C64" s="2"/>
      <c r="E64" s="11"/>
      <c r="H64" s="56"/>
      <c r="N64" s="14"/>
      <c r="O64" s="14"/>
      <c r="P64" s="14"/>
    </row>
    <row r="65" spans="1:16" s="3" customFormat="1" x14ac:dyDescent="0.25">
      <c r="A65" s="10"/>
      <c r="B65" s="2"/>
      <c r="C65" s="2"/>
      <c r="E65" s="11"/>
      <c r="H65" s="56"/>
      <c r="N65" s="14"/>
      <c r="O65" s="14"/>
      <c r="P65" s="14"/>
    </row>
  </sheetData>
  <mergeCells count="2">
    <mergeCell ref="A45:L45"/>
    <mergeCell ref="O45:P45"/>
  </mergeCells>
  <conditionalFormatting sqref="C3:C44">
    <cfRule type="duplicateValues" dxfId="47" priority="1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workbookViewId="0">
      <selection activeCell="A3" sqref="A3:XFD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9.42578125" style="11" customWidth="1"/>
    <col min="6" max="6" width="12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2" t="s">
        <v>44</v>
      </c>
      <c r="B2" s="7" t="s">
        <v>7</v>
      </c>
      <c r="C2" s="7" t="s">
        <v>0</v>
      </c>
      <c r="D2" s="7" t="s">
        <v>1</v>
      </c>
      <c r="E2" s="53" t="s">
        <v>4</v>
      </c>
      <c r="F2" s="7" t="s">
        <v>3</v>
      </c>
      <c r="G2" s="7" t="s">
        <v>5</v>
      </c>
      <c r="H2" s="53" t="s">
        <v>2</v>
      </c>
      <c r="I2" s="7" t="s">
        <v>39</v>
      </c>
      <c r="J2" s="7" t="s">
        <v>40</v>
      </c>
      <c r="K2" s="7" t="s">
        <v>41</v>
      </c>
      <c r="L2" s="54" t="s">
        <v>45</v>
      </c>
      <c r="M2" s="54" t="s">
        <v>46</v>
      </c>
      <c r="N2" s="54" t="s">
        <v>6</v>
      </c>
      <c r="O2" s="54" t="s">
        <v>47</v>
      </c>
      <c r="P2" s="54" t="s">
        <v>48</v>
      </c>
    </row>
    <row r="3" spans="1:16" ht="21.75" customHeight="1" x14ac:dyDescent="0.2">
      <c r="A3" s="99">
        <v>403940</v>
      </c>
      <c r="B3" s="99" t="s">
        <v>6005</v>
      </c>
      <c r="C3" s="90" t="s">
        <v>6006</v>
      </c>
      <c r="D3" s="102" t="s">
        <v>57</v>
      </c>
      <c r="E3" s="91">
        <v>44561</v>
      </c>
      <c r="F3" s="102" t="s">
        <v>58</v>
      </c>
      <c r="G3" s="91">
        <v>44567</v>
      </c>
      <c r="H3" s="90" t="s">
        <v>6172</v>
      </c>
      <c r="I3" s="90">
        <v>43</v>
      </c>
      <c r="J3" s="90">
        <v>40</v>
      </c>
      <c r="K3" s="90">
        <v>11</v>
      </c>
      <c r="L3" s="90">
        <v>1</v>
      </c>
      <c r="M3" s="90">
        <v>4.7300000000000004</v>
      </c>
      <c r="N3" s="104">
        <v>4.7300000000000004</v>
      </c>
      <c r="O3" s="57">
        <v>7000</v>
      </c>
      <c r="P3" s="58">
        <f t="shared" ref="P3:P26" si="0">N3*O3</f>
        <v>33110</v>
      </c>
    </row>
    <row r="4" spans="1:16" ht="21.75" customHeight="1" x14ac:dyDescent="0.2">
      <c r="A4" s="100"/>
      <c r="B4" s="100"/>
      <c r="C4" s="90" t="s">
        <v>6007</v>
      </c>
      <c r="D4" s="102" t="s">
        <v>57</v>
      </c>
      <c r="E4" s="91">
        <v>44561</v>
      </c>
      <c r="F4" s="102" t="s">
        <v>58</v>
      </c>
      <c r="G4" s="91">
        <v>44567</v>
      </c>
      <c r="H4" s="90" t="s">
        <v>6172</v>
      </c>
      <c r="I4" s="90">
        <v>90</v>
      </c>
      <c r="J4" s="90">
        <v>61</v>
      </c>
      <c r="K4" s="90">
        <v>25</v>
      </c>
      <c r="L4" s="90">
        <v>15</v>
      </c>
      <c r="M4" s="90">
        <v>34.3125</v>
      </c>
      <c r="N4" s="104">
        <v>35</v>
      </c>
      <c r="O4" s="57">
        <v>7000</v>
      </c>
      <c r="P4" s="58">
        <f t="shared" si="0"/>
        <v>245000</v>
      </c>
    </row>
    <row r="5" spans="1:16" ht="21.75" customHeight="1" x14ac:dyDescent="0.2">
      <c r="A5" s="100"/>
      <c r="B5" s="100"/>
      <c r="C5" s="90" t="s">
        <v>6008</v>
      </c>
      <c r="D5" s="102" t="s">
        <v>57</v>
      </c>
      <c r="E5" s="91">
        <v>44561</v>
      </c>
      <c r="F5" s="102" t="s">
        <v>58</v>
      </c>
      <c r="G5" s="91">
        <v>44567</v>
      </c>
      <c r="H5" s="90" t="s">
        <v>6172</v>
      </c>
      <c r="I5" s="90">
        <v>73</v>
      </c>
      <c r="J5" s="90">
        <v>52</v>
      </c>
      <c r="K5" s="90">
        <v>19</v>
      </c>
      <c r="L5" s="90">
        <v>6</v>
      </c>
      <c r="M5" s="90">
        <v>18.030999999999999</v>
      </c>
      <c r="N5" s="104">
        <v>18.030999999999999</v>
      </c>
      <c r="O5" s="57">
        <v>7000</v>
      </c>
      <c r="P5" s="58">
        <f t="shared" si="0"/>
        <v>126216.99999999999</v>
      </c>
    </row>
    <row r="6" spans="1:16" ht="21.75" customHeight="1" x14ac:dyDescent="0.2">
      <c r="A6" s="100"/>
      <c r="B6" s="100"/>
      <c r="C6" s="90" t="s">
        <v>6009</v>
      </c>
      <c r="D6" s="102" t="s">
        <v>57</v>
      </c>
      <c r="E6" s="91">
        <v>44561</v>
      </c>
      <c r="F6" s="102" t="s">
        <v>58</v>
      </c>
      <c r="G6" s="91">
        <v>44567</v>
      </c>
      <c r="H6" s="90" t="s">
        <v>6172</v>
      </c>
      <c r="I6" s="90">
        <v>45</v>
      </c>
      <c r="J6" s="90">
        <v>42</v>
      </c>
      <c r="K6" s="90">
        <v>15</v>
      </c>
      <c r="L6" s="90">
        <v>4</v>
      </c>
      <c r="M6" s="90">
        <v>7.0875000000000004</v>
      </c>
      <c r="N6" s="104">
        <v>7.0875000000000004</v>
      </c>
      <c r="O6" s="57">
        <v>7000</v>
      </c>
      <c r="P6" s="58">
        <f t="shared" si="0"/>
        <v>49612.5</v>
      </c>
    </row>
    <row r="7" spans="1:16" ht="21.75" customHeight="1" x14ac:dyDescent="0.2">
      <c r="A7" s="100"/>
      <c r="B7" s="100"/>
      <c r="C7" s="65" t="s">
        <v>6010</v>
      </c>
      <c r="D7" s="70" t="s">
        <v>57</v>
      </c>
      <c r="E7" s="12">
        <v>44561</v>
      </c>
      <c r="F7" s="68" t="s">
        <v>58</v>
      </c>
      <c r="G7" s="12">
        <v>44567</v>
      </c>
      <c r="H7" s="69" t="s">
        <v>6172</v>
      </c>
      <c r="I7" s="15">
        <v>41</v>
      </c>
      <c r="J7" s="15">
        <v>35</v>
      </c>
      <c r="K7" s="15">
        <v>20</v>
      </c>
      <c r="L7" s="15">
        <v>2</v>
      </c>
      <c r="M7" s="73">
        <v>7.1749999999999998</v>
      </c>
      <c r="N7" s="104">
        <v>7.1749999999999998</v>
      </c>
      <c r="O7" s="57">
        <v>7000</v>
      </c>
      <c r="P7" s="58">
        <f t="shared" si="0"/>
        <v>50225</v>
      </c>
    </row>
    <row r="8" spans="1:16" ht="21.75" customHeight="1" x14ac:dyDescent="0.2">
      <c r="A8" s="100"/>
      <c r="B8" s="100"/>
      <c r="C8" s="65" t="s">
        <v>6011</v>
      </c>
      <c r="D8" s="70" t="s">
        <v>57</v>
      </c>
      <c r="E8" s="12">
        <v>44561</v>
      </c>
      <c r="F8" s="68" t="s">
        <v>58</v>
      </c>
      <c r="G8" s="12">
        <v>44567</v>
      </c>
      <c r="H8" s="69" t="s">
        <v>6172</v>
      </c>
      <c r="I8" s="15">
        <v>62</v>
      </c>
      <c r="J8" s="15">
        <v>43</v>
      </c>
      <c r="K8" s="15">
        <v>17</v>
      </c>
      <c r="L8" s="15">
        <v>1</v>
      </c>
      <c r="M8" s="73">
        <v>11.330500000000001</v>
      </c>
      <c r="N8" s="104">
        <v>12</v>
      </c>
      <c r="O8" s="57">
        <v>7000</v>
      </c>
      <c r="P8" s="58">
        <f t="shared" si="0"/>
        <v>84000</v>
      </c>
    </row>
    <row r="9" spans="1:16" ht="21.75" customHeight="1" x14ac:dyDescent="0.2">
      <c r="A9" s="100"/>
      <c r="B9" s="100"/>
      <c r="C9" s="65" t="s">
        <v>6012</v>
      </c>
      <c r="D9" s="70" t="s">
        <v>57</v>
      </c>
      <c r="E9" s="12">
        <v>44561</v>
      </c>
      <c r="F9" s="68" t="s">
        <v>58</v>
      </c>
      <c r="G9" s="12">
        <v>44567</v>
      </c>
      <c r="H9" s="69" t="s">
        <v>6172</v>
      </c>
      <c r="I9" s="15">
        <v>54</v>
      </c>
      <c r="J9" s="15">
        <v>40</v>
      </c>
      <c r="K9" s="15">
        <v>10</v>
      </c>
      <c r="L9" s="15">
        <v>1</v>
      </c>
      <c r="M9" s="73">
        <v>5.4</v>
      </c>
      <c r="N9" s="104">
        <v>6</v>
      </c>
      <c r="O9" s="57">
        <v>7000</v>
      </c>
      <c r="P9" s="58">
        <f t="shared" si="0"/>
        <v>42000</v>
      </c>
    </row>
    <row r="10" spans="1:16" ht="21.75" customHeight="1" x14ac:dyDescent="0.2">
      <c r="A10" s="100"/>
      <c r="B10" s="100"/>
      <c r="C10" s="65" t="s">
        <v>6013</v>
      </c>
      <c r="D10" s="70" t="s">
        <v>57</v>
      </c>
      <c r="E10" s="12">
        <v>44561</v>
      </c>
      <c r="F10" s="68" t="s">
        <v>58</v>
      </c>
      <c r="G10" s="12">
        <v>44567</v>
      </c>
      <c r="H10" s="69" t="s">
        <v>6172</v>
      </c>
      <c r="I10" s="15">
        <v>65</v>
      </c>
      <c r="J10" s="15">
        <v>27</v>
      </c>
      <c r="K10" s="15">
        <v>13</v>
      </c>
      <c r="L10" s="15">
        <v>2</v>
      </c>
      <c r="M10" s="73">
        <v>5.7037500000000003</v>
      </c>
      <c r="N10" s="104">
        <v>5.7037500000000003</v>
      </c>
      <c r="O10" s="57">
        <v>7000</v>
      </c>
      <c r="P10" s="58">
        <f t="shared" si="0"/>
        <v>39926.25</v>
      </c>
    </row>
    <row r="11" spans="1:16" ht="21.75" customHeight="1" x14ac:dyDescent="0.2">
      <c r="A11" s="100"/>
      <c r="B11" s="100"/>
      <c r="C11" s="65" t="s">
        <v>6014</v>
      </c>
      <c r="D11" s="70" t="s">
        <v>57</v>
      </c>
      <c r="E11" s="12">
        <v>44561</v>
      </c>
      <c r="F11" s="68" t="s">
        <v>58</v>
      </c>
      <c r="G11" s="12">
        <v>44567</v>
      </c>
      <c r="H11" s="69" t="s">
        <v>6172</v>
      </c>
      <c r="I11" s="15">
        <v>183</v>
      </c>
      <c r="J11" s="15">
        <v>12</v>
      </c>
      <c r="K11" s="15">
        <v>6</v>
      </c>
      <c r="L11" s="15">
        <v>2</v>
      </c>
      <c r="M11" s="73">
        <v>3.294</v>
      </c>
      <c r="N11" s="104">
        <v>3.294</v>
      </c>
      <c r="O11" s="57">
        <v>7000</v>
      </c>
      <c r="P11" s="58">
        <f t="shared" si="0"/>
        <v>23058</v>
      </c>
    </row>
    <row r="12" spans="1:16" ht="21.75" customHeight="1" x14ac:dyDescent="0.2">
      <c r="A12" s="100"/>
      <c r="B12" s="100"/>
      <c r="C12" s="65" t="s">
        <v>6015</v>
      </c>
      <c r="D12" s="70" t="s">
        <v>57</v>
      </c>
      <c r="E12" s="12">
        <v>44561</v>
      </c>
      <c r="F12" s="68" t="s">
        <v>58</v>
      </c>
      <c r="G12" s="12">
        <v>44567</v>
      </c>
      <c r="H12" s="69" t="s">
        <v>6172</v>
      </c>
      <c r="I12" s="15">
        <v>64</v>
      </c>
      <c r="J12" s="15">
        <v>40</v>
      </c>
      <c r="K12" s="15">
        <v>10</v>
      </c>
      <c r="L12" s="15">
        <v>1</v>
      </c>
      <c r="M12" s="73">
        <v>6.4</v>
      </c>
      <c r="N12" s="104">
        <v>7</v>
      </c>
      <c r="O12" s="57">
        <v>7000</v>
      </c>
      <c r="P12" s="58">
        <f t="shared" si="0"/>
        <v>49000</v>
      </c>
    </row>
    <row r="13" spans="1:16" ht="21.75" customHeight="1" x14ac:dyDescent="0.2">
      <c r="A13" s="100"/>
      <c r="B13" s="100"/>
      <c r="C13" s="65" t="s">
        <v>6016</v>
      </c>
      <c r="D13" s="70" t="s">
        <v>57</v>
      </c>
      <c r="E13" s="12">
        <v>44561</v>
      </c>
      <c r="F13" s="68" t="s">
        <v>58</v>
      </c>
      <c r="G13" s="12">
        <v>44567</v>
      </c>
      <c r="H13" s="69" t="s">
        <v>6172</v>
      </c>
      <c r="I13" s="15">
        <v>120</v>
      </c>
      <c r="J13" s="15">
        <v>42</v>
      </c>
      <c r="K13" s="15">
        <v>24</v>
      </c>
      <c r="L13" s="15">
        <v>16</v>
      </c>
      <c r="M13" s="73">
        <v>30.24</v>
      </c>
      <c r="N13" s="104">
        <v>30.24</v>
      </c>
      <c r="O13" s="57">
        <v>7000</v>
      </c>
      <c r="P13" s="58">
        <f t="shared" si="0"/>
        <v>211680</v>
      </c>
    </row>
    <row r="14" spans="1:16" ht="21.75" customHeight="1" x14ac:dyDescent="0.2">
      <c r="A14" s="100"/>
      <c r="B14" s="100"/>
      <c r="C14" s="65" t="s">
        <v>6017</v>
      </c>
      <c r="D14" s="70" t="s">
        <v>57</v>
      </c>
      <c r="E14" s="12">
        <v>44561</v>
      </c>
      <c r="F14" s="68" t="s">
        <v>58</v>
      </c>
      <c r="G14" s="12">
        <v>44567</v>
      </c>
      <c r="H14" s="69" t="s">
        <v>6172</v>
      </c>
      <c r="I14" s="15">
        <v>140</v>
      </c>
      <c r="J14" s="15">
        <v>60</v>
      </c>
      <c r="K14" s="15">
        <v>27</v>
      </c>
      <c r="L14" s="15">
        <v>22</v>
      </c>
      <c r="M14" s="73">
        <v>56.7</v>
      </c>
      <c r="N14" s="104">
        <v>56.7</v>
      </c>
      <c r="O14" s="57">
        <v>7000</v>
      </c>
      <c r="P14" s="58">
        <f t="shared" si="0"/>
        <v>396900</v>
      </c>
    </row>
    <row r="15" spans="1:16" ht="21.75" customHeight="1" x14ac:dyDescent="0.2">
      <c r="A15" s="100"/>
      <c r="B15" s="100"/>
      <c r="C15" s="65" t="s">
        <v>6018</v>
      </c>
      <c r="D15" s="70" t="s">
        <v>57</v>
      </c>
      <c r="E15" s="12">
        <v>44561</v>
      </c>
      <c r="F15" s="68" t="s">
        <v>58</v>
      </c>
      <c r="G15" s="12">
        <v>44567</v>
      </c>
      <c r="H15" s="69" t="s">
        <v>6172</v>
      </c>
      <c r="I15" s="15">
        <v>60</v>
      </c>
      <c r="J15" s="15">
        <v>42</v>
      </c>
      <c r="K15" s="15">
        <v>10</v>
      </c>
      <c r="L15" s="15">
        <v>1</v>
      </c>
      <c r="M15" s="73">
        <v>6.3</v>
      </c>
      <c r="N15" s="104">
        <v>7</v>
      </c>
      <c r="O15" s="57">
        <v>7000</v>
      </c>
      <c r="P15" s="58">
        <f t="shared" si="0"/>
        <v>49000</v>
      </c>
    </row>
    <row r="16" spans="1:16" ht="21.75" customHeight="1" x14ac:dyDescent="0.2">
      <c r="A16" s="100"/>
      <c r="B16" s="100"/>
      <c r="C16" s="65" t="s">
        <v>6019</v>
      </c>
      <c r="D16" s="70" t="s">
        <v>57</v>
      </c>
      <c r="E16" s="12">
        <v>44561</v>
      </c>
      <c r="F16" s="68" t="s">
        <v>58</v>
      </c>
      <c r="G16" s="12">
        <v>44567</v>
      </c>
      <c r="H16" s="69" t="s">
        <v>6172</v>
      </c>
      <c r="I16" s="15">
        <v>41</v>
      </c>
      <c r="J16" s="15">
        <v>20</v>
      </c>
      <c r="K16" s="15">
        <v>10</v>
      </c>
      <c r="L16" s="15">
        <v>1</v>
      </c>
      <c r="M16" s="73">
        <v>2.0499999999999998</v>
      </c>
      <c r="N16" s="104">
        <v>2.0499999999999998</v>
      </c>
      <c r="O16" s="57">
        <v>7000</v>
      </c>
      <c r="P16" s="58">
        <f t="shared" si="0"/>
        <v>14349.999999999998</v>
      </c>
    </row>
    <row r="17" spans="1:16" ht="21.75" customHeight="1" x14ac:dyDescent="0.2">
      <c r="A17" s="100"/>
      <c r="B17" s="100"/>
      <c r="C17" s="65" t="s">
        <v>6020</v>
      </c>
      <c r="D17" s="70" t="s">
        <v>57</v>
      </c>
      <c r="E17" s="12">
        <v>44561</v>
      </c>
      <c r="F17" s="68" t="s">
        <v>58</v>
      </c>
      <c r="G17" s="12">
        <v>44567</v>
      </c>
      <c r="H17" s="69" t="s">
        <v>6172</v>
      </c>
      <c r="I17" s="15">
        <v>41</v>
      </c>
      <c r="J17" s="15">
        <v>20</v>
      </c>
      <c r="K17" s="15">
        <v>10</v>
      </c>
      <c r="L17" s="15">
        <v>1</v>
      </c>
      <c r="M17" s="73">
        <v>2.0499999999999998</v>
      </c>
      <c r="N17" s="104">
        <v>2.0499999999999998</v>
      </c>
      <c r="O17" s="57">
        <v>7000</v>
      </c>
      <c r="P17" s="58">
        <f t="shared" si="0"/>
        <v>14349.999999999998</v>
      </c>
    </row>
    <row r="18" spans="1:16" ht="21.75" customHeight="1" x14ac:dyDescent="0.2">
      <c r="A18" s="100"/>
      <c r="B18" s="100"/>
      <c r="C18" s="65" t="s">
        <v>6021</v>
      </c>
      <c r="D18" s="70" t="s">
        <v>57</v>
      </c>
      <c r="E18" s="12">
        <v>44561</v>
      </c>
      <c r="F18" s="68" t="s">
        <v>58</v>
      </c>
      <c r="G18" s="12">
        <v>44567</v>
      </c>
      <c r="H18" s="69" t="s">
        <v>6172</v>
      </c>
      <c r="I18" s="15">
        <v>41</v>
      </c>
      <c r="J18" s="15">
        <v>20</v>
      </c>
      <c r="K18" s="15">
        <v>10</v>
      </c>
      <c r="L18" s="15">
        <v>1</v>
      </c>
      <c r="M18" s="73">
        <v>2.0499999999999998</v>
      </c>
      <c r="N18" s="104">
        <v>2.0499999999999998</v>
      </c>
      <c r="O18" s="57">
        <v>7000</v>
      </c>
      <c r="P18" s="58">
        <f t="shared" si="0"/>
        <v>14349.999999999998</v>
      </c>
    </row>
    <row r="19" spans="1:16" ht="21.75" customHeight="1" x14ac:dyDescent="0.2">
      <c r="A19" s="100"/>
      <c r="B19" s="100"/>
      <c r="C19" s="65" t="s">
        <v>6022</v>
      </c>
      <c r="D19" s="70" t="s">
        <v>57</v>
      </c>
      <c r="E19" s="12">
        <v>44561</v>
      </c>
      <c r="F19" s="68" t="s">
        <v>58</v>
      </c>
      <c r="G19" s="12">
        <v>44567</v>
      </c>
      <c r="H19" s="69" t="s">
        <v>6172</v>
      </c>
      <c r="I19" s="15">
        <v>41</v>
      </c>
      <c r="J19" s="15">
        <v>20</v>
      </c>
      <c r="K19" s="15">
        <v>10</v>
      </c>
      <c r="L19" s="15">
        <v>1</v>
      </c>
      <c r="M19" s="73">
        <v>2.0499999999999998</v>
      </c>
      <c r="N19" s="104">
        <v>2.0499999999999998</v>
      </c>
      <c r="O19" s="57">
        <v>7000</v>
      </c>
      <c r="P19" s="58">
        <f t="shared" si="0"/>
        <v>14349.999999999998</v>
      </c>
    </row>
    <row r="20" spans="1:16" ht="21.75" customHeight="1" x14ac:dyDescent="0.2">
      <c r="A20" s="100"/>
      <c r="B20" s="100"/>
      <c r="C20" s="65" t="s">
        <v>6023</v>
      </c>
      <c r="D20" s="70" t="s">
        <v>57</v>
      </c>
      <c r="E20" s="12">
        <v>44561</v>
      </c>
      <c r="F20" s="68" t="s">
        <v>58</v>
      </c>
      <c r="G20" s="12">
        <v>44567</v>
      </c>
      <c r="H20" s="69" t="s">
        <v>6172</v>
      </c>
      <c r="I20" s="15">
        <v>105</v>
      </c>
      <c r="J20" s="15">
        <v>65</v>
      </c>
      <c r="K20" s="15">
        <v>20</v>
      </c>
      <c r="L20" s="15">
        <v>19</v>
      </c>
      <c r="M20" s="73">
        <v>34.125</v>
      </c>
      <c r="N20" s="104">
        <v>34.125</v>
      </c>
      <c r="O20" s="57">
        <v>7000</v>
      </c>
      <c r="P20" s="58">
        <f t="shared" si="0"/>
        <v>238875</v>
      </c>
    </row>
    <row r="21" spans="1:16" ht="21.75" customHeight="1" x14ac:dyDescent="0.2">
      <c r="A21" s="100"/>
      <c r="B21" s="100"/>
      <c r="C21" s="65" t="s">
        <v>6024</v>
      </c>
      <c r="D21" s="70" t="s">
        <v>57</v>
      </c>
      <c r="E21" s="12">
        <v>44561</v>
      </c>
      <c r="F21" s="68" t="s">
        <v>58</v>
      </c>
      <c r="G21" s="12">
        <v>44567</v>
      </c>
      <c r="H21" s="69" t="s">
        <v>6172</v>
      </c>
      <c r="I21" s="15">
        <v>99</v>
      </c>
      <c r="J21" s="15">
        <v>60</v>
      </c>
      <c r="K21" s="15">
        <v>26</v>
      </c>
      <c r="L21" s="15">
        <v>19</v>
      </c>
      <c r="M21" s="73">
        <v>38.61</v>
      </c>
      <c r="N21" s="104">
        <v>38.61</v>
      </c>
      <c r="O21" s="57">
        <v>7000</v>
      </c>
      <c r="P21" s="58">
        <f t="shared" si="0"/>
        <v>270270</v>
      </c>
    </row>
    <row r="22" spans="1:16" ht="21.75" customHeight="1" x14ac:dyDescent="0.2">
      <c r="A22" s="100"/>
      <c r="B22" s="100"/>
      <c r="C22" s="65" t="s">
        <v>6025</v>
      </c>
      <c r="D22" s="70" t="s">
        <v>57</v>
      </c>
      <c r="E22" s="12">
        <v>44561</v>
      </c>
      <c r="F22" s="68" t="s">
        <v>58</v>
      </c>
      <c r="G22" s="12">
        <v>44567</v>
      </c>
      <c r="H22" s="69" t="s">
        <v>6172</v>
      </c>
      <c r="I22" s="15">
        <v>77</v>
      </c>
      <c r="J22" s="15">
        <v>55</v>
      </c>
      <c r="K22" s="15">
        <v>21</v>
      </c>
      <c r="L22" s="15">
        <v>7</v>
      </c>
      <c r="M22" s="73">
        <v>22.233750000000001</v>
      </c>
      <c r="N22" s="104">
        <v>22.233750000000001</v>
      </c>
      <c r="O22" s="57">
        <v>7000</v>
      </c>
      <c r="P22" s="58">
        <f t="shared" si="0"/>
        <v>155636.25</v>
      </c>
    </row>
    <row r="23" spans="1:16" ht="21.75" customHeight="1" x14ac:dyDescent="0.2">
      <c r="A23" s="100"/>
      <c r="B23" s="100"/>
      <c r="C23" s="65" t="s">
        <v>6026</v>
      </c>
      <c r="D23" s="70" t="s">
        <v>57</v>
      </c>
      <c r="E23" s="12">
        <v>44561</v>
      </c>
      <c r="F23" s="68" t="s">
        <v>58</v>
      </c>
      <c r="G23" s="12">
        <v>44567</v>
      </c>
      <c r="H23" s="69" t="s">
        <v>6172</v>
      </c>
      <c r="I23" s="15">
        <v>54</v>
      </c>
      <c r="J23" s="15">
        <v>44</v>
      </c>
      <c r="K23" s="15">
        <v>20</v>
      </c>
      <c r="L23" s="15">
        <v>7</v>
      </c>
      <c r="M23" s="73">
        <v>11.88</v>
      </c>
      <c r="N23" s="104">
        <v>11.88</v>
      </c>
      <c r="O23" s="57">
        <v>7000</v>
      </c>
      <c r="P23" s="58">
        <f t="shared" si="0"/>
        <v>83160</v>
      </c>
    </row>
    <row r="24" spans="1:16" ht="21.75" customHeight="1" x14ac:dyDescent="0.2">
      <c r="A24" s="100"/>
      <c r="B24" s="100"/>
      <c r="C24" s="65" t="s">
        <v>6027</v>
      </c>
      <c r="D24" s="70" t="s">
        <v>57</v>
      </c>
      <c r="E24" s="12">
        <v>44561</v>
      </c>
      <c r="F24" s="68" t="s">
        <v>58</v>
      </c>
      <c r="G24" s="12">
        <v>44567</v>
      </c>
      <c r="H24" s="69" t="s">
        <v>6172</v>
      </c>
      <c r="I24" s="15">
        <v>65</v>
      </c>
      <c r="J24" s="15">
        <v>47</v>
      </c>
      <c r="K24" s="15">
        <v>20</v>
      </c>
      <c r="L24" s="15">
        <v>1</v>
      </c>
      <c r="M24" s="73">
        <v>15.275</v>
      </c>
      <c r="N24" s="104">
        <v>15.275</v>
      </c>
      <c r="O24" s="57">
        <v>7000</v>
      </c>
      <c r="P24" s="58">
        <f t="shared" si="0"/>
        <v>106925</v>
      </c>
    </row>
    <row r="25" spans="1:16" ht="21.75" customHeight="1" x14ac:dyDescent="0.2">
      <c r="A25" s="100"/>
      <c r="B25" s="101"/>
      <c r="C25" s="65" t="s">
        <v>6028</v>
      </c>
      <c r="D25" s="70" t="s">
        <v>57</v>
      </c>
      <c r="E25" s="12">
        <v>44561</v>
      </c>
      <c r="F25" s="68" t="s">
        <v>58</v>
      </c>
      <c r="G25" s="12">
        <v>44567</v>
      </c>
      <c r="H25" s="69" t="s">
        <v>6172</v>
      </c>
      <c r="I25" s="15">
        <v>70</v>
      </c>
      <c r="J25" s="15">
        <v>39</v>
      </c>
      <c r="K25" s="15">
        <v>18</v>
      </c>
      <c r="L25" s="15">
        <v>11</v>
      </c>
      <c r="M25" s="73">
        <v>12.285</v>
      </c>
      <c r="N25" s="104">
        <v>12.285</v>
      </c>
      <c r="O25" s="57">
        <v>7000</v>
      </c>
      <c r="P25" s="58">
        <f t="shared" si="0"/>
        <v>85995</v>
      </c>
    </row>
    <row r="26" spans="1:16" ht="21.75" customHeight="1" x14ac:dyDescent="0.2">
      <c r="A26" s="100"/>
      <c r="B26" s="100" t="s">
        <v>6029</v>
      </c>
      <c r="C26" s="65" t="s">
        <v>6030</v>
      </c>
      <c r="D26" s="70" t="s">
        <v>57</v>
      </c>
      <c r="E26" s="12">
        <v>44561</v>
      </c>
      <c r="F26" s="68" t="s">
        <v>58</v>
      </c>
      <c r="G26" s="12">
        <v>44567</v>
      </c>
      <c r="H26" s="69" t="s">
        <v>6172</v>
      </c>
      <c r="I26" s="15">
        <v>30</v>
      </c>
      <c r="J26" s="15">
        <v>15</v>
      </c>
      <c r="K26" s="15">
        <v>10</v>
      </c>
      <c r="L26" s="15">
        <v>1</v>
      </c>
      <c r="M26" s="73">
        <v>1.125</v>
      </c>
      <c r="N26" s="104">
        <v>1.125</v>
      </c>
      <c r="O26" s="57">
        <v>7000</v>
      </c>
      <c r="P26" s="58">
        <f t="shared" si="0"/>
        <v>7875</v>
      </c>
    </row>
    <row r="27" spans="1:16" ht="22.5" customHeight="1" x14ac:dyDescent="0.2">
      <c r="A27" s="159" t="s">
        <v>30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1"/>
      <c r="M27" s="71">
        <f>SUBTOTAL(109,Table22457891011234567891011121314151617181920212223242526272829303132333435373839404142434445464748495051525354555657585960616263646566676869707172737475767778798081828384858687888990919293949596979899[KG VOLUME])</f>
        <v>340.43800000000005</v>
      </c>
      <c r="N27" s="61">
        <f>SUM(N3:N26)</f>
        <v>343.69500000000005</v>
      </c>
      <c r="O27" s="162">
        <f>SUM(P3:P26)</f>
        <v>2405865</v>
      </c>
      <c r="P27" s="163"/>
    </row>
    <row r="28" spans="1:16" ht="18" customHeight="1" x14ac:dyDescent="0.2">
      <c r="A28" s="78"/>
      <c r="B28" s="49" t="s">
        <v>42</v>
      </c>
      <c r="C28" s="48"/>
      <c r="D28" s="50" t="s">
        <v>43</v>
      </c>
      <c r="E28" s="78"/>
      <c r="F28" s="78"/>
      <c r="G28" s="78"/>
      <c r="H28" s="78"/>
      <c r="I28" s="78"/>
      <c r="J28" s="78"/>
      <c r="K28" s="78"/>
      <c r="L28" s="78"/>
      <c r="M28" s="79"/>
      <c r="N28" s="80" t="s">
        <v>52</v>
      </c>
      <c r="O28" s="81"/>
      <c r="P28" s="81">
        <v>0</v>
      </c>
    </row>
    <row r="29" spans="1:16" ht="18" customHeight="1" thickBot="1" x14ac:dyDescent="0.25">
      <c r="A29" s="78"/>
      <c r="B29" s="49"/>
      <c r="C29" s="48"/>
      <c r="D29" s="50"/>
      <c r="E29" s="78"/>
      <c r="F29" s="78"/>
      <c r="G29" s="78"/>
      <c r="H29" s="78"/>
      <c r="I29" s="78"/>
      <c r="J29" s="78"/>
      <c r="K29" s="78"/>
      <c r="L29" s="78"/>
      <c r="M29" s="79"/>
      <c r="N29" s="82" t="s">
        <v>53</v>
      </c>
      <c r="O29" s="83"/>
      <c r="P29" s="83">
        <f>O27-P28</f>
        <v>2405865</v>
      </c>
    </row>
    <row r="30" spans="1:16" ht="18" customHeight="1" x14ac:dyDescent="0.2">
      <c r="A30" s="10"/>
      <c r="H30" s="56"/>
      <c r="N30" s="55" t="s">
        <v>31</v>
      </c>
      <c r="P30" s="62">
        <f>P29*1%</f>
        <v>24058.65</v>
      </c>
    </row>
    <row r="31" spans="1:16" ht="18" customHeight="1" thickBot="1" x14ac:dyDescent="0.25">
      <c r="A31" s="10"/>
      <c r="H31" s="56"/>
      <c r="N31" s="55" t="s">
        <v>54</v>
      </c>
      <c r="P31" s="64">
        <f>P29*2%</f>
        <v>48117.3</v>
      </c>
    </row>
    <row r="32" spans="1:16" ht="18" customHeight="1" x14ac:dyDescent="0.2">
      <c r="A32" s="10"/>
      <c r="H32" s="56"/>
      <c r="N32" s="59" t="s">
        <v>32</v>
      </c>
      <c r="O32" s="60"/>
      <c r="P32" s="63">
        <f>P29+P30-P31</f>
        <v>2381806.35</v>
      </c>
    </row>
    <row r="34" spans="1:16" x14ac:dyDescent="0.2">
      <c r="A34" s="10"/>
      <c r="H34" s="56"/>
      <c r="P34" s="64"/>
    </row>
    <row r="35" spans="1:16" x14ac:dyDescent="0.2">
      <c r="A35" s="10"/>
      <c r="H35" s="56"/>
      <c r="O35" s="51"/>
      <c r="P35" s="64"/>
    </row>
    <row r="36" spans="1:16" s="3" customFormat="1" x14ac:dyDescent="0.25">
      <c r="A36" s="10"/>
      <c r="B36" s="2"/>
      <c r="C36" s="2"/>
      <c r="E36" s="11"/>
      <c r="H36" s="56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56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56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56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56"/>
      <c r="N40" s="14"/>
      <c r="O40" s="14"/>
      <c r="P40" s="14"/>
    </row>
    <row r="41" spans="1:16" s="3" customFormat="1" x14ac:dyDescent="0.25">
      <c r="A41" s="10"/>
      <c r="B41" s="2"/>
      <c r="C41" s="2"/>
      <c r="E41" s="11"/>
      <c r="H41" s="56"/>
      <c r="N41" s="14"/>
      <c r="O41" s="14"/>
      <c r="P41" s="14"/>
    </row>
    <row r="42" spans="1:16" s="3" customFormat="1" x14ac:dyDescent="0.25">
      <c r="A42" s="10"/>
      <c r="B42" s="2"/>
      <c r="C42" s="2"/>
      <c r="E42" s="11"/>
      <c r="H42" s="56"/>
      <c r="N42" s="14"/>
      <c r="O42" s="14"/>
      <c r="P42" s="14"/>
    </row>
    <row r="43" spans="1:16" s="3" customFormat="1" x14ac:dyDescent="0.25">
      <c r="A43" s="10"/>
      <c r="B43" s="2"/>
      <c r="C43" s="2"/>
      <c r="E43" s="11"/>
      <c r="H43" s="56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56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56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56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56"/>
      <c r="N47" s="14"/>
      <c r="O47" s="14"/>
      <c r="P47" s="14"/>
    </row>
  </sheetData>
  <mergeCells count="2">
    <mergeCell ref="A27:L27"/>
    <mergeCell ref="O27:P27"/>
  </mergeCells>
  <conditionalFormatting sqref="C3:C26">
    <cfRule type="duplicateValues" dxfId="31" priority="12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100</vt:i4>
      </vt:variant>
      <vt:variant>
        <vt:lpstr>Named Ranges</vt:lpstr>
      </vt:variant>
      <vt:variant>
        <vt:i4>100</vt:i4>
      </vt:variant>
    </vt:vector>
  </HeadingPairs>
  <TitlesOfParts>
    <vt:vector size="200" baseType="lpstr">
      <vt:lpstr>058_Sicepat_Batam 01-31</vt:lpstr>
      <vt:lpstr>403955</vt:lpstr>
      <vt:lpstr>403743</vt:lpstr>
      <vt:lpstr>403958</vt:lpstr>
      <vt:lpstr>403747</vt:lpstr>
      <vt:lpstr>403750</vt:lpstr>
      <vt:lpstr>404357</vt:lpstr>
      <vt:lpstr>405801</vt:lpstr>
      <vt:lpstr>405803</vt:lpstr>
      <vt:lpstr>406110</vt:lpstr>
      <vt:lpstr>405810</vt:lpstr>
      <vt:lpstr>405812</vt:lpstr>
      <vt:lpstr>406113</vt:lpstr>
      <vt:lpstr>405817</vt:lpstr>
      <vt:lpstr>405819</vt:lpstr>
      <vt:lpstr>403960</vt:lpstr>
      <vt:lpstr>405825</vt:lpstr>
      <vt:lpstr>404048</vt:lpstr>
      <vt:lpstr>405830</vt:lpstr>
      <vt:lpstr>405832</vt:lpstr>
      <vt:lpstr>406115</vt:lpstr>
      <vt:lpstr>405839</vt:lpstr>
      <vt:lpstr>405841</vt:lpstr>
      <vt:lpstr>404380</vt:lpstr>
      <vt:lpstr>405846</vt:lpstr>
      <vt:lpstr>405848</vt:lpstr>
      <vt:lpstr>406117</vt:lpstr>
      <vt:lpstr>406452</vt:lpstr>
      <vt:lpstr>403963</vt:lpstr>
      <vt:lpstr>406248</vt:lpstr>
      <vt:lpstr>406459</vt:lpstr>
      <vt:lpstr>403965</vt:lpstr>
      <vt:lpstr>406245</vt:lpstr>
      <vt:lpstr>406467</vt:lpstr>
      <vt:lpstr>403967</vt:lpstr>
      <vt:lpstr>402434</vt:lpstr>
      <vt:lpstr>402653</vt:lpstr>
      <vt:lpstr>403972</vt:lpstr>
      <vt:lpstr>403974</vt:lpstr>
      <vt:lpstr>406093</vt:lpstr>
      <vt:lpstr>402658</vt:lpstr>
      <vt:lpstr>403976</vt:lpstr>
      <vt:lpstr>403909</vt:lpstr>
      <vt:lpstr>402659</vt:lpstr>
      <vt:lpstr>402661</vt:lpstr>
      <vt:lpstr>406119</vt:lpstr>
      <vt:lpstr>402663</vt:lpstr>
      <vt:lpstr>402442</vt:lpstr>
      <vt:lpstr>402441</vt:lpstr>
      <vt:lpstr>402665</vt:lpstr>
      <vt:lpstr>403912</vt:lpstr>
      <vt:lpstr>406120</vt:lpstr>
      <vt:lpstr>406098</vt:lpstr>
      <vt:lpstr>402674</vt:lpstr>
      <vt:lpstr>406123</vt:lpstr>
      <vt:lpstr>403914</vt:lpstr>
      <vt:lpstr>402687</vt:lpstr>
      <vt:lpstr>402688</vt:lpstr>
      <vt:lpstr>406126</vt:lpstr>
      <vt:lpstr>403916</vt:lpstr>
      <vt:lpstr>402696</vt:lpstr>
      <vt:lpstr>403978</vt:lpstr>
      <vt:lpstr>403919</vt:lpstr>
      <vt:lpstr>402699</vt:lpstr>
      <vt:lpstr>403981</vt:lpstr>
      <vt:lpstr>403921</vt:lpstr>
      <vt:lpstr>402704</vt:lpstr>
      <vt:lpstr>402705</vt:lpstr>
      <vt:lpstr>403924</vt:lpstr>
      <vt:lpstr>403983</vt:lpstr>
      <vt:lpstr>402713</vt:lpstr>
      <vt:lpstr>403985</vt:lpstr>
      <vt:lpstr>403927</vt:lpstr>
      <vt:lpstr>402715</vt:lpstr>
      <vt:lpstr>403987</vt:lpstr>
      <vt:lpstr>403930</vt:lpstr>
      <vt:lpstr>402722</vt:lpstr>
      <vt:lpstr>403989</vt:lpstr>
      <vt:lpstr>403931</vt:lpstr>
      <vt:lpstr>402731</vt:lpstr>
      <vt:lpstr>402106</vt:lpstr>
      <vt:lpstr>403991</vt:lpstr>
      <vt:lpstr>402736</vt:lpstr>
      <vt:lpstr>406130</vt:lpstr>
      <vt:lpstr>403933</vt:lpstr>
      <vt:lpstr>402745</vt:lpstr>
      <vt:lpstr>406132</vt:lpstr>
      <vt:lpstr>402111</vt:lpstr>
      <vt:lpstr>402746</vt:lpstr>
      <vt:lpstr>402748</vt:lpstr>
      <vt:lpstr>406134</vt:lpstr>
      <vt:lpstr>406136</vt:lpstr>
      <vt:lpstr>403937</vt:lpstr>
      <vt:lpstr>406473</vt:lpstr>
      <vt:lpstr>403993</vt:lpstr>
      <vt:lpstr>402110</vt:lpstr>
      <vt:lpstr>402752</vt:lpstr>
      <vt:lpstr>406139</vt:lpstr>
      <vt:lpstr>403940</vt:lpstr>
      <vt:lpstr>402758</vt:lpstr>
      <vt:lpstr>'058_Sicepat_Batam 01-31'!Print_Titles</vt:lpstr>
      <vt:lpstr>'402106'!Print_Titles</vt:lpstr>
      <vt:lpstr>'402110'!Print_Titles</vt:lpstr>
      <vt:lpstr>'402111'!Print_Titles</vt:lpstr>
      <vt:lpstr>'402434'!Print_Titles</vt:lpstr>
      <vt:lpstr>'402441'!Print_Titles</vt:lpstr>
      <vt:lpstr>'402442'!Print_Titles</vt:lpstr>
      <vt:lpstr>'402653'!Print_Titles</vt:lpstr>
      <vt:lpstr>'402658'!Print_Titles</vt:lpstr>
      <vt:lpstr>'402659'!Print_Titles</vt:lpstr>
      <vt:lpstr>'402661'!Print_Titles</vt:lpstr>
      <vt:lpstr>'402663'!Print_Titles</vt:lpstr>
      <vt:lpstr>'402665'!Print_Titles</vt:lpstr>
      <vt:lpstr>'402674'!Print_Titles</vt:lpstr>
      <vt:lpstr>'402687'!Print_Titles</vt:lpstr>
      <vt:lpstr>'402688'!Print_Titles</vt:lpstr>
      <vt:lpstr>'402696'!Print_Titles</vt:lpstr>
      <vt:lpstr>'402699'!Print_Titles</vt:lpstr>
      <vt:lpstr>'402704'!Print_Titles</vt:lpstr>
      <vt:lpstr>'402705'!Print_Titles</vt:lpstr>
      <vt:lpstr>'402713'!Print_Titles</vt:lpstr>
      <vt:lpstr>'402715'!Print_Titles</vt:lpstr>
      <vt:lpstr>'402722'!Print_Titles</vt:lpstr>
      <vt:lpstr>'402731'!Print_Titles</vt:lpstr>
      <vt:lpstr>'402736'!Print_Titles</vt:lpstr>
      <vt:lpstr>'402745'!Print_Titles</vt:lpstr>
      <vt:lpstr>'402746'!Print_Titles</vt:lpstr>
      <vt:lpstr>'402748'!Print_Titles</vt:lpstr>
      <vt:lpstr>'402752'!Print_Titles</vt:lpstr>
      <vt:lpstr>'402758'!Print_Titles</vt:lpstr>
      <vt:lpstr>'403743'!Print_Titles</vt:lpstr>
      <vt:lpstr>'403747'!Print_Titles</vt:lpstr>
      <vt:lpstr>'403750'!Print_Titles</vt:lpstr>
      <vt:lpstr>'403909'!Print_Titles</vt:lpstr>
      <vt:lpstr>'403912'!Print_Titles</vt:lpstr>
      <vt:lpstr>'403914'!Print_Titles</vt:lpstr>
      <vt:lpstr>'403916'!Print_Titles</vt:lpstr>
      <vt:lpstr>'403919'!Print_Titles</vt:lpstr>
      <vt:lpstr>'403921'!Print_Titles</vt:lpstr>
      <vt:lpstr>'403924'!Print_Titles</vt:lpstr>
      <vt:lpstr>'403927'!Print_Titles</vt:lpstr>
      <vt:lpstr>'403930'!Print_Titles</vt:lpstr>
      <vt:lpstr>'403931'!Print_Titles</vt:lpstr>
      <vt:lpstr>'403933'!Print_Titles</vt:lpstr>
      <vt:lpstr>'403937'!Print_Titles</vt:lpstr>
      <vt:lpstr>'403940'!Print_Titles</vt:lpstr>
      <vt:lpstr>'403955'!Print_Titles</vt:lpstr>
      <vt:lpstr>'403958'!Print_Titles</vt:lpstr>
      <vt:lpstr>'403960'!Print_Titles</vt:lpstr>
      <vt:lpstr>'403963'!Print_Titles</vt:lpstr>
      <vt:lpstr>'403965'!Print_Titles</vt:lpstr>
      <vt:lpstr>'403967'!Print_Titles</vt:lpstr>
      <vt:lpstr>'403972'!Print_Titles</vt:lpstr>
      <vt:lpstr>'403974'!Print_Titles</vt:lpstr>
      <vt:lpstr>'403976'!Print_Titles</vt:lpstr>
      <vt:lpstr>'403978'!Print_Titles</vt:lpstr>
      <vt:lpstr>'403981'!Print_Titles</vt:lpstr>
      <vt:lpstr>'403983'!Print_Titles</vt:lpstr>
      <vt:lpstr>'403985'!Print_Titles</vt:lpstr>
      <vt:lpstr>'403987'!Print_Titles</vt:lpstr>
      <vt:lpstr>'403989'!Print_Titles</vt:lpstr>
      <vt:lpstr>'403991'!Print_Titles</vt:lpstr>
      <vt:lpstr>'403993'!Print_Titles</vt:lpstr>
      <vt:lpstr>'404048'!Print_Titles</vt:lpstr>
      <vt:lpstr>'404357'!Print_Titles</vt:lpstr>
      <vt:lpstr>'404380'!Print_Titles</vt:lpstr>
      <vt:lpstr>'405801'!Print_Titles</vt:lpstr>
      <vt:lpstr>'405803'!Print_Titles</vt:lpstr>
      <vt:lpstr>'405810'!Print_Titles</vt:lpstr>
      <vt:lpstr>'405812'!Print_Titles</vt:lpstr>
      <vt:lpstr>'405817'!Print_Titles</vt:lpstr>
      <vt:lpstr>'405819'!Print_Titles</vt:lpstr>
      <vt:lpstr>'405825'!Print_Titles</vt:lpstr>
      <vt:lpstr>'405830'!Print_Titles</vt:lpstr>
      <vt:lpstr>'405832'!Print_Titles</vt:lpstr>
      <vt:lpstr>'405839'!Print_Titles</vt:lpstr>
      <vt:lpstr>'405841'!Print_Titles</vt:lpstr>
      <vt:lpstr>'405846'!Print_Titles</vt:lpstr>
      <vt:lpstr>'405848'!Print_Titles</vt:lpstr>
      <vt:lpstr>'406093'!Print_Titles</vt:lpstr>
      <vt:lpstr>'406098'!Print_Titles</vt:lpstr>
      <vt:lpstr>'406110'!Print_Titles</vt:lpstr>
      <vt:lpstr>'406113'!Print_Titles</vt:lpstr>
      <vt:lpstr>'406115'!Print_Titles</vt:lpstr>
      <vt:lpstr>'406117'!Print_Titles</vt:lpstr>
      <vt:lpstr>'406119'!Print_Titles</vt:lpstr>
      <vt:lpstr>'406120'!Print_Titles</vt:lpstr>
      <vt:lpstr>'406123'!Print_Titles</vt:lpstr>
      <vt:lpstr>'406126'!Print_Titles</vt:lpstr>
      <vt:lpstr>'406130'!Print_Titles</vt:lpstr>
      <vt:lpstr>'406132'!Print_Titles</vt:lpstr>
      <vt:lpstr>'406134'!Print_Titles</vt:lpstr>
      <vt:lpstr>'406136'!Print_Titles</vt:lpstr>
      <vt:lpstr>'406139'!Print_Titles</vt:lpstr>
      <vt:lpstr>'406245'!Print_Titles</vt:lpstr>
      <vt:lpstr>'406248'!Print_Titles</vt:lpstr>
      <vt:lpstr>'406452'!Print_Titles</vt:lpstr>
      <vt:lpstr>'406459'!Print_Titles</vt:lpstr>
      <vt:lpstr>'406467'!Print_Titles</vt:lpstr>
      <vt:lpstr>'406473'!Print_Titles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2022-01-20T04:47:54Z</cp:lastPrinted>
  <dcterms:created xsi:type="dcterms:W3CDTF">2021-07-02T11:08:00Z</dcterms:created>
  <dcterms:modified xsi:type="dcterms:W3CDTF">2022-01-20T06:36:46Z</dcterms:modified>
</cp:coreProperties>
</file>