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1\Sicepat\"/>
    </mc:Choice>
  </mc:AlternateContent>
  <bookViews>
    <workbookView xWindow="0" yWindow="0" windowWidth="20490" windowHeight="7320" tabRatio="842"/>
  </bookViews>
  <sheets>
    <sheet name="060_Sicepat_TNJ" sheetId="2" r:id="rId1"/>
    <sheet name="403745" sheetId="26" r:id="rId2"/>
    <sheet name="405152" sheetId="57" r:id="rId3"/>
    <sheet name="405814" sheetId="58" r:id="rId4"/>
    <sheet name="405824" sheetId="59" r:id="rId5"/>
    <sheet name="406451" sheetId="60" r:id="rId6"/>
    <sheet name="406462" sheetId="61" r:id="rId7"/>
    <sheet name="406469" sheetId="62" r:id="rId8"/>
    <sheet name="402673" sheetId="63" r:id="rId9"/>
    <sheet name="402680" sheetId="64" r:id="rId10"/>
    <sheet name="402697" sheetId="65" r:id="rId11"/>
    <sheet name="402708" sheetId="66" r:id="rId12"/>
    <sheet name="402716" sheetId="67" r:id="rId13"/>
    <sheet name="402761" sheetId="68" r:id="rId14"/>
  </sheets>
  <definedNames>
    <definedName name="_xlnm.Print_Titles" localSheetId="0">'060_Sicepat_TNJ'!$2:$17</definedName>
    <definedName name="_xlnm.Print_Titles" localSheetId="8">'402673'!$2:$2</definedName>
    <definedName name="_xlnm.Print_Titles" localSheetId="9">'402680'!$2:$2</definedName>
    <definedName name="_xlnm.Print_Titles" localSheetId="10">'402697'!$2:$2</definedName>
    <definedName name="_xlnm.Print_Titles" localSheetId="11">'402708'!$2:$2</definedName>
    <definedName name="_xlnm.Print_Titles" localSheetId="12">'402716'!$2:$2</definedName>
    <definedName name="_xlnm.Print_Titles" localSheetId="13">'402761'!$2:$2</definedName>
    <definedName name="_xlnm.Print_Titles" localSheetId="1">'403745'!$2:$2</definedName>
    <definedName name="_xlnm.Print_Titles" localSheetId="2">'405152'!$2:$2</definedName>
    <definedName name="_xlnm.Print_Titles" localSheetId="3">'405814'!$2:$2</definedName>
    <definedName name="_xlnm.Print_Titles" localSheetId="4">'405824'!$2:$2</definedName>
    <definedName name="_xlnm.Print_Titles" localSheetId="5">'406451'!$2:$2</definedName>
    <definedName name="_xlnm.Print_Titles" localSheetId="6">'406462'!$2:$2</definedName>
    <definedName name="_xlnm.Print_Titles" localSheetId="7">'406469'!$2:$2</definedName>
  </definedNames>
  <calcPr calcId="162913"/>
</workbook>
</file>

<file path=xl/calcChain.xml><?xml version="1.0" encoding="utf-8"?>
<calcChain xmlns="http://schemas.openxmlformats.org/spreadsheetml/2006/main">
  <c r="O5" i="68" l="1"/>
  <c r="N5" i="68"/>
  <c r="O16" i="67"/>
  <c r="N16" i="67"/>
  <c r="O5" i="66"/>
  <c r="N5" i="66"/>
  <c r="O27" i="65"/>
  <c r="N27" i="65"/>
  <c r="O5" i="64"/>
  <c r="N5" i="64"/>
  <c r="O6" i="63"/>
  <c r="N6" i="63"/>
  <c r="O5" i="60"/>
  <c r="N5" i="60"/>
  <c r="O18" i="59"/>
  <c r="N18" i="59"/>
  <c r="O6" i="58"/>
  <c r="N6" i="58"/>
  <c r="C26" i="2" l="1"/>
  <c r="P5" i="26" l="1"/>
  <c r="P5" i="57"/>
  <c r="P7" i="58"/>
  <c r="P19" i="59"/>
  <c r="P6" i="60"/>
  <c r="P6" i="61"/>
  <c r="P5" i="62"/>
  <c r="P7" i="63"/>
  <c r="P6" i="64"/>
  <c r="P28" i="65"/>
  <c r="P6" i="66"/>
  <c r="P17" i="67"/>
  <c r="P6" i="68"/>
  <c r="B30" i="2" l="1"/>
  <c r="B29" i="2"/>
  <c r="B28" i="2"/>
  <c r="B27" i="2"/>
  <c r="B26" i="2"/>
  <c r="B25" i="2"/>
  <c r="B24" i="2"/>
  <c r="B23" i="2"/>
  <c r="B22" i="2"/>
  <c r="B21" i="2"/>
  <c r="B20" i="2"/>
  <c r="B19" i="2"/>
  <c r="B18" i="2"/>
  <c r="C30" i="2" l="1"/>
  <c r="C29" i="2"/>
  <c r="C28" i="2"/>
  <c r="C27" i="2"/>
  <c r="C25" i="2"/>
  <c r="C24" i="2"/>
  <c r="C23" i="2"/>
  <c r="C22" i="2"/>
  <c r="C21" i="2"/>
  <c r="C20" i="2"/>
  <c r="C19" i="2"/>
  <c r="C18" i="2"/>
  <c r="M5" i="68"/>
  <c r="P4" i="68"/>
  <c r="P3" i="68"/>
  <c r="G29" i="2"/>
  <c r="M16" i="67"/>
  <c r="P15" i="67"/>
  <c r="P14" i="67"/>
  <c r="P13" i="67"/>
  <c r="P12" i="67"/>
  <c r="P11" i="67"/>
  <c r="P10" i="67"/>
  <c r="P9" i="67"/>
  <c r="P8" i="67"/>
  <c r="P7" i="67"/>
  <c r="P6" i="67"/>
  <c r="P5" i="67"/>
  <c r="P4" i="67"/>
  <c r="P3" i="67"/>
  <c r="M5" i="66"/>
  <c r="P4" i="66"/>
  <c r="P3" i="66"/>
  <c r="G27" i="2"/>
  <c r="M27" i="65"/>
  <c r="P26" i="65"/>
  <c r="P25" i="65"/>
  <c r="P24" i="65"/>
  <c r="P23" i="65"/>
  <c r="P22" i="65"/>
  <c r="P21" i="65"/>
  <c r="P20" i="65"/>
  <c r="P19" i="65"/>
  <c r="P18" i="65"/>
  <c r="P17" i="65"/>
  <c r="P16" i="65"/>
  <c r="P15" i="65"/>
  <c r="P14" i="65"/>
  <c r="P13" i="65"/>
  <c r="P12" i="65"/>
  <c r="P11" i="65"/>
  <c r="P10" i="65"/>
  <c r="P9" i="65"/>
  <c r="P8" i="65"/>
  <c r="P7" i="65"/>
  <c r="P6" i="65"/>
  <c r="P5" i="65"/>
  <c r="P4" i="65"/>
  <c r="P3" i="65"/>
  <c r="M5" i="64"/>
  <c r="P4" i="64"/>
  <c r="P3" i="64"/>
  <c r="P7" i="64" s="1"/>
  <c r="M6" i="63"/>
  <c r="P5" i="63"/>
  <c r="P4" i="63"/>
  <c r="P3" i="63"/>
  <c r="N4" i="62"/>
  <c r="M4" i="62"/>
  <c r="P3" i="62"/>
  <c r="O4" i="62" s="1"/>
  <c r="P6" i="62" s="1"/>
  <c r="N5" i="61"/>
  <c r="M5" i="61"/>
  <c r="P4" i="61"/>
  <c r="P3" i="61"/>
  <c r="M5" i="60"/>
  <c r="P4" i="60"/>
  <c r="P3" i="60"/>
  <c r="P7" i="60" s="1"/>
  <c r="G21" i="2"/>
  <c r="M18" i="59"/>
  <c r="P17" i="59"/>
  <c r="P16" i="59"/>
  <c r="P15" i="59"/>
  <c r="P14" i="59"/>
  <c r="P13" i="59"/>
  <c r="P12" i="59"/>
  <c r="P11" i="59"/>
  <c r="P10" i="59"/>
  <c r="P9" i="59"/>
  <c r="P8" i="59"/>
  <c r="P7" i="59"/>
  <c r="P6" i="59"/>
  <c r="P5" i="59"/>
  <c r="P4" i="59"/>
  <c r="P3" i="59"/>
  <c r="M6" i="58"/>
  <c r="P5" i="58"/>
  <c r="P4" i="58"/>
  <c r="P3" i="58"/>
  <c r="N4" i="57"/>
  <c r="M4" i="57"/>
  <c r="P3" i="57"/>
  <c r="P7" i="68" l="1"/>
  <c r="P9" i="68" s="1"/>
  <c r="P18" i="67"/>
  <c r="P20" i="67" s="1"/>
  <c r="P7" i="66"/>
  <c r="P9" i="66" s="1"/>
  <c r="P29" i="65"/>
  <c r="P30" i="65" s="1"/>
  <c r="P8" i="63"/>
  <c r="P9" i="63" s="1"/>
  <c r="O5" i="61"/>
  <c r="P7" i="61" s="1"/>
  <c r="P9" i="61" s="1"/>
  <c r="P20" i="59"/>
  <c r="P22" i="59" s="1"/>
  <c r="P8" i="58"/>
  <c r="P10" i="58" s="1"/>
  <c r="O4" i="57"/>
  <c r="P6" i="57" s="1"/>
  <c r="P7" i="57" s="1"/>
  <c r="P8" i="68"/>
  <c r="P9" i="64"/>
  <c r="P8" i="64"/>
  <c r="P8" i="62"/>
  <c r="P7" i="62"/>
  <c r="P8" i="61"/>
  <c r="P9" i="60"/>
  <c r="P8" i="60"/>
  <c r="P9" i="58" l="1"/>
  <c r="P11" i="58" s="1"/>
  <c r="P10" i="68"/>
  <c r="P19" i="67"/>
  <c r="P21" i="67" s="1"/>
  <c r="P8" i="66"/>
  <c r="P10" i="66" s="1"/>
  <c r="P31" i="65"/>
  <c r="P32" i="65" s="1"/>
  <c r="P10" i="64"/>
  <c r="P10" i="63"/>
  <c r="P11" i="63" s="1"/>
  <c r="P9" i="62"/>
  <c r="P10" i="61"/>
  <c r="P10" i="60"/>
  <c r="P21" i="59"/>
  <c r="P23" i="59" s="1"/>
  <c r="P8" i="57"/>
  <c r="P9" i="57" s="1"/>
  <c r="I36" i="2"/>
  <c r="I35" i="2"/>
  <c r="I37" i="2" s="1"/>
  <c r="J29" i="2" l="1"/>
  <c r="J30" i="2"/>
  <c r="N4" i="26"/>
  <c r="M4" i="26"/>
  <c r="P3" i="26"/>
  <c r="O4" i="26" l="1"/>
  <c r="P6" i="26" s="1"/>
  <c r="J28" i="2"/>
  <c r="J27" i="2"/>
  <c r="J26" i="2"/>
  <c r="J25" i="2"/>
  <c r="P7" i="26" l="1"/>
  <c r="P8" i="26"/>
  <c r="J24" i="2"/>
  <c r="P9" i="26" l="1"/>
  <c r="L31" i="2" s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J23" i="2"/>
  <c r="J21" i="2"/>
  <c r="J22" i="2"/>
  <c r="J20" i="2"/>
  <c r="J19" i="2"/>
  <c r="I48" i="2" l="1"/>
  <c r="J18" i="2"/>
  <c r="J31" i="2" l="1"/>
  <c r="J33" i="2" l="1"/>
  <c r="J34" i="2" s="1"/>
  <c r="J35" i="2" l="1"/>
  <c r="J36" i="2"/>
  <c r="J37" i="2"/>
</calcChain>
</file>

<file path=xl/sharedStrings.xml><?xml version="1.0" encoding="utf-8"?>
<sst xmlns="http://schemas.openxmlformats.org/spreadsheetml/2006/main" count="681" uniqueCount="163">
  <si>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</si>
  <si>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</si>
  <si>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</si>
  <si>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</si>
  <si>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</si>
  <si>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</si>
  <si>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</si>
  <si>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</si>
  <si>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</si>
  <si>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</si>
  <si>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</si>
  <si>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</si>
  <si>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</si>
  <si>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</si>
  <si>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</si>
  <si>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</si>
  <si>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</si>
  <si>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</si>
  <si>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</si>
  <si>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</si>
  <si>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</si>
  <si>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</si>
  <si>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</si>
  <si>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</si>
  <si>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</si>
  <si>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</si>
  <si>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</si>
  <si>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</si>
  <si>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</si>
  <si>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</si>
  <si>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</si>
  <si>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</si>
  <si>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</si>
  <si>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</si>
  <si>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</si>
  <si>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</si>
  <si>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</si>
  <si>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</si>
  <si>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</si>
  <si>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</si>
  <si>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</si>
  <si>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</si>
  <si>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</si>
  <si>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</si>
  <si>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</si>
  <si>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</si>
  <si>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</si>
  <si>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</si>
  <si>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</si>
  <si>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</si>
  <si>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</si>
  <si>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</si>
  <si>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</si>
  <si>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</si>
  <si>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</si>
  <si>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</si>
  <si>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DMD/2112/01/ISCG5693</t>
  </si>
  <si>
    <t>GSK211201UFC439</t>
  </si>
  <si>
    <t>KM RORO</t>
  </si>
  <si>
    <t>12/4/2021 MATHEW</t>
  </si>
  <si>
    <t>DMD/2112/03/WQPN7604</t>
  </si>
  <si>
    <t>GSK211202MEJ573</t>
  </si>
  <si>
    <t>12/7/2021 MATHEW</t>
  </si>
  <si>
    <t>DMD/2112/04/YCPO3914</t>
  </si>
  <si>
    <t>GSK211204XOT236</t>
  </si>
  <si>
    <t>GSK211204WIK382</t>
  </si>
  <si>
    <t>GSK211204QUG185</t>
  </si>
  <si>
    <t>DMD/2112/05/WPXY0571</t>
  </si>
  <si>
    <t>GSK211205CMT670</t>
  </si>
  <si>
    <t>GSK211205ARE546</t>
  </si>
  <si>
    <t>GSK211205UOH012</t>
  </si>
  <si>
    <t>GSK211205NGC750</t>
  </si>
  <si>
    <t>GSK211205CPN954</t>
  </si>
  <si>
    <t>GSK211125MLX250</t>
  </si>
  <si>
    <t>GSK211205TZP891</t>
  </si>
  <si>
    <t>GSK211205TOK569</t>
  </si>
  <si>
    <t>GSK211205JCH398</t>
  </si>
  <si>
    <t>GSK211205RLY625</t>
  </si>
  <si>
    <t>GSK211205TLE675</t>
  </si>
  <si>
    <t>GSK211205XPF538</t>
  </si>
  <si>
    <t>GSK211205NEB290</t>
  </si>
  <si>
    <t>GSK211205KNR713</t>
  </si>
  <si>
    <t>GSK211205JOC164</t>
  </si>
  <si>
    <t>12/11/2021 AGUS</t>
  </si>
  <si>
    <t>DMD/2112/09/TBCK1265</t>
  </si>
  <si>
    <t>GSK211209EID096</t>
  </si>
  <si>
    <t>GSK211208CMU062</t>
  </si>
  <si>
    <t>KM SEMBILANG</t>
  </si>
  <si>
    <t>12/15/2021 FIKRI</t>
  </si>
  <si>
    <t>DMD/2112/11/XFTG0369</t>
  </si>
  <si>
    <t>GSK211211OQI108</t>
  </si>
  <si>
    <t>GSK211211XQT630</t>
  </si>
  <si>
    <t>12/17/2021 FIKRI</t>
  </si>
  <si>
    <t>12/19/2021 FIKRI</t>
  </si>
  <si>
    <t>DMD/2112/12/BEZI6319</t>
  </si>
  <si>
    <t>GSK211212VQI048</t>
  </si>
  <si>
    <t>DMD/2112/16/KYPQ7968</t>
  </si>
  <si>
    <t>GSK211216XBJ723</t>
  </si>
  <si>
    <t>DMD/2112/16/CZNL1398</t>
  </si>
  <si>
    <t>GSK211216XSB750</t>
  </si>
  <si>
    <t>GSK211216ZVU573</t>
  </si>
  <si>
    <t>KM SATRIA PRATAMA</t>
  </si>
  <si>
    <t>12/19/2021 DIAN</t>
  </si>
  <si>
    <t>DMD/2112/17/RLCZ8147</t>
  </si>
  <si>
    <t>GSK211217OIM768</t>
  </si>
  <si>
    <t>GSK211217XVR326</t>
  </si>
  <si>
    <t>12/24/2021 FIKRI</t>
  </si>
  <si>
    <t>DMD/2112/19/CWER5709</t>
  </si>
  <si>
    <t>GSK211219TKF406</t>
  </si>
  <si>
    <t>GSK211219BGI342</t>
  </si>
  <si>
    <t>GSK211219CLX138</t>
  </si>
  <si>
    <t>GSK211219MGP743</t>
  </si>
  <si>
    <t>GSK211219OBI760</t>
  </si>
  <si>
    <t>GSK211219XBM706</t>
  </si>
  <si>
    <t>GSK211219QYZ432</t>
  </si>
  <si>
    <t>GSK211219ERC326</t>
  </si>
  <si>
    <t>GSK211219IRW814</t>
  </si>
  <si>
    <t>GSK211219XDN184</t>
  </si>
  <si>
    <t>GSK211219KLI972</t>
  </si>
  <si>
    <t>GSK211219YXC982</t>
  </si>
  <si>
    <t>GSK211219MHU675</t>
  </si>
  <si>
    <t>GSK211219DPA416</t>
  </si>
  <si>
    <t>GSK211219NZJ946</t>
  </si>
  <si>
    <t>GSK211219AKZ017</t>
  </si>
  <si>
    <t>GSK211219OTU419</t>
  </si>
  <si>
    <t>GSK211219TKQ390</t>
  </si>
  <si>
    <t>GSK211219OBM708</t>
  </si>
  <si>
    <t>GSK211219DPK430</t>
  </si>
  <si>
    <t>GSK211219FQG267</t>
  </si>
  <si>
    <t>GSK211219NIT980</t>
  </si>
  <si>
    <t>GSK211219RLE418</t>
  </si>
  <si>
    <t>GSK211219RYM651</t>
  </si>
  <si>
    <t>DMD/2112/21/UCJV6573</t>
  </si>
  <si>
    <t>GSK211220ZJL689</t>
  </si>
  <si>
    <t>GSK211221ADK908</t>
  </si>
  <si>
    <t>12/28/2021 FIKRI</t>
  </si>
  <si>
    <t>DMD/2112/23/XGMR5378</t>
  </si>
  <si>
    <t>GSK211223NBJ149</t>
  </si>
  <si>
    <t>GSK211223VAJ671</t>
  </si>
  <si>
    <t>DMD/2112/23/QXKL0843</t>
  </si>
  <si>
    <t>GSK211223YBI548</t>
  </si>
  <si>
    <t>GSK211223UHV498</t>
  </si>
  <si>
    <t>GSK211223IHL640</t>
  </si>
  <si>
    <t>GSK211223QPI821</t>
  </si>
  <si>
    <t>GSK211223TNI078</t>
  </si>
  <si>
    <t>GSK211223OCN694</t>
  </si>
  <si>
    <t>GSK211223LIF683</t>
  </si>
  <si>
    <t>GSK211223XTK846</t>
  </si>
  <si>
    <t>GSK211223YDK679</t>
  </si>
  <si>
    <t>GSK211223DLS839</t>
  </si>
  <si>
    <t>GSK211223SYH372</t>
  </si>
  <si>
    <t xml:space="preserve">  DMD/2112/31/ZYDK6312</t>
  </si>
  <si>
    <t>GSK211231MVE962</t>
  </si>
  <si>
    <t>GSK211231VEN379</t>
  </si>
  <si>
    <t>1/07/2022 AGUS</t>
  </si>
  <si>
    <t xml:space="preserve"> 060/PCI/PI/I/22</t>
  </si>
  <si>
    <t xml:space="preserve"> 12 Januari 2022</t>
  </si>
  <si>
    <t>TANJUNG PINANG</t>
  </si>
  <si>
    <t>01-31 Dese 2021</t>
  </si>
  <si>
    <t>PENGIRIMAN BARANG TUJUAN TANJUNG PINANG</t>
  </si>
  <si>
    <t>DMP TNJ    (TJ. PINANG)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</si>
  <si>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Belas Juta Lima Ratus Tiga Puluh Dua Ribu Delapan Ratus Tujuh Puluh Tujuh Rupiah.</t>
    </r>
  </si>
  <si>
    <t>DMP TNJ  (TJ. PINANG)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</si>
</sst>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22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352425</xdr:colOff>
      <xdr:row>47</xdr:row>
      <xdr:rowOff>172754</xdr:rowOff>
    </xdr:from>
    <xdr:to>
      <xdr:col>10</xdr:col>
      <xdr:colOff>333375</xdr:colOff>
      <xdr:row>54</xdr:row>
      <xdr:rowOff>19049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5" y="15365129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3" totalsRowShown="0" headerRowDxfId="221" dataDxfId="219" headerRowBorderDxfId="220">
  <tableColumns count="12">
    <tableColumn id="1" name="NOMOR" dataDxfId="218" dataCellStyle="Normal"/>
    <tableColumn id="3" name="TUJUAN" dataDxfId="217" dataCellStyle="Normal"/>
    <tableColumn id="16" name="Pick Up" dataDxfId="216"/>
    <tableColumn id="14" name="KAPAL" dataDxfId="215"/>
    <tableColumn id="15" name="ETD Kapal" dataDxfId="214"/>
    <tableColumn id="10" name="KETERANGAN" dataDxfId="213" dataCellStyle="Normal"/>
    <tableColumn id="5" name="P" dataDxfId="212" dataCellStyle="Normal"/>
    <tableColumn id="6" name="L" dataDxfId="211" dataCellStyle="Normal"/>
    <tableColumn id="7" name="T" dataDxfId="210" dataCellStyle="Normal"/>
    <tableColumn id="4" name="ACT KG" dataDxfId="209" dataCellStyle="Normal"/>
    <tableColumn id="8" name="KG VOLUME" dataDxfId="208" dataCellStyle="Normal"/>
    <tableColumn id="19" name="PEMBULATAN" dataDxfId="207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0" name="Table22457891011234567891011" displayName="Table22457891011234567891011" ref="C2:N26" totalsRowShown="0" headerRowDxfId="66" dataDxfId="64" headerRowBorderDxfId="65">
  <tableColumns count="12">
    <tableColumn id="1" name="NOMOR" dataDxfId="63" dataCellStyle="Normal"/>
    <tableColumn id="3" name="TUJUAN" dataDxfId="62" dataCellStyle="Normal"/>
    <tableColumn id="16" name="Pick Up" dataDxfId="61"/>
    <tableColumn id="14" name="KAPAL" dataDxfId="60"/>
    <tableColumn id="15" name="ETD Kapal" dataDxfId="59"/>
    <tableColumn id="10" name="KETERANGAN" dataDxfId="58" dataCellStyle="Normal"/>
    <tableColumn id="5" name="P" dataDxfId="57" dataCellStyle="Normal"/>
    <tableColumn id="6" name="L" dataDxfId="56" dataCellStyle="Normal"/>
    <tableColumn id="7" name="T" dataDxfId="55" dataCellStyle="Normal"/>
    <tableColumn id="4" name="ACT KG" dataDxfId="54" dataCellStyle="Normal"/>
    <tableColumn id="8" name="KG VOLUME" dataDxfId="53" dataCellStyle="Normal"/>
    <tableColumn id="19" name="PEMBULATAN" dataDxfId="52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1" name="Table2245789101123456789101112" displayName="Table2245789101123456789101112" ref="C2:N4" totalsRowShown="0" headerRowDxfId="49" dataDxfId="47" headerRowBorderDxfId="48">
  <tableColumns count="12">
    <tableColumn id="1" name="NOMOR" dataDxfId="46" dataCellStyle="Normal"/>
    <tableColumn id="3" name="TUJUAN" dataDxfId="45" dataCellStyle="Normal"/>
    <tableColumn id="16" name="Pick Up" dataDxfId="44"/>
    <tableColumn id="14" name="KAPAL" dataDxfId="43"/>
    <tableColumn id="15" name="ETD Kapal" dataDxfId="42"/>
    <tableColumn id="10" name="KETERANGAN" dataDxfId="41" dataCellStyle="Normal"/>
    <tableColumn id="5" name="P" dataDxfId="40" dataCellStyle="Normal"/>
    <tableColumn id="6" name="L" dataDxfId="39" dataCellStyle="Normal"/>
    <tableColumn id="7" name="T" dataDxfId="38" dataCellStyle="Normal"/>
    <tableColumn id="4" name="ACT KG" dataDxfId="37" dataCellStyle="Normal"/>
    <tableColumn id="8" name="KG VOLUME" dataDxfId="36" dataCellStyle="Normal"/>
    <tableColumn id="19" name="PEMBULATAN" dataDxfId="35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2" name="Table224578910112345678910111213" displayName="Table224578910112345678910111213" ref="C2:N15" totalsRowShown="0" headerRowDxfId="31" dataDxfId="29" headerRowBorderDxfId="30">
  <tableColumns count="12">
    <tableColumn id="1" name="NOMOR" dataDxfId="28" dataCellStyle="Normal"/>
    <tableColumn id="3" name="TUJUAN" dataDxfId="27" dataCellStyle="Normal"/>
    <tableColumn id="16" name="Pick Up" dataDxfId="26"/>
    <tableColumn id="14" name="KAPAL" dataDxfId="25"/>
    <tableColumn id="15" name="ETD Kapal" dataDxfId="24"/>
    <tableColumn id="10" name="KETERANGAN" dataDxfId="23" dataCellStyle="Normal"/>
    <tableColumn id="5" name="P" dataDxfId="22" dataCellStyle="Normal"/>
    <tableColumn id="6" name="L" dataDxfId="21" dataCellStyle="Normal"/>
    <tableColumn id="7" name="T" dataDxfId="20" dataCellStyle="Normal"/>
    <tableColumn id="4" name="ACT KG" dataDxfId="19" dataCellStyle="Normal"/>
    <tableColumn id="8" name="KG VOLUME" dataDxfId="18" dataCellStyle="Normal"/>
    <tableColumn id="19" name="PEMBULATAN" dataDxfId="17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3" name="Table22457891011234567891011121314" displayName="Table22457891011234567891011121314" ref="C2:N4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245789101123" displayName="Table2245789101123" ref="C2:N3" totalsRowShown="0" headerRowDxfId="205" dataDxfId="203" headerRowBorderDxfId="204">
  <tableColumns count="12">
    <tableColumn id="1" name="NOMOR" dataDxfId="202" dataCellStyle="Normal"/>
    <tableColumn id="3" name="TUJUAN" dataDxfId="201" dataCellStyle="Normal"/>
    <tableColumn id="16" name="Pick Up" dataDxfId="200"/>
    <tableColumn id="14" name="KAPAL" dataDxfId="199"/>
    <tableColumn id="15" name="ETD Kapal" dataDxfId="198"/>
    <tableColumn id="10" name="KETERANGAN" dataDxfId="197" dataCellStyle="Normal"/>
    <tableColumn id="5" name="P" dataDxfId="196" dataCellStyle="Normal"/>
    <tableColumn id="6" name="L" dataDxfId="195" dataCellStyle="Normal"/>
    <tableColumn id="7" name="T" dataDxfId="194" dataCellStyle="Normal"/>
    <tableColumn id="4" name="ACT KG" dataDxfId="193" dataCellStyle="Normal"/>
    <tableColumn id="8" name="KG VOLUME" dataDxfId="192" dataCellStyle="Normal"/>
    <tableColumn id="19" name="PEMBULATAN" dataDxfId="191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22457891011234" displayName="Table22457891011234" ref="C2:N5" totalsRowShown="0" headerRowDxfId="187" dataDxfId="185" headerRowBorderDxfId="186">
  <tableColumns count="12">
    <tableColumn id="1" name="NOMOR" dataDxfId="184" dataCellStyle="Normal"/>
    <tableColumn id="3" name="TUJUAN" dataDxfId="183" dataCellStyle="Normal"/>
    <tableColumn id="16" name="Pick Up" dataDxfId="182"/>
    <tableColumn id="14" name="KAPAL" dataDxfId="181"/>
    <tableColumn id="15" name="ETD Kapal" dataDxfId="180"/>
    <tableColumn id="10" name="KETERANGAN" dataDxfId="179" dataCellStyle="Normal"/>
    <tableColumn id="5" name="P" dataDxfId="178" dataCellStyle="Normal"/>
    <tableColumn id="6" name="L" dataDxfId="177" dataCellStyle="Normal"/>
    <tableColumn id="7" name="T" dataDxfId="176" dataCellStyle="Normal"/>
    <tableColumn id="4" name="ACT KG" dataDxfId="175" dataCellStyle="Normal"/>
    <tableColumn id="8" name="KG VOLUME" dataDxfId="174" dataCellStyle="Normal"/>
    <tableColumn id="19" name="PEMBULATAN" dataDxfId="173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224578910112345" displayName="Table224578910112345" ref="C2:N17" totalsRowShown="0" headerRowDxfId="169" dataDxfId="167" headerRowBorderDxfId="168">
  <tableColumns count="12">
    <tableColumn id="1" name="NOMOR" dataDxfId="166" dataCellStyle="Normal"/>
    <tableColumn id="3" name="TUJUAN" dataDxfId="165" dataCellStyle="Normal"/>
    <tableColumn id="16" name="Pick Up" dataDxfId="164"/>
    <tableColumn id="14" name="KAPAL" dataDxfId="163"/>
    <tableColumn id="15" name="ETD Kapal" dataDxfId="162"/>
    <tableColumn id="10" name="KETERANGAN" dataDxfId="161" dataCellStyle="Normal"/>
    <tableColumn id="5" name="P" dataDxfId="160" dataCellStyle="Normal"/>
    <tableColumn id="6" name="L" dataDxfId="159" dataCellStyle="Normal"/>
    <tableColumn id="7" name="T" dataDxfId="158" dataCellStyle="Normal"/>
    <tableColumn id="4" name="ACT KG" dataDxfId="157" dataCellStyle="Normal"/>
    <tableColumn id="8" name="KG VOLUME" dataDxfId="156" dataCellStyle="Normal"/>
    <tableColumn id="19" name="PEMBULATAN" dataDxfId="155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2245789101123456" displayName="Table2245789101123456" ref="C2:N4" totalsRowShown="0" headerRowDxfId="152" dataDxfId="150" headerRowBorderDxfId="151">
  <tableColumns count="12">
    <tableColumn id="1" name="NOMOR" dataDxfId="149" dataCellStyle="Normal"/>
    <tableColumn id="3" name="TUJUAN" dataDxfId="148" dataCellStyle="Normal"/>
    <tableColumn id="16" name="Pick Up" dataDxfId="147"/>
    <tableColumn id="14" name="KAPAL" dataDxfId="146"/>
    <tableColumn id="15" name="ETD Kapal" dataDxfId="145"/>
    <tableColumn id="10" name="KETERANGAN" dataDxfId="144" dataCellStyle="Normal"/>
    <tableColumn id="5" name="P" dataDxfId="143" dataCellStyle="Normal"/>
    <tableColumn id="6" name="L" dataDxfId="142" dataCellStyle="Normal"/>
    <tableColumn id="7" name="T" dataDxfId="141" dataCellStyle="Normal"/>
    <tableColumn id="4" name="ACT KG" dataDxfId="140" dataCellStyle="Normal"/>
    <tableColumn id="8" name="KG VOLUME" dataDxfId="139" dataCellStyle="Normal"/>
    <tableColumn id="19" name="PEMBULATAN" dataDxfId="138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6" name="Table22457891011234567" displayName="Table22457891011234567" ref="C2:N4" totalsRowShown="0" headerRowDxfId="135" dataDxfId="133" headerRowBorderDxfId="134">
  <tableColumns count="12">
    <tableColumn id="1" name="NOMOR" dataDxfId="132" dataCellStyle="Normal"/>
    <tableColumn id="3" name="TUJUAN" dataDxfId="131" dataCellStyle="Normal"/>
    <tableColumn id="16" name="Pick Up" dataDxfId="130"/>
    <tableColumn id="14" name="KAPAL" dataDxfId="129"/>
    <tableColumn id="15" name="ETD Kapal" dataDxfId="128"/>
    <tableColumn id="10" name="KETERANGAN" dataDxfId="127" dataCellStyle="Normal"/>
    <tableColumn id="5" name="P" dataDxfId="126" dataCellStyle="Normal"/>
    <tableColumn id="6" name="L" dataDxfId="125" dataCellStyle="Normal"/>
    <tableColumn id="7" name="T" dataDxfId="124" dataCellStyle="Normal"/>
    <tableColumn id="4" name="ACT KG" dataDxfId="123" dataCellStyle="Normal"/>
    <tableColumn id="8" name="KG VOLUME" dataDxfId="122" dataCellStyle="Normal"/>
    <tableColumn id="19" name="PEMBULATAN" dataDxfId="121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7" name="Table224578910112345678" displayName="Table224578910112345678" ref="C2:N3" totalsRowShown="0" headerRowDxfId="119" dataDxfId="117" headerRowBorderDxfId="118">
  <tableColumns count="12">
    <tableColumn id="1" name="NOMOR" dataDxfId="116" dataCellStyle="Normal"/>
    <tableColumn id="3" name="TUJUAN" dataDxfId="115" dataCellStyle="Normal"/>
    <tableColumn id="16" name="Pick Up" dataDxfId="114"/>
    <tableColumn id="14" name="KAPAL" dataDxfId="113"/>
    <tableColumn id="15" name="ETD Kapal" dataDxfId="112"/>
    <tableColumn id="10" name="KETERANGAN" dataDxfId="111" dataCellStyle="Normal"/>
    <tableColumn id="5" name="P" dataDxfId="110" dataCellStyle="Normal"/>
    <tableColumn id="6" name="L" dataDxfId="109" dataCellStyle="Normal"/>
    <tableColumn id="7" name="T" dataDxfId="108" dataCellStyle="Normal"/>
    <tableColumn id="4" name="ACT KG" dataDxfId="107" dataCellStyle="Normal"/>
    <tableColumn id="8" name="KG VOLUME" dataDxfId="106" dataCellStyle="Normal"/>
    <tableColumn id="19" name="PEMBULATAN" dataDxfId="105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8" name="Table2245789101123456789" displayName="Table2245789101123456789" ref="C2:N5" totalsRowShown="0" headerRowDxfId="101" dataDxfId="99" headerRowBorderDxfId="100">
  <tableColumns count="12">
    <tableColumn id="1" name="NOMOR" dataDxfId="98" dataCellStyle="Normal"/>
    <tableColumn id="3" name="TUJUAN" dataDxfId="97" dataCellStyle="Normal"/>
    <tableColumn id="16" name="Pick Up" dataDxfId="96"/>
    <tableColumn id="14" name="KAPAL" dataDxfId="95"/>
    <tableColumn id="15" name="ETD Kapal" dataDxfId="94"/>
    <tableColumn id="10" name="KETERANGAN" dataDxfId="93" dataCellStyle="Normal"/>
    <tableColumn id="5" name="P" dataDxfId="92" dataCellStyle="Normal"/>
    <tableColumn id="6" name="L" dataDxfId="91" dataCellStyle="Normal"/>
    <tableColumn id="7" name="T" dataDxfId="90" dataCellStyle="Normal"/>
    <tableColumn id="4" name="ACT KG" dataDxfId="89" dataCellStyle="Normal"/>
    <tableColumn id="8" name="KG VOLUME" dataDxfId="88" dataCellStyle="Normal"/>
    <tableColumn id="19" name="PEMBULATAN" dataDxfId="87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9" name="Table224578910112345678910" displayName="Table224578910112345678910" ref="C2:N4" totalsRowShown="0" headerRowDxfId="84" dataDxfId="82" headerRowBorderDxfId="83">
  <tableColumns count="12">
    <tableColumn id="1" name="NOMOR" dataDxfId="81" dataCellStyle="Normal"/>
    <tableColumn id="3" name="TUJUAN" dataDxfId="80" dataCellStyle="Normal"/>
    <tableColumn id="16" name="Pick Up" dataDxfId="79"/>
    <tableColumn id="14" name="KAPAL" dataDxfId="78"/>
    <tableColumn id="15" name="ETD Kapal" dataDxfId="77"/>
    <tableColumn id="10" name="KETERANGAN" dataDxfId="76" dataCellStyle="Normal"/>
    <tableColumn id="5" name="P" dataDxfId="75" dataCellStyle="Normal"/>
    <tableColumn id="6" name="L" dataDxfId="74" dataCellStyle="Normal"/>
    <tableColumn id="7" name="T" dataDxfId="73" dataCellStyle="Normal"/>
    <tableColumn id="4" name="ACT KG" dataDxfId="72" dataCellStyle="Normal"/>
    <tableColumn id="8" name="KG VOLUME" dataDxfId="71" dataCellStyle="Normal"/>
    <tableColumn id="19" name="PEMBULATAN" dataDxfId="7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55"/>
  <sheetViews>
    <sheetView tabSelected="1" topLeftCell="A19" workbookViewId="0">
      <selection activeCell="K23" sqref="K23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06" t="s">
        <v>14</v>
      </c>
      <c r="B10" s="107"/>
      <c r="C10" s="107"/>
      <c r="D10" s="107"/>
      <c r="E10" s="107"/>
      <c r="F10" s="107"/>
      <c r="G10" s="107"/>
      <c r="H10" s="107"/>
      <c r="I10" s="107"/>
      <c r="J10" s="108"/>
    </row>
    <row r="12" spans="1:10" x14ac:dyDescent="0.25">
      <c r="A12" s="18" t="s">
        <v>15</v>
      </c>
      <c r="B12" s="18" t="s">
        <v>16</v>
      </c>
      <c r="G12" s="103" t="s">
        <v>49</v>
      </c>
      <c r="H12" s="103"/>
      <c r="I12" s="23" t="s">
        <v>17</v>
      </c>
      <c r="J12" s="24" t="s">
        <v>155</v>
      </c>
    </row>
    <row r="13" spans="1:10" x14ac:dyDescent="0.25">
      <c r="G13" s="103" t="s">
        <v>18</v>
      </c>
      <c r="H13" s="103"/>
      <c r="I13" s="23" t="s">
        <v>17</v>
      </c>
      <c r="J13" s="25" t="s">
        <v>156</v>
      </c>
    </row>
    <row r="14" spans="1:10" x14ac:dyDescent="0.25">
      <c r="G14" s="103" t="s">
        <v>50</v>
      </c>
      <c r="H14" s="103"/>
      <c r="I14" s="23" t="s">
        <v>17</v>
      </c>
      <c r="J14" s="18" t="s">
        <v>157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158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09" t="s">
        <v>28</v>
      </c>
      <c r="I17" s="110"/>
      <c r="J17" s="29" t="s">
        <v>29</v>
      </c>
    </row>
    <row r="18" spans="1:12" ht="48" customHeight="1" x14ac:dyDescent="0.25">
      <c r="A18" s="30">
        <v>1</v>
      </c>
      <c r="B18" s="31">
        <f>'403745'!E3</f>
        <v>44531</v>
      </c>
      <c r="C18" s="84">
        <f>'403745'!A3</f>
        <v>403745</v>
      </c>
      <c r="D18" s="32" t="s">
        <v>159</v>
      </c>
      <c r="E18" s="32" t="s">
        <v>160</v>
      </c>
      <c r="F18" s="33">
        <v>1</v>
      </c>
      <c r="G18" s="34">
        <v>100</v>
      </c>
      <c r="H18" s="104">
        <v>7000</v>
      </c>
      <c r="I18" s="105"/>
      <c r="J18" s="35">
        <f>G18*H18</f>
        <v>700000</v>
      </c>
      <c r="L18"/>
    </row>
    <row r="19" spans="1:12" ht="48" customHeight="1" x14ac:dyDescent="0.25">
      <c r="A19" s="30">
        <f>A18+1</f>
        <v>2</v>
      </c>
      <c r="B19" s="31">
        <f>'405152'!E3</f>
        <v>44533</v>
      </c>
      <c r="C19" s="84">
        <f>'405152'!A3</f>
        <v>405152</v>
      </c>
      <c r="D19" s="32" t="s">
        <v>159</v>
      </c>
      <c r="E19" s="32" t="s">
        <v>160</v>
      </c>
      <c r="F19" s="33">
        <v>1</v>
      </c>
      <c r="G19" s="33">
        <v>100</v>
      </c>
      <c r="H19" s="104">
        <v>7000</v>
      </c>
      <c r="I19" s="105"/>
      <c r="J19" s="35">
        <f t="shared" ref="J19:J28" si="0">G19*H19</f>
        <v>700000</v>
      </c>
      <c r="L19"/>
    </row>
    <row r="20" spans="1:12" ht="48" customHeight="1" x14ac:dyDescent="0.25">
      <c r="A20" s="30">
        <f t="shared" ref="A20:A30" si="1">A19+1</f>
        <v>3</v>
      </c>
      <c r="B20" s="31">
        <f>'405814'!E3</f>
        <v>44534</v>
      </c>
      <c r="C20" s="84">
        <f>'405814'!A3</f>
        <v>405814</v>
      </c>
      <c r="D20" s="32" t="s">
        <v>159</v>
      </c>
      <c r="E20" s="32" t="s">
        <v>160</v>
      </c>
      <c r="F20" s="33">
        <v>3</v>
      </c>
      <c r="G20" s="99">
        <v>100</v>
      </c>
      <c r="H20" s="104">
        <v>7000</v>
      </c>
      <c r="I20" s="105"/>
      <c r="J20" s="35">
        <f t="shared" si="0"/>
        <v>700000</v>
      </c>
      <c r="L20"/>
    </row>
    <row r="21" spans="1:12" ht="48" customHeight="1" x14ac:dyDescent="0.25">
      <c r="A21" s="30">
        <f t="shared" si="1"/>
        <v>4</v>
      </c>
      <c r="B21" s="31">
        <f>'405824'!E3</f>
        <v>44535</v>
      </c>
      <c r="C21" s="84">
        <f>'405824'!A3</f>
        <v>405824</v>
      </c>
      <c r="D21" s="32" t="s">
        <v>159</v>
      </c>
      <c r="E21" s="32" t="s">
        <v>160</v>
      </c>
      <c r="F21" s="33">
        <v>15</v>
      </c>
      <c r="G21" s="99">
        <f>'405824'!N18</f>
        <v>139</v>
      </c>
      <c r="H21" s="104">
        <v>7000</v>
      </c>
      <c r="I21" s="105"/>
      <c r="J21" s="35">
        <f>G21*H21</f>
        <v>973000</v>
      </c>
      <c r="L21"/>
    </row>
    <row r="22" spans="1:12" ht="48" customHeight="1" x14ac:dyDescent="0.25">
      <c r="A22" s="30">
        <f t="shared" si="1"/>
        <v>5</v>
      </c>
      <c r="B22" s="31">
        <f>'406451'!E3</f>
        <v>44539</v>
      </c>
      <c r="C22" s="84">
        <f>'406451'!A3</f>
        <v>406451</v>
      </c>
      <c r="D22" s="32" t="s">
        <v>159</v>
      </c>
      <c r="E22" s="32" t="s">
        <v>160</v>
      </c>
      <c r="F22" s="33">
        <v>2</v>
      </c>
      <c r="G22" s="99">
        <v>100</v>
      </c>
      <c r="H22" s="104">
        <v>7000</v>
      </c>
      <c r="I22" s="105"/>
      <c r="J22" s="35">
        <f>G22*H22</f>
        <v>700000</v>
      </c>
      <c r="L22"/>
    </row>
    <row r="23" spans="1:12" ht="48" customHeight="1" x14ac:dyDescent="0.25">
      <c r="A23" s="30">
        <f t="shared" si="1"/>
        <v>6</v>
      </c>
      <c r="B23" s="31">
        <f>'406462'!E3</f>
        <v>44541</v>
      </c>
      <c r="C23" s="84">
        <f>'406462'!A3</f>
        <v>406462</v>
      </c>
      <c r="D23" s="32" t="s">
        <v>159</v>
      </c>
      <c r="E23" s="32" t="s">
        <v>160</v>
      </c>
      <c r="F23" s="33">
        <v>2</v>
      </c>
      <c r="G23" s="99">
        <v>100</v>
      </c>
      <c r="H23" s="104">
        <v>7000</v>
      </c>
      <c r="I23" s="105"/>
      <c r="J23" s="35">
        <f>G23*H23</f>
        <v>700000</v>
      </c>
      <c r="L23"/>
    </row>
    <row r="24" spans="1:12" ht="48" customHeight="1" x14ac:dyDescent="0.25">
      <c r="A24" s="30">
        <f t="shared" si="1"/>
        <v>7</v>
      </c>
      <c r="B24" s="31">
        <f>'406469'!E3</f>
        <v>44542</v>
      </c>
      <c r="C24" s="84">
        <f>'406469'!A3</f>
        <v>406469</v>
      </c>
      <c r="D24" s="32" t="s">
        <v>159</v>
      </c>
      <c r="E24" s="32" t="s">
        <v>160</v>
      </c>
      <c r="F24" s="33">
        <v>1</v>
      </c>
      <c r="G24" s="99">
        <v>100</v>
      </c>
      <c r="H24" s="104">
        <v>7000</v>
      </c>
      <c r="I24" s="105"/>
      <c r="J24" s="35">
        <f t="shared" si="0"/>
        <v>700000</v>
      </c>
      <c r="L24"/>
    </row>
    <row r="25" spans="1:12" ht="48" customHeight="1" x14ac:dyDescent="0.25">
      <c r="A25" s="30">
        <f t="shared" si="1"/>
        <v>8</v>
      </c>
      <c r="B25" s="31">
        <f>'402673'!E3</f>
        <v>44546</v>
      </c>
      <c r="C25" s="84">
        <f>'402673'!A3</f>
        <v>402673</v>
      </c>
      <c r="D25" s="32" t="s">
        <v>159</v>
      </c>
      <c r="E25" s="32" t="s">
        <v>160</v>
      </c>
      <c r="F25" s="33">
        <v>3</v>
      </c>
      <c r="G25" s="99">
        <v>100</v>
      </c>
      <c r="H25" s="104">
        <v>7000</v>
      </c>
      <c r="I25" s="105"/>
      <c r="J25" s="35">
        <f t="shared" si="0"/>
        <v>700000</v>
      </c>
      <c r="L25"/>
    </row>
    <row r="26" spans="1:12" ht="48" customHeight="1" x14ac:dyDescent="0.25">
      <c r="A26" s="30">
        <f t="shared" si="1"/>
        <v>9</v>
      </c>
      <c r="B26" s="31">
        <f>'402680'!E3</f>
        <v>44547</v>
      </c>
      <c r="C26" s="84">
        <f>'402680'!A3</f>
        <v>402680</v>
      </c>
      <c r="D26" s="32" t="s">
        <v>159</v>
      </c>
      <c r="E26" s="32" t="s">
        <v>160</v>
      </c>
      <c r="F26" s="33">
        <v>2</v>
      </c>
      <c r="G26" s="99">
        <v>100</v>
      </c>
      <c r="H26" s="104">
        <v>7000</v>
      </c>
      <c r="I26" s="105"/>
      <c r="J26" s="35">
        <f t="shared" si="0"/>
        <v>700000</v>
      </c>
      <c r="L26"/>
    </row>
    <row r="27" spans="1:12" ht="48" customHeight="1" x14ac:dyDescent="0.25">
      <c r="A27" s="30">
        <f t="shared" si="1"/>
        <v>10</v>
      </c>
      <c r="B27" s="31">
        <f>'402697'!E3</f>
        <v>44549</v>
      </c>
      <c r="C27" s="84">
        <f>'402697'!A3</f>
        <v>402697</v>
      </c>
      <c r="D27" s="32" t="s">
        <v>159</v>
      </c>
      <c r="E27" s="32" t="s">
        <v>160</v>
      </c>
      <c r="F27" s="33">
        <v>24</v>
      </c>
      <c r="G27" s="99">
        <f>'402697'!N27</f>
        <v>744</v>
      </c>
      <c r="H27" s="104">
        <v>7000</v>
      </c>
      <c r="I27" s="105"/>
      <c r="J27" s="35">
        <f t="shared" si="0"/>
        <v>5208000</v>
      </c>
      <c r="L27"/>
    </row>
    <row r="28" spans="1:12" ht="48" customHeight="1" x14ac:dyDescent="0.25">
      <c r="A28" s="30">
        <f t="shared" si="1"/>
        <v>11</v>
      </c>
      <c r="B28" s="31">
        <f>'402708'!E3</f>
        <v>44551</v>
      </c>
      <c r="C28" s="84">
        <f>'402708'!A3</f>
        <v>402708</v>
      </c>
      <c r="D28" s="32" t="s">
        <v>159</v>
      </c>
      <c r="E28" s="32" t="s">
        <v>160</v>
      </c>
      <c r="F28" s="33">
        <v>2</v>
      </c>
      <c r="G28" s="99">
        <v>100</v>
      </c>
      <c r="H28" s="104">
        <v>7000</v>
      </c>
      <c r="I28" s="105"/>
      <c r="J28" s="35">
        <f t="shared" si="0"/>
        <v>700000</v>
      </c>
      <c r="L28"/>
    </row>
    <row r="29" spans="1:12" ht="48" customHeight="1" x14ac:dyDescent="0.25">
      <c r="A29" s="30">
        <f t="shared" si="1"/>
        <v>12</v>
      </c>
      <c r="B29" s="31">
        <f>'402716'!E3</f>
        <v>44553</v>
      </c>
      <c r="C29" s="84">
        <f>'402716'!A3</f>
        <v>402716</v>
      </c>
      <c r="D29" s="32" t="s">
        <v>159</v>
      </c>
      <c r="E29" s="32" t="s">
        <v>160</v>
      </c>
      <c r="F29" s="33">
        <v>13</v>
      </c>
      <c r="G29" s="99">
        <f>'402716'!N16</f>
        <v>126.44</v>
      </c>
      <c r="H29" s="104">
        <v>7000</v>
      </c>
      <c r="I29" s="105"/>
      <c r="J29" s="35">
        <f t="shared" ref="J29:J30" si="2">G29*H29</f>
        <v>885080</v>
      </c>
      <c r="L29"/>
    </row>
    <row r="30" spans="1:12" ht="48" customHeight="1" x14ac:dyDescent="0.25">
      <c r="A30" s="30">
        <f t="shared" si="1"/>
        <v>13</v>
      </c>
      <c r="B30" s="31">
        <f>'402761'!E3</f>
        <v>44561</v>
      </c>
      <c r="C30" s="84">
        <f>'402761'!A3</f>
        <v>402761</v>
      </c>
      <c r="D30" s="32" t="s">
        <v>159</v>
      </c>
      <c r="E30" s="32" t="s">
        <v>160</v>
      </c>
      <c r="F30" s="33">
        <v>2</v>
      </c>
      <c r="G30" s="99">
        <v>100</v>
      </c>
      <c r="H30" s="104">
        <v>7000</v>
      </c>
      <c r="I30" s="105"/>
      <c r="J30" s="35">
        <f t="shared" si="2"/>
        <v>700000</v>
      </c>
      <c r="L30"/>
    </row>
    <row r="31" spans="1:12" ht="32.25" customHeight="1" thickBot="1" x14ac:dyDescent="0.3">
      <c r="A31" s="111" t="s">
        <v>30</v>
      </c>
      <c r="B31" s="112"/>
      <c r="C31" s="112"/>
      <c r="D31" s="112"/>
      <c r="E31" s="112"/>
      <c r="F31" s="112"/>
      <c r="G31" s="112"/>
      <c r="H31" s="112"/>
      <c r="I31" s="113"/>
      <c r="J31" s="36">
        <f>SUM(J18:J30)</f>
        <v>14066080</v>
      </c>
      <c r="L31" s="82" t="e">
        <f>'403745'!P9+#REF!+#REF!+#REF!+#REF!+#REF!+#REF!+#REF!+#REF!+#REF!+#REF!+#REF!+#REF!+#REF!+#REF!+#REF!+#REF!+#REF!+#REF!+#REF!+#REF!+#REF!+#REF!+#REF!+#REF!+#REF!+#REF!+#REF!+#REF!+#REF!</f>
        <v>#REF!</v>
      </c>
    </row>
    <row r="32" spans="1:12" x14ac:dyDescent="0.25">
      <c r="A32" s="114"/>
      <c r="B32" s="114"/>
      <c r="C32" s="37"/>
      <c r="D32" s="37"/>
      <c r="E32" s="37"/>
      <c r="F32" s="37"/>
      <c r="G32" s="37"/>
      <c r="H32" s="38"/>
      <c r="I32" s="38"/>
      <c r="J32" s="39"/>
    </row>
    <row r="33" spans="1:12" x14ac:dyDescent="0.25">
      <c r="A33" s="85"/>
      <c r="B33" s="85"/>
      <c r="C33" s="85"/>
      <c r="D33" s="85"/>
      <c r="E33" s="85"/>
      <c r="F33" s="85"/>
      <c r="G33" s="40" t="s">
        <v>51</v>
      </c>
      <c r="H33" s="40"/>
      <c r="I33" s="38"/>
      <c r="J33" s="39">
        <f>J31*10%</f>
        <v>1406608</v>
      </c>
      <c r="L33" s="41"/>
    </row>
    <row r="34" spans="1:12" x14ac:dyDescent="0.25">
      <c r="A34" s="85"/>
      <c r="B34" s="85"/>
      <c r="C34" s="85"/>
      <c r="D34" s="85"/>
      <c r="E34" s="85"/>
      <c r="F34" s="85"/>
      <c r="G34" s="92" t="s">
        <v>52</v>
      </c>
      <c r="H34" s="92"/>
      <c r="I34" s="93"/>
      <c r="J34" s="95">
        <f>J31-J33</f>
        <v>12659472</v>
      </c>
      <c r="L34" s="41"/>
    </row>
    <row r="35" spans="1:12" x14ac:dyDescent="0.25">
      <c r="A35" s="85"/>
      <c r="B35" s="85"/>
      <c r="C35" s="85"/>
      <c r="D35" s="85"/>
      <c r="E35" s="85"/>
      <c r="F35" s="85"/>
      <c r="G35" s="40" t="s">
        <v>31</v>
      </c>
      <c r="H35" s="40"/>
      <c r="I35" s="41" t="e">
        <f>#REF!*1%</f>
        <v>#REF!</v>
      </c>
      <c r="J35" s="39">
        <f>J34*1%</f>
        <v>126594.72</v>
      </c>
    </row>
    <row r="36" spans="1:12" ht="16.5" thickBot="1" x14ac:dyDescent="0.3">
      <c r="A36" s="85"/>
      <c r="B36" s="85"/>
      <c r="C36" s="85"/>
      <c r="D36" s="85"/>
      <c r="E36" s="85"/>
      <c r="F36" s="85"/>
      <c r="G36" s="94" t="s">
        <v>54</v>
      </c>
      <c r="H36" s="94"/>
      <c r="I36" s="42">
        <f>I32*10%</f>
        <v>0</v>
      </c>
      <c r="J36" s="42">
        <f>J34*2%</f>
        <v>253189.44</v>
      </c>
    </row>
    <row r="37" spans="1:12" x14ac:dyDescent="0.25">
      <c r="E37" s="17"/>
      <c r="F37" s="17"/>
      <c r="G37" s="43" t="s">
        <v>55</v>
      </c>
      <c r="H37" s="43"/>
      <c r="I37" s="44" t="e">
        <f>I31+I35</f>
        <v>#REF!</v>
      </c>
      <c r="J37" s="44">
        <f>J34+J35-J36</f>
        <v>12532877.280000001</v>
      </c>
    </row>
    <row r="38" spans="1:12" x14ac:dyDescent="0.25">
      <c r="E38" s="17"/>
      <c r="F38" s="17"/>
      <c r="G38" s="43"/>
      <c r="H38" s="43"/>
      <c r="I38" s="44"/>
      <c r="J38" s="44"/>
    </row>
    <row r="39" spans="1:12" x14ac:dyDescent="0.25">
      <c r="A39" s="17" t="s">
        <v>161</v>
      </c>
      <c r="D39" s="17"/>
      <c r="E39" s="17"/>
      <c r="F39" s="17"/>
      <c r="G39" s="17"/>
      <c r="H39" s="43"/>
      <c r="I39" s="43"/>
      <c r="J39" s="44"/>
    </row>
    <row r="40" spans="1:12" x14ac:dyDescent="0.25">
      <c r="A40" s="45"/>
      <c r="D40" s="17"/>
      <c r="E40" s="17"/>
      <c r="F40" s="17"/>
      <c r="G40" s="17"/>
      <c r="H40" s="43"/>
      <c r="I40" s="43"/>
      <c r="J40" s="44"/>
    </row>
    <row r="41" spans="1:12" x14ac:dyDescent="0.25">
      <c r="D41" s="17"/>
      <c r="E41" s="17"/>
      <c r="F41" s="17"/>
      <c r="G41" s="17"/>
      <c r="H41" s="43"/>
      <c r="I41" s="43"/>
      <c r="J41" s="44"/>
    </row>
    <row r="42" spans="1:12" x14ac:dyDescent="0.25">
      <c r="A42" s="46" t="s">
        <v>33</v>
      </c>
    </row>
    <row r="43" spans="1:12" x14ac:dyDescent="0.25">
      <c r="A43" s="47" t="s">
        <v>34</v>
      </c>
      <c r="B43" s="48"/>
      <c r="C43" s="48"/>
      <c r="D43" s="49"/>
      <c r="E43" s="49"/>
      <c r="F43" s="49"/>
      <c r="G43" s="49"/>
    </row>
    <row r="44" spans="1:12" x14ac:dyDescent="0.25">
      <c r="A44" s="47" t="s">
        <v>35</v>
      </c>
      <c r="B44" s="48"/>
      <c r="C44" s="48"/>
      <c r="D44" s="49"/>
      <c r="E44" s="49"/>
      <c r="F44" s="49"/>
      <c r="G44" s="49"/>
    </row>
    <row r="45" spans="1:12" x14ac:dyDescent="0.25">
      <c r="A45" s="50" t="s">
        <v>36</v>
      </c>
      <c r="B45" s="51"/>
      <c r="C45" s="51"/>
      <c r="D45" s="49"/>
      <c r="E45" s="49"/>
      <c r="F45" s="49"/>
      <c r="G45" s="49"/>
    </row>
    <row r="46" spans="1:12" x14ac:dyDescent="0.25">
      <c r="A46" s="52" t="s">
        <v>8</v>
      </c>
      <c r="B46" s="53"/>
      <c r="C46" s="53"/>
      <c r="D46" s="49"/>
      <c r="E46" s="49"/>
      <c r="F46" s="49"/>
      <c r="G46" s="49"/>
    </row>
    <row r="47" spans="1:12" x14ac:dyDescent="0.25">
      <c r="A47" s="54"/>
      <c r="B47" s="54"/>
      <c r="C47" s="54"/>
    </row>
    <row r="48" spans="1:12" x14ac:dyDescent="0.25">
      <c r="H48" s="55" t="s">
        <v>37</v>
      </c>
      <c r="I48" s="100" t="str">
        <f>+J13</f>
        <v xml:space="preserve"> 12 Januari 2022</v>
      </c>
      <c r="J48" s="101"/>
    </row>
    <row r="52" spans="8:10" ht="18" customHeight="1" x14ac:dyDescent="0.25"/>
    <row r="53" spans="8:10" ht="17.25" customHeight="1" x14ac:dyDescent="0.25"/>
    <row r="55" spans="8:10" x14ac:dyDescent="0.25">
      <c r="H55" s="102" t="s">
        <v>38</v>
      </c>
      <c r="I55" s="102"/>
      <c r="J55" s="102"/>
    </row>
  </sheetData>
  <mergeCells count="22">
    <mergeCell ref="A10:J10"/>
    <mergeCell ref="H17:I17"/>
    <mergeCell ref="H18:I18"/>
    <mergeCell ref="A31:I31"/>
    <mergeCell ref="A32:B32"/>
    <mergeCell ref="H19:I19"/>
    <mergeCell ref="H20:I20"/>
    <mergeCell ref="H24:I24"/>
    <mergeCell ref="H22:I22"/>
    <mergeCell ref="H21:I21"/>
    <mergeCell ref="H25:I25"/>
    <mergeCell ref="H28:I28"/>
    <mergeCell ref="H23:I23"/>
    <mergeCell ref="I48:J48"/>
    <mergeCell ref="H55:J55"/>
    <mergeCell ref="G14:H14"/>
    <mergeCell ref="G13:H13"/>
    <mergeCell ref="G12:H12"/>
    <mergeCell ref="H26:I26"/>
    <mergeCell ref="H27:I27"/>
    <mergeCell ref="H29:I29"/>
    <mergeCell ref="H30:I3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K9" sqref="K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.7109375" style="3" customWidth="1"/>
    <col min="5" max="5" width="8" style="12" customWidth="1"/>
    <col min="6" max="6" width="11.85546875" style="3" customWidth="1"/>
    <col min="7" max="7" width="9.5703125" style="3" customWidth="1"/>
    <col min="8" max="8" width="16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3">
        <v>402680</v>
      </c>
      <c r="B3" s="75" t="s">
        <v>103</v>
      </c>
      <c r="C3" s="9" t="s">
        <v>104</v>
      </c>
      <c r="D3" s="77" t="s">
        <v>160</v>
      </c>
      <c r="E3" s="13">
        <v>44547</v>
      </c>
      <c r="F3" s="77" t="s">
        <v>101</v>
      </c>
      <c r="G3" s="13">
        <v>44555</v>
      </c>
      <c r="H3" s="10" t="s">
        <v>106</v>
      </c>
      <c r="I3" s="1">
        <v>149</v>
      </c>
      <c r="J3" s="1">
        <v>64</v>
      </c>
      <c r="K3" s="1">
        <v>9</v>
      </c>
      <c r="L3" s="1">
        <v>14</v>
      </c>
      <c r="M3" s="80">
        <v>21.456</v>
      </c>
      <c r="N3" s="8">
        <v>22</v>
      </c>
      <c r="O3" s="65">
        <v>7000</v>
      </c>
      <c r="P3" s="66">
        <f>Table224578910112345678910[[#This Row],[PEMBULATAN]]*O3</f>
        <v>154000</v>
      </c>
    </row>
    <row r="4" spans="1:16" ht="26.25" customHeight="1" x14ac:dyDescent="0.2">
      <c r="A4" s="14"/>
      <c r="B4" s="76"/>
      <c r="C4" s="9" t="s">
        <v>105</v>
      </c>
      <c r="D4" s="77" t="s">
        <v>160</v>
      </c>
      <c r="E4" s="13">
        <v>44547</v>
      </c>
      <c r="F4" s="77" t="s">
        <v>101</v>
      </c>
      <c r="G4" s="13">
        <v>44555</v>
      </c>
      <c r="H4" s="10" t="s">
        <v>106</v>
      </c>
      <c r="I4" s="1">
        <v>149</v>
      </c>
      <c r="J4" s="1">
        <v>64</v>
      </c>
      <c r="K4" s="1">
        <v>9</v>
      </c>
      <c r="L4" s="1">
        <v>14</v>
      </c>
      <c r="M4" s="80">
        <v>21.456</v>
      </c>
      <c r="N4" s="8">
        <v>22</v>
      </c>
      <c r="O4" s="65">
        <v>7000</v>
      </c>
      <c r="P4" s="66">
        <f>Table224578910112345678910[[#This Row],[PEMBULATAN]]*O4</f>
        <v>154000</v>
      </c>
    </row>
    <row r="5" spans="1:16" ht="22.5" customHeight="1" x14ac:dyDescent="0.2">
      <c r="A5" s="115" t="s">
        <v>30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7"/>
      <c r="M5" s="79">
        <f>SUBTOTAL(109,Table224578910112345678910[KG VOLUME])</f>
        <v>42.911999999999999</v>
      </c>
      <c r="N5" s="69">
        <f>SUM(N3:N4)</f>
        <v>44</v>
      </c>
      <c r="O5" s="118">
        <f>SUM(P3:P4)</f>
        <v>308000</v>
      </c>
      <c r="P5" s="119"/>
    </row>
    <row r="6" spans="1:16" ht="18" customHeight="1" x14ac:dyDescent="0.2">
      <c r="A6" s="86"/>
      <c r="B6" s="57" t="s">
        <v>42</v>
      </c>
      <c r="C6" s="56"/>
      <c r="D6" s="58" t="s">
        <v>43</v>
      </c>
      <c r="E6" s="86"/>
      <c r="F6" s="86"/>
      <c r="G6" s="86"/>
      <c r="H6" s="86"/>
      <c r="I6" s="86"/>
      <c r="J6" s="86"/>
      <c r="K6" s="86"/>
      <c r="L6" s="86"/>
      <c r="M6" s="87"/>
      <c r="N6" s="88" t="s">
        <v>51</v>
      </c>
      <c r="O6" s="89"/>
      <c r="P6" s="89">
        <f>O5*10%</f>
        <v>30800</v>
      </c>
    </row>
    <row r="7" spans="1:16" ht="18" customHeight="1" thickBot="1" x14ac:dyDescent="0.25">
      <c r="A7" s="86"/>
      <c r="B7" s="57"/>
      <c r="C7" s="56"/>
      <c r="D7" s="58"/>
      <c r="E7" s="86"/>
      <c r="F7" s="86"/>
      <c r="G7" s="86"/>
      <c r="H7" s="86"/>
      <c r="I7" s="86"/>
      <c r="J7" s="86"/>
      <c r="K7" s="86"/>
      <c r="L7" s="86"/>
      <c r="M7" s="87"/>
      <c r="N7" s="90" t="s">
        <v>52</v>
      </c>
      <c r="O7" s="91"/>
      <c r="P7" s="91">
        <f>O5-P6</f>
        <v>277200</v>
      </c>
    </row>
    <row r="8" spans="1:16" ht="18" customHeight="1" x14ac:dyDescent="0.2">
      <c r="A8" s="11"/>
      <c r="H8" s="64"/>
      <c r="N8" s="63" t="s">
        <v>31</v>
      </c>
      <c r="P8" s="70">
        <f>P7*1%</f>
        <v>2772</v>
      </c>
    </row>
    <row r="9" spans="1:16" ht="18" customHeight="1" thickBot="1" x14ac:dyDescent="0.25">
      <c r="A9" s="11"/>
      <c r="H9" s="64"/>
      <c r="N9" s="63" t="s">
        <v>53</v>
      </c>
      <c r="P9" s="72">
        <f>P7*2%</f>
        <v>5544</v>
      </c>
    </row>
    <row r="10" spans="1:16" ht="18" customHeight="1" x14ac:dyDescent="0.2">
      <c r="A10" s="11"/>
      <c r="H10" s="64"/>
      <c r="N10" s="67" t="s">
        <v>32</v>
      </c>
      <c r="O10" s="68"/>
      <c r="P10" s="71">
        <f>P7+P8-P9</f>
        <v>274428</v>
      </c>
    </row>
    <row r="12" spans="1:16" x14ac:dyDescent="0.2">
      <c r="A12" s="11"/>
      <c r="H12" s="64"/>
      <c r="P12" s="72"/>
    </row>
    <row r="13" spans="1:16" x14ac:dyDescent="0.2">
      <c r="A13" s="11"/>
      <c r="H13" s="64"/>
      <c r="O13" s="59"/>
      <c r="P13" s="72"/>
    </row>
    <row r="14" spans="1:16" s="3" customFormat="1" x14ac:dyDescent="0.25">
      <c r="A14" s="11"/>
      <c r="B14" s="2"/>
      <c r="C14" s="2"/>
      <c r="E14" s="12"/>
      <c r="H14" s="64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86" priority="2"/>
  </conditionalFormatting>
  <conditionalFormatting sqref="B4">
    <cfRule type="duplicateValues" dxfId="85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7"/>
  <sheetViews>
    <sheetView zoomScale="110" zoomScaleNormal="110" workbookViewId="0">
      <pane xSplit="3" ySplit="2" topLeftCell="D24" activePane="bottomRight" state="frozen"/>
      <selection pane="topRight" activeCell="B1" sqref="B1"/>
      <selection pane="bottomLeft" activeCell="A3" sqref="A3"/>
      <selection pane="bottomRight" activeCell="J26" sqref="J2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.5703125" style="3" customWidth="1"/>
    <col min="5" max="5" width="8" style="12" customWidth="1"/>
    <col min="6" max="6" width="11.85546875" style="3" customWidth="1"/>
    <col min="7" max="7" width="9.5703125" style="3" customWidth="1"/>
    <col min="8" max="8" width="15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32.25" customHeight="1" x14ac:dyDescent="0.2">
      <c r="A3" s="83">
        <v>402697</v>
      </c>
      <c r="B3" s="75" t="s">
        <v>107</v>
      </c>
      <c r="C3" s="9" t="s">
        <v>108</v>
      </c>
      <c r="D3" s="77" t="s">
        <v>162</v>
      </c>
      <c r="E3" s="13">
        <v>44549</v>
      </c>
      <c r="F3" s="77" t="s">
        <v>101</v>
      </c>
      <c r="G3" s="13">
        <v>44555</v>
      </c>
      <c r="H3" s="10" t="s">
        <v>106</v>
      </c>
      <c r="I3" s="1">
        <v>40</v>
      </c>
      <c r="J3" s="1">
        <v>41</v>
      </c>
      <c r="K3" s="1">
        <v>75</v>
      </c>
      <c r="L3" s="1">
        <v>31</v>
      </c>
      <c r="M3" s="80">
        <v>30.75</v>
      </c>
      <c r="N3" s="8">
        <v>31</v>
      </c>
      <c r="O3" s="65">
        <v>7000</v>
      </c>
      <c r="P3" s="66">
        <f>Table22457891011234567891011[[#This Row],[PEMBULATAN]]*O3</f>
        <v>217000</v>
      </c>
    </row>
    <row r="4" spans="1:16" ht="32.25" customHeight="1" x14ac:dyDescent="0.2">
      <c r="A4" s="14"/>
      <c r="B4" s="76"/>
      <c r="C4" s="9" t="s">
        <v>109</v>
      </c>
      <c r="D4" s="77" t="s">
        <v>162</v>
      </c>
      <c r="E4" s="13">
        <v>44549</v>
      </c>
      <c r="F4" s="77" t="s">
        <v>101</v>
      </c>
      <c r="G4" s="13">
        <v>44555</v>
      </c>
      <c r="H4" s="10" t="s">
        <v>106</v>
      </c>
      <c r="I4" s="1">
        <v>40</v>
      </c>
      <c r="J4" s="1">
        <v>41</v>
      </c>
      <c r="K4" s="1">
        <v>75</v>
      </c>
      <c r="L4" s="1">
        <v>31</v>
      </c>
      <c r="M4" s="80">
        <v>30.75</v>
      </c>
      <c r="N4" s="8">
        <v>31</v>
      </c>
      <c r="O4" s="65">
        <v>7000</v>
      </c>
      <c r="P4" s="66">
        <f>Table22457891011234567891011[[#This Row],[PEMBULATAN]]*O4</f>
        <v>217000</v>
      </c>
    </row>
    <row r="5" spans="1:16" ht="32.25" customHeight="1" x14ac:dyDescent="0.2">
      <c r="A5" s="14"/>
      <c r="B5" s="14"/>
      <c r="C5" s="9" t="s">
        <v>110</v>
      </c>
      <c r="D5" s="77" t="s">
        <v>162</v>
      </c>
      <c r="E5" s="13">
        <v>44549</v>
      </c>
      <c r="F5" s="77" t="s">
        <v>101</v>
      </c>
      <c r="G5" s="13">
        <v>44555</v>
      </c>
      <c r="H5" s="10" t="s">
        <v>106</v>
      </c>
      <c r="I5" s="1">
        <v>40</v>
      </c>
      <c r="J5" s="1">
        <v>41</v>
      </c>
      <c r="K5" s="1">
        <v>75</v>
      </c>
      <c r="L5" s="1">
        <v>31</v>
      </c>
      <c r="M5" s="80">
        <v>30.75</v>
      </c>
      <c r="N5" s="8">
        <v>31</v>
      </c>
      <c r="O5" s="65">
        <v>7000</v>
      </c>
      <c r="P5" s="66">
        <f>Table22457891011234567891011[[#This Row],[PEMBULATAN]]*O5</f>
        <v>217000</v>
      </c>
    </row>
    <row r="6" spans="1:16" ht="32.25" customHeight="1" x14ac:dyDescent="0.2">
      <c r="A6" s="14"/>
      <c r="B6" s="14"/>
      <c r="C6" s="74" t="s">
        <v>111</v>
      </c>
      <c r="D6" s="77" t="s">
        <v>162</v>
      </c>
      <c r="E6" s="13">
        <v>44549</v>
      </c>
      <c r="F6" s="77" t="s">
        <v>101</v>
      </c>
      <c r="G6" s="13">
        <v>44555</v>
      </c>
      <c r="H6" s="78" t="s">
        <v>106</v>
      </c>
      <c r="I6" s="16">
        <v>40</v>
      </c>
      <c r="J6" s="16">
        <v>41</v>
      </c>
      <c r="K6" s="16">
        <v>75</v>
      </c>
      <c r="L6" s="16">
        <v>31</v>
      </c>
      <c r="M6" s="81">
        <v>30.75</v>
      </c>
      <c r="N6" s="73">
        <v>31</v>
      </c>
      <c r="O6" s="65">
        <v>7000</v>
      </c>
      <c r="P6" s="66">
        <f>Table22457891011234567891011[[#This Row],[PEMBULATAN]]*O6</f>
        <v>217000</v>
      </c>
    </row>
    <row r="7" spans="1:16" ht="32.25" customHeight="1" x14ac:dyDescent="0.2">
      <c r="A7" s="14"/>
      <c r="B7" s="14"/>
      <c r="C7" s="74" t="s">
        <v>112</v>
      </c>
      <c r="D7" s="77" t="s">
        <v>162</v>
      </c>
      <c r="E7" s="13">
        <v>44549</v>
      </c>
      <c r="F7" s="77" t="s">
        <v>101</v>
      </c>
      <c r="G7" s="13">
        <v>44555</v>
      </c>
      <c r="H7" s="78" t="s">
        <v>106</v>
      </c>
      <c r="I7" s="16">
        <v>40</v>
      </c>
      <c r="J7" s="16">
        <v>41</v>
      </c>
      <c r="K7" s="16">
        <v>75</v>
      </c>
      <c r="L7" s="16">
        <v>31</v>
      </c>
      <c r="M7" s="81">
        <v>30.75</v>
      </c>
      <c r="N7" s="73">
        <v>31</v>
      </c>
      <c r="O7" s="65">
        <v>7000</v>
      </c>
      <c r="P7" s="66">
        <f>Table22457891011234567891011[[#This Row],[PEMBULATAN]]*O7</f>
        <v>217000</v>
      </c>
    </row>
    <row r="8" spans="1:16" ht="32.25" customHeight="1" x14ac:dyDescent="0.2">
      <c r="A8" s="14"/>
      <c r="B8" s="14"/>
      <c r="C8" s="74" t="s">
        <v>113</v>
      </c>
      <c r="D8" s="77" t="s">
        <v>162</v>
      </c>
      <c r="E8" s="13">
        <v>44549</v>
      </c>
      <c r="F8" s="77" t="s">
        <v>101</v>
      </c>
      <c r="G8" s="13">
        <v>44555</v>
      </c>
      <c r="H8" s="78" t="s">
        <v>106</v>
      </c>
      <c r="I8" s="16">
        <v>40</v>
      </c>
      <c r="J8" s="16">
        <v>41</v>
      </c>
      <c r="K8" s="16">
        <v>75</v>
      </c>
      <c r="L8" s="16">
        <v>31</v>
      </c>
      <c r="M8" s="81">
        <v>30.75</v>
      </c>
      <c r="N8" s="73">
        <v>31</v>
      </c>
      <c r="O8" s="65">
        <v>7000</v>
      </c>
      <c r="P8" s="66">
        <f>Table22457891011234567891011[[#This Row],[PEMBULATAN]]*O8</f>
        <v>217000</v>
      </c>
    </row>
    <row r="9" spans="1:16" ht="32.25" customHeight="1" x14ac:dyDescent="0.2">
      <c r="A9" s="14"/>
      <c r="B9" s="14"/>
      <c r="C9" s="74" t="s">
        <v>114</v>
      </c>
      <c r="D9" s="77" t="s">
        <v>162</v>
      </c>
      <c r="E9" s="13">
        <v>44549</v>
      </c>
      <c r="F9" s="77" t="s">
        <v>101</v>
      </c>
      <c r="G9" s="13">
        <v>44555</v>
      </c>
      <c r="H9" s="78" t="s">
        <v>106</v>
      </c>
      <c r="I9" s="16">
        <v>40</v>
      </c>
      <c r="J9" s="16">
        <v>41</v>
      </c>
      <c r="K9" s="16">
        <v>75</v>
      </c>
      <c r="L9" s="16">
        <v>31</v>
      </c>
      <c r="M9" s="81">
        <v>30.75</v>
      </c>
      <c r="N9" s="73">
        <v>31</v>
      </c>
      <c r="O9" s="65">
        <v>7000</v>
      </c>
      <c r="P9" s="66">
        <f>Table22457891011234567891011[[#This Row],[PEMBULATAN]]*O9</f>
        <v>217000</v>
      </c>
    </row>
    <row r="10" spans="1:16" ht="32.25" customHeight="1" x14ac:dyDescent="0.2">
      <c r="A10" s="14"/>
      <c r="B10" s="14"/>
      <c r="C10" s="74" t="s">
        <v>115</v>
      </c>
      <c r="D10" s="77" t="s">
        <v>162</v>
      </c>
      <c r="E10" s="13">
        <v>44549</v>
      </c>
      <c r="F10" s="77" t="s">
        <v>101</v>
      </c>
      <c r="G10" s="13">
        <v>44555</v>
      </c>
      <c r="H10" s="78" t="s">
        <v>106</v>
      </c>
      <c r="I10" s="16">
        <v>40</v>
      </c>
      <c r="J10" s="16">
        <v>41</v>
      </c>
      <c r="K10" s="16">
        <v>75</v>
      </c>
      <c r="L10" s="16">
        <v>31</v>
      </c>
      <c r="M10" s="81">
        <v>30.75</v>
      </c>
      <c r="N10" s="73">
        <v>31</v>
      </c>
      <c r="O10" s="65">
        <v>7000</v>
      </c>
      <c r="P10" s="66">
        <f>Table22457891011234567891011[[#This Row],[PEMBULATAN]]*O10</f>
        <v>217000</v>
      </c>
    </row>
    <row r="11" spans="1:16" ht="32.25" customHeight="1" x14ac:dyDescent="0.2">
      <c r="A11" s="14"/>
      <c r="B11" s="14"/>
      <c r="C11" s="74" t="s">
        <v>116</v>
      </c>
      <c r="D11" s="77" t="s">
        <v>162</v>
      </c>
      <c r="E11" s="13">
        <v>44549</v>
      </c>
      <c r="F11" s="77" t="s">
        <v>101</v>
      </c>
      <c r="G11" s="13">
        <v>44555</v>
      </c>
      <c r="H11" s="78" t="s">
        <v>106</v>
      </c>
      <c r="I11" s="16">
        <v>40</v>
      </c>
      <c r="J11" s="16">
        <v>41</v>
      </c>
      <c r="K11" s="16">
        <v>75</v>
      </c>
      <c r="L11" s="16">
        <v>31</v>
      </c>
      <c r="M11" s="81">
        <v>30.75</v>
      </c>
      <c r="N11" s="73">
        <v>31</v>
      </c>
      <c r="O11" s="65">
        <v>7000</v>
      </c>
      <c r="P11" s="66">
        <f>Table22457891011234567891011[[#This Row],[PEMBULATAN]]*O11</f>
        <v>217000</v>
      </c>
    </row>
    <row r="12" spans="1:16" ht="32.25" customHeight="1" x14ac:dyDescent="0.2">
      <c r="A12" s="14"/>
      <c r="B12" s="14"/>
      <c r="C12" s="74" t="s">
        <v>117</v>
      </c>
      <c r="D12" s="77" t="s">
        <v>162</v>
      </c>
      <c r="E12" s="13">
        <v>44549</v>
      </c>
      <c r="F12" s="77" t="s">
        <v>101</v>
      </c>
      <c r="G12" s="13">
        <v>44555</v>
      </c>
      <c r="H12" s="78" t="s">
        <v>106</v>
      </c>
      <c r="I12" s="16">
        <v>40</v>
      </c>
      <c r="J12" s="16">
        <v>41</v>
      </c>
      <c r="K12" s="16">
        <v>75</v>
      </c>
      <c r="L12" s="16">
        <v>31</v>
      </c>
      <c r="M12" s="81">
        <v>30.75</v>
      </c>
      <c r="N12" s="73">
        <v>31</v>
      </c>
      <c r="O12" s="65">
        <v>7000</v>
      </c>
      <c r="P12" s="66">
        <f>Table22457891011234567891011[[#This Row],[PEMBULATAN]]*O12</f>
        <v>217000</v>
      </c>
    </row>
    <row r="13" spans="1:16" ht="32.25" customHeight="1" x14ac:dyDescent="0.2">
      <c r="A13" s="14"/>
      <c r="B13" s="14"/>
      <c r="C13" s="74" t="s">
        <v>118</v>
      </c>
      <c r="D13" s="77" t="s">
        <v>162</v>
      </c>
      <c r="E13" s="13">
        <v>44549</v>
      </c>
      <c r="F13" s="77" t="s">
        <v>101</v>
      </c>
      <c r="G13" s="13">
        <v>44555</v>
      </c>
      <c r="H13" s="78" t="s">
        <v>106</v>
      </c>
      <c r="I13" s="16">
        <v>40</v>
      </c>
      <c r="J13" s="16">
        <v>41</v>
      </c>
      <c r="K13" s="16">
        <v>75</v>
      </c>
      <c r="L13" s="16">
        <v>31</v>
      </c>
      <c r="M13" s="81">
        <v>30.75</v>
      </c>
      <c r="N13" s="73">
        <v>31</v>
      </c>
      <c r="O13" s="65">
        <v>7000</v>
      </c>
      <c r="P13" s="66">
        <f>Table22457891011234567891011[[#This Row],[PEMBULATAN]]*O13</f>
        <v>217000</v>
      </c>
    </row>
    <row r="14" spans="1:16" ht="32.25" customHeight="1" x14ac:dyDescent="0.2">
      <c r="A14" s="14"/>
      <c r="B14" s="14"/>
      <c r="C14" s="74" t="s">
        <v>119</v>
      </c>
      <c r="D14" s="77" t="s">
        <v>162</v>
      </c>
      <c r="E14" s="13">
        <v>44549</v>
      </c>
      <c r="F14" s="77" t="s">
        <v>101</v>
      </c>
      <c r="G14" s="13">
        <v>44555</v>
      </c>
      <c r="H14" s="78" t="s">
        <v>106</v>
      </c>
      <c r="I14" s="16">
        <v>40</v>
      </c>
      <c r="J14" s="16">
        <v>41</v>
      </c>
      <c r="K14" s="16">
        <v>75</v>
      </c>
      <c r="L14" s="16">
        <v>31</v>
      </c>
      <c r="M14" s="81">
        <v>30.75</v>
      </c>
      <c r="N14" s="73">
        <v>31</v>
      </c>
      <c r="O14" s="65">
        <v>7000</v>
      </c>
      <c r="P14" s="66">
        <f>Table22457891011234567891011[[#This Row],[PEMBULATAN]]*O14</f>
        <v>217000</v>
      </c>
    </row>
    <row r="15" spans="1:16" ht="32.25" customHeight="1" x14ac:dyDescent="0.2">
      <c r="A15" s="14"/>
      <c r="B15" s="14"/>
      <c r="C15" s="74" t="s">
        <v>120</v>
      </c>
      <c r="D15" s="77" t="s">
        <v>162</v>
      </c>
      <c r="E15" s="13">
        <v>44549</v>
      </c>
      <c r="F15" s="77" t="s">
        <v>101</v>
      </c>
      <c r="G15" s="13">
        <v>44555</v>
      </c>
      <c r="H15" s="78" t="s">
        <v>106</v>
      </c>
      <c r="I15" s="16">
        <v>40</v>
      </c>
      <c r="J15" s="16">
        <v>41</v>
      </c>
      <c r="K15" s="16">
        <v>75</v>
      </c>
      <c r="L15" s="16">
        <v>31</v>
      </c>
      <c r="M15" s="81">
        <v>30.75</v>
      </c>
      <c r="N15" s="73">
        <v>31</v>
      </c>
      <c r="O15" s="65">
        <v>7000</v>
      </c>
      <c r="P15" s="66">
        <f>Table22457891011234567891011[[#This Row],[PEMBULATAN]]*O15</f>
        <v>217000</v>
      </c>
    </row>
    <row r="16" spans="1:16" ht="32.25" customHeight="1" x14ac:dyDescent="0.2">
      <c r="A16" s="14"/>
      <c r="B16" s="14"/>
      <c r="C16" s="74" t="s">
        <v>121</v>
      </c>
      <c r="D16" s="77" t="s">
        <v>162</v>
      </c>
      <c r="E16" s="13">
        <v>44549</v>
      </c>
      <c r="F16" s="77" t="s">
        <v>101</v>
      </c>
      <c r="G16" s="13">
        <v>44555</v>
      </c>
      <c r="H16" s="78" t="s">
        <v>106</v>
      </c>
      <c r="I16" s="16">
        <v>40</v>
      </c>
      <c r="J16" s="16">
        <v>41</v>
      </c>
      <c r="K16" s="16">
        <v>75</v>
      </c>
      <c r="L16" s="16">
        <v>31</v>
      </c>
      <c r="M16" s="81">
        <v>30.75</v>
      </c>
      <c r="N16" s="73">
        <v>31</v>
      </c>
      <c r="O16" s="65">
        <v>7000</v>
      </c>
      <c r="P16" s="66">
        <f>Table22457891011234567891011[[#This Row],[PEMBULATAN]]*O16</f>
        <v>217000</v>
      </c>
    </row>
    <row r="17" spans="1:16" ht="32.25" customHeight="1" x14ac:dyDescent="0.2">
      <c r="A17" s="14"/>
      <c r="B17" s="14"/>
      <c r="C17" s="74" t="s">
        <v>122</v>
      </c>
      <c r="D17" s="77" t="s">
        <v>162</v>
      </c>
      <c r="E17" s="13">
        <v>44549</v>
      </c>
      <c r="F17" s="77" t="s">
        <v>101</v>
      </c>
      <c r="G17" s="13">
        <v>44555</v>
      </c>
      <c r="H17" s="78" t="s">
        <v>106</v>
      </c>
      <c r="I17" s="16">
        <v>40</v>
      </c>
      <c r="J17" s="16">
        <v>41</v>
      </c>
      <c r="K17" s="16">
        <v>75</v>
      </c>
      <c r="L17" s="16">
        <v>31</v>
      </c>
      <c r="M17" s="81">
        <v>30.75</v>
      </c>
      <c r="N17" s="73">
        <v>31</v>
      </c>
      <c r="O17" s="65">
        <v>7000</v>
      </c>
      <c r="P17" s="66">
        <f>Table22457891011234567891011[[#This Row],[PEMBULATAN]]*O17</f>
        <v>217000</v>
      </c>
    </row>
    <row r="18" spans="1:16" ht="32.25" customHeight="1" x14ac:dyDescent="0.2">
      <c r="A18" s="14"/>
      <c r="B18" s="14"/>
      <c r="C18" s="74" t="s">
        <v>123</v>
      </c>
      <c r="D18" s="77" t="s">
        <v>162</v>
      </c>
      <c r="E18" s="13">
        <v>44549</v>
      </c>
      <c r="F18" s="77" t="s">
        <v>101</v>
      </c>
      <c r="G18" s="13">
        <v>44555</v>
      </c>
      <c r="H18" s="78" t="s">
        <v>106</v>
      </c>
      <c r="I18" s="16">
        <v>40</v>
      </c>
      <c r="J18" s="16">
        <v>41</v>
      </c>
      <c r="K18" s="16">
        <v>75</v>
      </c>
      <c r="L18" s="16">
        <v>31</v>
      </c>
      <c r="M18" s="81">
        <v>30.75</v>
      </c>
      <c r="N18" s="73">
        <v>31</v>
      </c>
      <c r="O18" s="65">
        <v>7000</v>
      </c>
      <c r="P18" s="66">
        <f>Table22457891011234567891011[[#This Row],[PEMBULATAN]]*O18</f>
        <v>217000</v>
      </c>
    </row>
    <row r="19" spans="1:16" ht="32.25" customHeight="1" x14ac:dyDescent="0.2">
      <c r="A19" s="14"/>
      <c r="B19" s="14"/>
      <c r="C19" s="74" t="s">
        <v>124</v>
      </c>
      <c r="D19" s="77" t="s">
        <v>162</v>
      </c>
      <c r="E19" s="13">
        <v>44549</v>
      </c>
      <c r="F19" s="77" t="s">
        <v>101</v>
      </c>
      <c r="G19" s="13">
        <v>44555</v>
      </c>
      <c r="H19" s="78" t="s">
        <v>106</v>
      </c>
      <c r="I19" s="16">
        <v>40</v>
      </c>
      <c r="J19" s="16">
        <v>41</v>
      </c>
      <c r="K19" s="16">
        <v>75</v>
      </c>
      <c r="L19" s="16">
        <v>31</v>
      </c>
      <c r="M19" s="81">
        <v>30.75</v>
      </c>
      <c r="N19" s="73">
        <v>31</v>
      </c>
      <c r="O19" s="65">
        <v>7000</v>
      </c>
      <c r="P19" s="66">
        <f>Table22457891011234567891011[[#This Row],[PEMBULATAN]]*O19</f>
        <v>217000</v>
      </c>
    </row>
    <row r="20" spans="1:16" ht="32.25" customHeight="1" x14ac:dyDescent="0.2">
      <c r="A20" s="14"/>
      <c r="B20" s="14"/>
      <c r="C20" s="74" t="s">
        <v>125</v>
      </c>
      <c r="D20" s="77" t="s">
        <v>162</v>
      </c>
      <c r="E20" s="13">
        <v>44549</v>
      </c>
      <c r="F20" s="77" t="s">
        <v>101</v>
      </c>
      <c r="G20" s="13">
        <v>44555</v>
      </c>
      <c r="H20" s="78" t="s">
        <v>106</v>
      </c>
      <c r="I20" s="16">
        <v>40</v>
      </c>
      <c r="J20" s="16">
        <v>41</v>
      </c>
      <c r="K20" s="16">
        <v>75</v>
      </c>
      <c r="L20" s="16">
        <v>31</v>
      </c>
      <c r="M20" s="81">
        <v>30.75</v>
      </c>
      <c r="N20" s="73">
        <v>31</v>
      </c>
      <c r="O20" s="65">
        <v>7000</v>
      </c>
      <c r="P20" s="66">
        <f>Table22457891011234567891011[[#This Row],[PEMBULATAN]]*O20</f>
        <v>217000</v>
      </c>
    </row>
    <row r="21" spans="1:16" ht="32.25" customHeight="1" x14ac:dyDescent="0.2">
      <c r="A21" s="14"/>
      <c r="B21" s="14"/>
      <c r="C21" s="74" t="s">
        <v>126</v>
      </c>
      <c r="D21" s="77" t="s">
        <v>162</v>
      </c>
      <c r="E21" s="13">
        <v>44549</v>
      </c>
      <c r="F21" s="77" t="s">
        <v>101</v>
      </c>
      <c r="G21" s="13">
        <v>44555</v>
      </c>
      <c r="H21" s="78" t="s">
        <v>106</v>
      </c>
      <c r="I21" s="16">
        <v>40</v>
      </c>
      <c r="J21" s="16">
        <v>41</v>
      </c>
      <c r="K21" s="16">
        <v>75</v>
      </c>
      <c r="L21" s="16">
        <v>31</v>
      </c>
      <c r="M21" s="81">
        <v>30.75</v>
      </c>
      <c r="N21" s="73">
        <v>31</v>
      </c>
      <c r="O21" s="65">
        <v>7000</v>
      </c>
      <c r="P21" s="66">
        <f>Table22457891011234567891011[[#This Row],[PEMBULATAN]]*O21</f>
        <v>217000</v>
      </c>
    </row>
    <row r="22" spans="1:16" ht="32.25" customHeight="1" x14ac:dyDescent="0.2">
      <c r="A22" s="14"/>
      <c r="B22" s="14"/>
      <c r="C22" s="74" t="s">
        <v>127</v>
      </c>
      <c r="D22" s="77" t="s">
        <v>162</v>
      </c>
      <c r="E22" s="13">
        <v>44549</v>
      </c>
      <c r="F22" s="77" t="s">
        <v>101</v>
      </c>
      <c r="G22" s="13">
        <v>44555</v>
      </c>
      <c r="H22" s="78" t="s">
        <v>106</v>
      </c>
      <c r="I22" s="16">
        <v>40</v>
      </c>
      <c r="J22" s="16">
        <v>41</v>
      </c>
      <c r="K22" s="16">
        <v>75</v>
      </c>
      <c r="L22" s="16">
        <v>31</v>
      </c>
      <c r="M22" s="81">
        <v>30.75</v>
      </c>
      <c r="N22" s="73">
        <v>31</v>
      </c>
      <c r="O22" s="65">
        <v>7000</v>
      </c>
      <c r="P22" s="66">
        <f>Table22457891011234567891011[[#This Row],[PEMBULATAN]]*O22</f>
        <v>217000</v>
      </c>
    </row>
    <row r="23" spans="1:16" ht="32.25" customHeight="1" x14ac:dyDescent="0.2">
      <c r="A23" s="14"/>
      <c r="B23" s="14"/>
      <c r="C23" s="74" t="s">
        <v>128</v>
      </c>
      <c r="D23" s="77" t="s">
        <v>162</v>
      </c>
      <c r="E23" s="13">
        <v>44549</v>
      </c>
      <c r="F23" s="77" t="s">
        <v>101</v>
      </c>
      <c r="G23" s="13">
        <v>44555</v>
      </c>
      <c r="H23" s="78" t="s">
        <v>106</v>
      </c>
      <c r="I23" s="16">
        <v>40</v>
      </c>
      <c r="J23" s="16">
        <v>41</v>
      </c>
      <c r="K23" s="16">
        <v>75</v>
      </c>
      <c r="L23" s="16">
        <v>31</v>
      </c>
      <c r="M23" s="81">
        <v>30.75</v>
      </c>
      <c r="N23" s="73">
        <v>31</v>
      </c>
      <c r="O23" s="65">
        <v>7000</v>
      </c>
      <c r="P23" s="66">
        <f>Table22457891011234567891011[[#This Row],[PEMBULATAN]]*O23</f>
        <v>217000</v>
      </c>
    </row>
    <row r="24" spans="1:16" ht="32.25" customHeight="1" x14ac:dyDescent="0.2">
      <c r="A24" s="14"/>
      <c r="B24" s="14"/>
      <c r="C24" s="74" t="s">
        <v>129</v>
      </c>
      <c r="D24" s="77" t="s">
        <v>162</v>
      </c>
      <c r="E24" s="13">
        <v>44549</v>
      </c>
      <c r="F24" s="77" t="s">
        <v>101</v>
      </c>
      <c r="G24" s="13">
        <v>44555</v>
      </c>
      <c r="H24" s="78" t="s">
        <v>106</v>
      </c>
      <c r="I24" s="16">
        <v>40</v>
      </c>
      <c r="J24" s="16">
        <v>41</v>
      </c>
      <c r="K24" s="16">
        <v>75</v>
      </c>
      <c r="L24" s="16">
        <v>31</v>
      </c>
      <c r="M24" s="81">
        <v>30.75</v>
      </c>
      <c r="N24" s="73">
        <v>31</v>
      </c>
      <c r="O24" s="65">
        <v>7000</v>
      </c>
      <c r="P24" s="66">
        <f>Table22457891011234567891011[[#This Row],[PEMBULATAN]]*O24</f>
        <v>217000</v>
      </c>
    </row>
    <row r="25" spans="1:16" ht="32.25" customHeight="1" x14ac:dyDescent="0.2">
      <c r="A25" s="14"/>
      <c r="B25" s="14"/>
      <c r="C25" s="74" t="s">
        <v>130</v>
      </c>
      <c r="D25" s="77" t="s">
        <v>162</v>
      </c>
      <c r="E25" s="13">
        <v>44549</v>
      </c>
      <c r="F25" s="77" t="s">
        <v>101</v>
      </c>
      <c r="G25" s="13">
        <v>44555</v>
      </c>
      <c r="H25" s="78" t="s">
        <v>106</v>
      </c>
      <c r="I25" s="16">
        <v>40</v>
      </c>
      <c r="J25" s="16">
        <v>41</v>
      </c>
      <c r="K25" s="16">
        <v>75</v>
      </c>
      <c r="L25" s="16">
        <v>31</v>
      </c>
      <c r="M25" s="81">
        <v>30.75</v>
      </c>
      <c r="N25" s="73">
        <v>31</v>
      </c>
      <c r="O25" s="65">
        <v>7000</v>
      </c>
      <c r="P25" s="66">
        <f>Table22457891011234567891011[[#This Row],[PEMBULATAN]]*O25</f>
        <v>217000</v>
      </c>
    </row>
    <row r="26" spans="1:16" ht="32.25" customHeight="1" x14ac:dyDescent="0.2">
      <c r="A26" s="14"/>
      <c r="B26" s="14"/>
      <c r="C26" s="74" t="s">
        <v>131</v>
      </c>
      <c r="D26" s="77" t="s">
        <v>162</v>
      </c>
      <c r="E26" s="13">
        <v>44549</v>
      </c>
      <c r="F26" s="77" t="s">
        <v>101</v>
      </c>
      <c r="G26" s="13">
        <v>44555</v>
      </c>
      <c r="H26" s="78" t="s">
        <v>106</v>
      </c>
      <c r="I26" s="16">
        <v>40</v>
      </c>
      <c r="J26" s="16">
        <v>41</v>
      </c>
      <c r="K26" s="16">
        <v>75</v>
      </c>
      <c r="L26" s="16">
        <v>31</v>
      </c>
      <c r="M26" s="81">
        <v>30.75</v>
      </c>
      <c r="N26" s="73">
        <v>31</v>
      </c>
      <c r="O26" s="65">
        <v>7000</v>
      </c>
      <c r="P26" s="66">
        <f>Table22457891011234567891011[[#This Row],[PEMBULATAN]]*O26</f>
        <v>217000</v>
      </c>
    </row>
    <row r="27" spans="1:16" ht="22.5" customHeight="1" x14ac:dyDescent="0.2">
      <c r="A27" s="115" t="s">
        <v>30</v>
      </c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7"/>
      <c r="M27" s="79">
        <f>SUBTOTAL(109,Table22457891011234567891011[KG VOLUME])</f>
        <v>738</v>
      </c>
      <c r="N27" s="69">
        <f>SUM(N3:N26)</f>
        <v>744</v>
      </c>
      <c r="O27" s="118">
        <f>SUM(P3:P26)</f>
        <v>5208000</v>
      </c>
      <c r="P27" s="119"/>
    </row>
    <row r="28" spans="1:16" ht="18" customHeight="1" x14ac:dyDescent="0.2">
      <c r="A28" s="86"/>
      <c r="B28" s="57" t="s">
        <v>42</v>
      </c>
      <c r="C28" s="56"/>
      <c r="D28" s="58" t="s">
        <v>43</v>
      </c>
      <c r="E28" s="86"/>
      <c r="F28" s="86"/>
      <c r="G28" s="86"/>
      <c r="H28" s="86"/>
      <c r="I28" s="86"/>
      <c r="J28" s="86"/>
      <c r="K28" s="86"/>
      <c r="L28" s="86"/>
      <c r="M28" s="87"/>
      <c r="N28" s="88" t="s">
        <v>51</v>
      </c>
      <c r="O28" s="89"/>
      <c r="P28" s="89">
        <f>O27*10%</f>
        <v>520800</v>
      </c>
    </row>
    <row r="29" spans="1:16" ht="18" customHeight="1" thickBot="1" x14ac:dyDescent="0.25">
      <c r="A29" s="86"/>
      <c r="B29" s="57"/>
      <c r="C29" s="56"/>
      <c r="D29" s="58"/>
      <c r="E29" s="86"/>
      <c r="F29" s="86"/>
      <c r="G29" s="86"/>
      <c r="H29" s="86"/>
      <c r="I29" s="86"/>
      <c r="J29" s="86"/>
      <c r="K29" s="86"/>
      <c r="L29" s="86"/>
      <c r="M29" s="87"/>
      <c r="N29" s="90" t="s">
        <v>52</v>
      </c>
      <c r="O29" s="91"/>
      <c r="P29" s="91">
        <f>O27-P28</f>
        <v>4687200</v>
      </c>
    </row>
    <row r="30" spans="1:16" ht="18" customHeight="1" x14ac:dyDescent="0.2">
      <c r="A30" s="11"/>
      <c r="H30" s="64"/>
      <c r="N30" s="63" t="s">
        <v>31</v>
      </c>
      <c r="P30" s="70">
        <f>P29*1%</f>
        <v>46872</v>
      </c>
    </row>
    <row r="31" spans="1:16" ht="18" customHeight="1" thickBot="1" x14ac:dyDescent="0.25">
      <c r="A31" s="11"/>
      <c r="H31" s="64"/>
      <c r="N31" s="63" t="s">
        <v>53</v>
      </c>
      <c r="P31" s="72">
        <f>P29*2%</f>
        <v>93744</v>
      </c>
    </row>
    <row r="32" spans="1:16" ht="18" customHeight="1" x14ac:dyDescent="0.2">
      <c r="A32" s="11"/>
      <c r="H32" s="64"/>
      <c r="N32" s="67" t="s">
        <v>32</v>
      </c>
      <c r="O32" s="68"/>
      <c r="P32" s="71">
        <f>P29+P30-P31</f>
        <v>4640328</v>
      </c>
    </row>
    <row r="34" spans="1:16" x14ac:dyDescent="0.2">
      <c r="A34" s="11"/>
      <c r="H34" s="64"/>
      <c r="P34" s="72"/>
    </row>
    <row r="35" spans="1:16" x14ac:dyDescent="0.2">
      <c r="A35" s="11"/>
      <c r="H35" s="64"/>
      <c r="O35" s="59"/>
      <c r="P35" s="72"/>
    </row>
    <row r="36" spans="1:16" s="3" customFormat="1" x14ac:dyDescent="0.25">
      <c r="A36" s="11"/>
      <c r="B36" s="2"/>
      <c r="C36" s="2"/>
      <c r="E36" s="12"/>
      <c r="H36" s="64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4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4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4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4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4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4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4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4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4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4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4"/>
      <c r="N47" s="15"/>
      <c r="O47" s="15"/>
      <c r="P47" s="15"/>
    </row>
  </sheetData>
  <mergeCells count="2">
    <mergeCell ref="A27:L27"/>
    <mergeCell ref="O27:P27"/>
  </mergeCells>
  <conditionalFormatting sqref="B3">
    <cfRule type="duplicateValues" dxfId="69" priority="2"/>
  </conditionalFormatting>
  <conditionalFormatting sqref="B4">
    <cfRule type="duplicateValues" dxfId="68" priority="1"/>
  </conditionalFormatting>
  <conditionalFormatting sqref="B5:B26">
    <cfRule type="duplicateValues" dxfId="67" priority="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I16" sqref="I1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.71093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3">
        <v>402708</v>
      </c>
      <c r="B3" s="75" t="s">
        <v>132</v>
      </c>
      <c r="C3" s="9" t="s">
        <v>133</v>
      </c>
      <c r="D3" s="77" t="s">
        <v>160</v>
      </c>
      <c r="E3" s="13">
        <v>44551</v>
      </c>
      <c r="F3" s="77" t="s">
        <v>87</v>
      </c>
      <c r="G3" s="13">
        <v>44563</v>
      </c>
      <c r="H3" s="10" t="s">
        <v>135</v>
      </c>
      <c r="I3" s="1">
        <v>63</v>
      </c>
      <c r="J3" s="1">
        <v>43</v>
      </c>
      <c r="K3" s="1">
        <v>75</v>
      </c>
      <c r="L3" s="1">
        <v>31</v>
      </c>
      <c r="M3" s="80">
        <v>50.793750000000003</v>
      </c>
      <c r="N3" s="96">
        <v>50.793750000000003</v>
      </c>
      <c r="O3" s="65">
        <v>7000</v>
      </c>
      <c r="P3" s="66">
        <f>Table2245789101123456789101112[[#This Row],[PEMBULATAN]]*O3</f>
        <v>355556.25</v>
      </c>
    </row>
    <row r="4" spans="1:16" ht="26.25" customHeight="1" x14ac:dyDescent="0.2">
      <c r="A4" s="14"/>
      <c r="B4" s="76"/>
      <c r="C4" s="9" t="s">
        <v>134</v>
      </c>
      <c r="D4" s="77" t="s">
        <v>160</v>
      </c>
      <c r="E4" s="13">
        <v>44551</v>
      </c>
      <c r="F4" s="77" t="s">
        <v>87</v>
      </c>
      <c r="G4" s="13">
        <v>44563</v>
      </c>
      <c r="H4" s="10" t="s">
        <v>135</v>
      </c>
      <c r="I4" s="1">
        <v>80</v>
      </c>
      <c r="J4" s="1">
        <v>44</v>
      </c>
      <c r="K4" s="1">
        <v>35</v>
      </c>
      <c r="L4" s="1">
        <v>11</v>
      </c>
      <c r="M4" s="80">
        <v>30.8</v>
      </c>
      <c r="N4" s="96">
        <v>30.8</v>
      </c>
      <c r="O4" s="65">
        <v>7000</v>
      </c>
      <c r="P4" s="66">
        <f>Table2245789101123456789101112[[#This Row],[PEMBULATAN]]*O4</f>
        <v>215600</v>
      </c>
    </row>
    <row r="5" spans="1:16" ht="22.5" customHeight="1" x14ac:dyDescent="0.2">
      <c r="A5" s="115" t="s">
        <v>30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7"/>
      <c r="M5" s="79">
        <f>SUBTOTAL(109,Table2245789101123456789101112[KG VOLUME])</f>
        <v>81.59375</v>
      </c>
      <c r="N5" s="69">
        <f>SUM(N3:N4)</f>
        <v>81.59375</v>
      </c>
      <c r="O5" s="118">
        <f>SUM(P3:P4)</f>
        <v>571156.25</v>
      </c>
      <c r="P5" s="119"/>
    </row>
    <row r="6" spans="1:16" ht="18" customHeight="1" x14ac:dyDescent="0.2">
      <c r="A6" s="86"/>
      <c r="B6" s="57" t="s">
        <v>42</v>
      </c>
      <c r="C6" s="56"/>
      <c r="D6" s="58" t="s">
        <v>43</v>
      </c>
      <c r="E6" s="86"/>
      <c r="F6" s="86"/>
      <c r="G6" s="86"/>
      <c r="H6" s="86"/>
      <c r="I6" s="86"/>
      <c r="J6" s="86"/>
      <c r="K6" s="86"/>
      <c r="L6" s="86"/>
      <c r="M6" s="87"/>
      <c r="N6" s="88" t="s">
        <v>51</v>
      </c>
      <c r="O6" s="89"/>
      <c r="P6" s="89">
        <f>O5*10%</f>
        <v>57115.625</v>
      </c>
    </row>
    <row r="7" spans="1:16" ht="18" customHeight="1" thickBot="1" x14ac:dyDescent="0.25">
      <c r="A7" s="86"/>
      <c r="B7" s="57"/>
      <c r="C7" s="56"/>
      <c r="D7" s="58"/>
      <c r="E7" s="86"/>
      <c r="F7" s="86"/>
      <c r="G7" s="86"/>
      <c r="H7" s="86"/>
      <c r="I7" s="86"/>
      <c r="J7" s="86"/>
      <c r="K7" s="86"/>
      <c r="L7" s="86"/>
      <c r="M7" s="87"/>
      <c r="N7" s="90" t="s">
        <v>52</v>
      </c>
      <c r="O7" s="91"/>
      <c r="P7" s="91">
        <f>O5-P6</f>
        <v>514040.625</v>
      </c>
    </row>
    <row r="8" spans="1:16" ht="18" customHeight="1" x14ac:dyDescent="0.2">
      <c r="A8" s="11"/>
      <c r="H8" s="64"/>
      <c r="N8" s="63" t="s">
        <v>31</v>
      </c>
      <c r="P8" s="70">
        <f>P7*1%</f>
        <v>5140.40625</v>
      </c>
    </row>
    <row r="9" spans="1:16" ht="18" customHeight="1" thickBot="1" x14ac:dyDescent="0.25">
      <c r="A9" s="11"/>
      <c r="H9" s="64"/>
      <c r="N9" s="63" t="s">
        <v>53</v>
      </c>
      <c r="P9" s="72">
        <f>P7*2%</f>
        <v>10280.8125</v>
      </c>
    </row>
    <row r="10" spans="1:16" ht="18" customHeight="1" x14ac:dyDescent="0.2">
      <c r="A10" s="11"/>
      <c r="H10" s="64"/>
      <c r="N10" s="67" t="s">
        <v>32</v>
      </c>
      <c r="O10" s="68"/>
      <c r="P10" s="71">
        <f>P7+P8-P9</f>
        <v>508900.21875</v>
      </c>
    </row>
    <row r="12" spans="1:16" x14ac:dyDescent="0.2">
      <c r="A12" s="11"/>
      <c r="H12" s="64"/>
      <c r="P12" s="72"/>
    </row>
    <row r="13" spans="1:16" x14ac:dyDescent="0.2">
      <c r="A13" s="11"/>
      <c r="H13" s="64"/>
      <c r="O13" s="59"/>
      <c r="P13" s="72"/>
    </row>
    <row r="14" spans="1:16" s="3" customFormat="1" x14ac:dyDescent="0.25">
      <c r="A14" s="11"/>
      <c r="B14" s="2"/>
      <c r="C14" s="2"/>
      <c r="E14" s="12"/>
      <c r="H14" s="64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51" priority="2"/>
  </conditionalFormatting>
  <conditionalFormatting sqref="B4">
    <cfRule type="duplicateValues" dxfId="50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I2" sqref="I2"/>
    </sheetView>
  </sheetViews>
  <sheetFormatPr defaultRowHeight="15" x14ac:dyDescent="0.2"/>
  <cols>
    <col min="1" max="1" width="8.28515625" style="4" customWidth="1"/>
    <col min="2" max="2" width="19.5703125" style="2" customWidth="1"/>
    <col min="3" max="3" width="14.5703125" style="2" customWidth="1"/>
    <col min="4" max="4" width="10" style="3" customWidth="1"/>
    <col min="5" max="5" width="8" style="12" customWidth="1"/>
    <col min="6" max="6" width="11.85546875" style="3" customWidth="1"/>
    <col min="7" max="7" width="9.5703125" style="3" customWidth="1"/>
    <col min="8" max="8" width="1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3">
        <v>402716</v>
      </c>
      <c r="B3" s="75" t="s">
        <v>136</v>
      </c>
      <c r="C3" s="9" t="s">
        <v>137</v>
      </c>
      <c r="D3" s="77" t="s">
        <v>160</v>
      </c>
      <c r="E3" s="13">
        <v>44553</v>
      </c>
      <c r="F3" s="77" t="s">
        <v>87</v>
      </c>
      <c r="G3" s="13">
        <v>44563</v>
      </c>
      <c r="H3" s="10" t="s">
        <v>135</v>
      </c>
      <c r="I3" s="1">
        <v>39</v>
      </c>
      <c r="J3" s="1">
        <v>29</v>
      </c>
      <c r="K3" s="1">
        <v>15</v>
      </c>
      <c r="L3" s="1">
        <v>10</v>
      </c>
      <c r="M3" s="80">
        <v>4.24125</v>
      </c>
      <c r="N3" s="8">
        <v>10</v>
      </c>
      <c r="O3" s="65">
        <v>7000</v>
      </c>
      <c r="P3" s="66">
        <f>Table224578910112345678910111213[[#This Row],[PEMBULATAN]]*O3</f>
        <v>70000</v>
      </c>
    </row>
    <row r="4" spans="1:16" ht="26.25" customHeight="1" x14ac:dyDescent="0.2">
      <c r="A4" s="14"/>
      <c r="B4" s="98"/>
      <c r="C4" s="9" t="s">
        <v>138</v>
      </c>
      <c r="D4" s="77" t="s">
        <v>160</v>
      </c>
      <c r="E4" s="13">
        <v>44553</v>
      </c>
      <c r="F4" s="77" t="s">
        <v>87</v>
      </c>
      <c r="G4" s="13">
        <v>44563</v>
      </c>
      <c r="H4" s="10" t="s">
        <v>135</v>
      </c>
      <c r="I4" s="1">
        <v>33</v>
      </c>
      <c r="J4" s="1">
        <v>24</v>
      </c>
      <c r="K4" s="1">
        <v>20</v>
      </c>
      <c r="L4" s="1">
        <v>8</v>
      </c>
      <c r="M4" s="80">
        <v>3.96</v>
      </c>
      <c r="N4" s="8">
        <v>8</v>
      </c>
      <c r="O4" s="65">
        <v>7000</v>
      </c>
      <c r="P4" s="66">
        <f>Table224578910112345678910111213[[#This Row],[PEMBULATAN]]*O4</f>
        <v>56000</v>
      </c>
    </row>
    <row r="5" spans="1:16" ht="26.25" customHeight="1" x14ac:dyDescent="0.2">
      <c r="A5" s="14"/>
      <c r="B5" s="14" t="s">
        <v>139</v>
      </c>
      <c r="C5" s="9" t="s">
        <v>140</v>
      </c>
      <c r="D5" s="77" t="s">
        <v>160</v>
      </c>
      <c r="E5" s="13">
        <v>44553</v>
      </c>
      <c r="F5" s="77" t="s">
        <v>87</v>
      </c>
      <c r="G5" s="13">
        <v>44563</v>
      </c>
      <c r="H5" s="10" t="s">
        <v>135</v>
      </c>
      <c r="I5" s="1">
        <v>58</v>
      </c>
      <c r="J5" s="1">
        <v>41</v>
      </c>
      <c r="K5" s="1">
        <v>8</v>
      </c>
      <c r="L5" s="1">
        <v>10</v>
      </c>
      <c r="M5" s="80">
        <v>4.7560000000000002</v>
      </c>
      <c r="N5" s="8">
        <v>10</v>
      </c>
      <c r="O5" s="65">
        <v>7000</v>
      </c>
      <c r="P5" s="66">
        <f>Table224578910112345678910111213[[#This Row],[PEMBULATAN]]*O5</f>
        <v>70000</v>
      </c>
    </row>
    <row r="6" spans="1:16" ht="26.25" customHeight="1" x14ac:dyDescent="0.2">
      <c r="A6" s="14"/>
      <c r="B6" s="14"/>
      <c r="C6" s="74" t="s">
        <v>141</v>
      </c>
      <c r="D6" s="77" t="s">
        <v>160</v>
      </c>
      <c r="E6" s="13">
        <v>44553</v>
      </c>
      <c r="F6" s="77" t="s">
        <v>87</v>
      </c>
      <c r="G6" s="13">
        <v>44563</v>
      </c>
      <c r="H6" s="78" t="s">
        <v>135</v>
      </c>
      <c r="I6" s="16">
        <v>58</v>
      </c>
      <c r="J6" s="16">
        <v>41</v>
      </c>
      <c r="K6" s="16">
        <v>8</v>
      </c>
      <c r="L6" s="16">
        <v>10</v>
      </c>
      <c r="M6" s="81">
        <v>4.7560000000000002</v>
      </c>
      <c r="N6" s="73">
        <v>10</v>
      </c>
      <c r="O6" s="65">
        <v>7000</v>
      </c>
      <c r="P6" s="66">
        <f>Table224578910112345678910111213[[#This Row],[PEMBULATAN]]*O6</f>
        <v>70000</v>
      </c>
    </row>
    <row r="7" spans="1:16" ht="26.25" customHeight="1" x14ac:dyDescent="0.2">
      <c r="A7" s="14"/>
      <c r="B7" s="14"/>
      <c r="C7" s="74" t="s">
        <v>142</v>
      </c>
      <c r="D7" s="77" t="s">
        <v>160</v>
      </c>
      <c r="E7" s="13">
        <v>44553</v>
      </c>
      <c r="F7" s="77" t="s">
        <v>87</v>
      </c>
      <c r="G7" s="13">
        <v>44563</v>
      </c>
      <c r="H7" s="78" t="s">
        <v>135</v>
      </c>
      <c r="I7" s="16">
        <v>58</v>
      </c>
      <c r="J7" s="16">
        <v>41</v>
      </c>
      <c r="K7" s="16">
        <v>8</v>
      </c>
      <c r="L7" s="16">
        <v>10</v>
      </c>
      <c r="M7" s="81">
        <v>4.7560000000000002</v>
      </c>
      <c r="N7" s="73">
        <v>10</v>
      </c>
      <c r="O7" s="65">
        <v>7000</v>
      </c>
      <c r="P7" s="66">
        <f>Table224578910112345678910111213[[#This Row],[PEMBULATAN]]*O7</f>
        <v>70000</v>
      </c>
    </row>
    <row r="8" spans="1:16" ht="26.25" customHeight="1" x14ac:dyDescent="0.2">
      <c r="A8" s="14"/>
      <c r="B8" s="14"/>
      <c r="C8" s="74" t="s">
        <v>143</v>
      </c>
      <c r="D8" s="77" t="s">
        <v>160</v>
      </c>
      <c r="E8" s="13">
        <v>44553</v>
      </c>
      <c r="F8" s="77" t="s">
        <v>87</v>
      </c>
      <c r="G8" s="13">
        <v>44563</v>
      </c>
      <c r="H8" s="78" t="s">
        <v>135</v>
      </c>
      <c r="I8" s="16">
        <v>58</v>
      </c>
      <c r="J8" s="16">
        <v>41</v>
      </c>
      <c r="K8" s="16">
        <v>8</v>
      </c>
      <c r="L8" s="16">
        <v>10</v>
      </c>
      <c r="M8" s="81">
        <v>4.7560000000000002</v>
      </c>
      <c r="N8" s="73">
        <v>10</v>
      </c>
      <c r="O8" s="65">
        <v>7000</v>
      </c>
      <c r="P8" s="66">
        <f>Table224578910112345678910111213[[#This Row],[PEMBULATAN]]*O8</f>
        <v>70000</v>
      </c>
    </row>
    <row r="9" spans="1:16" ht="26.25" customHeight="1" x14ac:dyDescent="0.2">
      <c r="A9" s="14"/>
      <c r="B9" s="14"/>
      <c r="C9" s="74" t="s">
        <v>144</v>
      </c>
      <c r="D9" s="77" t="s">
        <v>160</v>
      </c>
      <c r="E9" s="13">
        <v>44553</v>
      </c>
      <c r="F9" s="77" t="s">
        <v>87</v>
      </c>
      <c r="G9" s="13">
        <v>44563</v>
      </c>
      <c r="H9" s="78" t="s">
        <v>135</v>
      </c>
      <c r="I9" s="16">
        <v>39</v>
      </c>
      <c r="J9" s="16">
        <v>29</v>
      </c>
      <c r="K9" s="16">
        <v>15</v>
      </c>
      <c r="L9" s="16">
        <v>10</v>
      </c>
      <c r="M9" s="81">
        <v>4.24125</v>
      </c>
      <c r="N9" s="73">
        <v>10</v>
      </c>
      <c r="O9" s="65">
        <v>7000</v>
      </c>
      <c r="P9" s="66">
        <f>Table224578910112345678910111213[[#This Row],[PEMBULATAN]]*O9</f>
        <v>70000</v>
      </c>
    </row>
    <row r="10" spans="1:16" ht="26.25" customHeight="1" x14ac:dyDescent="0.2">
      <c r="A10" s="14"/>
      <c r="B10" s="14"/>
      <c r="C10" s="74" t="s">
        <v>145</v>
      </c>
      <c r="D10" s="77" t="s">
        <v>160</v>
      </c>
      <c r="E10" s="13">
        <v>44553</v>
      </c>
      <c r="F10" s="77" t="s">
        <v>87</v>
      </c>
      <c r="G10" s="13">
        <v>44563</v>
      </c>
      <c r="H10" s="78" t="s">
        <v>135</v>
      </c>
      <c r="I10" s="16">
        <v>38</v>
      </c>
      <c r="J10" s="16">
        <v>28</v>
      </c>
      <c r="K10" s="16">
        <v>15</v>
      </c>
      <c r="L10" s="16">
        <v>10</v>
      </c>
      <c r="M10" s="81">
        <v>3.99</v>
      </c>
      <c r="N10" s="73">
        <v>10</v>
      </c>
      <c r="O10" s="65">
        <v>7000</v>
      </c>
      <c r="P10" s="66">
        <f>Table224578910112345678910111213[[#This Row],[PEMBULATAN]]*O10</f>
        <v>70000</v>
      </c>
    </row>
    <row r="11" spans="1:16" ht="26.25" customHeight="1" x14ac:dyDescent="0.2">
      <c r="A11" s="14"/>
      <c r="B11" s="14"/>
      <c r="C11" s="74" t="s">
        <v>146</v>
      </c>
      <c r="D11" s="77" t="s">
        <v>160</v>
      </c>
      <c r="E11" s="13">
        <v>44553</v>
      </c>
      <c r="F11" s="77" t="s">
        <v>87</v>
      </c>
      <c r="G11" s="13">
        <v>44563</v>
      </c>
      <c r="H11" s="78" t="s">
        <v>135</v>
      </c>
      <c r="I11" s="16">
        <v>33</v>
      </c>
      <c r="J11" s="16">
        <v>24</v>
      </c>
      <c r="K11" s="16">
        <v>20</v>
      </c>
      <c r="L11" s="16">
        <v>8</v>
      </c>
      <c r="M11" s="81">
        <v>3.96</v>
      </c>
      <c r="N11" s="73">
        <v>8</v>
      </c>
      <c r="O11" s="65">
        <v>7000</v>
      </c>
      <c r="P11" s="66">
        <f>Table224578910112345678910111213[[#This Row],[PEMBULATAN]]*O11</f>
        <v>56000</v>
      </c>
    </row>
    <row r="12" spans="1:16" ht="26.25" customHeight="1" x14ac:dyDescent="0.2">
      <c r="A12" s="14"/>
      <c r="B12" s="14"/>
      <c r="C12" s="74" t="s">
        <v>147</v>
      </c>
      <c r="D12" s="77" t="s">
        <v>160</v>
      </c>
      <c r="E12" s="13">
        <v>44553</v>
      </c>
      <c r="F12" s="77" t="s">
        <v>87</v>
      </c>
      <c r="G12" s="13">
        <v>44563</v>
      </c>
      <c r="H12" s="78" t="s">
        <v>135</v>
      </c>
      <c r="I12" s="16">
        <v>33</v>
      </c>
      <c r="J12" s="16">
        <v>24</v>
      </c>
      <c r="K12" s="16">
        <v>20</v>
      </c>
      <c r="L12" s="16">
        <v>8</v>
      </c>
      <c r="M12" s="81">
        <v>3.96</v>
      </c>
      <c r="N12" s="73">
        <v>8</v>
      </c>
      <c r="O12" s="65">
        <v>7000</v>
      </c>
      <c r="P12" s="66">
        <f>Table224578910112345678910111213[[#This Row],[PEMBULATAN]]*O12</f>
        <v>56000</v>
      </c>
    </row>
    <row r="13" spans="1:16" ht="26.25" customHeight="1" x14ac:dyDescent="0.2">
      <c r="A13" s="14"/>
      <c r="B13" s="14"/>
      <c r="C13" s="74" t="s">
        <v>148</v>
      </c>
      <c r="D13" s="77" t="s">
        <v>160</v>
      </c>
      <c r="E13" s="13">
        <v>44553</v>
      </c>
      <c r="F13" s="77" t="s">
        <v>87</v>
      </c>
      <c r="G13" s="13">
        <v>44563</v>
      </c>
      <c r="H13" s="78" t="s">
        <v>135</v>
      </c>
      <c r="I13" s="16">
        <v>44</v>
      </c>
      <c r="J13" s="16">
        <v>34</v>
      </c>
      <c r="K13" s="16">
        <v>30</v>
      </c>
      <c r="L13" s="16">
        <v>10</v>
      </c>
      <c r="M13" s="81">
        <v>11.22</v>
      </c>
      <c r="N13" s="96">
        <v>11.22</v>
      </c>
      <c r="O13" s="65">
        <v>7000</v>
      </c>
      <c r="P13" s="66">
        <f>Table224578910112345678910111213[[#This Row],[PEMBULATAN]]*O13</f>
        <v>78540</v>
      </c>
    </row>
    <row r="14" spans="1:16" ht="26.25" customHeight="1" x14ac:dyDescent="0.2">
      <c r="A14" s="14"/>
      <c r="B14" s="14"/>
      <c r="C14" s="74" t="s">
        <v>149</v>
      </c>
      <c r="D14" s="77" t="s">
        <v>160</v>
      </c>
      <c r="E14" s="13">
        <v>44553</v>
      </c>
      <c r="F14" s="77" t="s">
        <v>87</v>
      </c>
      <c r="G14" s="13">
        <v>44563</v>
      </c>
      <c r="H14" s="78" t="s">
        <v>135</v>
      </c>
      <c r="I14" s="16">
        <v>44</v>
      </c>
      <c r="J14" s="16">
        <v>34</v>
      </c>
      <c r="K14" s="16">
        <v>30</v>
      </c>
      <c r="L14" s="16">
        <v>10</v>
      </c>
      <c r="M14" s="81">
        <v>11.22</v>
      </c>
      <c r="N14" s="96">
        <v>11.22</v>
      </c>
      <c r="O14" s="65">
        <v>7000</v>
      </c>
      <c r="P14" s="66">
        <f>Table224578910112345678910111213[[#This Row],[PEMBULATAN]]*O14</f>
        <v>78540</v>
      </c>
    </row>
    <row r="15" spans="1:16" ht="26.25" customHeight="1" x14ac:dyDescent="0.2">
      <c r="A15" s="14"/>
      <c r="B15" s="14"/>
      <c r="C15" s="74" t="s">
        <v>150</v>
      </c>
      <c r="D15" s="77" t="s">
        <v>160</v>
      </c>
      <c r="E15" s="13">
        <v>44553</v>
      </c>
      <c r="F15" s="77" t="s">
        <v>87</v>
      </c>
      <c r="G15" s="13">
        <v>44563</v>
      </c>
      <c r="H15" s="78" t="s">
        <v>135</v>
      </c>
      <c r="I15" s="16">
        <v>41</v>
      </c>
      <c r="J15" s="16">
        <v>36</v>
      </c>
      <c r="K15" s="16">
        <v>18</v>
      </c>
      <c r="L15" s="16">
        <v>10</v>
      </c>
      <c r="M15" s="81">
        <v>6.6420000000000003</v>
      </c>
      <c r="N15" s="73">
        <v>10</v>
      </c>
      <c r="O15" s="65">
        <v>7000</v>
      </c>
      <c r="P15" s="66">
        <f>Table224578910112345678910111213[[#This Row],[PEMBULATAN]]*O15</f>
        <v>70000</v>
      </c>
    </row>
    <row r="16" spans="1:16" ht="22.5" customHeight="1" x14ac:dyDescent="0.2">
      <c r="A16" s="115" t="s">
        <v>30</v>
      </c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7"/>
      <c r="M16" s="79">
        <f>SUBTOTAL(109,Table224578910112345678910111213[KG VOLUME])</f>
        <v>72.458500000000001</v>
      </c>
      <c r="N16" s="69">
        <f>SUM(N3:N15)</f>
        <v>126.44</v>
      </c>
      <c r="O16" s="118">
        <f>SUM(P3:P15)</f>
        <v>885080</v>
      </c>
      <c r="P16" s="119"/>
    </row>
    <row r="17" spans="1:16" ht="18" customHeight="1" x14ac:dyDescent="0.2">
      <c r="A17" s="86"/>
      <c r="B17" s="57" t="s">
        <v>42</v>
      </c>
      <c r="C17" s="56"/>
      <c r="D17" s="58" t="s">
        <v>43</v>
      </c>
      <c r="E17" s="86"/>
      <c r="F17" s="86"/>
      <c r="G17" s="86"/>
      <c r="H17" s="86"/>
      <c r="I17" s="86"/>
      <c r="J17" s="86"/>
      <c r="K17" s="86"/>
      <c r="L17" s="86"/>
      <c r="M17" s="87"/>
      <c r="N17" s="88" t="s">
        <v>51</v>
      </c>
      <c r="O17" s="89"/>
      <c r="P17" s="89">
        <f>O16*10%</f>
        <v>88508</v>
      </c>
    </row>
    <row r="18" spans="1:16" ht="18" customHeight="1" thickBot="1" x14ac:dyDescent="0.25">
      <c r="A18" s="86"/>
      <c r="B18" s="57"/>
      <c r="C18" s="56"/>
      <c r="D18" s="58"/>
      <c r="E18" s="86"/>
      <c r="F18" s="86"/>
      <c r="G18" s="86"/>
      <c r="H18" s="86"/>
      <c r="I18" s="86"/>
      <c r="J18" s="86"/>
      <c r="K18" s="86"/>
      <c r="L18" s="86"/>
      <c r="M18" s="87"/>
      <c r="N18" s="90" t="s">
        <v>52</v>
      </c>
      <c r="O18" s="91"/>
      <c r="P18" s="91">
        <f>O16-P17</f>
        <v>796572</v>
      </c>
    </row>
    <row r="19" spans="1:16" ht="18" customHeight="1" x14ac:dyDescent="0.2">
      <c r="A19" s="11"/>
      <c r="H19" s="64"/>
      <c r="N19" s="63" t="s">
        <v>31</v>
      </c>
      <c r="P19" s="70">
        <f>P18*1%</f>
        <v>7965.72</v>
      </c>
    </row>
    <row r="20" spans="1:16" ht="18" customHeight="1" thickBot="1" x14ac:dyDescent="0.25">
      <c r="A20" s="11"/>
      <c r="H20" s="64"/>
      <c r="N20" s="63" t="s">
        <v>53</v>
      </c>
      <c r="P20" s="72">
        <f>P18*2%</f>
        <v>15931.44</v>
      </c>
    </row>
    <row r="21" spans="1:16" ht="18" customHeight="1" x14ac:dyDescent="0.2">
      <c r="A21" s="11"/>
      <c r="H21" s="64"/>
      <c r="N21" s="67" t="s">
        <v>32</v>
      </c>
      <c r="O21" s="68"/>
      <c r="P21" s="71">
        <f>P18+P19-P20</f>
        <v>788606.28</v>
      </c>
    </row>
    <row r="23" spans="1:16" x14ac:dyDescent="0.2">
      <c r="A23" s="11"/>
      <c r="H23" s="64"/>
      <c r="P23" s="72"/>
    </row>
    <row r="24" spans="1:16" x14ac:dyDescent="0.2">
      <c r="A24" s="11"/>
      <c r="H24" s="64"/>
      <c r="O24" s="59"/>
      <c r="P24" s="72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4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4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4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4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4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4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4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4"/>
      <c r="N36" s="15"/>
      <c r="O36" s="15"/>
      <c r="P36" s="15"/>
    </row>
  </sheetData>
  <mergeCells count="2">
    <mergeCell ref="A16:L16"/>
    <mergeCell ref="O16:P16"/>
  </mergeCells>
  <conditionalFormatting sqref="B3">
    <cfRule type="duplicateValues" dxfId="34" priority="2"/>
  </conditionalFormatting>
  <conditionalFormatting sqref="B4">
    <cfRule type="duplicateValues" dxfId="33" priority="1"/>
  </conditionalFormatting>
  <conditionalFormatting sqref="B5:B15">
    <cfRule type="duplicateValues" dxfId="32" priority="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L13" sqref="L12:L1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.71093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3">
        <v>402761</v>
      </c>
      <c r="B3" s="75" t="s">
        <v>151</v>
      </c>
      <c r="C3" s="9" t="s">
        <v>152</v>
      </c>
      <c r="D3" s="77" t="s">
        <v>160</v>
      </c>
      <c r="E3" s="13">
        <v>44561</v>
      </c>
      <c r="F3" s="77" t="s">
        <v>87</v>
      </c>
      <c r="G3" s="13">
        <v>44569</v>
      </c>
      <c r="H3" s="10" t="s">
        <v>154</v>
      </c>
      <c r="I3" s="1">
        <v>53</v>
      </c>
      <c r="J3" s="1">
        <v>12</v>
      </c>
      <c r="K3" s="1">
        <v>12</v>
      </c>
      <c r="L3" s="1">
        <v>5</v>
      </c>
      <c r="M3" s="80">
        <v>1.9079999999999999</v>
      </c>
      <c r="N3" s="8">
        <v>5</v>
      </c>
      <c r="O3" s="65">
        <v>7000</v>
      </c>
      <c r="P3" s="66">
        <f>Table22457891011234567891011121314[[#This Row],[PEMBULATAN]]*O3</f>
        <v>35000</v>
      </c>
    </row>
    <row r="4" spans="1:16" ht="26.25" customHeight="1" x14ac:dyDescent="0.2">
      <c r="A4" s="14"/>
      <c r="B4" s="76"/>
      <c r="C4" s="9" t="s">
        <v>153</v>
      </c>
      <c r="D4" s="77" t="s">
        <v>160</v>
      </c>
      <c r="E4" s="13">
        <v>44561</v>
      </c>
      <c r="F4" s="77" t="s">
        <v>87</v>
      </c>
      <c r="G4" s="13">
        <v>44569</v>
      </c>
      <c r="H4" s="10" t="s">
        <v>154</v>
      </c>
      <c r="I4" s="1">
        <v>31</v>
      </c>
      <c r="J4" s="1">
        <v>23</v>
      </c>
      <c r="K4" s="1">
        <v>8</v>
      </c>
      <c r="L4" s="1">
        <v>5</v>
      </c>
      <c r="M4" s="80">
        <v>1.4259999999999999</v>
      </c>
      <c r="N4" s="8">
        <v>5</v>
      </c>
      <c r="O4" s="65">
        <v>7000</v>
      </c>
      <c r="P4" s="66">
        <f>Table22457891011234567891011121314[[#This Row],[PEMBULATAN]]*O4</f>
        <v>35000</v>
      </c>
    </row>
    <row r="5" spans="1:16" ht="22.5" customHeight="1" x14ac:dyDescent="0.2">
      <c r="A5" s="115" t="s">
        <v>30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7"/>
      <c r="M5" s="79">
        <f>SUBTOTAL(109,Table22457891011234567891011121314[KG VOLUME])</f>
        <v>3.3339999999999996</v>
      </c>
      <c r="N5" s="69">
        <f>SUM(N3:N4)</f>
        <v>10</v>
      </c>
      <c r="O5" s="118">
        <f>SUM(P3:P4)</f>
        <v>70000</v>
      </c>
      <c r="P5" s="119"/>
    </row>
    <row r="6" spans="1:16" ht="18" customHeight="1" x14ac:dyDescent="0.2">
      <c r="A6" s="86"/>
      <c r="B6" s="57" t="s">
        <v>42</v>
      </c>
      <c r="C6" s="56"/>
      <c r="D6" s="58" t="s">
        <v>43</v>
      </c>
      <c r="E6" s="86"/>
      <c r="F6" s="86"/>
      <c r="G6" s="86"/>
      <c r="H6" s="86"/>
      <c r="I6" s="86"/>
      <c r="J6" s="86"/>
      <c r="K6" s="86"/>
      <c r="L6" s="86"/>
      <c r="M6" s="87"/>
      <c r="N6" s="88" t="s">
        <v>51</v>
      </c>
      <c r="O6" s="89"/>
      <c r="P6" s="89">
        <f>O5*10%</f>
        <v>7000</v>
      </c>
    </row>
    <row r="7" spans="1:16" ht="18" customHeight="1" thickBot="1" x14ac:dyDescent="0.25">
      <c r="A7" s="86"/>
      <c r="B7" s="57"/>
      <c r="C7" s="56"/>
      <c r="D7" s="58"/>
      <c r="E7" s="86"/>
      <c r="F7" s="86"/>
      <c r="G7" s="86"/>
      <c r="H7" s="86"/>
      <c r="I7" s="86"/>
      <c r="J7" s="86"/>
      <c r="K7" s="86"/>
      <c r="L7" s="86"/>
      <c r="M7" s="87"/>
      <c r="N7" s="90" t="s">
        <v>52</v>
      </c>
      <c r="O7" s="91"/>
      <c r="P7" s="91">
        <f>O5-P6</f>
        <v>63000</v>
      </c>
    </row>
    <row r="8" spans="1:16" ht="18" customHeight="1" x14ac:dyDescent="0.2">
      <c r="A8" s="11"/>
      <c r="H8" s="64"/>
      <c r="N8" s="63" t="s">
        <v>31</v>
      </c>
      <c r="P8" s="70">
        <f>P7*1%</f>
        <v>630</v>
      </c>
    </row>
    <row r="9" spans="1:16" ht="18" customHeight="1" thickBot="1" x14ac:dyDescent="0.25">
      <c r="A9" s="11"/>
      <c r="H9" s="64"/>
      <c r="N9" s="63" t="s">
        <v>53</v>
      </c>
      <c r="P9" s="72">
        <f>P7*2%</f>
        <v>1260</v>
      </c>
    </row>
    <row r="10" spans="1:16" ht="18" customHeight="1" x14ac:dyDescent="0.2">
      <c r="A10" s="11"/>
      <c r="H10" s="64"/>
      <c r="N10" s="67" t="s">
        <v>32</v>
      </c>
      <c r="O10" s="68"/>
      <c r="P10" s="71">
        <f>P7+P8-P9</f>
        <v>62370</v>
      </c>
    </row>
    <row r="12" spans="1:16" x14ac:dyDescent="0.2">
      <c r="A12" s="11"/>
      <c r="H12" s="64"/>
      <c r="P12" s="72"/>
    </row>
    <row r="13" spans="1:16" x14ac:dyDescent="0.2">
      <c r="A13" s="11"/>
      <c r="H13" s="64"/>
      <c r="O13" s="59"/>
      <c r="P13" s="72"/>
    </row>
    <row r="14" spans="1:16" s="3" customFormat="1" x14ac:dyDescent="0.25">
      <c r="A14" s="11"/>
      <c r="B14" s="2"/>
      <c r="C14" s="2"/>
      <c r="E14" s="12"/>
      <c r="H14" s="64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16" priority="2"/>
  </conditionalFormatting>
  <conditionalFormatting sqref="B4">
    <cfRule type="duplicateValues" dxfId="15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J7" sqref="J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.85546875" style="3" customWidth="1"/>
    <col min="5" max="5" width="8" style="12" customWidth="1"/>
    <col min="6" max="6" width="11.85546875" style="3" customWidth="1"/>
    <col min="7" max="7" width="9.5703125" style="3" customWidth="1"/>
    <col min="8" max="8" width="15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57031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3">
        <v>403745</v>
      </c>
      <c r="B3" s="75" t="s">
        <v>56</v>
      </c>
      <c r="C3" s="9" t="s">
        <v>57</v>
      </c>
      <c r="D3" s="77" t="s">
        <v>160</v>
      </c>
      <c r="E3" s="13">
        <v>44531</v>
      </c>
      <c r="F3" s="77" t="s">
        <v>58</v>
      </c>
      <c r="G3" s="13">
        <v>44536</v>
      </c>
      <c r="H3" s="10" t="s">
        <v>59</v>
      </c>
      <c r="I3" s="1">
        <v>50</v>
      </c>
      <c r="J3" s="1">
        <v>48</v>
      </c>
      <c r="K3" s="1">
        <v>30</v>
      </c>
      <c r="L3" s="1">
        <v>4</v>
      </c>
      <c r="M3" s="80">
        <v>18</v>
      </c>
      <c r="N3" s="8">
        <v>18</v>
      </c>
      <c r="O3" s="65">
        <v>7000</v>
      </c>
      <c r="P3" s="66">
        <f>Table224578910112[[#This Row],[PEMBULATAN]]*O3</f>
        <v>126000</v>
      </c>
    </row>
    <row r="4" spans="1:16" ht="22.5" customHeight="1" x14ac:dyDescent="0.2">
      <c r="A4" s="115" t="s">
        <v>30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7"/>
      <c r="M4" s="79">
        <f>SUBTOTAL(109,Table224578910112[KG VOLUME])</f>
        <v>18</v>
      </c>
      <c r="N4" s="69">
        <f>SUM(N3:N3)</f>
        <v>18</v>
      </c>
      <c r="O4" s="118">
        <f>SUM(P3:P3)</f>
        <v>126000</v>
      </c>
      <c r="P4" s="119"/>
    </row>
    <row r="5" spans="1:16" ht="18" customHeight="1" x14ac:dyDescent="0.2">
      <c r="A5" s="86"/>
      <c r="B5" s="57" t="s">
        <v>42</v>
      </c>
      <c r="C5" s="56"/>
      <c r="D5" s="58" t="s">
        <v>43</v>
      </c>
      <c r="E5" s="86"/>
      <c r="F5" s="86"/>
      <c r="G5" s="86"/>
      <c r="H5" s="86"/>
      <c r="I5" s="86"/>
      <c r="J5" s="86"/>
      <c r="K5" s="86"/>
      <c r="L5" s="86"/>
      <c r="M5" s="87"/>
      <c r="N5" s="88" t="s">
        <v>51</v>
      </c>
      <c r="O5" s="89"/>
      <c r="P5" s="89">
        <f>O4*10%</f>
        <v>12600</v>
      </c>
    </row>
    <row r="6" spans="1:16" ht="18" customHeight="1" thickBot="1" x14ac:dyDescent="0.25">
      <c r="A6" s="86"/>
      <c r="B6" s="57"/>
      <c r="C6" s="56"/>
      <c r="D6" s="58"/>
      <c r="E6" s="86"/>
      <c r="F6" s="86"/>
      <c r="G6" s="86"/>
      <c r="H6" s="86"/>
      <c r="I6" s="86"/>
      <c r="J6" s="86"/>
      <c r="K6" s="86"/>
      <c r="L6" s="86"/>
      <c r="M6" s="87"/>
      <c r="N6" s="90" t="s">
        <v>52</v>
      </c>
      <c r="O6" s="91"/>
      <c r="P6" s="91">
        <f>O4-P5</f>
        <v>113400</v>
      </c>
    </row>
    <row r="7" spans="1:16" ht="18" customHeight="1" x14ac:dyDescent="0.2">
      <c r="A7" s="11"/>
      <c r="H7" s="64"/>
      <c r="N7" s="63" t="s">
        <v>31</v>
      </c>
      <c r="P7" s="70">
        <f>P6*1%</f>
        <v>1134</v>
      </c>
    </row>
    <row r="8" spans="1:16" ht="18" customHeight="1" thickBot="1" x14ac:dyDescent="0.25">
      <c r="A8" s="11"/>
      <c r="H8" s="64"/>
      <c r="N8" s="63" t="s">
        <v>53</v>
      </c>
      <c r="P8" s="72">
        <f>P6*2%</f>
        <v>2268</v>
      </c>
    </row>
    <row r="9" spans="1:16" ht="18" customHeight="1" x14ac:dyDescent="0.2">
      <c r="A9" s="11"/>
      <c r="H9" s="64"/>
      <c r="N9" s="67" t="s">
        <v>32</v>
      </c>
      <c r="O9" s="68"/>
      <c r="P9" s="71">
        <f>P6+P7-P8</f>
        <v>112266</v>
      </c>
    </row>
    <row r="11" spans="1:16" x14ac:dyDescent="0.2">
      <c r="A11" s="11"/>
      <c r="H11" s="64"/>
      <c r="P11" s="72"/>
    </row>
    <row r="12" spans="1:16" x14ac:dyDescent="0.2">
      <c r="A12" s="11"/>
      <c r="H12" s="64"/>
      <c r="O12" s="59"/>
      <c r="P12" s="72"/>
    </row>
    <row r="13" spans="1:16" s="3" customFormat="1" x14ac:dyDescent="0.25">
      <c r="A13" s="11"/>
      <c r="B13" s="2"/>
      <c r="C13" s="2"/>
      <c r="E13" s="12"/>
      <c r="H13" s="64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64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222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C14" sqref="C14"/>
    </sheetView>
  </sheetViews>
  <sheetFormatPr defaultRowHeight="15" x14ac:dyDescent="0.2"/>
  <cols>
    <col min="1" max="1" width="8" style="4" customWidth="1"/>
    <col min="2" max="2" width="20.42578125" style="2" customWidth="1"/>
    <col min="3" max="3" width="14.5703125" style="2" customWidth="1"/>
    <col min="4" max="4" width="9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5.855468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3">
        <v>405152</v>
      </c>
      <c r="B3" s="75" t="s">
        <v>60</v>
      </c>
      <c r="C3" s="9" t="s">
        <v>61</v>
      </c>
      <c r="D3" s="77" t="s">
        <v>160</v>
      </c>
      <c r="E3" s="13">
        <v>44533</v>
      </c>
      <c r="F3" s="77" t="s">
        <v>58</v>
      </c>
      <c r="G3" s="13">
        <v>44538</v>
      </c>
      <c r="H3" s="10" t="s">
        <v>62</v>
      </c>
      <c r="I3" s="1">
        <v>35</v>
      </c>
      <c r="J3" s="1">
        <v>25</v>
      </c>
      <c r="K3" s="1">
        <v>15</v>
      </c>
      <c r="L3" s="1">
        <v>4</v>
      </c>
      <c r="M3" s="80">
        <v>3.28125</v>
      </c>
      <c r="N3" s="8">
        <v>4</v>
      </c>
      <c r="O3" s="65">
        <v>7000</v>
      </c>
      <c r="P3" s="66">
        <f>Table2245789101123[[#This Row],[PEMBULATAN]]*O3</f>
        <v>28000</v>
      </c>
    </row>
    <row r="4" spans="1:16" ht="22.5" customHeight="1" x14ac:dyDescent="0.2">
      <c r="A4" s="115" t="s">
        <v>30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7"/>
      <c r="M4" s="79">
        <f>SUBTOTAL(109,Table2245789101123[KG VOLUME])</f>
        <v>3.28125</v>
      </c>
      <c r="N4" s="69">
        <f>SUM(N3:N3)</f>
        <v>4</v>
      </c>
      <c r="O4" s="118">
        <f>SUM(P3:P3)</f>
        <v>28000</v>
      </c>
      <c r="P4" s="119"/>
    </row>
    <row r="5" spans="1:16" ht="18" customHeight="1" x14ac:dyDescent="0.2">
      <c r="A5" s="86"/>
      <c r="B5" s="57" t="s">
        <v>42</v>
      </c>
      <c r="C5" s="56"/>
      <c r="D5" s="58" t="s">
        <v>43</v>
      </c>
      <c r="E5" s="86"/>
      <c r="F5" s="86"/>
      <c r="G5" s="86"/>
      <c r="H5" s="86"/>
      <c r="I5" s="86"/>
      <c r="J5" s="86"/>
      <c r="K5" s="86"/>
      <c r="L5" s="86"/>
      <c r="M5" s="87"/>
      <c r="N5" s="88" t="s">
        <v>51</v>
      </c>
      <c r="O5" s="89"/>
      <c r="P5" s="89">
        <f>O4*10%</f>
        <v>2800</v>
      </c>
    </row>
    <row r="6" spans="1:16" ht="18" customHeight="1" thickBot="1" x14ac:dyDescent="0.25">
      <c r="A6" s="86"/>
      <c r="B6" s="57"/>
      <c r="C6" s="56"/>
      <c r="D6" s="58"/>
      <c r="E6" s="86"/>
      <c r="F6" s="86"/>
      <c r="G6" s="86"/>
      <c r="H6" s="86"/>
      <c r="I6" s="86"/>
      <c r="J6" s="86"/>
      <c r="K6" s="86"/>
      <c r="L6" s="86"/>
      <c r="M6" s="87"/>
      <c r="N6" s="90" t="s">
        <v>52</v>
      </c>
      <c r="O6" s="91"/>
      <c r="P6" s="91">
        <f>O4-P5</f>
        <v>25200</v>
      </c>
    </row>
    <row r="7" spans="1:16" ht="18" customHeight="1" x14ac:dyDescent="0.2">
      <c r="A7" s="11"/>
      <c r="H7" s="64"/>
      <c r="N7" s="63" t="s">
        <v>31</v>
      </c>
      <c r="P7" s="70">
        <f>P6*1%</f>
        <v>252</v>
      </c>
    </row>
    <row r="8" spans="1:16" ht="18" customHeight="1" thickBot="1" x14ac:dyDescent="0.25">
      <c r="A8" s="11"/>
      <c r="H8" s="64"/>
      <c r="N8" s="63" t="s">
        <v>53</v>
      </c>
      <c r="P8" s="72">
        <f>P6*2%</f>
        <v>504</v>
      </c>
    </row>
    <row r="9" spans="1:16" ht="18" customHeight="1" x14ac:dyDescent="0.2">
      <c r="A9" s="11"/>
      <c r="H9" s="64"/>
      <c r="N9" s="67" t="s">
        <v>32</v>
      </c>
      <c r="O9" s="68"/>
      <c r="P9" s="71">
        <f>P6+P7-P8</f>
        <v>24948</v>
      </c>
    </row>
    <row r="11" spans="1:16" x14ac:dyDescent="0.2">
      <c r="A11" s="11"/>
      <c r="H11" s="64"/>
      <c r="P11" s="72"/>
    </row>
    <row r="12" spans="1:16" x14ac:dyDescent="0.2">
      <c r="A12" s="11"/>
      <c r="H12" s="64"/>
      <c r="O12" s="59"/>
      <c r="P12" s="72"/>
    </row>
    <row r="13" spans="1:16" s="3" customFormat="1" x14ac:dyDescent="0.25">
      <c r="A13" s="11"/>
      <c r="B13" s="2"/>
      <c r="C13" s="2"/>
      <c r="E13" s="12"/>
      <c r="H13" s="64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64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206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11" sqref="O11"/>
    </sheetView>
  </sheetViews>
  <sheetFormatPr defaultRowHeight="15" x14ac:dyDescent="0.2"/>
  <cols>
    <col min="1" max="1" width="8" style="4" customWidth="1"/>
    <col min="2" max="2" width="19.5703125" style="2" customWidth="1"/>
    <col min="3" max="3" width="15.28515625" style="2" customWidth="1"/>
    <col min="4" max="4" width="9.7109375" style="3" customWidth="1"/>
    <col min="5" max="5" width="8" style="12" customWidth="1"/>
    <col min="6" max="6" width="11.85546875" style="3" customWidth="1"/>
    <col min="7" max="7" width="9.5703125" style="3" customWidth="1"/>
    <col min="8" max="8" width="15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3">
        <v>405814</v>
      </c>
      <c r="B3" s="75" t="s">
        <v>63</v>
      </c>
      <c r="C3" s="9" t="s">
        <v>64</v>
      </c>
      <c r="D3" s="77" t="s">
        <v>160</v>
      </c>
      <c r="E3" s="13">
        <v>44534</v>
      </c>
      <c r="F3" s="77" t="s">
        <v>58</v>
      </c>
      <c r="G3" s="13">
        <v>44538</v>
      </c>
      <c r="H3" s="10" t="s">
        <v>62</v>
      </c>
      <c r="I3" s="1">
        <v>57</v>
      </c>
      <c r="J3" s="1">
        <v>30</v>
      </c>
      <c r="K3" s="1">
        <v>16</v>
      </c>
      <c r="L3" s="1">
        <v>10</v>
      </c>
      <c r="M3" s="80">
        <v>6.84</v>
      </c>
      <c r="N3" s="8">
        <v>10</v>
      </c>
      <c r="O3" s="65">
        <v>7000</v>
      </c>
      <c r="P3" s="66">
        <f>Table22457891011234[[#This Row],[PEMBULATAN]]*O3</f>
        <v>70000</v>
      </c>
    </row>
    <row r="4" spans="1:16" ht="26.25" customHeight="1" x14ac:dyDescent="0.2">
      <c r="A4" s="14"/>
      <c r="B4" s="76"/>
      <c r="C4" s="9" t="s">
        <v>65</v>
      </c>
      <c r="D4" s="77" t="s">
        <v>160</v>
      </c>
      <c r="E4" s="13">
        <v>44534</v>
      </c>
      <c r="F4" s="77" t="s">
        <v>58</v>
      </c>
      <c r="G4" s="13">
        <v>44538</v>
      </c>
      <c r="H4" s="10" t="s">
        <v>62</v>
      </c>
      <c r="I4" s="1">
        <v>57</v>
      </c>
      <c r="J4" s="1">
        <v>30</v>
      </c>
      <c r="K4" s="1">
        <v>16</v>
      </c>
      <c r="L4" s="1">
        <v>10</v>
      </c>
      <c r="M4" s="80">
        <v>6.84</v>
      </c>
      <c r="N4" s="8">
        <v>10</v>
      </c>
      <c r="O4" s="65">
        <v>7000</v>
      </c>
      <c r="P4" s="66">
        <f>Table22457891011234[[#This Row],[PEMBULATAN]]*O4</f>
        <v>70000</v>
      </c>
    </row>
    <row r="5" spans="1:16" ht="26.25" customHeight="1" x14ac:dyDescent="0.2">
      <c r="A5" s="14"/>
      <c r="B5" s="14"/>
      <c r="C5" s="9" t="s">
        <v>66</v>
      </c>
      <c r="D5" s="77" t="s">
        <v>160</v>
      </c>
      <c r="E5" s="13">
        <v>44534</v>
      </c>
      <c r="F5" s="77" t="s">
        <v>58</v>
      </c>
      <c r="G5" s="13">
        <v>44538</v>
      </c>
      <c r="H5" s="10" t="s">
        <v>62</v>
      </c>
      <c r="I5" s="1">
        <v>37</v>
      </c>
      <c r="J5" s="1">
        <v>24</v>
      </c>
      <c r="K5" s="1">
        <v>25</v>
      </c>
      <c r="L5" s="1">
        <v>5</v>
      </c>
      <c r="M5" s="80">
        <v>5.55</v>
      </c>
      <c r="N5" s="96">
        <v>5.55</v>
      </c>
      <c r="O5" s="65">
        <v>7000</v>
      </c>
      <c r="P5" s="66">
        <f>Table22457891011234[[#This Row],[PEMBULATAN]]*O5</f>
        <v>38850</v>
      </c>
    </row>
    <row r="6" spans="1:16" ht="22.5" customHeight="1" x14ac:dyDescent="0.2">
      <c r="A6" s="115" t="s">
        <v>30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7"/>
      <c r="M6" s="79">
        <f>SUBTOTAL(109,Table22457891011234[KG VOLUME])</f>
        <v>19.23</v>
      </c>
      <c r="N6" s="69">
        <f>SUM(N3:N5)</f>
        <v>25.55</v>
      </c>
      <c r="O6" s="118">
        <f>SUM(P3:P5)</f>
        <v>178850</v>
      </c>
      <c r="P6" s="119"/>
    </row>
    <row r="7" spans="1:16" ht="18" customHeight="1" x14ac:dyDescent="0.2">
      <c r="A7" s="86"/>
      <c r="B7" s="57" t="s">
        <v>42</v>
      </c>
      <c r="C7" s="56"/>
      <c r="D7" s="58" t="s">
        <v>43</v>
      </c>
      <c r="E7" s="86"/>
      <c r="F7" s="86"/>
      <c r="G7" s="86"/>
      <c r="H7" s="86"/>
      <c r="I7" s="86"/>
      <c r="J7" s="86"/>
      <c r="K7" s="86"/>
      <c r="L7" s="86"/>
      <c r="M7" s="87"/>
      <c r="N7" s="88" t="s">
        <v>51</v>
      </c>
      <c r="O7" s="89"/>
      <c r="P7" s="89">
        <f>O6*10%</f>
        <v>17885</v>
      </c>
    </row>
    <row r="8" spans="1:16" ht="18" customHeight="1" thickBot="1" x14ac:dyDescent="0.25">
      <c r="A8" s="86"/>
      <c r="B8" s="57"/>
      <c r="C8" s="56"/>
      <c r="D8" s="58"/>
      <c r="E8" s="86"/>
      <c r="F8" s="86"/>
      <c r="G8" s="86"/>
      <c r="H8" s="86"/>
      <c r="I8" s="86"/>
      <c r="J8" s="86"/>
      <c r="K8" s="86"/>
      <c r="L8" s="86"/>
      <c r="M8" s="87"/>
      <c r="N8" s="90" t="s">
        <v>52</v>
      </c>
      <c r="O8" s="91"/>
      <c r="P8" s="91">
        <f>O6-P7</f>
        <v>160965</v>
      </c>
    </row>
    <row r="9" spans="1:16" ht="18" customHeight="1" x14ac:dyDescent="0.2">
      <c r="A9" s="11"/>
      <c r="H9" s="64"/>
      <c r="N9" s="63" t="s">
        <v>31</v>
      </c>
      <c r="P9" s="70">
        <f>P8*1%</f>
        <v>1609.65</v>
      </c>
    </row>
    <row r="10" spans="1:16" ht="18" customHeight="1" thickBot="1" x14ac:dyDescent="0.25">
      <c r="A10" s="11"/>
      <c r="H10" s="64"/>
      <c r="N10" s="63" t="s">
        <v>53</v>
      </c>
      <c r="P10" s="72">
        <f>P8*2%</f>
        <v>3219.3</v>
      </c>
    </row>
    <row r="11" spans="1:16" ht="18" customHeight="1" x14ac:dyDescent="0.2">
      <c r="A11" s="11"/>
      <c r="H11" s="64"/>
      <c r="N11" s="67" t="s">
        <v>32</v>
      </c>
      <c r="O11" s="68"/>
      <c r="P11" s="71">
        <f>P8+P9-P10</f>
        <v>159355.35</v>
      </c>
    </row>
    <row r="13" spans="1:16" x14ac:dyDescent="0.2">
      <c r="A13" s="11"/>
      <c r="H13" s="64"/>
      <c r="P13" s="72"/>
    </row>
    <row r="14" spans="1:16" x14ac:dyDescent="0.2">
      <c r="A14" s="11"/>
      <c r="H14" s="64"/>
      <c r="O14" s="59"/>
      <c r="P14" s="72"/>
    </row>
    <row r="15" spans="1:16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</sheetData>
  <mergeCells count="2">
    <mergeCell ref="A6:L6"/>
    <mergeCell ref="O6:P6"/>
  </mergeCells>
  <conditionalFormatting sqref="B3">
    <cfRule type="duplicateValues" dxfId="190" priority="2"/>
  </conditionalFormatting>
  <conditionalFormatting sqref="B4">
    <cfRule type="duplicateValues" dxfId="189" priority="1"/>
  </conditionalFormatting>
  <conditionalFormatting sqref="B5">
    <cfRule type="duplicateValues" dxfId="188" priority="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8"/>
  <sheetViews>
    <sheetView zoomScale="110" zoomScaleNormal="110" workbookViewId="0">
      <pane xSplit="3" ySplit="2" topLeftCell="D10" activePane="bottomRight" state="frozen"/>
      <selection pane="topRight" activeCell="B1" sqref="B1"/>
      <selection pane="bottomLeft" activeCell="A3" sqref="A3"/>
      <selection pane="bottomRight" activeCell="N17" sqref="N1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.71093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3">
        <v>405824</v>
      </c>
      <c r="B3" s="75" t="s">
        <v>67</v>
      </c>
      <c r="C3" s="9" t="s">
        <v>68</v>
      </c>
      <c r="D3" s="77" t="s">
        <v>160</v>
      </c>
      <c r="E3" s="13">
        <v>44535</v>
      </c>
      <c r="F3" s="77" t="s">
        <v>58</v>
      </c>
      <c r="G3" s="13">
        <v>44541</v>
      </c>
      <c r="H3" s="10" t="s">
        <v>83</v>
      </c>
      <c r="I3" s="1">
        <v>32</v>
      </c>
      <c r="J3" s="1">
        <v>22</v>
      </c>
      <c r="K3" s="1">
        <v>18</v>
      </c>
      <c r="L3" s="1">
        <v>8</v>
      </c>
      <c r="M3" s="80">
        <v>3.1680000000000001</v>
      </c>
      <c r="N3" s="8">
        <v>8</v>
      </c>
      <c r="O3" s="65">
        <v>7000</v>
      </c>
      <c r="P3" s="66">
        <f>Table224578910112345[[#This Row],[PEMBULATAN]]*O3</f>
        <v>56000</v>
      </c>
    </row>
    <row r="4" spans="1:16" ht="26.25" customHeight="1" x14ac:dyDescent="0.2">
      <c r="A4" s="14"/>
      <c r="B4" s="76"/>
      <c r="C4" s="9" t="s">
        <v>69</v>
      </c>
      <c r="D4" s="77" t="s">
        <v>160</v>
      </c>
      <c r="E4" s="13">
        <v>44535</v>
      </c>
      <c r="F4" s="77" t="s">
        <v>58</v>
      </c>
      <c r="G4" s="13">
        <v>44541</v>
      </c>
      <c r="H4" s="10" t="s">
        <v>83</v>
      </c>
      <c r="I4" s="1">
        <v>32</v>
      </c>
      <c r="J4" s="1">
        <v>22</v>
      </c>
      <c r="K4" s="1">
        <v>18</v>
      </c>
      <c r="L4" s="1">
        <v>8</v>
      </c>
      <c r="M4" s="80">
        <v>3.1680000000000001</v>
      </c>
      <c r="N4" s="8">
        <v>8</v>
      </c>
      <c r="O4" s="65">
        <v>7000</v>
      </c>
      <c r="P4" s="66">
        <f>Table224578910112345[[#This Row],[PEMBULATAN]]*O4</f>
        <v>56000</v>
      </c>
    </row>
    <row r="5" spans="1:16" ht="26.25" customHeight="1" x14ac:dyDescent="0.2">
      <c r="A5" s="14"/>
      <c r="B5" s="14"/>
      <c r="C5" s="9" t="s">
        <v>70</v>
      </c>
      <c r="D5" s="77" t="s">
        <v>160</v>
      </c>
      <c r="E5" s="13">
        <v>44535</v>
      </c>
      <c r="F5" s="77" t="s">
        <v>58</v>
      </c>
      <c r="G5" s="13">
        <v>44541</v>
      </c>
      <c r="H5" s="10" t="s">
        <v>83</v>
      </c>
      <c r="I5" s="1">
        <v>32</v>
      </c>
      <c r="J5" s="1">
        <v>22</v>
      </c>
      <c r="K5" s="1">
        <v>18</v>
      </c>
      <c r="L5" s="1">
        <v>8</v>
      </c>
      <c r="M5" s="80">
        <v>3.1680000000000001</v>
      </c>
      <c r="N5" s="8">
        <v>8</v>
      </c>
      <c r="O5" s="65">
        <v>7000</v>
      </c>
      <c r="P5" s="66">
        <f>Table224578910112345[[#This Row],[PEMBULATAN]]*O5</f>
        <v>56000</v>
      </c>
    </row>
    <row r="6" spans="1:16" ht="26.25" customHeight="1" x14ac:dyDescent="0.2">
      <c r="A6" s="14"/>
      <c r="B6" s="14"/>
      <c r="C6" s="74" t="s">
        <v>71</v>
      </c>
      <c r="D6" s="77" t="s">
        <v>160</v>
      </c>
      <c r="E6" s="13">
        <v>44535</v>
      </c>
      <c r="F6" s="77" t="s">
        <v>58</v>
      </c>
      <c r="G6" s="13">
        <v>44541</v>
      </c>
      <c r="H6" s="78" t="s">
        <v>83</v>
      </c>
      <c r="I6" s="16">
        <v>40</v>
      </c>
      <c r="J6" s="16">
        <v>31</v>
      </c>
      <c r="K6" s="16">
        <v>26</v>
      </c>
      <c r="L6" s="16">
        <v>10</v>
      </c>
      <c r="M6" s="81">
        <v>8.06</v>
      </c>
      <c r="N6" s="73">
        <v>10</v>
      </c>
      <c r="O6" s="65">
        <v>7000</v>
      </c>
      <c r="P6" s="66">
        <f>Table224578910112345[[#This Row],[PEMBULATAN]]*O6</f>
        <v>70000</v>
      </c>
    </row>
    <row r="7" spans="1:16" ht="26.25" customHeight="1" x14ac:dyDescent="0.2">
      <c r="A7" s="14"/>
      <c r="B7" s="14"/>
      <c r="C7" s="74" t="s">
        <v>72</v>
      </c>
      <c r="D7" s="77" t="s">
        <v>160</v>
      </c>
      <c r="E7" s="13">
        <v>44535</v>
      </c>
      <c r="F7" s="77" t="s">
        <v>58</v>
      </c>
      <c r="G7" s="13">
        <v>44541</v>
      </c>
      <c r="H7" s="78" t="s">
        <v>83</v>
      </c>
      <c r="I7" s="16">
        <v>40</v>
      </c>
      <c r="J7" s="16">
        <v>31</v>
      </c>
      <c r="K7" s="16">
        <v>26</v>
      </c>
      <c r="L7" s="16">
        <v>10</v>
      </c>
      <c r="M7" s="81">
        <v>8.06</v>
      </c>
      <c r="N7" s="73">
        <v>10</v>
      </c>
      <c r="O7" s="65">
        <v>7000</v>
      </c>
      <c r="P7" s="66">
        <f>Table224578910112345[[#This Row],[PEMBULATAN]]*O7</f>
        <v>70000</v>
      </c>
    </row>
    <row r="8" spans="1:16" ht="26.25" customHeight="1" x14ac:dyDescent="0.2">
      <c r="A8" s="14"/>
      <c r="B8" s="14"/>
      <c r="C8" s="74" t="s">
        <v>73</v>
      </c>
      <c r="D8" s="77" t="s">
        <v>160</v>
      </c>
      <c r="E8" s="13">
        <v>44535</v>
      </c>
      <c r="F8" s="77" t="s">
        <v>58</v>
      </c>
      <c r="G8" s="13">
        <v>44541</v>
      </c>
      <c r="H8" s="78" t="s">
        <v>83</v>
      </c>
      <c r="I8" s="16">
        <v>40</v>
      </c>
      <c r="J8" s="16">
        <v>31</v>
      </c>
      <c r="K8" s="16">
        <v>26</v>
      </c>
      <c r="L8" s="16">
        <v>10</v>
      </c>
      <c r="M8" s="81">
        <v>8.06</v>
      </c>
      <c r="N8" s="73">
        <v>10</v>
      </c>
      <c r="O8" s="65">
        <v>7000</v>
      </c>
      <c r="P8" s="66">
        <f>Table224578910112345[[#This Row],[PEMBULATAN]]*O8</f>
        <v>70000</v>
      </c>
    </row>
    <row r="9" spans="1:16" ht="26.25" customHeight="1" x14ac:dyDescent="0.2">
      <c r="A9" s="14"/>
      <c r="B9" s="14"/>
      <c r="C9" s="74" t="s">
        <v>74</v>
      </c>
      <c r="D9" s="77" t="s">
        <v>160</v>
      </c>
      <c r="E9" s="13">
        <v>44535</v>
      </c>
      <c r="F9" s="77" t="s">
        <v>58</v>
      </c>
      <c r="G9" s="13">
        <v>44541</v>
      </c>
      <c r="H9" s="78" t="s">
        <v>83</v>
      </c>
      <c r="I9" s="16">
        <v>54</v>
      </c>
      <c r="J9" s="16">
        <v>34</v>
      </c>
      <c r="K9" s="16">
        <v>10</v>
      </c>
      <c r="L9" s="16">
        <v>10</v>
      </c>
      <c r="M9" s="81">
        <v>4.59</v>
      </c>
      <c r="N9" s="73">
        <v>10</v>
      </c>
      <c r="O9" s="65">
        <v>7000</v>
      </c>
      <c r="P9" s="66">
        <f>Table224578910112345[[#This Row],[PEMBULATAN]]*O9</f>
        <v>70000</v>
      </c>
    </row>
    <row r="10" spans="1:16" ht="26.25" customHeight="1" x14ac:dyDescent="0.2">
      <c r="A10" s="14"/>
      <c r="B10" s="14"/>
      <c r="C10" s="74" t="s">
        <v>75</v>
      </c>
      <c r="D10" s="77" t="s">
        <v>160</v>
      </c>
      <c r="E10" s="13">
        <v>44535</v>
      </c>
      <c r="F10" s="77" t="s">
        <v>58</v>
      </c>
      <c r="G10" s="13">
        <v>44541</v>
      </c>
      <c r="H10" s="78" t="s">
        <v>83</v>
      </c>
      <c r="I10" s="16">
        <v>54</v>
      </c>
      <c r="J10" s="16">
        <v>34</v>
      </c>
      <c r="K10" s="16">
        <v>10</v>
      </c>
      <c r="L10" s="16">
        <v>10</v>
      </c>
      <c r="M10" s="81">
        <v>4.59</v>
      </c>
      <c r="N10" s="73">
        <v>10</v>
      </c>
      <c r="O10" s="65">
        <v>7000</v>
      </c>
      <c r="P10" s="66">
        <f>Table224578910112345[[#This Row],[PEMBULATAN]]*O10</f>
        <v>70000</v>
      </c>
    </row>
    <row r="11" spans="1:16" ht="26.25" customHeight="1" x14ac:dyDescent="0.2">
      <c r="A11" s="14"/>
      <c r="B11" s="14"/>
      <c r="C11" s="74" t="s">
        <v>76</v>
      </c>
      <c r="D11" s="77" t="s">
        <v>160</v>
      </c>
      <c r="E11" s="13">
        <v>44535</v>
      </c>
      <c r="F11" s="77" t="s">
        <v>58</v>
      </c>
      <c r="G11" s="13">
        <v>44541</v>
      </c>
      <c r="H11" s="78" t="s">
        <v>83</v>
      </c>
      <c r="I11" s="16">
        <v>54</v>
      </c>
      <c r="J11" s="16">
        <v>34</v>
      </c>
      <c r="K11" s="16">
        <v>10</v>
      </c>
      <c r="L11" s="16">
        <v>10</v>
      </c>
      <c r="M11" s="81">
        <v>4.59</v>
      </c>
      <c r="N11" s="73">
        <v>10</v>
      </c>
      <c r="O11" s="65">
        <v>7000</v>
      </c>
      <c r="P11" s="66">
        <f>Table224578910112345[[#This Row],[PEMBULATAN]]*O11</f>
        <v>70000</v>
      </c>
    </row>
    <row r="12" spans="1:16" ht="26.25" customHeight="1" x14ac:dyDescent="0.2">
      <c r="A12" s="14"/>
      <c r="B12" s="14"/>
      <c r="C12" s="74" t="s">
        <v>77</v>
      </c>
      <c r="D12" s="77" t="s">
        <v>160</v>
      </c>
      <c r="E12" s="13">
        <v>44535</v>
      </c>
      <c r="F12" s="77" t="s">
        <v>58</v>
      </c>
      <c r="G12" s="13">
        <v>44541</v>
      </c>
      <c r="H12" s="78" t="s">
        <v>83</v>
      </c>
      <c r="I12" s="16">
        <v>54</v>
      </c>
      <c r="J12" s="16">
        <v>34</v>
      </c>
      <c r="K12" s="16">
        <v>10</v>
      </c>
      <c r="L12" s="16">
        <v>10</v>
      </c>
      <c r="M12" s="81">
        <v>4.59</v>
      </c>
      <c r="N12" s="73">
        <v>10</v>
      </c>
      <c r="O12" s="65">
        <v>7000</v>
      </c>
      <c r="P12" s="66">
        <f>Table224578910112345[[#This Row],[PEMBULATAN]]*O12</f>
        <v>70000</v>
      </c>
    </row>
    <row r="13" spans="1:16" ht="26.25" customHeight="1" x14ac:dyDescent="0.2">
      <c r="A13" s="14"/>
      <c r="B13" s="14"/>
      <c r="C13" s="74" t="s">
        <v>78</v>
      </c>
      <c r="D13" s="77" t="s">
        <v>160</v>
      </c>
      <c r="E13" s="13">
        <v>44535</v>
      </c>
      <c r="F13" s="77" t="s">
        <v>58</v>
      </c>
      <c r="G13" s="13">
        <v>44541</v>
      </c>
      <c r="H13" s="78" t="s">
        <v>83</v>
      </c>
      <c r="I13" s="16">
        <v>54</v>
      </c>
      <c r="J13" s="16">
        <v>34</v>
      </c>
      <c r="K13" s="16">
        <v>10</v>
      </c>
      <c r="L13" s="16">
        <v>10</v>
      </c>
      <c r="M13" s="81">
        <v>4.59</v>
      </c>
      <c r="N13" s="73">
        <v>10</v>
      </c>
      <c r="O13" s="65">
        <v>7000</v>
      </c>
      <c r="P13" s="66">
        <f>Table224578910112345[[#This Row],[PEMBULATAN]]*O13</f>
        <v>70000</v>
      </c>
    </row>
    <row r="14" spans="1:16" ht="26.25" customHeight="1" x14ac:dyDescent="0.2">
      <c r="A14" s="14"/>
      <c r="B14" s="14"/>
      <c r="C14" s="74" t="s">
        <v>79</v>
      </c>
      <c r="D14" s="77" t="s">
        <v>160</v>
      </c>
      <c r="E14" s="13">
        <v>44535</v>
      </c>
      <c r="F14" s="77" t="s">
        <v>58</v>
      </c>
      <c r="G14" s="13">
        <v>44541</v>
      </c>
      <c r="H14" s="78" t="s">
        <v>83</v>
      </c>
      <c r="I14" s="16">
        <v>54</v>
      </c>
      <c r="J14" s="16">
        <v>34</v>
      </c>
      <c r="K14" s="16">
        <v>10</v>
      </c>
      <c r="L14" s="16">
        <v>10</v>
      </c>
      <c r="M14" s="81">
        <v>4.59</v>
      </c>
      <c r="N14" s="73">
        <v>10</v>
      </c>
      <c r="O14" s="65">
        <v>7000</v>
      </c>
      <c r="P14" s="66">
        <f>Table224578910112345[[#This Row],[PEMBULATAN]]*O14</f>
        <v>70000</v>
      </c>
    </row>
    <row r="15" spans="1:16" ht="26.25" customHeight="1" x14ac:dyDescent="0.2">
      <c r="A15" s="14"/>
      <c r="B15" s="14"/>
      <c r="C15" s="74" t="s">
        <v>80</v>
      </c>
      <c r="D15" s="77" t="s">
        <v>160</v>
      </c>
      <c r="E15" s="13">
        <v>44535</v>
      </c>
      <c r="F15" s="77" t="s">
        <v>58</v>
      </c>
      <c r="G15" s="13">
        <v>44541</v>
      </c>
      <c r="H15" s="78" t="s">
        <v>83</v>
      </c>
      <c r="I15" s="16">
        <v>31</v>
      </c>
      <c r="J15" s="16">
        <v>22</v>
      </c>
      <c r="K15" s="16">
        <v>14</v>
      </c>
      <c r="L15" s="16">
        <v>5</v>
      </c>
      <c r="M15" s="81">
        <v>2.387</v>
      </c>
      <c r="N15" s="73">
        <v>5</v>
      </c>
      <c r="O15" s="65">
        <v>7000</v>
      </c>
      <c r="P15" s="66">
        <f>Table224578910112345[[#This Row],[PEMBULATAN]]*O15</f>
        <v>35000</v>
      </c>
    </row>
    <row r="16" spans="1:16" ht="26.25" customHeight="1" x14ac:dyDescent="0.2">
      <c r="A16" s="14"/>
      <c r="B16" s="14"/>
      <c r="C16" s="74" t="s">
        <v>81</v>
      </c>
      <c r="D16" s="77" t="s">
        <v>160</v>
      </c>
      <c r="E16" s="13">
        <v>44535</v>
      </c>
      <c r="F16" s="77" t="s">
        <v>58</v>
      </c>
      <c r="G16" s="13">
        <v>44541</v>
      </c>
      <c r="H16" s="78" t="s">
        <v>83</v>
      </c>
      <c r="I16" s="16">
        <v>35</v>
      </c>
      <c r="J16" s="16">
        <v>28</v>
      </c>
      <c r="K16" s="16">
        <v>22</v>
      </c>
      <c r="L16" s="16">
        <v>10</v>
      </c>
      <c r="M16" s="81">
        <v>5.39</v>
      </c>
      <c r="N16" s="73">
        <v>10</v>
      </c>
      <c r="O16" s="65">
        <v>7000</v>
      </c>
      <c r="P16" s="66">
        <f>Table224578910112345[[#This Row],[PEMBULATAN]]*O16</f>
        <v>70000</v>
      </c>
    </row>
    <row r="17" spans="1:16" ht="26.25" customHeight="1" x14ac:dyDescent="0.2">
      <c r="A17" s="14"/>
      <c r="B17" s="14"/>
      <c r="C17" s="74" t="s">
        <v>82</v>
      </c>
      <c r="D17" s="77" t="s">
        <v>160</v>
      </c>
      <c r="E17" s="13">
        <v>44535</v>
      </c>
      <c r="F17" s="77" t="s">
        <v>58</v>
      </c>
      <c r="G17" s="13">
        <v>44541</v>
      </c>
      <c r="H17" s="78" t="s">
        <v>83</v>
      </c>
      <c r="I17" s="16">
        <v>34</v>
      </c>
      <c r="J17" s="16">
        <v>28</v>
      </c>
      <c r="K17" s="16">
        <v>20</v>
      </c>
      <c r="L17" s="16">
        <v>10</v>
      </c>
      <c r="M17" s="81">
        <v>4.76</v>
      </c>
      <c r="N17" s="73">
        <v>10</v>
      </c>
      <c r="O17" s="65">
        <v>7000</v>
      </c>
      <c r="P17" s="66">
        <f>Table224578910112345[[#This Row],[PEMBULATAN]]*O17</f>
        <v>70000</v>
      </c>
    </row>
    <row r="18" spans="1:16" ht="22.5" customHeight="1" x14ac:dyDescent="0.2">
      <c r="A18" s="115" t="s">
        <v>30</v>
      </c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7"/>
      <c r="M18" s="79">
        <f>SUBTOTAL(109,Table224578910112345[KG VOLUME])</f>
        <v>73.761000000000024</v>
      </c>
      <c r="N18" s="69">
        <f>SUM(N3:N17)</f>
        <v>139</v>
      </c>
      <c r="O18" s="118">
        <f>SUM(P3:P17)</f>
        <v>973000</v>
      </c>
      <c r="P18" s="119"/>
    </row>
    <row r="19" spans="1:16" ht="18" customHeight="1" x14ac:dyDescent="0.2">
      <c r="A19" s="86"/>
      <c r="B19" s="57" t="s">
        <v>42</v>
      </c>
      <c r="C19" s="56"/>
      <c r="D19" s="58" t="s">
        <v>43</v>
      </c>
      <c r="E19" s="86"/>
      <c r="F19" s="86"/>
      <c r="G19" s="86"/>
      <c r="H19" s="86"/>
      <c r="I19" s="86"/>
      <c r="J19" s="86"/>
      <c r="K19" s="86"/>
      <c r="L19" s="86"/>
      <c r="M19" s="87"/>
      <c r="N19" s="88" t="s">
        <v>51</v>
      </c>
      <c r="O19" s="89"/>
      <c r="P19" s="89">
        <f>O18*10%</f>
        <v>97300</v>
      </c>
    </row>
    <row r="20" spans="1:16" ht="18" customHeight="1" thickBot="1" x14ac:dyDescent="0.25">
      <c r="A20" s="86"/>
      <c r="B20" s="57"/>
      <c r="C20" s="56"/>
      <c r="D20" s="58"/>
      <c r="E20" s="86"/>
      <c r="F20" s="86"/>
      <c r="G20" s="86"/>
      <c r="H20" s="86"/>
      <c r="I20" s="86"/>
      <c r="J20" s="86"/>
      <c r="K20" s="86"/>
      <c r="L20" s="86"/>
      <c r="M20" s="87"/>
      <c r="N20" s="90" t="s">
        <v>52</v>
      </c>
      <c r="O20" s="91"/>
      <c r="P20" s="91">
        <f>O18-P19</f>
        <v>875700</v>
      </c>
    </row>
    <row r="21" spans="1:16" ht="18" customHeight="1" x14ac:dyDescent="0.2">
      <c r="A21" s="11"/>
      <c r="H21" s="64"/>
      <c r="N21" s="63" t="s">
        <v>31</v>
      </c>
      <c r="P21" s="70">
        <f>P20*1%</f>
        <v>8757</v>
      </c>
    </row>
    <row r="22" spans="1:16" ht="18" customHeight="1" thickBot="1" x14ac:dyDescent="0.25">
      <c r="A22" s="11"/>
      <c r="H22" s="64"/>
      <c r="N22" s="63" t="s">
        <v>53</v>
      </c>
      <c r="P22" s="72">
        <f>P20*2%</f>
        <v>17514</v>
      </c>
    </row>
    <row r="23" spans="1:16" ht="18" customHeight="1" x14ac:dyDescent="0.2">
      <c r="A23" s="11"/>
      <c r="H23" s="64"/>
      <c r="N23" s="67" t="s">
        <v>32</v>
      </c>
      <c r="O23" s="68"/>
      <c r="P23" s="71">
        <f>P20+P21-P22</f>
        <v>866943</v>
      </c>
    </row>
    <row r="25" spans="1:16" x14ac:dyDescent="0.2">
      <c r="A25" s="11"/>
      <c r="H25" s="64"/>
      <c r="P25" s="72"/>
    </row>
    <row r="26" spans="1:16" x14ac:dyDescent="0.2">
      <c r="A26" s="11"/>
      <c r="H26" s="64"/>
      <c r="O26" s="59"/>
      <c r="P26" s="72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4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4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4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4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4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4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4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4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4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4"/>
      <c r="N38" s="15"/>
      <c r="O38" s="15"/>
      <c r="P38" s="15"/>
    </row>
  </sheetData>
  <mergeCells count="2">
    <mergeCell ref="A18:L18"/>
    <mergeCell ref="O18:P18"/>
  </mergeCells>
  <conditionalFormatting sqref="B3">
    <cfRule type="duplicateValues" dxfId="172" priority="2"/>
  </conditionalFormatting>
  <conditionalFormatting sqref="B4">
    <cfRule type="duplicateValues" dxfId="171" priority="1"/>
  </conditionalFormatting>
  <conditionalFormatting sqref="B5:B17">
    <cfRule type="duplicateValues" dxfId="170" priority="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L13" sqref="L1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.85546875" style="3" customWidth="1"/>
    <col min="5" max="5" width="8" style="12" customWidth="1"/>
    <col min="6" max="6" width="11.85546875" style="3" customWidth="1"/>
    <col min="7" max="7" width="9.5703125" style="3" customWidth="1"/>
    <col min="8" max="8" width="15.1406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3">
        <v>406451</v>
      </c>
      <c r="B3" s="75" t="s">
        <v>84</v>
      </c>
      <c r="C3" s="9" t="s">
        <v>85</v>
      </c>
      <c r="D3" s="77" t="s">
        <v>160</v>
      </c>
      <c r="E3" s="13">
        <v>44539</v>
      </c>
      <c r="F3" s="77" t="s">
        <v>87</v>
      </c>
      <c r="G3" s="13">
        <v>44546</v>
      </c>
      <c r="H3" s="10" t="s">
        <v>88</v>
      </c>
      <c r="I3" s="1">
        <v>102</v>
      </c>
      <c r="J3" s="1">
        <v>57</v>
      </c>
      <c r="K3" s="1">
        <v>57</v>
      </c>
      <c r="L3" s="1">
        <v>18</v>
      </c>
      <c r="M3" s="80">
        <v>82.849500000000006</v>
      </c>
      <c r="N3" s="96">
        <v>82.849500000000006</v>
      </c>
      <c r="O3" s="65">
        <v>7000</v>
      </c>
      <c r="P3" s="66">
        <f>Table2245789101123456[[#This Row],[PEMBULATAN]]*O3</f>
        <v>579946.5</v>
      </c>
    </row>
    <row r="4" spans="1:16" ht="26.25" customHeight="1" x14ac:dyDescent="0.2">
      <c r="A4" s="14"/>
      <c r="B4" s="76"/>
      <c r="C4" s="9" t="s">
        <v>86</v>
      </c>
      <c r="D4" s="77" t="s">
        <v>160</v>
      </c>
      <c r="E4" s="13">
        <v>44539</v>
      </c>
      <c r="F4" s="77" t="s">
        <v>87</v>
      </c>
      <c r="G4" s="13">
        <v>44546</v>
      </c>
      <c r="H4" s="10" t="s">
        <v>88</v>
      </c>
      <c r="I4" s="1">
        <v>22</v>
      </c>
      <c r="J4" s="1">
        <v>15</v>
      </c>
      <c r="K4" s="1">
        <v>15</v>
      </c>
      <c r="L4" s="1">
        <v>14</v>
      </c>
      <c r="M4" s="80">
        <v>1.2375</v>
      </c>
      <c r="N4" s="8">
        <v>14</v>
      </c>
      <c r="O4" s="65">
        <v>7000</v>
      </c>
      <c r="P4" s="66">
        <f>Table2245789101123456[[#This Row],[PEMBULATAN]]*O4</f>
        <v>98000</v>
      </c>
    </row>
    <row r="5" spans="1:16" ht="22.5" customHeight="1" x14ac:dyDescent="0.2">
      <c r="A5" s="115" t="s">
        <v>30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7"/>
      <c r="M5" s="79">
        <f>SUBTOTAL(109,Table2245789101123456[KG VOLUME])</f>
        <v>84.087000000000003</v>
      </c>
      <c r="N5" s="69">
        <f>SUM(N3:N4)</f>
        <v>96.849500000000006</v>
      </c>
      <c r="O5" s="118">
        <f>SUM(P3:P4)</f>
        <v>677946.5</v>
      </c>
      <c r="P5" s="119"/>
    </row>
    <row r="6" spans="1:16" ht="18" customHeight="1" x14ac:dyDescent="0.2">
      <c r="A6" s="86"/>
      <c r="B6" s="57" t="s">
        <v>42</v>
      </c>
      <c r="C6" s="56"/>
      <c r="D6" s="58" t="s">
        <v>43</v>
      </c>
      <c r="E6" s="86"/>
      <c r="F6" s="86"/>
      <c r="G6" s="86"/>
      <c r="H6" s="86"/>
      <c r="I6" s="86"/>
      <c r="J6" s="86"/>
      <c r="K6" s="86"/>
      <c r="L6" s="86"/>
      <c r="M6" s="87"/>
      <c r="N6" s="88" t="s">
        <v>51</v>
      </c>
      <c r="O6" s="89"/>
      <c r="P6" s="89">
        <f>O5*10%</f>
        <v>67794.650000000009</v>
      </c>
    </row>
    <row r="7" spans="1:16" ht="18" customHeight="1" thickBot="1" x14ac:dyDescent="0.25">
      <c r="A7" s="86"/>
      <c r="B7" s="57"/>
      <c r="C7" s="56"/>
      <c r="D7" s="58"/>
      <c r="E7" s="86"/>
      <c r="F7" s="86"/>
      <c r="G7" s="86"/>
      <c r="H7" s="86"/>
      <c r="I7" s="86"/>
      <c r="J7" s="86"/>
      <c r="K7" s="86"/>
      <c r="L7" s="86"/>
      <c r="M7" s="87"/>
      <c r="N7" s="90" t="s">
        <v>52</v>
      </c>
      <c r="O7" s="91"/>
      <c r="P7" s="91">
        <f>O5-P6</f>
        <v>610151.85</v>
      </c>
    </row>
    <row r="8" spans="1:16" ht="18" customHeight="1" x14ac:dyDescent="0.2">
      <c r="A8" s="11"/>
      <c r="H8" s="64"/>
      <c r="N8" s="63" t="s">
        <v>31</v>
      </c>
      <c r="P8" s="70">
        <f>P7*1%</f>
        <v>6101.5185000000001</v>
      </c>
    </row>
    <row r="9" spans="1:16" ht="18" customHeight="1" thickBot="1" x14ac:dyDescent="0.25">
      <c r="A9" s="11"/>
      <c r="H9" s="64"/>
      <c r="N9" s="63" t="s">
        <v>53</v>
      </c>
      <c r="P9" s="72">
        <f>P7*2%</f>
        <v>12203.037</v>
      </c>
    </row>
    <row r="10" spans="1:16" ht="18" customHeight="1" x14ac:dyDescent="0.2">
      <c r="A10" s="11"/>
      <c r="H10" s="64"/>
      <c r="N10" s="67" t="s">
        <v>32</v>
      </c>
      <c r="O10" s="68"/>
      <c r="P10" s="71">
        <f>P7+P8-P9</f>
        <v>604050.33149999997</v>
      </c>
    </row>
    <row r="12" spans="1:16" x14ac:dyDescent="0.2">
      <c r="A12" s="11"/>
      <c r="H12" s="64"/>
      <c r="P12" s="72"/>
    </row>
    <row r="13" spans="1:16" x14ac:dyDescent="0.2">
      <c r="A13" s="11"/>
      <c r="H13" s="64"/>
      <c r="O13" s="59"/>
      <c r="P13" s="72"/>
    </row>
    <row r="14" spans="1:16" s="3" customFormat="1" x14ac:dyDescent="0.25">
      <c r="A14" s="11"/>
      <c r="B14" s="2"/>
      <c r="C14" s="2"/>
      <c r="E14" s="12"/>
      <c r="H14" s="64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154" priority="2"/>
  </conditionalFormatting>
  <conditionalFormatting sqref="B4">
    <cfRule type="duplicateValues" dxfId="153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5" zoomScaleNormal="115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K10" sqref="K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.5703125" style="3" customWidth="1"/>
    <col min="5" max="5" width="8" style="12" customWidth="1"/>
    <col min="6" max="6" width="11.85546875" style="3" customWidth="1"/>
    <col min="7" max="7" width="9.5703125" style="3" customWidth="1"/>
    <col min="8" max="8" width="15.285156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3">
        <v>406462</v>
      </c>
      <c r="B3" s="75" t="s">
        <v>89</v>
      </c>
      <c r="C3" s="9" t="s">
        <v>90</v>
      </c>
      <c r="D3" s="77" t="s">
        <v>160</v>
      </c>
      <c r="E3" s="13">
        <v>44541</v>
      </c>
      <c r="F3" s="77" t="s">
        <v>87</v>
      </c>
      <c r="G3" s="13">
        <v>44548</v>
      </c>
      <c r="H3" s="10" t="s">
        <v>93</v>
      </c>
      <c r="I3" s="1">
        <v>39</v>
      </c>
      <c r="J3" s="1">
        <v>38</v>
      </c>
      <c r="K3" s="1">
        <v>45</v>
      </c>
      <c r="L3" s="1">
        <v>15</v>
      </c>
      <c r="M3" s="80">
        <v>16.672499999999999</v>
      </c>
      <c r="N3" s="96">
        <v>16.672499999999999</v>
      </c>
      <c r="O3" s="65">
        <v>7000</v>
      </c>
      <c r="P3" s="66">
        <f>Table22457891011234567[[#This Row],[PEMBULATAN]]*O3</f>
        <v>116707.5</v>
      </c>
    </row>
    <row r="4" spans="1:16" ht="26.25" customHeight="1" x14ac:dyDescent="0.2">
      <c r="A4" s="14"/>
      <c r="B4" s="76"/>
      <c r="C4" s="9" t="s">
        <v>91</v>
      </c>
      <c r="D4" s="77" t="s">
        <v>160</v>
      </c>
      <c r="E4" s="13">
        <v>44541</v>
      </c>
      <c r="F4" s="77" t="s">
        <v>87</v>
      </c>
      <c r="G4" s="13">
        <v>44548</v>
      </c>
      <c r="H4" s="10" t="s">
        <v>93</v>
      </c>
      <c r="I4" s="1">
        <v>46</v>
      </c>
      <c r="J4" s="1">
        <v>42</v>
      </c>
      <c r="K4" s="1">
        <v>36</v>
      </c>
      <c r="L4" s="1">
        <v>7</v>
      </c>
      <c r="M4" s="80">
        <v>17.388000000000002</v>
      </c>
      <c r="N4" s="8">
        <v>18</v>
      </c>
      <c r="O4" s="65">
        <v>7000</v>
      </c>
      <c r="P4" s="66">
        <f>Table22457891011234567[[#This Row],[PEMBULATAN]]*O4</f>
        <v>126000</v>
      </c>
    </row>
    <row r="5" spans="1:16" ht="22.5" customHeight="1" x14ac:dyDescent="0.2">
      <c r="A5" s="115" t="s">
        <v>30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7"/>
      <c r="M5" s="79">
        <f>SUBTOTAL(109,Table22457891011234567[KG VOLUME])</f>
        <v>34.060500000000005</v>
      </c>
      <c r="N5" s="69">
        <f>SUM(N3:N4)</f>
        <v>34.672499999999999</v>
      </c>
      <c r="O5" s="118">
        <f>SUM(P3:P4)</f>
        <v>242707.5</v>
      </c>
      <c r="P5" s="119"/>
    </row>
    <row r="6" spans="1:16" ht="18" customHeight="1" x14ac:dyDescent="0.2">
      <c r="A6" s="86"/>
      <c r="B6" s="57" t="s">
        <v>42</v>
      </c>
      <c r="C6" s="56"/>
      <c r="D6" s="58" t="s">
        <v>43</v>
      </c>
      <c r="E6" s="86"/>
      <c r="F6" s="86"/>
      <c r="G6" s="86"/>
      <c r="H6" s="86"/>
      <c r="I6" s="86"/>
      <c r="J6" s="86"/>
      <c r="K6" s="86"/>
      <c r="L6" s="86"/>
      <c r="M6" s="87"/>
      <c r="N6" s="88" t="s">
        <v>51</v>
      </c>
      <c r="O6" s="89"/>
      <c r="P6" s="89">
        <f>O5*10%</f>
        <v>24270.75</v>
      </c>
    </row>
    <row r="7" spans="1:16" ht="18" customHeight="1" thickBot="1" x14ac:dyDescent="0.25">
      <c r="A7" s="86"/>
      <c r="B7" s="57"/>
      <c r="C7" s="56"/>
      <c r="D7" s="58"/>
      <c r="E7" s="86"/>
      <c r="F7" s="86"/>
      <c r="G7" s="86"/>
      <c r="H7" s="86"/>
      <c r="I7" s="86"/>
      <c r="J7" s="86"/>
      <c r="K7" s="86"/>
      <c r="L7" s="86"/>
      <c r="M7" s="87"/>
      <c r="N7" s="90" t="s">
        <v>52</v>
      </c>
      <c r="O7" s="91"/>
      <c r="P7" s="91">
        <f>O5-P6</f>
        <v>218436.75</v>
      </c>
    </row>
    <row r="8" spans="1:16" ht="18" customHeight="1" x14ac:dyDescent="0.2">
      <c r="A8" s="11"/>
      <c r="H8" s="64"/>
      <c r="N8" s="63" t="s">
        <v>31</v>
      </c>
      <c r="P8" s="70">
        <f>P7*1%</f>
        <v>2184.3674999999998</v>
      </c>
    </row>
    <row r="9" spans="1:16" ht="18" customHeight="1" thickBot="1" x14ac:dyDescent="0.25">
      <c r="A9" s="11"/>
      <c r="H9" s="64"/>
      <c r="N9" s="63" t="s">
        <v>53</v>
      </c>
      <c r="P9" s="72">
        <f>P7*2%</f>
        <v>4368.7349999999997</v>
      </c>
    </row>
    <row r="10" spans="1:16" ht="18" customHeight="1" x14ac:dyDescent="0.2">
      <c r="A10" s="11"/>
      <c r="H10" s="64"/>
      <c r="N10" s="67" t="s">
        <v>32</v>
      </c>
      <c r="O10" s="68"/>
      <c r="P10" s="71">
        <f>P7+P8-P9</f>
        <v>216252.38250000001</v>
      </c>
    </row>
    <row r="12" spans="1:16" x14ac:dyDescent="0.2">
      <c r="A12" s="11"/>
      <c r="H12" s="64"/>
      <c r="P12" s="72"/>
    </row>
    <row r="13" spans="1:16" x14ac:dyDescent="0.2">
      <c r="A13" s="11"/>
      <c r="H13" s="64"/>
      <c r="O13" s="59"/>
      <c r="P13" s="72"/>
    </row>
    <row r="14" spans="1:16" s="3" customFormat="1" x14ac:dyDescent="0.25">
      <c r="A14" s="11"/>
      <c r="B14" s="2"/>
      <c r="C14" s="2"/>
      <c r="E14" s="12"/>
      <c r="H14" s="64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137" priority="2"/>
  </conditionalFormatting>
  <conditionalFormatting sqref="B4">
    <cfRule type="duplicateValues" dxfId="136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J9" sqref="J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.5703125" style="3" customWidth="1"/>
    <col min="5" max="5" width="8" style="12" customWidth="1"/>
    <col min="6" max="6" width="11.85546875" style="3" customWidth="1"/>
    <col min="7" max="7" width="9.5703125" style="3" customWidth="1"/>
    <col min="8" max="8" width="15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3">
        <v>406469</v>
      </c>
      <c r="B3" s="75" t="s">
        <v>94</v>
      </c>
      <c r="C3" s="9" t="s">
        <v>95</v>
      </c>
      <c r="D3" s="77" t="s">
        <v>160</v>
      </c>
      <c r="E3" s="13">
        <v>44542</v>
      </c>
      <c r="F3" s="77" t="s">
        <v>87</v>
      </c>
      <c r="G3" s="13">
        <v>44548</v>
      </c>
      <c r="H3" s="10" t="s">
        <v>92</v>
      </c>
      <c r="I3" s="1">
        <v>46</v>
      </c>
      <c r="J3" s="1">
        <v>32</v>
      </c>
      <c r="K3" s="1">
        <v>32</v>
      </c>
      <c r="L3" s="1">
        <v>14</v>
      </c>
      <c r="M3" s="80">
        <v>11.776</v>
      </c>
      <c r="N3" s="8">
        <v>14</v>
      </c>
      <c r="O3" s="65">
        <v>7000</v>
      </c>
      <c r="P3" s="66">
        <f>Table224578910112345678[[#This Row],[PEMBULATAN]]*O3</f>
        <v>98000</v>
      </c>
    </row>
    <row r="4" spans="1:16" ht="22.5" customHeight="1" x14ac:dyDescent="0.2">
      <c r="A4" s="115" t="s">
        <v>30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7"/>
      <c r="M4" s="79">
        <f>SUBTOTAL(109,Table224578910112345678[KG VOLUME])</f>
        <v>11.776</v>
      </c>
      <c r="N4" s="69">
        <f>SUM(N3:N3)</f>
        <v>14</v>
      </c>
      <c r="O4" s="118">
        <f>SUM(P3:P3)</f>
        <v>98000</v>
      </c>
      <c r="P4" s="119"/>
    </row>
    <row r="5" spans="1:16" ht="18" customHeight="1" x14ac:dyDescent="0.2">
      <c r="A5" s="86"/>
      <c r="B5" s="57" t="s">
        <v>42</v>
      </c>
      <c r="C5" s="56"/>
      <c r="D5" s="58" t="s">
        <v>43</v>
      </c>
      <c r="E5" s="86"/>
      <c r="F5" s="86"/>
      <c r="G5" s="86"/>
      <c r="H5" s="86"/>
      <c r="I5" s="86"/>
      <c r="J5" s="86"/>
      <c r="K5" s="86"/>
      <c r="L5" s="86"/>
      <c r="M5" s="87"/>
      <c r="N5" s="88" t="s">
        <v>51</v>
      </c>
      <c r="O5" s="89"/>
      <c r="P5" s="89">
        <f>O4*10%</f>
        <v>9800</v>
      </c>
    </row>
    <row r="6" spans="1:16" ht="18" customHeight="1" thickBot="1" x14ac:dyDescent="0.25">
      <c r="A6" s="86"/>
      <c r="B6" s="57"/>
      <c r="C6" s="56"/>
      <c r="D6" s="58"/>
      <c r="E6" s="86"/>
      <c r="F6" s="86"/>
      <c r="G6" s="86"/>
      <c r="H6" s="86"/>
      <c r="I6" s="86"/>
      <c r="J6" s="86"/>
      <c r="K6" s="86"/>
      <c r="L6" s="86"/>
      <c r="M6" s="87"/>
      <c r="N6" s="90" t="s">
        <v>52</v>
      </c>
      <c r="O6" s="91"/>
      <c r="P6" s="91">
        <f>O4-P5</f>
        <v>88200</v>
      </c>
    </row>
    <row r="7" spans="1:16" ht="18" customHeight="1" x14ac:dyDescent="0.2">
      <c r="A7" s="11"/>
      <c r="H7" s="64"/>
      <c r="N7" s="63" t="s">
        <v>31</v>
      </c>
      <c r="P7" s="70">
        <f>P6*1%</f>
        <v>882</v>
      </c>
    </row>
    <row r="8" spans="1:16" ht="18" customHeight="1" thickBot="1" x14ac:dyDescent="0.25">
      <c r="A8" s="11"/>
      <c r="H8" s="64"/>
      <c r="N8" s="63" t="s">
        <v>53</v>
      </c>
      <c r="P8" s="72">
        <f>P6*2%</f>
        <v>1764</v>
      </c>
    </row>
    <row r="9" spans="1:16" ht="18" customHeight="1" x14ac:dyDescent="0.2">
      <c r="A9" s="11"/>
      <c r="H9" s="64"/>
      <c r="N9" s="67" t="s">
        <v>32</v>
      </c>
      <c r="O9" s="68"/>
      <c r="P9" s="71">
        <f>P6+P7-P8</f>
        <v>87318</v>
      </c>
    </row>
    <row r="11" spans="1:16" x14ac:dyDescent="0.2">
      <c r="A11" s="11"/>
      <c r="H11" s="64"/>
      <c r="P11" s="72"/>
    </row>
    <row r="12" spans="1:16" x14ac:dyDescent="0.2">
      <c r="A12" s="11"/>
      <c r="H12" s="64"/>
      <c r="O12" s="59"/>
      <c r="P12" s="72"/>
    </row>
    <row r="13" spans="1:16" s="3" customFormat="1" x14ac:dyDescent="0.25">
      <c r="A13" s="11"/>
      <c r="B13" s="2"/>
      <c r="C13" s="2"/>
      <c r="E13" s="12"/>
      <c r="H13" s="64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64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120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L8" sqref="L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.5703125" style="3" customWidth="1"/>
    <col min="5" max="5" width="8" style="12" customWidth="1"/>
    <col min="6" max="6" width="11.85546875" style="3" customWidth="1"/>
    <col min="7" max="7" width="9.5703125" style="3" customWidth="1"/>
    <col min="8" max="8" width="1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3">
        <v>402673</v>
      </c>
      <c r="B3" s="97" t="s">
        <v>96</v>
      </c>
      <c r="C3" s="9" t="s">
        <v>97</v>
      </c>
      <c r="D3" s="77" t="s">
        <v>160</v>
      </c>
      <c r="E3" s="13">
        <v>44546</v>
      </c>
      <c r="F3" s="77" t="s">
        <v>101</v>
      </c>
      <c r="G3" s="13">
        <v>44551</v>
      </c>
      <c r="H3" s="10" t="s">
        <v>102</v>
      </c>
      <c r="I3" s="1">
        <v>60</v>
      </c>
      <c r="J3" s="1">
        <v>43</v>
      </c>
      <c r="K3" s="1">
        <v>76</v>
      </c>
      <c r="L3" s="1">
        <v>14</v>
      </c>
      <c r="M3" s="80">
        <v>49.02</v>
      </c>
      <c r="N3" s="96">
        <v>49.02</v>
      </c>
      <c r="O3" s="65">
        <v>7000</v>
      </c>
      <c r="P3" s="66">
        <f>Table2245789101123456789[[#This Row],[PEMBULATAN]]*O3</f>
        <v>343140</v>
      </c>
    </row>
    <row r="4" spans="1:16" ht="26.25" customHeight="1" x14ac:dyDescent="0.2">
      <c r="A4" s="14"/>
      <c r="B4" s="76" t="s">
        <v>98</v>
      </c>
      <c r="C4" s="9" t="s">
        <v>99</v>
      </c>
      <c r="D4" s="77" t="s">
        <v>160</v>
      </c>
      <c r="E4" s="13">
        <v>44546</v>
      </c>
      <c r="F4" s="77" t="s">
        <v>101</v>
      </c>
      <c r="G4" s="13">
        <v>44551</v>
      </c>
      <c r="H4" s="10" t="s">
        <v>102</v>
      </c>
      <c r="I4" s="1">
        <v>47</v>
      </c>
      <c r="J4" s="1">
        <v>43</v>
      </c>
      <c r="K4" s="1">
        <v>37</v>
      </c>
      <c r="L4" s="1">
        <v>13</v>
      </c>
      <c r="M4" s="80">
        <v>18.69425</v>
      </c>
      <c r="N4" s="96">
        <v>18.69425</v>
      </c>
      <c r="O4" s="65">
        <v>7000</v>
      </c>
      <c r="P4" s="66">
        <f>Table2245789101123456789[[#This Row],[PEMBULATAN]]*O4</f>
        <v>130859.75</v>
      </c>
    </row>
    <row r="5" spans="1:16" ht="26.25" customHeight="1" x14ac:dyDescent="0.2">
      <c r="A5" s="14"/>
      <c r="B5" s="14"/>
      <c r="C5" s="9" t="s">
        <v>100</v>
      </c>
      <c r="D5" s="77" t="s">
        <v>160</v>
      </c>
      <c r="E5" s="13">
        <v>44546</v>
      </c>
      <c r="F5" s="77" t="s">
        <v>101</v>
      </c>
      <c r="G5" s="13">
        <v>44551</v>
      </c>
      <c r="H5" s="10" t="s">
        <v>102</v>
      </c>
      <c r="I5" s="1">
        <v>33</v>
      </c>
      <c r="J5" s="1">
        <v>33</v>
      </c>
      <c r="K5" s="1">
        <v>45</v>
      </c>
      <c r="L5" s="1">
        <v>14</v>
      </c>
      <c r="M5" s="80">
        <v>12.251250000000001</v>
      </c>
      <c r="N5" s="8">
        <v>14</v>
      </c>
      <c r="O5" s="65">
        <v>7000</v>
      </c>
      <c r="P5" s="66">
        <f>Table2245789101123456789[[#This Row],[PEMBULATAN]]*O5</f>
        <v>98000</v>
      </c>
    </row>
    <row r="6" spans="1:16" ht="22.5" customHeight="1" x14ac:dyDescent="0.2">
      <c r="A6" s="115" t="s">
        <v>30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7"/>
      <c r="M6" s="79">
        <f>SUBTOTAL(109,Table2245789101123456789[KG VOLUME])</f>
        <v>79.965500000000006</v>
      </c>
      <c r="N6" s="69">
        <f>SUM(N3:N5)</f>
        <v>81.714250000000007</v>
      </c>
      <c r="O6" s="118">
        <f>SUM(P3:P5)</f>
        <v>571999.75</v>
      </c>
      <c r="P6" s="119"/>
    </row>
    <row r="7" spans="1:16" ht="18" customHeight="1" x14ac:dyDescent="0.2">
      <c r="A7" s="86"/>
      <c r="B7" s="57" t="s">
        <v>42</v>
      </c>
      <c r="C7" s="56"/>
      <c r="D7" s="58" t="s">
        <v>43</v>
      </c>
      <c r="E7" s="86"/>
      <c r="F7" s="86"/>
      <c r="G7" s="86"/>
      <c r="H7" s="86"/>
      <c r="I7" s="86"/>
      <c r="J7" s="86"/>
      <c r="K7" s="86"/>
      <c r="L7" s="86"/>
      <c r="M7" s="87"/>
      <c r="N7" s="88" t="s">
        <v>51</v>
      </c>
      <c r="O7" s="89"/>
      <c r="P7" s="89">
        <f>O6*10%</f>
        <v>57199.975000000006</v>
      </c>
    </row>
    <row r="8" spans="1:16" ht="18" customHeight="1" thickBot="1" x14ac:dyDescent="0.25">
      <c r="A8" s="86"/>
      <c r="B8" s="57"/>
      <c r="C8" s="56"/>
      <c r="D8" s="58"/>
      <c r="E8" s="86"/>
      <c r="F8" s="86"/>
      <c r="G8" s="86"/>
      <c r="H8" s="86"/>
      <c r="I8" s="86"/>
      <c r="J8" s="86"/>
      <c r="K8" s="86"/>
      <c r="L8" s="86"/>
      <c r="M8" s="87"/>
      <c r="N8" s="90" t="s">
        <v>52</v>
      </c>
      <c r="O8" s="91"/>
      <c r="P8" s="91">
        <f>O6-P7</f>
        <v>514799.77500000002</v>
      </c>
    </row>
    <row r="9" spans="1:16" ht="18" customHeight="1" x14ac:dyDescent="0.2">
      <c r="A9" s="11"/>
      <c r="H9" s="64"/>
      <c r="N9" s="63" t="s">
        <v>31</v>
      </c>
      <c r="P9" s="70">
        <f>P8*1%</f>
        <v>5147.9977500000005</v>
      </c>
    </row>
    <row r="10" spans="1:16" ht="18" customHeight="1" thickBot="1" x14ac:dyDescent="0.25">
      <c r="A10" s="11"/>
      <c r="H10" s="64"/>
      <c r="N10" s="63" t="s">
        <v>53</v>
      </c>
      <c r="P10" s="72">
        <f>P8*2%</f>
        <v>10295.995500000001</v>
      </c>
    </row>
    <row r="11" spans="1:16" ht="18" customHeight="1" x14ac:dyDescent="0.2">
      <c r="A11" s="11"/>
      <c r="H11" s="64"/>
      <c r="N11" s="67" t="s">
        <v>32</v>
      </c>
      <c r="O11" s="68"/>
      <c r="P11" s="71">
        <f>P8+P9-P10</f>
        <v>509651.77724999998</v>
      </c>
    </row>
    <row r="13" spans="1:16" x14ac:dyDescent="0.2">
      <c r="A13" s="11"/>
      <c r="H13" s="64"/>
      <c r="P13" s="72"/>
    </row>
    <row r="14" spans="1:16" x14ac:dyDescent="0.2">
      <c r="A14" s="11"/>
      <c r="H14" s="64"/>
      <c r="O14" s="59"/>
      <c r="P14" s="72"/>
    </row>
    <row r="15" spans="1:16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</sheetData>
  <mergeCells count="2">
    <mergeCell ref="A6:L6"/>
    <mergeCell ref="O6:P6"/>
  </mergeCells>
  <conditionalFormatting sqref="B3">
    <cfRule type="duplicateValues" dxfId="104" priority="2"/>
  </conditionalFormatting>
  <conditionalFormatting sqref="B4">
    <cfRule type="duplicateValues" dxfId="103" priority="1"/>
  </conditionalFormatting>
  <conditionalFormatting sqref="B5">
    <cfRule type="duplicateValues" dxfId="102" priority="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060_Sicepat_TNJ</vt:lpstr>
      <vt:lpstr>403745</vt:lpstr>
      <vt:lpstr>405152</vt:lpstr>
      <vt:lpstr>405814</vt:lpstr>
      <vt:lpstr>405824</vt:lpstr>
      <vt:lpstr>406451</vt:lpstr>
      <vt:lpstr>406462</vt:lpstr>
      <vt:lpstr>406469</vt:lpstr>
      <vt:lpstr>402673</vt:lpstr>
      <vt:lpstr>402680</vt:lpstr>
      <vt:lpstr>402697</vt:lpstr>
      <vt:lpstr>402708</vt:lpstr>
      <vt:lpstr>402716</vt:lpstr>
      <vt:lpstr>402761</vt:lpstr>
      <vt:lpstr>'060_Sicepat_TNJ'!Print_Titles</vt:lpstr>
      <vt:lpstr>'402673'!Print_Titles</vt:lpstr>
      <vt:lpstr>'402680'!Print_Titles</vt:lpstr>
      <vt:lpstr>'402697'!Print_Titles</vt:lpstr>
      <vt:lpstr>'402708'!Print_Titles</vt:lpstr>
      <vt:lpstr>'402716'!Print_Titles</vt:lpstr>
      <vt:lpstr>'402761'!Print_Titles</vt:lpstr>
      <vt:lpstr>'403745'!Print_Titles</vt:lpstr>
      <vt:lpstr>'405152'!Print_Titles</vt:lpstr>
      <vt:lpstr>'405814'!Print_Titles</vt:lpstr>
      <vt:lpstr>'405824'!Print_Titles</vt:lpstr>
      <vt:lpstr>'406451'!Print_Titles</vt:lpstr>
      <vt:lpstr>'406462'!Print_Titles</vt:lpstr>
      <vt:lpstr>'406469'!Print_Titles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2022-01-13T05:08:37Z</cp:lastPrinted>
  <dcterms:created xsi:type="dcterms:W3CDTF">2021-07-02T11:08:00Z</dcterms:created>
  <dcterms:modified xsi:type="dcterms:W3CDTF">2022-01-13T07:08:40Z</dcterms:modified>
</cp:coreProperties>
</file>