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0" yWindow="0" windowWidth="20490" windowHeight="7320" tabRatio="842"/>
  </bookViews>
  <sheets>
    <sheet name="403746" sheetId="26" r:id="rId1"/>
    <sheet name="405809" sheetId="57" r:id="rId2"/>
    <sheet name="405815" sheetId="58" r:id="rId3"/>
    <sheet name="405821" sheetId="59" r:id="rId4"/>
    <sheet name="405828" sheetId="60" r:id="rId5"/>
    <sheet name="405837" sheetId="61" r:id="rId6"/>
    <sheet name="405843" sheetId="62" r:id="rId7"/>
    <sheet name="405850" sheetId="63" r:id="rId8"/>
    <sheet name="406454" sheetId="64" r:id="rId9"/>
    <sheet name="406463" sheetId="65" r:id="rId10"/>
    <sheet name="402669" sheetId="66" r:id="rId11"/>
    <sheet name="402678" sheetId="67" r:id="rId12"/>
    <sheet name="402904" sheetId="68" r:id="rId13"/>
    <sheet name="402717" sheetId="69" r:id="rId14"/>
    <sheet name="402728" sheetId="70" r:id="rId15"/>
    <sheet name="402743" sheetId="71" r:id="rId16"/>
    <sheet name="402756" sheetId="72" r:id="rId17"/>
    <sheet name="402760" sheetId="73" r:id="rId18"/>
  </sheets>
  <definedNames>
    <definedName name="_xlnm.Print_Titles" localSheetId="10">'402669'!$2:$2</definedName>
    <definedName name="_xlnm.Print_Titles" localSheetId="11">'402678'!$2:$2</definedName>
    <definedName name="_xlnm.Print_Titles" localSheetId="13">'402717'!$2:$2</definedName>
    <definedName name="_xlnm.Print_Titles" localSheetId="14">'402728'!$2:$2</definedName>
    <definedName name="_xlnm.Print_Titles" localSheetId="15">'402743'!$2:$2</definedName>
    <definedName name="_xlnm.Print_Titles" localSheetId="16">'402756'!$2:$2</definedName>
    <definedName name="_xlnm.Print_Titles" localSheetId="17">'402760'!$2:$2</definedName>
    <definedName name="_xlnm.Print_Titles" localSheetId="12">'402904'!$2:$2</definedName>
    <definedName name="_xlnm.Print_Titles" localSheetId="0">'403746'!$2:$2</definedName>
    <definedName name="_xlnm.Print_Titles" localSheetId="1">'405809'!$2:$2</definedName>
    <definedName name="_xlnm.Print_Titles" localSheetId="2">'405815'!$2:$2</definedName>
    <definedName name="_xlnm.Print_Titles" localSheetId="3">'405821'!$2:$2</definedName>
    <definedName name="_xlnm.Print_Titles" localSheetId="4">'405828'!$2:$2</definedName>
    <definedName name="_xlnm.Print_Titles" localSheetId="5">'405837'!$2:$2</definedName>
    <definedName name="_xlnm.Print_Titles" localSheetId="6">'405843'!$2:$2</definedName>
    <definedName name="_xlnm.Print_Titles" localSheetId="7">'405850'!$2:$2</definedName>
    <definedName name="_xlnm.Print_Titles" localSheetId="8">'406454'!$2:$2</definedName>
    <definedName name="_xlnm.Print_Titles" localSheetId="9">'406463'!$2:$2</definedName>
  </definedNames>
  <calcPr calcId="162913"/>
</workbook>
</file>

<file path=xl/calcChain.xml><?xml version="1.0" encoding="utf-8"?>
<calcChain xmlns="http://schemas.openxmlformats.org/spreadsheetml/2006/main">
  <c r="O7" i="73" l="1"/>
  <c r="N7" i="73"/>
  <c r="O7" i="72"/>
  <c r="N7" i="72"/>
  <c r="M7" i="72"/>
  <c r="O4" i="71"/>
  <c r="N4" i="71"/>
  <c r="O7" i="70"/>
  <c r="N7" i="70"/>
  <c r="O14" i="69"/>
  <c r="N14" i="69"/>
  <c r="O9" i="68"/>
  <c r="N9" i="68"/>
  <c r="O16" i="67"/>
  <c r="N16" i="67"/>
  <c r="O8" i="66"/>
  <c r="N8" i="66"/>
  <c r="O7" i="65"/>
  <c r="N7" i="65"/>
  <c r="O5" i="64"/>
  <c r="N5" i="64"/>
  <c r="O5" i="63"/>
  <c r="N5" i="63"/>
  <c r="O5" i="62"/>
  <c r="N5" i="62"/>
  <c r="O17" i="61"/>
  <c r="N17" i="61"/>
  <c r="O7" i="60"/>
  <c r="N7" i="60"/>
  <c r="O8" i="58"/>
  <c r="N8" i="58"/>
  <c r="P4" i="57"/>
  <c r="P3" i="57"/>
  <c r="N31" i="57"/>
  <c r="O6" i="26"/>
  <c r="N6" i="26"/>
  <c r="O31" i="57" l="1"/>
  <c r="P7" i="26"/>
  <c r="P9" i="58"/>
  <c r="P5" i="59"/>
  <c r="P8" i="60"/>
  <c r="P18" i="61"/>
  <c r="P6" i="62"/>
  <c r="P6" i="63"/>
  <c r="P6" i="64"/>
  <c r="P8" i="65"/>
  <c r="P9" i="66"/>
  <c r="P17" i="67"/>
  <c r="P10" i="68"/>
  <c r="P15" i="69"/>
  <c r="P8" i="70"/>
  <c r="P5" i="71"/>
  <c r="P8" i="72"/>
  <c r="P3" i="61" l="1"/>
  <c r="M7" i="73" l="1"/>
  <c r="P6" i="73"/>
  <c r="P5" i="73"/>
  <c r="P4" i="73"/>
  <c r="P3" i="73"/>
  <c r="P6" i="72"/>
  <c r="P5" i="72"/>
  <c r="P4" i="72"/>
  <c r="P3" i="72"/>
  <c r="M4" i="71"/>
  <c r="P3" i="71"/>
  <c r="P6" i="71" s="1"/>
  <c r="M7" i="70"/>
  <c r="P6" i="70"/>
  <c r="P5" i="70"/>
  <c r="P4" i="70"/>
  <c r="P3" i="70"/>
  <c r="M14" i="69"/>
  <c r="P13" i="69"/>
  <c r="P12" i="69"/>
  <c r="P11" i="69"/>
  <c r="P10" i="69"/>
  <c r="P9" i="69"/>
  <c r="P8" i="69"/>
  <c r="P7" i="69"/>
  <c r="P6" i="69"/>
  <c r="P5" i="69"/>
  <c r="P4" i="69"/>
  <c r="P3" i="69"/>
  <c r="M9" i="68"/>
  <c r="P8" i="68"/>
  <c r="P7" i="68"/>
  <c r="P6" i="68"/>
  <c r="P5" i="68"/>
  <c r="P4" i="68"/>
  <c r="P3" i="68"/>
  <c r="M16" i="67"/>
  <c r="P15" i="67"/>
  <c r="P14" i="67"/>
  <c r="P13" i="67"/>
  <c r="P12" i="67"/>
  <c r="P11" i="67"/>
  <c r="P10" i="67"/>
  <c r="P9" i="67"/>
  <c r="P8" i="67"/>
  <c r="P7" i="67"/>
  <c r="P6" i="67"/>
  <c r="P5" i="67"/>
  <c r="P4" i="67"/>
  <c r="P3" i="67"/>
  <c r="M8" i="66"/>
  <c r="P7" i="66"/>
  <c r="P6" i="66"/>
  <c r="P5" i="66"/>
  <c r="P4" i="66"/>
  <c r="P3" i="66"/>
  <c r="M7" i="65"/>
  <c r="P6" i="65"/>
  <c r="P5" i="65"/>
  <c r="P4" i="65"/>
  <c r="P3" i="65"/>
  <c r="M5" i="64"/>
  <c r="P4" i="64"/>
  <c r="P3" i="64"/>
  <c r="M5" i="63"/>
  <c r="P4" i="63"/>
  <c r="P3" i="63"/>
  <c r="P7" i="63" s="1"/>
  <c r="M5" i="62"/>
  <c r="P4" i="62"/>
  <c r="P3" i="62"/>
  <c r="P7" i="62" s="1"/>
  <c r="M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M7" i="60"/>
  <c r="P6" i="60"/>
  <c r="P5" i="60"/>
  <c r="P4" i="60"/>
  <c r="P3" i="60"/>
  <c r="N4" i="59"/>
  <c r="M4" i="59"/>
  <c r="P3" i="59"/>
  <c r="O4" i="59" s="1"/>
  <c r="P6" i="59" s="1"/>
  <c r="M8" i="58"/>
  <c r="P7" i="58"/>
  <c r="P6" i="58"/>
  <c r="P5" i="58"/>
  <c r="P4" i="58"/>
  <c r="P3" i="58"/>
  <c r="M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8" i="57"/>
  <c r="P7" i="57"/>
  <c r="P6" i="57"/>
  <c r="P5" i="57"/>
  <c r="P9" i="72" l="1"/>
  <c r="P10" i="72" s="1"/>
  <c r="P9" i="70"/>
  <c r="P11" i="70" s="1"/>
  <c r="P16" i="69"/>
  <c r="P17" i="69" s="1"/>
  <c r="P11" i="68"/>
  <c r="P13" i="68" s="1"/>
  <c r="P18" i="67"/>
  <c r="P20" i="67" s="1"/>
  <c r="P10" i="66"/>
  <c r="P11" i="66" s="1"/>
  <c r="P9" i="65"/>
  <c r="P10" i="65" s="1"/>
  <c r="P7" i="64"/>
  <c r="P8" i="64" s="1"/>
  <c r="P19" i="61"/>
  <c r="P21" i="61" s="1"/>
  <c r="P9" i="60"/>
  <c r="P10" i="60" s="1"/>
  <c r="P10" i="58"/>
  <c r="P11" i="58" s="1"/>
  <c r="P8" i="71"/>
  <c r="P7" i="71"/>
  <c r="P9" i="63"/>
  <c r="P8" i="63"/>
  <c r="P9" i="62"/>
  <c r="P8" i="62"/>
  <c r="P8" i="59"/>
  <c r="P7" i="59"/>
  <c r="P8" i="73" l="1"/>
  <c r="P9" i="73" s="1"/>
  <c r="P32" i="57"/>
  <c r="P33" i="57" s="1"/>
  <c r="P9" i="71"/>
  <c r="P12" i="66"/>
  <c r="P10" i="62"/>
  <c r="P9" i="64"/>
  <c r="P10" i="64" s="1"/>
  <c r="P9" i="59"/>
  <c r="P11" i="72"/>
  <c r="P12" i="72" s="1"/>
  <c r="P10" i="70"/>
  <c r="P12" i="70" s="1"/>
  <c r="P18" i="69"/>
  <c r="P19" i="69" s="1"/>
  <c r="P12" i="68"/>
  <c r="P14" i="68" s="1"/>
  <c r="P19" i="67"/>
  <c r="P21" i="67" s="1"/>
  <c r="P13" i="66"/>
  <c r="P11" i="65"/>
  <c r="P12" i="65" s="1"/>
  <c r="P10" i="63"/>
  <c r="P20" i="61"/>
  <c r="P22" i="61" s="1"/>
  <c r="P11" i="60"/>
  <c r="P12" i="60" s="1"/>
  <c r="P12" i="58"/>
  <c r="P13" i="58" s="1"/>
  <c r="P4" i="26"/>
  <c r="P5" i="26"/>
  <c r="P10" i="73" l="1"/>
  <c r="P11" i="73"/>
  <c r="P34" i="57"/>
  <c r="P35" i="57"/>
  <c r="P36" i="57" s="1"/>
  <c r="M6" i="26"/>
  <c r="P3" i="26"/>
  <c r="P12" i="73" l="1"/>
  <c r="P8" i="26"/>
  <c r="P9" i="26" l="1"/>
  <c r="P10" i="26"/>
  <c r="P11" i="26" l="1"/>
</calcChain>
</file>

<file path=xl/sharedStrings.xml><?xml version="1.0" encoding="utf-8"?>
<sst xmlns="http://schemas.openxmlformats.org/spreadsheetml/2006/main" count="907" uniqueCount="168">
  <si>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</si>
  <si>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</si>
  <si>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</si>
  <si>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</si>
  <si>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</si>
  <si>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</si>
  <si>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</si>
  <si>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</si>
  <si>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SUB TOTAL</t>
  </si>
  <si>
    <t>PPN 1%</t>
  </si>
  <si>
    <t>Total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</si>
  <si>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</si>
  <si>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</si>
  <si>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</si>
  <si>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</si>
  <si>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</si>
  <si>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</si>
  <si>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</si>
  <si>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</si>
  <si>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</si>
  <si>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</si>
  <si>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Discount 10%</t>
  </si>
  <si>
    <t>Total Setelah Discount</t>
  </si>
  <si>
    <t>PPh 23  2%</t>
  </si>
  <si>
    <t>DMD/2112/01/XRYJ7983</t>
  </si>
  <si>
    <t>GSK211130QCA749</t>
  </si>
  <si>
    <t>GSK211201MSL153</t>
  </si>
  <si>
    <t>GSK211201JBF946</t>
  </si>
  <si>
    <t>KM TONGKANG</t>
  </si>
  <si>
    <t>12/15/2021 BELLA</t>
  </si>
  <si>
    <t>DMD/2112/03/WUCR0176</t>
  </si>
  <si>
    <t>GSK211203OCK582</t>
  </si>
  <si>
    <t>GSK211203YTP469</t>
  </si>
  <si>
    <t>GSK211202ADN951</t>
  </si>
  <si>
    <t>GSK211203FMC324</t>
  </si>
  <si>
    <t>GSK211203OXP781</t>
  </si>
  <si>
    <t>GSK211202CMD961</t>
  </si>
  <si>
    <t>GSK211202ZHQ387</t>
  </si>
  <si>
    <t>GSK211202RPA136</t>
  </si>
  <si>
    <t>GSK211202TKO649</t>
  </si>
  <si>
    <t>GSK211202EHX352</t>
  </si>
  <si>
    <t>GSK211203JLV184</t>
  </si>
  <si>
    <t>GSK211201CJL531</t>
  </si>
  <si>
    <t>GSK211202OPG612</t>
  </si>
  <si>
    <t>GSK211202IFY809</t>
  </si>
  <si>
    <t>GSK211202DYC081</t>
  </si>
  <si>
    <t>GSK211202TQV815</t>
  </si>
  <si>
    <t>GSK211202ZGO027</t>
  </si>
  <si>
    <t>GSK211203ODR178</t>
  </si>
  <si>
    <t>GSK211202PZE761</t>
  </si>
  <si>
    <t>GSK211201AIX364</t>
  </si>
  <si>
    <t>GSK211201THC267</t>
  </si>
  <si>
    <t>GSK211202OQK953</t>
  </si>
  <si>
    <t>GSK211203XTY590</t>
  </si>
  <si>
    <t>GSK211203BNQ540</t>
  </si>
  <si>
    <t>GSK211203AKS176</t>
  </si>
  <si>
    <t>GSK211202LBC831</t>
  </si>
  <si>
    <t>DMD/2112/03/RPWV1648</t>
  </si>
  <si>
    <t>GSK211203JBM860</t>
  </si>
  <si>
    <t>DMD/2112/03/VOUH7462</t>
  </si>
  <si>
    <t>GSK211203QTU012</t>
  </si>
  <si>
    <t>KM RORO</t>
  </si>
  <si>
    <t>12/17/2021 AGUS</t>
  </si>
  <si>
    <t>DMD/2112/04/XFPT0973</t>
  </si>
  <si>
    <t>GSK211204SIZ974</t>
  </si>
  <si>
    <t>GSK211204LOG102</t>
  </si>
  <si>
    <t>GSK211204MIO760</t>
  </si>
  <si>
    <t>GSK211204XZS093</t>
  </si>
  <si>
    <t>GSK211204IAV495</t>
  </si>
  <si>
    <t>DMD/2112/05/DHCP4681</t>
  </si>
  <si>
    <t>GSK211205BSG829</t>
  </si>
  <si>
    <t>DMD/2112/06/LUIO4706</t>
  </si>
  <si>
    <t>GSK211205PDU698</t>
  </si>
  <si>
    <t>DMD/2112/06/CSGA7032</t>
  </si>
  <si>
    <t>GSK211205LIF471</t>
  </si>
  <si>
    <t>GSK211205HPK721</t>
  </si>
  <si>
    <t>GSK211205CXE741</t>
  </si>
  <si>
    <t>DMD/2112/07/ZUOH4381</t>
  </si>
  <si>
    <t>GSK211207RWI548</t>
  </si>
  <si>
    <t>GSK211207LND907</t>
  </si>
  <si>
    <t>GSK211207YLI965</t>
  </si>
  <si>
    <t>GSK211207GVO698</t>
  </si>
  <si>
    <t>GSK211207VIC973</t>
  </si>
  <si>
    <t>GSK211207CHP273</t>
  </si>
  <si>
    <t>GSK211207RHC931</t>
  </si>
  <si>
    <t>GSK211207EUX936</t>
  </si>
  <si>
    <t>GSK211207CNY983</t>
  </si>
  <si>
    <t>GSK211207VEX964</t>
  </si>
  <si>
    <t>GSK211207HOD571</t>
  </si>
  <si>
    <t>GSK211207ELR568</t>
  </si>
  <si>
    <t>GSK211207UAV926</t>
  </si>
  <si>
    <t>GSK211207ZEM509</t>
  </si>
  <si>
    <t>DMD/2112/08/JUZH3165</t>
  </si>
  <si>
    <t>GSK211207ZVU860</t>
  </si>
  <si>
    <t>GSK211207MYE013</t>
  </si>
  <si>
    <t>DMD/2112/09/NKJQ8723</t>
  </si>
  <si>
    <t>GSK211209ATE480</t>
  </si>
  <si>
    <t>GSK211209IJK214</t>
  </si>
  <si>
    <t>DMD/2112/10/APSN4517</t>
  </si>
  <si>
    <t>GSK211210XDI850</t>
  </si>
  <si>
    <t>GSK211210BGD981</t>
  </si>
  <si>
    <t>KM SRIKANDI</t>
  </si>
  <si>
    <t>12/21/2021 SANDY</t>
  </si>
  <si>
    <t>DMD/2112/11/FRNW7619</t>
  </si>
  <si>
    <t>GSK211211JZB283</t>
  </si>
  <si>
    <t>GSK211211YOJ863</t>
  </si>
  <si>
    <t>GSK211211FER905</t>
  </si>
  <si>
    <t>GSK211211DKR840</t>
  </si>
  <si>
    <t>DMD/2112/16/TRQC1935</t>
  </si>
  <si>
    <t>GSK211216PGT321</t>
  </si>
  <si>
    <t>GSK211216KAC439</t>
  </si>
  <si>
    <t>GSK211216RBI457</t>
  </si>
  <si>
    <t>GSK211216CSL609</t>
  </si>
  <si>
    <t>GSK211216YDN671</t>
  </si>
  <si>
    <t>DMD/2112/17/HKFE6357</t>
  </si>
  <si>
    <t>GSK211217SDL580</t>
  </si>
  <si>
    <t>GSK211217RAM342</t>
  </si>
  <si>
    <t>GSK211217SYK824</t>
  </si>
  <si>
    <t>GSK211217UKW389</t>
  </si>
  <si>
    <t>GSK211217JHE497</t>
  </si>
  <si>
    <t>GSK211217VAG621</t>
  </si>
  <si>
    <t>GSK211217IPZ951</t>
  </si>
  <si>
    <t>GSK211217NGD697</t>
  </si>
  <si>
    <t>GSK211217QMF738</t>
  </si>
  <si>
    <t>DMD/2112/17/BRDJ2953</t>
  </si>
  <si>
    <t>GSK211217BYN918</t>
  </si>
  <si>
    <t>GSK211217LVO034</t>
  </si>
  <si>
    <t>GSK211217QXY965</t>
  </si>
  <si>
    <t>GSK211217JGS950</t>
  </si>
  <si>
    <t>01/08/2022 FRADINA</t>
  </si>
  <si>
    <t xml:space="preserve"> DMD/2112/18/IJYT6031</t>
  </si>
  <si>
    <t>GSK211218CFP842</t>
  </si>
  <si>
    <t>GSK211218OKV591</t>
  </si>
  <si>
    <t>GSK211218OAJ531</t>
  </si>
  <si>
    <t>GSK211218RTG768</t>
  </si>
  <si>
    <t>GSK211218VUS910</t>
  </si>
  <si>
    <t>GSK211218FMC549</t>
  </si>
  <si>
    <t>DMD/2112/23/ILZV7038</t>
  </si>
  <si>
    <t>GSK211223HXE940</t>
  </si>
  <si>
    <t>GSK211223GOP638</t>
  </si>
  <si>
    <t>GSK211223LVP960</t>
  </si>
  <si>
    <t>GSK211223SKT120</t>
  </si>
  <si>
    <t>GSK211223RTH309</t>
  </si>
  <si>
    <t>GSK211223ZUX481</t>
  </si>
  <si>
    <t>GSK211223VRZ906</t>
  </si>
  <si>
    <t>GSK211223IEK537</t>
  </si>
  <si>
    <t>DMD/2112/23/IVFH9810</t>
  </si>
  <si>
    <t>GSK211223KHX429</t>
  </si>
  <si>
    <t>GSK211223WNI049</t>
  </si>
  <si>
    <t>GSK211223CSZ512</t>
  </si>
  <si>
    <t>DMD/2112/24/VFCX4936</t>
  </si>
  <si>
    <t>GSK211224GMR751</t>
  </si>
  <si>
    <t>GSK211224ABF421</t>
  </si>
  <si>
    <t>GSK211224PJM742</t>
  </si>
  <si>
    <t>GSK211224ZIQ172</t>
  </si>
  <si>
    <t>DMD/2112/27/OSMF5078</t>
  </si>
  <si>
    <t>GSK211227EQN745</t>
  </si>
  <si>
    <t>DMD/2112/30/RDGM5870</t>
  </si>
  <si>
    <t>GSK211230ERG280</t>
  </si>
  <si>
    <t>GSK211230GIF675</t>
  </si>
  <si>
    <t>GSK211230KSQ240</t>
  </si>
  <si>
    <t>GSK211230NGD638</t>
  </si>
  <si>
    <t xml:space="preserve">  DMD/2112/31/RINZ2716</t>
  </si>
  <si>
    <t>GSK211230JAD901</t>
  </si>
  <si>
    <t>GSK211230FQX236</t>
  </si>
  <si>
    <t>GSK211230ODY486</t>
  </si>
  <si>
    <t>GSK211230ISV792</t>
  </si>
  <si>
    <t>DMP TJQ         (TJ. PANDAN)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</si>
</sst>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6" fontId="7" fillId="0" borderId="0" xfId="0" applyNumberFormat="1" applyFont="1"/>
    <xf numFmtId="166" fontId="9" fillId="0" borderId="0" xfId="0" applyNumberFormat="1" applyFont="1"/>
    <xf numFmtId="0" fontId="9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9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7" fontId="5" fillId="0" borderId="6" xfId="1" applyNumberFormat="1" applyFont="1" applyBorder="1" applyAlignment="1">
      <alignment horizontal="center" vertical="center"/>
    </xf>
    <xf numFmtId="167" fontId="5" fillId="0" borderId="7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3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224578910112" displayName="Table224578910112" ref="C2:N5" totalsRowShown="0" headerRowDxfId="316" dataDxfId="314" headerRowBorderDxfId="315">
  <tableColumns count="12">
    <tableColumn id="1" name="NOMOR" dataDxfId="313" dataCellStyle="Normal"/>
    <tableColumn id="3" name="TUJUAN" dataDxfId="312" dataCellStyle="Normal"/>
    <tableColumn id="16" name="Pick Up" dataDxfId="311"/>
    <tableColumn id="14" name="KAPAL" dataDxfId="310"/>
    <tableColumn id="15" name="ETD Kapal" dataDxfId="309"/>
    <tableColumn id="10" name="KETERANGAN" dataDxfId="308" dataCellStyle="Normal"/>
    <tableColumn id="5" name="P" dataDxfId="307" dataCellStyle="Normal"/>
    <tableColumn id="6" name="L" dataDxfId="306" dataCellStyle="Normal"/>
    <tableColumn id="7" name="T" dataDxfId="305" dataCellStyle="Normal"/>
    <tableColumn id="4" name="ACT KG" dataDxfId="304" dataCellStyle="Normal"/>
    <tableColumn id="8" name="KG VOLUME" dataDxfId="303" dataCellStyle="Normal"/>
    <tableColumn id="19" name="PEMBULATAN" dataDxfId="302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0" name="Table22457891011234567891011" displayName="Table22457891011234567891011" ref="C2:N6" totalsRowShown="0" headerRowDxfId="181" dataDxfId="179" headerRowBorderDxfId="180">
  <tableColumns count="12">
    <tableColumn id="1" name="NOMOR" dataDxfId="178" dataCellStyle="Normal"/>
    <tableColumn id="3" name="TUJUAN" dataDxfId="177" dataCellStyle="Normal"/>
    <tableColumn id="16" name="Pick Up" dataDxfId="176"/>
    <tableColumn id="14" name="KAPAL" dataDxfId="175"/>
    <tableColumn id="15" name="ETD Kapal" dataDxfId="174"/>
    <tableColumn id="10" name="KETERANGAN" dataDxfId="173" dataCellStyle="Normal"/>
    <tableColumn id="5" name="P" dataDxfId="172" dataCellStyle="Normal"/>
    <tableColumn id="6" name="L" dataDxfId="171" dataCellStyle="Normal"/>
    <tableColumn id="7" name="T" dataDxfId="170" dataCellStyle="Normal"/>
    <tableColumn id="4" name="ACT KG" dataDxfId="169" dataCellStyle="Normal"/>
    <tableColumn id="8" name="KG VOLUME" dataDxfId="168" dataCellStyle="Normal"/>
    <tableColumn id="19" name="PEMBULATAN" dataDxfId="167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1" name="Table2245789101123456789101112" displayName="Table2245789101123456789101112" ref="C2:N7" totalsRowShown="0" headerRowDxfId="166" dataDxfId="164" headerRowBorderDxfId="165">
  <tableColumns count="12">
    <tableColumn id="1" name="NOMOR" dataDxfId="163" dataCellStyle="Normal"/>
    <tableColumn id="3" name="TUJUAN" dataDxfId="162" dataCellStyle="Normal"/>
    <tableColumn id="16" name="Pick Up" dataDxfId="161"/>
    <tableColumn id="14" name="KAPAL" dataDxfId="160"/>
    <tableColumn id="15" name="ETD Kapal" dataDxfId="159"/>
    <tableColumn id="10" name="KETERANGAN" dataDxfId="158" dataCellStyle="Normal"/>
    <tableColumn id="5" name="P" dataDxfId="157" dataCellStyle="Normal"/>
    <tableColumn id="6" name="L" dataDxfId="156" dataCellStyle="Normal"/>
    <tableColumn id="7" name="T" dataDxfId="155" dataCellStyle="Normal"/>
    <tableColumn id="4" name="ACT KG" dataDxfId="154" dataCellStyle="Normal"/>
    <tableColumn id="8" name="KG VOLUME" dataDxfId="153" dataCellStyle="Normal"/>
    <tableColumn id="19" name="PEMBULATAN" dataDxfId="152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Table224578910112345678910111213" displayName="Table224578910112345678910111213" ref="C2:N15" totalsRowShown="0" headerRowDxfId="151" dataDxfId="149" headerRowBorderDxfId="150">
  <tableColumns count="12">
    <tableColumn id="1" name="NOMOR" dataDxfId="148" dataCellStyle="Normal"/>
    <tableColumn id="3" name="TUJUAN" dataDxfId="147" dataCellStyle="Normal"/>
    <tableColumn id="16" name="Pick Up" dataDxfId="146"/>
    <tableColumn id="14" name="KAPAL" dataDxfId="145"/>
    <tableColumn id="15" name="ETD Kapal" dataDxfId="144"/>
    <tableColumn id="10" name="KETERANGAN" dataDxfId="143" dataCellStyle="Normal"/>
    <tableColumn id="5" name="P" dataDxfId="142" dataCellStyle="Normal"/>
    <tableColumn id="6" name="L" dataDxfId="141" dataCellStyle="Normal"/>
    <tableColumn id="7" name="T" dataDxfId="140" dataCellStyle="Normal"/>
    <tableColumn id="4" name="ACT KG" dataDxfId="139" dataCellStyle="Normal"/>
    <tableColumn id="8" name="KG VOLUME" dataDxfId="138" dataCellStyle="Normal"/>
    <tableColumn id="19" name="PEMBULATAN" dataDxfId="137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Table22457891011234567891011121314" displayName="Table22457891011234567891011121314" ref="C2:N8" totalsRowShown="0" headerRowDxfId="136" dataDxfId="134" headerRowBorderDxfId="135">
  <tableColumns count="12">
    <tableColumn id="1" name="NOMOR" dataDxfId="133" dataCellStyle="Normal"/>
    <tableColumn id="3" name="TUJUAN" dataDxfId="132" dataCellStyle="Normal"/>
    <tableColumn id="16" name="Pick Up" dataDxfId="131"/>
    <tableColumn id="14" name="KAPAL" dataDxfId="130"/>
    <tableColumn id="15" name="ETD Kapal" dataDxfId="129"/>
    <tableColumn id="10" name="KETERANGAN" dataDxfId="128" dataCellStyle="Normal"/>
    <tableColumn id="5" name="P" dataDxfId="127" dataCellStyle="Normal"/>
    <tableColumn id="6" name="L" dataDxfId="126" dataCellStyle="Normal"/>
    <tableColumn id="7" name="T" dataDxfId="125" dataCellStyle="Normal"/>
    <tableColumn id="4" name="ACT KG" dataDxfId="124" dataCellStyle="Normal"/>
    <tableColumn id="8" name="KG VOLUME" dataDxfId="123" dataCellStyle="Normal"/>
    <tableColumn id="19" name="PEMBULATAN" dataDxfId="122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4" name="Table2245789101123456789101112131415" displayName="Table2245789101123456789101112131415" ref="C2:N13" totalsRowShown="0" headerRowDxfId="121" dataDxfId="119" headerRowBorderDxfId="120">
  <tableColumns count="12">
    <tableColumn id="1" name="NOMOR" dataDxfId="118" dataCellStyle="Normal"/>
    <tableColumn id="3" name="TUJUAN" dataDxfId="117" dataCellStyle="Normal"/>
    <tableColumn id="16" name="Pick Up" dataDxfId="116"/>
    <tableColumn id="14" name="KAPAL" dataDxfId="115"/>
    <tableColumn id="15" name="ETD Kapal" dataDxfId="114"/>
    <tableColumn id="10" name="KETERANGAN" dataDxfId="113" dataCellStyle="Normal"/>
    <tableColumn id="5" name="P" dataDxfId="112" dataCellStyle="Normal"/>
    <tableColumn id="6" name="L" dataDxfId="111" dataCellStyle="Normal"/>
    <tableColumn id="7" name="T" dataDxfId="110" dataCellStyle="Normal"/>
    <tableColumn id="4" name="ACT KG" dataDxfId="109" dataCellStyle="Normal"/>
    <tableColumn id="8" name="KG VOLUME" dataDxfId="108" dataCellStyle="Normal"/>
    <tableColumn id="19" name="PEMBULATAN" dataDxfId="107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5" name="Table224578910112345678910111213141516" displayName="Table224578910112345678910111213141516" ref="C2:N6" totalsRowShown="0" headerRowDxfId="106" dataDxfId="104" headerRowBorderDxfId="105">
  <tableColumns count="12">
    <tableColumn id="1" name="NOMOR" dataDxfId="103" dataCellStyle="Normal"/>
    <tableColumn id="3" name="TUJUAN" dataDxfId="102" dataCellStyle="Normal"/>
    <tableColumn id="16" name="Pick Up" dataDxfId="101"/>
    <tableColumn id="14" name="KAPAL" dataDxfId="100"/>
    <tableColumn id="15" name="ETD Kapal" dataDxfId="99"/>
    <tableColumn id="10" name="KETERANGAN" dataDxfId="98" dataCellStyle="Normal"/>
    <tableColumn id="5" name="P" dataDxfId="97" dataCellStyle="Normal"/>
    <tableColumn id="6" name="L" dataDxfId="96" dataCellStyle="Normal"/>
    <tableColumn id="7" name="T" dataDxfId="95" dataCellStyle="Normal"/>
    <tableColumn id="4" name="ACT KG" dataDxfId="94" dataCellStyle="Normal"/>
    <tableColumn id="8" name="KG VOLUME" dataDxfId="93" dataCellStyle="Normal"/>
    <tableColumn id="19" name="PEMBULATAN" dataDxfId="92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6" name="Table22457891011234567891011121314151617" displayName="Table22457891011234567891011121314151617" ref="C2:N3" totalsRowShown="0" headerRowDxfId="91" dataDxfId="89" headerRowBorderDxfId="90">
  <tableColumns count="12">
    <tableColumn id="1" name="NOMOR" dataDxfId="88" dataCellStyle="Normal"/>
    <tableColumn id="3" name="TUJUAN" dataDxfId="87" dataCellStyle="Normal"/>
    <tableColumn id="16" name="Pick Up" dataDxfId="86"/>
    <tableColumn id="14" name="KAPAL" dataDxfId="85"/>
    <tableColumn id="15" name="ETD Kapal" dataDxfId="84"/>
    <tableColumn id="10" name="KETERANGAN" dataDxfId="83" dataCellStyle="Normal"/>
    <tableColumn id="5" name="P" dataDxfId="82" dataCellStyle="Normal"/>
    <tableColumn id="6" name="L" dataDxfId="81" dataCellStyle="Normal"/>
    <tableColumn id="7" name="T" dataDxfId="80" dataCellStyle="Normal"/>
    <tableColumn id="4" name="ACT KG" dataDxfId="79" dataCellStyle="Normal"/>
    <tableColumn id="8" name="KG VOLUME" dataDxfId="78" dataCellStyle="Normal"/>
    <tableColumn id="19" name="PEMBULATAN" dataDxfId="77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7" name="Table2245789101123456789101112131415161718" displayName="Table2245789101123456789101112131415161718" ref="C2:N6" totalsRowShown="0" headerRowDxfId="76" dataDxfId="74" headerRowBorderDxfId="75">
  <tableColumns count="12">
    <tableColumn id="1" name="NOMOR" dataDxfId="73" dataCellStyle="Normal"/>
    <tableColumn id="3" name="TUJUAN" dataDxfId="72" dataCellStyle="Normal"/>
    <tableColumn id="16" name="Pick Up" dataDxfId="71"/>
    <tableColumn id="14" name="KAPAL" dataDxfId="70"/>
    <tableColumn id="15" name="ETD Kapal" dataDxfId="69"/>
    <tableColumn id="10" name="KETERANGAN" dataDxfId="68" dataCellStyle="Normal"/>
    <tableColumn id="5" name="P" dataDxfId="67" dataCellStyle="Normal"/>
    <tableColumn id="6" name="L" dataDxfId="66" dataCellStyle="Normal"/>
    <tableColumn id="7" name="T" dataDxfId="65" dataCellStyle="Normal"/>
    <tableColumn id="4" name="ACT KG" dataDxfId="64" dataCellStyle="Normal"/>
    <tableColumn id="8" name="KG VOLUME" dataDxfId="63" dataCellStyle="Normal"/>
    <tableColumn id="19" name="PEMBULATAN" dataDxfId="62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8" name="Table224578910112345678910111213141516171819" displayName="Table224578910112345678910111213141516171819" ref="C2:N6" totalsRowShown="0" headerRowDxfId="61" dataDxfId="59" headerRowBorderDxfId="60">
  <tableColumns count="12">
    <tableColumn id="1" name="NOMOR" dataDxfId="58" dataCellStyle="Normal"/>
    <tableColumn id="3" name="TUJUAN" dataDxfId="57" dataCellStyle="Normal"/>
    <tableColumn id="16" name="Pick Up" dataDxfId="56"/>
    <tableColumn id="14" name="KAPAL" dataDxfId="55"/>
    <tableColumn id="15" name="ETD Kapal" dataDxfId="54"/>
    <tableColumn id="10" name="KETERANGAN" dataDxfId="53" dataCellStyle="Normal"/>
    <tableColumn id="5" name="P" dataDxfId="52" dataCellStyle="Normal"/>
    <tableColumn id="6" name="L" dataDxfId="51" dataCellStyle="Normal"/>
    <tableColumn id="7" name="T" dataDxfId="50" dataCellStyle="Normal"/>
    <tableColumn id="4" name="ACT KG" dataDxfId="49" dataCellStyle="Normal"/>
    <tableColumn id="8" name="KG VOLUME" dataDxfId="48" dataCellStyle="Normal"/>
    <tableColumn id="19" name="PEMBULATAN" dataDxfId="47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30" totalsRowShown="0" headerRowDxfId="301" dataDxfId="299" headerRowBorderDxfId="300">
  <tableColumns count="12">
    <tableColumn id="1" name="NOMOR" dataDxfId="298" dataCellStyle="Normal"/>
    <tableColumn id="3" name="TUJUAN" dataDxfId="297" dataCellStyle="Normal"/>
    <tableColumn id="16" name="Pick Up" dataDxfId="296"/>
    <tableColumn id="14" name="KAPAL" dataDxfId="295"/>
    <tableColumn id="15" name="ETD Kapal" dataDxfId="294"/>
    <tableColumn id="10" name="KETERANGAN" dataDxfId="293" dataCellStyle="Normal"/>
    <tableColumn id="5" name="P" dataDxfId="292" dataCellStyle="Normal"/>
    <tableColumn id="6" name="L" dataDxfId="291" dataCellStyle="Normal"/>
    <tableColumn id="7" name="T" dataDxfId="290" dataCellStyle="Normal"/>
    <tableColumn id="4" name="ACT KG" dataDxfId="289" dataCellStyle="Normal"/>
    <tableColumn id="8" name="KG VOLUME" dataDxfId="288" dataCellStyle="Normal"/>
    <tableColumn id="19" name="PEMBULATAN" dataDxfId="287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7" totalsRowShown="0" headerRowDxfId="286" dataDxfId="284" headerRowBorderDxfId="285">
  <tableColumns count="12">
    <tableColumn id="1" name="NOMOR" dataDxfId="283" dataCellStyle="Normal"/>
    <tableColumn id="3" name="TUJUAN" dataDxfId="282" dataCellStyle="Normal"/>
    <tableColumn id="16" name="Pick Up" dataDxfId="281"/>
    <tableColumn id="14" name="KAPAL" dataDxfId="280"/>
    <tableColumn id="15" name="ETD Kapal" dataDxfId="279"/>
    <tableColumn id="10" name="KETERANGAN" dataDxfId="278" dataCellStyle="Normal"/>
    <tableColumn id="5" name="P" dataDxfId="277" dataCellStyle="Normal"/>
    <tableColumn id="6" name="L" dataDxfId="276" dataCellStyle="Normal"/>
    <tableColumn id="7" name="T" dataDxfId="275" dataCellStyle="Normal"/>
    <tableColumn id="4" name="ACT KG" dataDxfId="274" dataCellStyle="Normal"/>
    <tableColumn id="8" name="KG VOLUME" dataDxfId="273" dataCellStyle="Normal"/>
    <tableColumn id="19" name="PEMBULATAN" dataDxfId="272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3" totalsRowShown="0" headerRowDxfId="271" dataDxfId="269" headerRowBorderDxfId="270">
  <tableColumns count="12">
    <tableColumn id="1" name="NOMOR" dataDxfId="268" dataCellStyle="Normal"/>
    <tableColumn id="3" name="TUJUAN" dataDxfId="267" dataCellStyle="Normal"/>
    <tableColumn id="16" name="Pick Up" dataDxfId="266"/>
    <tableColumn id="14" name="KAPAL" dataDxfId="265"/>
    <tableColumn id="15" name="ETD Kapal" dataDxfId="264"/>
    <tableColumn id="10" name="KETERANGAN" dataDxfId="263" dataCellStyle="Normal"/>
    <tableColumn id="5" name="P" dataDxfId="262" dataCellStyle="Normal"/>
    <tableColumn id="6" name="L" dataDxfId="261" dataCellStyle="Normal"/>
    <tableColumn id="7" name="T" dataDxfId="260" dataCellStyle="Normal"/>
    <tableColumn id="4" name="ACT KG" dataDxfId="259" dataCellStyle="Normal"/>
    <tableColumn id="8" name="KG VOLUME" dataDxfId="258" dataCellStyle="Normal"/>
    <tableColumn id="19" name="PEMBULATAN" dataDxfId="257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456" displayName="Table2245789101123456" ref="C2:N6" totalsRowShown="0" headerRowDxfId="256" dataDxfId="254" headerRowBorderDxfId="255">
  <tableColumns count="12">
    <tableColumn id="1" name="NOMOR" dataDxfId="253" dataCellStyle="Normal"/>
    <tableColumn id="3" name="TUJUAN" dataDxfId="252" dataCellStyle="Normal"/>
    <tableColumn id="16" name="Pick Up" dataDxfId="251"/>
    <tableColumn id="14" name="KAPAL" dataDxfId="250"/>
    <tableColumn id="15" name="ETD Kapal" dataDxfId="249"/>
    <tableColumn id="10" name="KETERANGAN" dataDxfId="248" dataCellStyle="Normal"/>
    <tableColumn id="5" name="P" dataDxfId="247" dataCellStyle="Normal"/>
    <tableColumn id="6" name="L" dataDxfId="246" dataCellStyle="Normal"/>
    <tableColumn id="7" name="T" dataDxfId="245" dataCellStyle="Normal"/>
    <tableColumn id="4" name="ACT KG" dataDxfId="244" dataCellStyle="Normal"/>
    <tableColumn id="8" name="KG VOLUME" dataDxfId="243" dataCellStyle="Normal"/>
    <tableColumn id="19" name="PEMBULATAN" dataDxfId="242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7891011234567" displayName="Table22457891011234567" ref="C2:N16" totalsRowShown="0" headerRowDxfId="241" dataDxfId="239" headerRowBorderDxfId="240">
  <tableColumns count="12">
    <tableColumn id="1" name="NOMOR" dataDxfId="238" dataCellStyle="Normal"/>
    <tableColumn id="3" name="TUJUAN" dataDxfId="237" dataCellStyle="Normal"/>
    <tableColumn id="16" name="Pick Up" dataDxfId="236"/>
    <tableColumn id="14" name="KAPAL" dataDxfId="235"/>
    <tableColumn id="15" name="ETD Kapal" dataDxfId="234"/>
    <tableColumn id="10" name="KETERANGAN" dataDxfId="233" dataCellStyle="Normal"/>
    <tableColumn id="5" name="P" dataDxfId="232" dataCellStyle="Normal"/>
    <tableColumn id="6" name="L" dataDxfId="231" dataCellStyle="Normal"/>
    <tableColumn id="7" name="T" dataDxfId="230" dataCellStyle="Normal"/>
    <tableColumn id="4" name="ACT KG" dataDxfId="229" dataCellStyle="Normal"/>
    <tableColumn id="8" name="KG VOLUME" dataDxfId="228" dataCellStyle="Normal"/>
    <tableColumn id="19" name="PEMBULATAN" dataDxfId="227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7" name="Table224578910112345678" displayName="Table224578910112345678" ref="C2:N4" totalsRowShown="0" headerRowDxfId="226" dataDxfId="224" headerRowBorderDxfId="225">
  <tableColumns count="12">
    <tableColumn id="1" name="NOMOR" dataDxfId="223" dataCellStyle="Normal"/>
    <tableColumn id="3" name="TUJUAN" dataDxfId="222" dataCellStyle="Normal"/>
    <tableColumn id="16" name="Pick Up" dataDxfId="221"/>
    <tableColumn id="14" name="KAPAL" dataDxfId="220"/>
    <tableColumn id="15" name="ETD Kapal" dataDxfId="219"/>
    <tableColumn id="10" name="KETERANGAN" dataDxfId="218" dataCellStyle="Normal"/>
    <tableColumn id="5" name="P" dataDxfId="217" dataCellStyle="Normal"/>
    <tableColumn id="6" name="L" dataDxfId="216" dataCellStyle="Normal"/>
    <tableColumn id="7" name="T" dataDxfId="215" dataCellStyle="Normal"/>
    <tableColumn id="4" name="ACT KG" dataDxfId="214" dataCellStyle="Normal"/>
    <tableColumn id="8" name="KG VOLUME" dataDxfId="213" dataCellStyle="Normal"/>
    <tableColumn id="19" name="PEMBULATAN" dataDxfId="212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8" name="Table2245789101123456789" displayName="Table2245789101123456789" ref="C2:N4" totalsRowShown="0" headerRowDxfId="211" dataDxfId="209" headerRowBorderDxfId="210">
  <tableColumns count="12">
    <tableColumn id="1" name="NOMOR" dataDxfId="208" dataCellStyle="Normal"/>
    <tableColumn id="3" name="TUJUAN" dataDxfId="207" dataCellStyle="Normal"/>
    <tableColumn id="16" name="Pick Up" dataDxfId="206"/>
    <tableColumn id="14" name="KAPAL" dataDxfId="205"/>
    <tableColumn id="15" name="ETD Kapal" dataDxfId="204"/>
    <tableColumn id="10" name="KETERANGAN" dataDxfId="203" dataCellStyle="Normal"/>
    <tableColumn id="5" name="P" dataDxfId="202" dataCellStyle="Normal"/>
    <tableColumn id="6" name="L" dataDxfId="201" dataCellStyle="Normal"/>
    <tableColumn id="7" name="T" dataDxfId="200" dataCellStyle="Normal"/>
    <tableColumn id="4" name="ACT KG" dataDxfId="199" dataCellStyle="Normal"/>
    <tableColumn id="8" name="KG VOLUME" dataDxfId="198" dataCellStyle="Normal"/>
    <tableColumn id="19" name="PEMBULATAN" dataDxfId="197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Table224578910112345678910" displayName="Table224578910112345678910" ref="C2:N4" totalsRowShown="0" headerRowDxfId="196" dataDxfId="194" headerRowBorderDxfId="195">
  <tableColumns count="12">
    <tableColumn id="1" name="NOMOR" dataDxfId="193" dataCellStyle="Normal"/>
    <tableColumn id="3" name="TUJUAN" dataDxfId="192" dataCellStyle="Normal"/>
    <tableColumn id="16" name="Pick Up" dataDxfId="191"/>
    <tableColumn id="14" name="KAPAL" dataDxfId="190"/>
    <tableColumn id="15" name="ETD Kapal" dataDxfId="189"/>
    <tableColumn id="10" name="KETERANGAN" dataDxfId="188" dataCellStyle="Normal"/>
    <tableColumn id="5" name="P" dataDxfId="187" dataCellStyle="Normal"/>
    <tableColumn id="6" name="L" dataDxfId="186" dataCellStyle="Normal"/>
    <tableColumn id="7" name="T" dataDxfId="185" dataCellStyle="Normal"/>
    <tableColumn id="4" name="ACT KG" dataDxfId="184" dataCellStyle="Normal"/>
    <tableColumn id="8" name="KG VOLUME" dataDxfId="183" dataCellStyle="Normal"/>
    <tableColumn id="19" name="PEMBULATAN" dataDxfId="182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tabSelected="1"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8" sqref="J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21" t="s">
        <v>16</v>
      </c>
      <c r="B2" s="7" t="s">
        <v>7</v>
      </c>
      <c r="C2" s="7" t="s">
        <v>0</v>
      </c>
      <c r="D2" s="7" t="s">
        <v>1</v>
      </c>
      <c r="E2" s="22" t="s">
        <v>4</v>
      </c>
      <c r="F2" s="7" t="s">
        <v>3</v>
      </c>
      <c r="G2" s="7" t="s">
        <v>5</v>
      </c>
      <c r="H2" s="22" t="s">
        <v>2</v>
      </c>
      <c r="I2" s="7" t="s">
        <v>11</v>
      </c>
      <c r="J2" s="7" t="s">
        <v>12</v>
      </c>
      <c r="K2" s="7" t="s">
        <v>13</v>
      </c>
      <c r="L2" s="23" t="s">
        <v>17</v>
      </c>
      <c r="M2" s="23" t="s">
        <v>18</v>
      </c>
      <c r="N2" s="23" t="s">
        <v>6</v>
      </c>
      <c r="O2" s="23" t="s">
        <v>19</v>
      </c>
      <c r="P2" s="23" t="s">
        <v>20</v>
      </c>
    </row>
    <row r="3" spans="1:16" ht="26.25" customHeight="1" x14ac:dyDescent="0.2">
      <c r="A3" s="43">
        <v>403746</v>
      </c>
      <c r="B3" s="36" t="s">
        <v>24</v>
      </c>
      <c r="C3" s="9" t="s">
        <v>25</v>
      </c>
      <c r="D3" s="38" t="s">
        <v>167</v>
      </c>
      <c r="E3" s="13">
        <v>44531</v>
      </c>
      <c r="F3" s="38" t="s">
        <v>28</v>
      </c>
      <c r="G3" s="13">
        <v>44545</v>
      </c>
      <c r="H3" s="10" t="s">
        <v>29</v>
      </c>
      <c r="I3" s="1">
        <v>60</v>
      </c>
      <c r="J3" s="1">
        <v>32</v>
      </c>
      <c r="K3" s="1">
        <v>25</v>
      </c>
      <c r="L3" s="1">
        <v>8</v>
      </c>
      <c r="M3" s="41">
        <v>12</v>
      </c>
      <c r="N3" s="8">
        <v>12</v>
      </c>
      <c r="O3" s="26">
        <v>3000</v>
      </c>
      <c r="P3" s="27">
        <f>Table224578910112[[#This Row],[PEMBULATAN]]*O3</f>
        <v>36000</v>
      </c>
    </row>
    <row r="4" spans="1:16" ht="26.25" customHeight="1" x14ac:dyDescent="0.2">
      <c r="A4" s="14"/>
      <c r="B4" s="37"/>
      <c r="C4" s="9" t="s">
        <v>26</v>
      </c>
      <c r="D4" s="38" t="s">
        <v>167</v>
      </c>
      <c r="E4" s="13">
        <v>44531</v>
      </c>
      <c r="F4" s="38" t="s">
        <v>28</v>
      </c>
      <c r="G4" s="13">
        <v>44545</v>
      </c>
      <c r="H4" s="10" t="s">
        <v>29</v>
      </c>
      <c r="I4" s="1">
        <v>58</v>
      </c>
      <c r="J4" s="1">
        <v>17</v>
      </c>
      <c r="K4" s="1">
        <v>16</v>
      </c>
      <c r="L4" s="1">
        <v>4</v>
      </c>
      <c r="M4" s="41">
        <v>3.944</v>
      </c>
      <c r="N4" s="8">
        <v>4</v>
      </c>
      <c r="O4" s="26">
        <v>3000</v>
      </c>
      <c r="P4" s="27">
        <f>Table224578910112[[#This Row],[PEMBULATAN]]*O4</f>
        <v>12000</v>
      </c>
    </row>
    <row r="5" spans="1:16" ht="26.25" customHeight="1" x14ac:dyDescent="0.2">
      <c r="A5" s="14"/>
      <c r="B5" s="14"/>
      <c r="C5" s="9" t="s">
        <v>27</v>
      </c>
      <c r="D5" s="38" t="s">
        <v>167</v>
      </c>
      <c r="E5" s="13">
        <v>44531</v>
      </c>
      <c r="F5" s="38" t="s">
        <v>28</v>
      </c>
      <c r="G5" s="13">
        <v>44545</v>
      </c>
      <c r="H5" s="10" t="s">
        <v>29</v>
      </c>
      <c r="I5" s="1">
        <v>38</v>
      </c>
      <c r="J5" s="1">
        <v>43</v>
      </c>
      <c r="K5" s="1">
        <v>17</v>
      </c>
      <c r="L5" s="1">
        <v>16</v>
      </c>
      <c r="M5" s="41">
        <v>6.9444999999999997</v>
      </c>
      <c r="N5" s="8">
        <v>16</v>
      </c>
      <c r="O5" s="26">
        <v>3000</v>
      </c>
      <c r="P5" s="27">
        <f>Table224578910112[[#This Row],[PEMBULATAN]]*O5</f>
        <v>48000</v>
      </c>
    </row>
    <row r="6" spans="1:16" ht="22.5" customHeight="1" x14ac:dyDescent="0.2">
      <c r="A6" s="54" t="s">
        <v>8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6"/>
      <c r="M6" s="40">
        <f>SUBTOTAL(109,Table224578910112[KG VOLUME])</f>
        <v>22.888500000000001</v>
      </c>
      <c r="N6" s="30">
        <f>SUM(N3:N5)</f>
        <v>32</v>
      </c>
      <c r="O6" s="57">
        <f>SUM(P3:P5)</f>
        <v>96000</v>
      </c>
      <c r="P6" s="58"/>
    </row>
    <row r="7" spans="1:16" ht="18" customHeight="1" x14ac:dyDescent="0.2">
      <c r="A7" s="44"/>
      <c r="B7" s="18" t="s">
        <v>14</v>
      </c>
      <c r="C7" s="17"/>
      <c r="D7" s="19" t="s">
        <v>15</v>
      </c>
      <c r="E7" s="44"/>
      <c r="F7" s="44"/>
      <c r="G7" s="44"/>
      <c r="H7" s="44"/>
      <c r="I7" s="44"/>
      <c r="J7" s="44"/>
      <c r="K7" s="44"/>
      <c r="L7" s="44"/>
      <c r="M7" s="45"/>
      <c r="N7" s="46" t="s">
        <v>21</v>
      </c>
      <c r="O7" s="47"/>
      <c r="P7" s="47">
        <f>O6*10%</f>
        <v>9600</v>
      </c>
    </row>
    <row r="8" spans="1:16" ht="18" customHeight="1" thickBot="1" x14ac:dyDescent="0.25">
      <c r="A8" s="44"/>
      <c r="B8" s="18"/>
      <c r="C8" s="17"/>
      <c r="D8" s="19"/>
      <c r="E8" s="44"/>
      <c r="F8" s="44"/>
      <c r="G8" s="44"/>
      <c r="H8" s="44"/>
      <c r="I8" s="44"/>
      <c r="J8" s="44"/>
      <c r="K8" s="44"/>
      <c r="L8" s="44"/>
      <c r="M8" s="45"/>
      <c r="N8" s="48" t="s">
        <v>22</v>
      </c>
      <c r="O8" s="49"/>
      <c r="P8" s="49">
        <f>O6-P7</f>
        <v>86400</v>
      </c>
    </row>
    <row r="9" spans="1:16" ht="18" customHeight="1" x14ac:dyDescent="0.2">
      <c r="A9" s="11"/>
      <c r="H9" s="25"/>
      <c r="N9" s="24" t="s">
        <v>9</v>
      </c>
      <c r="P9" s="31">
        <f>P8*1%</f>
        <v>864</v>
      </c>
    </row>
    <row r="10" spans="1:16" ht="18" customHeight="1" thickBot="1" x14ac:dyDescent="0.25">
      <c r="A10" s="11"/>
      <c r="H10" s="25"/>
      <c r="N10" s="24" t="s">
        <v>23</v>
      </c>
      <c r="P10" s="33">
        <f>P8*2%</f>
        <v>1728</v>
      </c>
    </row>
    <row r="11" spans="1:16" ht="18" customHeight="1" x14ac:dyDescent="0.2">
      <c r="A11" s="11"/>
      <c r="H11" s="25"/>
      <c r="N11" s="28" t="s">
        <v>10</v>
      </c>
      <c r="O11" s="29"/>
      <c r="P11" s="32">
        <f>P8+P9-P10</f>
        <v>85536</v>
      </c>
    </row>
    <row r="13" spans="1:16" x14ac:dyDescent="0.2">
      <c r="A13" s="11"/>
      <c r="H13" s="25"/>
      <c r="P13" s="33"/>
    </row>
    <row r="14" spans="1:16" x14ac:dyDescent="0.2">
      <c r="A14" s="11"/>
      <c r="H14" s="25"/>
      <c r="O14" s="20"/>
      <c r="P14" s="33"/>
    </row>
    <row r="15" spans="1:16" s="3" customFormat="1" x14ac:dyDescent="0.25">
      <c r="A15" s="11"/>
      <c r="B15" s="2"/>
      <c r="C15" s="2"/>
      <c r="E15" s="12"/>
      <c r="H15" s="25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25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25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25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25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25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25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25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25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25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25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25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46" priority="2"/>
  </conditionalFormatting>
  <conditionalFormatting sqref="B4">
    <cfRule type="duplicateValues" dxfId="45" priority="1"/>
  </conditionalFormatting>
  <conditionalFormatting sqref="B5">
    <cfRule type="duplicateValues" dxfId="44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7" sqref="A7:L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21" t="s">
        <v>16</v>
      </c>
      <c r="B2" s="7" t="s">
        <v>7</v>
      </c>
      <c r="C2" s="7" t="s">
        <v>0</v>
      </c>
      <c r="D2" s="7" t="s">
        <v>1</v>
      </c>
      <c r="E2" s="22" t="s">
        <v>4</v>
      </c>
      <c r="F2" s="7" t="s">
        <v>3</v>
      </c>
      <c r="G2" s="7" t="s">
        <v>5</v>
      </c>
      <c r="H2" s="22" t="s">
        <v>2</v>
      </c>
      <c r="I2" s="7" t="s">
        <v>11</v>
      </c>
      <c r="J2" s="7" t="s">
        <v>12</v>
      </c>
      <c r="K2" s="7" t="s">
        <v>13</v>
      </c>
      <c r="L2" s="23" t="s">
        <v>17</v>
      </c>
      <c r="M2" s="23" t="s">
        <v>18</v>
      </c>
      <c r="N2" s="23" t="s">
        <v>6</v>
      </c>
      <c r="O2" s="23" t="s">
        <v>19</v>
      </c>
      <c r="P2" s="23" t="s">
        <v>20</v>
      </c>
    </row>
    <row r="3" spans="1:16" ht="26.25" customHeight="1" x14ac:dyDescent="0.2">
      <c r="A3" s="43">
        <v>406463</v>
      </c>
      <c r="B3" s="36" t="s">
        <v>103</v>
      </c>
      <c r="C3" s="9" t="s">
        <v>104</v>
      </c>
      <c r="D3" s="38" t="s">
        <v>167</v>
      </c>
      <c r="E3" s="13">
        <v>44541</v>
      </c>
      <c r="F3" s="38" t="s">
        <v>101</v>
      </c>
      <c r="G3" s="13">
        <v>44551</v>
      </c>
      <c r="H3" s="10" t="s">
        <v>102</v>
      </c>
      <c r="I3" s="1">
        <v>148</v>
      </c>
      <c r="J3" s="1">
        <v>64</v>
      </c>
      <c r="K3" s="1">
        <v>10</v>
      </c>
      <c r="L3" s="1">
        <v>7</v>
      </c>
      <c r="M3" s="41">
        <v>23.68</v>
      </c>
      <c r="N3" s="50">
        <v>23.68</v>
      </c>
      <c r="O3" s="26">
        <v>3000</v>
      </c>
      <c r="P3" s="27">
        <f>Table22457891011234567891011[[#This Row],[PEMBULATAN]]*O3</f>
        <v>71040</v>
      </c>
    </row>
    <row r="4" spans="1:16" ht="26.25" customHeight="1" x14ac:dyDescent="0.2">
      <c r="A4" s="14"/>
      <c r="B4" s="37"/>
      <c r="C4" s="9" t="s">
        <v>105</v>
      </c>
      <c r="D4" s="38" t="s">
        <v>167</v>
      </c>
      <c r="E4" s="13">
        <v>44541</v>
      </c>
      <c r="F4" s="38" t="s">
        <v>101</v>
      </c>
      <c r="G4" s="13">
        <v>44551</v>
      </c>
      <c r="H4" s="10" t="s">
        <v>102</v>
      </c>
      <c r="I4" s="1">
        <v>148</v>
      </c>
      <c r="J4" s="1">
        <v>64</v>
      </c>
      <c r="K4" s="1">
        <v>10</v>
      </c>
      <c r="L4" s="1">
        <v>7</v>
      </c>
      <c r="M4" s="41">
        <v>23.68</v>
      </c>
      <c r="N4" s="50">
        <v>23.68</v>
      </c>
      <c r="O4" s="26">
        <v>3000</v>
      </c>
      <c r="P4" s="27">
        <f>Table22457891011234567891011[[#This Row],[PEMBULATAN]]*O4</f>
        <v>71040</v>
      </c>
    </row>
    <row r="5" spans="1:16" ht="26.25" customHeight="1" x14ac:dyDescent="0.2">
      <c r="A5" s="14"/>
      <c r="B5" s="14"/>
      <c r="C5" s="9" t="s">
        <v>106</v>
      </c>
      <c r="D5" s="38" t="s">
        <v>167</v>
      </c>
      <c r="E5" s="13">
        <v>44541</v>
      </c>
      <c r="F5" s="38" t="s">
        <v>101</v>
      </c>
      <c r="G5" s="13">
        <v>44551</v>
      </c>
      <c r="H5" s="10" t="s">
        <v>102</v>
      </c>
      <c r="I5" s="1">
        <v>148</v>
      </c>
      <c r="J5" s="1">
        <v>64</v>
      </c>
      <c r="K5" s="1">
        <v>10</v>
      </c>
      <c r="L5" s="1">
        <v>7</v>
      </c>
      <c r="M5" s="41">
        <v>23.68</v>
      </c>
      <c r="N5" s="50">
        <v>23.68</v>
      </c>
      <c r="O5" s="26">
        <v>3000</v>
      </c>
      <c r="P5" s="27">
        <f>Table22457891011234567891011[[#This Row],[PEMBULATAN]]*O5</f>
        <v>71040</v>
      </c>
    </row>
    <row r="6" spans="1:16" ht="26.25" customHeight="1" x14ac:dyDescent="0.2">
      <c r="A6" s="14"/>
      <c r="B6" s="14"/>
      <c r="C6" s="35" t="s">
        <v>107</v>
      </c>
      <c r="D6" s="38" t="s">
        <v>167</v>
      </c>
      <c r="E6" s="13">
        <v>44541</v>
      </c>
      <c r="F6" s="38" t="s">
        <v>101</v>
      </c>
      <c r="G6" s="13">
        <v>44551</v>
      </c>
      <c r="H6" s="39" t="s">
        <v>102</v>
      </c>
      <c r="I6" s="16">
        <v>32</v>
      </c>
      <c r="J6" s="16">
        <v>32</v>
      </c>
      <c r="K6" s="16">
        <v>46</v>
      </c>
      <c r="L6" s="16">
        <v>14</v>
      </c>
      <c r="M6" s="42">
        <v>11.776</v>
      </c>
      <c r="N6" s="34">
        <v>14</v>
      </c>
      <c r="O6" s="26">
        <v>3000</v>
      </c>
      <c r="P6" s="27">
        <f>Table22457891011234567891011[[#This Row],[PEMBULATAN]]*O6</f>
        <v>42000</v>
      </c>
    </row>
    <row r="7" spans="1:16" ht="22.5" customHeight="1" x14ac:dyDescent="0.2">
      <c r="A7" s="54" t="s">
        <v>8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6"/>
      <c r="M7" s="40">
        <f>SUBTOTAL(109,Table22457891011234567891011[KG VOLUME])</f>
        <v>82.815999999999988</v>
      </c>
      <c r="N7" s="30">
        <f>SUM(N3:N6)</f>
        <v>85.039999999999992</v>
      </c>
      <c r="O7" s="57">
        <f>SUM(P3:P6)</f>
        <v>255120</v>
      </c>
      <c r="P7" s="58"/>
    </row>
    <row r="8" spans="1:16" ht="18" customHeight="1" x14ac:dyDescent="0.2">
      <c r="A8" s="44"/>
      <c r="B8" s="18" t="s">
        <v>14</v>
      </c>
      <c r="C8" s="17"/>
      <c r="D8" s="19" t="s">
        <v>15</v>
      </c>
      <c r="E8" s="44"/>
      <c r="F8" s="44"/>
      <c r="G8" s="44"/>
      <c r="H8" s="44"/>
      <c r="I8" s="44"/>
      <c r="J8" s="44"/>
      <c r="K8" s="44"/>
      <c r="L8" s="44"/>
      <c r="M8" s="45"/>
      <c r="N8" s="46" t="s">
        <v>21</v>
      </c>
      <c r="O8" s="47"/>
      <c r="P8" s="47">
        <f>O7*10%</f>
        <v>25512</v>
      </c>
    </row>
    <row r="9" spans="1:16" ht="18" customHeight="1" thickBot="1" x14ac:dyDescent="0.25">
      <c r="A9" s="44"/>
      <c r="B9" s="18"/>
      <c r="C9" s="17"/>
      <c r="D9" s="19"/>
      <c r="E9" s="44"/>
      <c r="F9" s="44"/>
      <c r="G9" s="44"/>
      <c r="H9" s="44"/>
      <c r="I9" s="44"/>
      <c r="J9" s="44"/>
      <c r="K9" s="44"/>
      <c r="L9" s="44"/>
      <c r="M9" s="45"/>
      <c r="N9" s="48" t="s">
        <v>22</v>
      </c>
      <c r="O9" s="49"/>
      <c r="P9" s="49">
        <f>O7-P8</f>
        <v>229608</v>
      </c>
    </row>
    <row r="10" spans="1:16" ht="18" customHeight="1" x14ac:dyDescent="0.2">
      <c r="A10" s="11"/>
      <c r="H10" s="25"/>
      <c r="N10" s="24" t="s">
        <v>9</v>
      </c>
      <c r="P10" s="31">
        <f>P9*1%</f>
        <v>2296.08</v>
      </c>
    </row>
    <row r="11" spans="1:16" ht="18" customHeight="1" thickBot="1" x14ac:dyDescent="0.25">
      <c r="A11" s="11"/>
      <c r="H11" s="25"/>
      <c r="N11" s="24" t="s">
        <v>23</v>
      </c>
      <c r="P11" s="33">
        <f>P9*2%</f>
        <v>4592.16</v>
      </c>
    </row>
    <row r="12" spans="1:16" ht="18" customHeight="1" x14ac:dyDescent="0.2">
      <c r="A12" s="11"/>
      <c r="H12" s="25"/>
      <c r="N12" s="28" t="s">
        <v>10</v>
      </c>
      <c r="O12" s="29"/>
      <c r="P12" s="32">
        <f>P9+P10-P11</f>
        <v>227311.91999999998</v>
      </c>
    </row>
    <row r="14" spans="1:16" x14ac:dyDescent="0.2">
      <c r="A14" s="11"/>
      <c r="H14" s="25"/>
      <c r="P14" s="33"/>
    </row>
    <row r="15" spans="1:16" x14ac:dyDescent="0.2">
      <c r="A15" s="11"/>
      <c r="H15" s="25"/>
      <c r="O15" s="20"/>
      <c r="P15" s="33"/>
    </row>
    <row r="16" spans="1:16" s="3" customFormat="1" x14ac:dyDescent="0.25">
      <c r="A16" s="11"/>
      <c r="B16" s="2"/>
      <c r="C16" s="2"/>
      <c r="E16" s="12"/>
      <c r="H16" s="25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25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25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25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25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25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25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25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25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25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25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25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24" priority="2"/>
  </conditionalFormatting>
  <conditionalFormatting sqref="B4">
    <cfRule type="duplicateValues" dxfId="23" priority="1"/>
  </conditionalFormatting>
  <conditionalFormatting sqref="B5:B6">
    <cfRule type="duplicateValues" dxfId="22" priority="3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I10" sqref="I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21" t="s">
        <v>16</v>
      </c>
      <c r="B2" s="7" t="s">
        <v>7</v>
      </c>
      <c r="C2" s="7" t="s">
        <v>0</v>
      </c>
      <c r="D2" s="7" t="s">
        <v>1</v>
      </c>
      <c r="E2" s="22" t="s">
        <v>4</v>
      </c>
      <c r="F2" s="7" t="s">
        <v>3</v>
      </c>
      <c r="G2" s="7" t="s">
        <v>5</v>
      </c>
      <c r="H2" s="22" t="s">
        <v>2</v>
      </c>
      <c r="I2" s="7" t="s">
        <v>11</v>
      </c>
      <c r="J2" s="7" t="s">
        <v>12</v>
      </c>
      <c r="K2" s="7" t="s">
        <v>13</v>
      </c>
      <c r="L2" s="23" t="s">
        <v>17</v>
      </c>
      <c r="M2" s="23" t="s">
        <v>18</v>
      </c>
      <c r="N2" s="23" t="s">
        <v>6</v>
      </c>
      <c r="O2" s="23" t="s">
        <v>19</v>
      </c>
      <c r="P2" s="23" t="s">
        <v>20</v>
      </c>
    </row>
    <row r="3" spans="1:16" ht="26.25" customHeight="1" x14ac:dyDescent="0.2">
      <c r="A3" s="43">
        <v>402669</v>
      </c>
      <c r="B3" s="36" t="s">
        <v>108</v>
      </c>
      <c r="C3" s="9" t="s">
        <v>109</v>
      </c>
      <c r="D3" s="38" t="s">
        <v>167</v>
      </c>
      <c r="E3" s="13">
        <v>44546</v>
      </c>
      <c r="F3" s="38" t="s">
        <v>101</v>
      </c>
      <c r="G3" s="13">
        <v>44551</v>
      </c>
      <c r="H3" s="10" t="s">
        <v>102</v>
      </c>
      <c r="I3" s="1">
        <v>35</v>
      </c>
      <c r="J3" s="1">
        <v>35</v>
      </c>
      <c r="K3" s="1">
        <v>56</v>
      </c>
      <c r="L3" s="1">
        <v>14</v>
      </c>
      <c r="M3" s="41">
        <v>17.149999999999999</v>
      </c>
      <c r="N3" s="50">
        <v>17.149999999999999</v>
      </c>
      <c r="O3" s="26">
        <v>3000</v>
      </c>
      <c r="P3" s="27">
        <f>Table2245789101123456789101112[[#This Row],[PEMBULATAN]]*O3</f>
        <v>51449.999999999993</v>
      </c>
    </row>
    <row r="4" spans="1:16" ht="26.25" customHeight="1" x14ac:dyDescent="0.2">
      <c r="A4" s="14"/>
      <c r="B4" s="37"/>
      <c r="C4" s="9" t="s">
        <v>110</v>
      </c>
      <c r="D4" s="38" t="s">
        <v>167</v>
      </c>
      <c r="E4" s="13">
        <v>44546</v>
      </c>
      <c r="F4" s="38" t="s">
        <v>101</v>
      </c>
      <c r="G4" s="13">
        <v>44551</v>
      </c>
      <c r="H4" s="10" t="s">
        <v>102</v>
      </c>
      <c r="I4" s="1">
        <v>85</v>
      </c>
      <c r="J4" s="1">
        <v>45</v>
      </c>
      <c r="K4" s="1">
        <v>18</v>
      </c>
      <c r="L4" s="1">
        <v>13</v>
      </c>
      <c r="M4" s="41">
        <v>17.212499999999999</v>
      </c>
      <c r="N4" s="50">
        <v>17.212499999999999</v>
      </c>
      <c r="O4" s="26">
        <v>3000</v>
      </c>
      <c r="P4" s="27">
        <f>Table2245789101123456789101112[[#This Row],[PEMBULATAN]]*O4</f>
        <v>51637.499999999993</v>
      </c>
    </row>
    <row r="5" spans="1:16" ht="26.25" customHeight="1" x14ac:dyDescent="0.2">
      <c r="A5" s="14"/>
      <c r="B5" s="14"/>
      <c r="C5" s="9" t="s">
        <v>111</v>
      </c>
      <c r="D5" s="38" t="s">
        <v>167</v>
      </c>
      <c r="E5" s="13">
        <v>44546</v>
      </c>
      <c r="F5" s="38" t="s">
        <v>101</v>
      </c>
      <c r="G5" s="13">
        <v>44551</v>
      </c>
      <c r="H5" s="10" t="s">
        <v>102</v>
      </c>
      <c r="I5" s="1">
        <v>85</v>
      </c>
      <c r="J5" s="1">
        <v>45</v>
      </c>
      <c r="K5" s="1">
        <v>18</v>
      </c>
      <c r="L5" s="1">
        <v>13</v>
      </c>
      <c r="M5" s="41">
        <v>17.212499999999999</v>
      </c>
      <c r="N5" s="50">
        <v>17.212499999999999</v>
      </c>
      <c r="O5" s="26">
        <v>3000</v>
      </c>
      <c r="P5" s="27">
        <f>Table2245789101123456789101112[[#This Row],[PEMBULATAN]]*O5</f>
        <v>51637.499999999993</v>
      </c>
    </row>
    <row r="6" spans="1:16" ht="26.25" customHeight="1" x14ac:dyDescent="0.2">
      <c r="A6" s="14"/>
      <c r="B6" s="14"/>
      <c r="C6" s="35" t="s">
        <v>112</v>
      </c>
      <c r="D6" s="38" t="s">
        <v>167</v>
      </c>
      <c r="E6" s="13">
        <v>44546</v>
      </c>
      <c r="F6" s="38" t="s">
        <v>101</v>
      </c>
      <c r="G6" s="13">
        <v>44551</v>
      </c>
      <c r="H6" s="39" t="s">
        <v>102</v>
      </c>
      <c r="I6" s="16">
        <v>85</v>
      </c>
      <c r="J6" s="16">
        <v>45</v>
      </c>
      <c r="K6" s="16">
        <v>18</v>
      </c>
      <c r="L6" s="16">
        <v>13</v>
      </c>
      <c r="M6" s="42">
        <v>17.212499999999999</v>
      </c>
      <c r="N6" s="50">
        <v>17.212499999999999</v>
      </c>
      <c r="O6" s="26">
        <v>3000</v>
      </c>
      <c r="P6" s="27">
        <f>Table2245789101123456789101112[[#This Row],[PEMBULATAN]]*O6</f>
        <v>51637.499999999993</v>
      </c>
    </row>
    <row r="7" spans="1:16" ht="26.25" customHeight="1" x14ac:dyDescent="0.2">
      <c r="A7" s="14"/>
      <c r="B7" s="14"/>
      <c r="C7" s="35" t="s">
        <v>113</v>
      </c>
      <c r="D7" s="38" t="s">
        <v>167</v>
      </c>
      <c r="E7" s="13">
        <v>44546</v>
      </c>
      <c r="F7" s="38" t="s">
        <v>101</v>
      </c>
      <c r="G7" s="13">
        <v>44551</v>
      </c>
      <c r="H7" s="39" t="s">
        <v>102</v>
      </c>
      <c r="I7" s="16">
        <v>35</v>
      </c>
      <c r="J7" s="16">
        <v>35</v>
      </c>
      <c r="K7" s="16">
        <v>56</v>
      </c>
      <c r="L7" s="16">
        <v>14</v>
      </c>
      <c r="M7" s="42">
        <v>17.149999999999999</v>
      </c>
      <c r="N7" s="50">
        <v>17.149999999999999</v>
      </c>
      <c r="O7" s="26">
        <v>3000</v>
      </c>
      <c r="P7" s="27">
        <f>Table2245789101123456789101112[[#This Row],[PEMBULATAN]]*O7</f>
        <v>51449.999999999993</v>
      </c>
    </row>
    <row r="8" spans="1:16" ht="22.5" customHeight="1" x14ac:dyDescent="0.2">
      <c r="A8" s="54" t="s">
        <v>8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6"/>
      <c r="M8" s="40">
        <f>SUBTOTAL(109,Table2245789101123456789101112[KG VOLUME])</f>
        <v>85.9375</v>
      </c>
      <c r="N8" s="30">
        <f>SUM(N3:N7)</f>
        <v>85.9375</v>
      </c>
      <c r="O8" s="57">
        <f>SUM(P3:P7)</f>
        <v>257812.49999999997</v>
      </c>
      <c r="P8" s="58"/>
    </row>
    <row r="9" spans="1:16" ht="18" customHeight="1" x14ac:dyDescent="0.2">
      <c r="A9" s="44"/>
      <c r="B9" s="18" t="s">
        <v>14</v>
      </c>
      <c r="C9" s="17"/>
      <c r="D9" s="19" t="s">
        <v>15</v>
      </c>
      <c r="E9" s="44"/>
      <c r="F9" s="44"/>
      <c r="G9" s="44"/>
      <c r="H9" s="44"/>
      <c r="I9" s="44"/>
      <c r="J9" s="44"/>
      <c r="K9" s="44"/>
      <c r="L9" s="44"/>
      <c r="M9" s="45"/>
      <c r="N9" s="46" t="s">
        <v>21</v>
      </c>
      <c r="O9" s="47"/>
      <c r="P9" s="47">
        <f>O8*10%</f>
        <v>25781.25</v>
      </c>
    </row>
    <row r="10" spans="1:16" ht="18" customHeight="1" thickBot="1" x14ac:dyDescent="0.25">
      <c r="A10" s="44"/>
      <c r="B10" s="18"/>
      <c r="C10" s="17"/>
      <c r="D10" s="19"/>
      <c r="E10" s="44"/>
      <c r="F10" s="44"/>
      <c r="G10" s="44"/>
      <c r="H10" s="44"/>
      <c r="I10" s="44"/>
      <c r="J10" s="44"/>
      <c r="K10" s="44"/>
      <c r="L10" s="44"/>
      <c r="M10" s="45"/>
      <c r="N10" s="48" t="s">
        <v>22</v>
      </c>
      <c r="O10" s="49"/>
      <c r="P10" s="49">
        <f>O8-P9</f>
        <v>232031.24999999997</v>
      </c>
    </row>
    <row r="11" spans="1:16" ht="18" customHeight="1" x14ac:dyDescent="0.2">
      <c r="A11" s="11"/>
      <c r="H11" s="25"/>
      <c r="N11" s="24" t="s">
        <v>9</v>
      </c>
      <c r="P11" s="31">
        <f>P10*1%</f>
        <v>2320.3124999999995</v>
      </c>
    </row>
    <row r="12" spans="1:16" ht="18" customHeight="1" thickBot="1" x14ac:dyDescent="0.25">
      <c r="A12" s="11"/>
      <c r="H12" s="25"/>
      <c r="N12" s="24" t="s">
        <v>23</v>
      </c>
      <c r="P12" s="33">
        <f>P10*2%</f>
        <v>4640.6249999999991</v>
      </c>
    </row>
    <row r="13" spans="1:16" ht="18" customHeight="1" x14ac:dyDescent="0.2">
      <c r="A13" s="11"/>
      <c r="H13" s="25"/>
      <c r="N13" s="28" t="s">
        <v>10</v>
      </c>
      <c r="O13" s="29"/>
      <c r="P13" s="32">
        <f>P10+P11-P12</f>
        <v>229710.93749999997</v>
      </c>
    </row>
    <row r="15" spans="1:16" x14ac:dyDescent="0.2">
      <c r="A15" s="11"/>
      <c r="H15" s="25"/>
      <c r="P15" s="33"/>
    </row>
    <row r="16" spans="1:16" x14ac:dyDescent="0.2">
      <c r="A16" s="11"/>
      <c r="H16" s="25"/>
      <c r="O16" s="20"/>
      <c r="P16" s="33"/>
    </row>
    <row r="17" spans="1:16" s="3" customFormat="1" x14ac:dyDescent="0.25">
      <c r="A17" s="11"/>
      <c r="B17" s="2"/>
      <c r="C17" s="2"/>
      <c r="E17" s="12"/>
      <c r="H17" s="25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25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25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25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25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25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25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25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25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25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25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25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21" priority="2"/>
  </conditionalFormatting>
  <conditionalFormatting sqref="B4">
    <cfRule type="duplicateValues" dxfId="20" priority="1"/>
  </conditionalFormatting>
  <conditionalFormatting sqref="B5:B7">
    <cfRule type="duplicateValues" dxfId="19" priority="3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6"/>
  <sheetViews>
    <sheetView zoomScale="110" zoomScaleNormal="110" workbookViewId="0">
      <pane xSplit="3" ySplit="2" topLeftCell="D12" activePane="bottomRight" state="frozen"/>
      <selection pane="topRight" activeCell="B1" sqref="B1"/>
      <selection pane="bottomLeft" activeCell="A3" sqref="A3"/>
      <selection pane="bottomRight" activeCell="J19" sqref="J1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21" t="s">
        <v>16</v>
      </c>
      <c r="B2" s="7" t="s">
        <v>7</v>
      </c>
      <c r="C2" s="7" t="s">
        <v>0</v>
      </c>
      <c r="D2" s="7" t="s">
        <v>1</v>
      </c>
      <c r="E2" s="22" t="s">
        <v>4</v>
      </c>
      <c r="F2" s="7" t="s">
        <v>3</v>
      </c>
      <c r="G2" s="7" t="s">
        <v>5</v>
      </c>
      <c r="H2" s="22" t="s">
        <v>2</v>
      </c>
      <c r="I2" s="7" t="s">
        <v>11</v>
      </c>
      <c r="J2" s="7" t="s">
        <v>12</v>
      </c>
      <c r="K2" s="7" t="s">
        <v>13</v>
      </c>
      <c r="L2" s="23" t="s">
        <v>17</v>
      </c>
      <c r="M2" s="23" t="s">
        <v>18</v>
      </c>
      <c r="N2" s="23" t="s">
        <v>6</v>
      </c>
      <c r="O2" s="23" t="s">
        <v>19</v>
      </c>
      <c r="P2" s="23" t="s">
        <v>20</v>
      </c>
    </row>
    <row r="3" spans="1:16" ht="26.25" customHeight="1" x14ac:dyDescent="0.2">
      <c r="A3" s="43">
        <v>402678</v>
      </c>
      <c r="B3" s="36" t="s">
        <v>114</v>
      </c>
      <c r="C3" s="9" t="s">
        <v>115</v>
      </c>
      <c r="D3" s="38" t="s">
        <v>167</v>
      </c>
      <c r="E3" s="13">
        <v>44547</v>
      </c>
      <c r="F3" s="38" t="s">
        <v>101</v>
      </c>
      <c r="G3" s="13">
        <v>44571</v>
      </c>
      <c r="H3" s="10" t="s">
        <v>129</v>
      </c>
      <c r="I3" s="1">
        <v>36</v>
      </c>
      <c r="J3" s="1">
        <v>36</v>
      </c>
      <c r="K3" s="1">
        <v>18</v>
      </c>
      <c r="L3" s="1">
        <v>12</v>
      </c>
      <c r="M3" s="41">
        <v>5.8319999999999999</v>
      </c>
      <c r="N3" s="8">
        <v>12</v>
      </c>
      <c r="O3" s="26">
        <v>3000</v>
      </c>
      <c r="P3" s="27">
        <f>Table224578910112345678910111213[[#This Row],[PEMBULATAN]]*O3</f>
        <v>36000</v>
      </c>
    </row>
    <row r="4" spans="1:16" ht="26.25" customHeight="1" x14ac:dyDescent="0.2">
      <c r="A4" s="14"/>
      <c r="B4" s="37"/>
      <c r="C4" s="9" t="s">
        <v>116</v>
      </c>
      <c r="D4" s="38" t="s">
        <v>167</v>
      </c>
      <c r="E4" s="13">
        <v>44547</v>
      </c>
      <c r="F4" s="38" t="s">
        <v>101</v>
      </c>
      <c r="G4" s="13">
        <v>44571</v>
      </c>
      <c r="H4" s="10" t="s">
        <v>129</v>
      </c>
      <c r="I4" s="1">
        <v>36</v>
      </c>
      <c r="J4" s="1">
        <v>36</v>
      </c>
      <c r="K4" s="1">
        <v>18</v>
      </c>
      <c r="L4" s="1">
        <v>12</v>
      </c>
      <c r="M4" s="41">
        <v>5.8319999999999999</v>
      </c>
      <c r="N4" s="8">
        <v>12</v>
      </c>
      <c r="O4" s="26">
        <v>3000</v>
      </c>
      <c r="P4" s="27">
        <f>Table224578910112345678910111213[[#This Row],[PEMBULATAN]]*O4</f>
        <v>36000</v>
      </c>
    </row>
    <row r="5" spans="1:16" ht="26.25" customHeight="1" x14ac:dyDescent="0.2">
      <c r="A5" s="14"/>
      <c r="B5" s="14"/>
      <c r="C5" s="9" t="s">
        <v>117</v>
      </c>
      <c r="D5" s="38" t="s">
        <v>167</v>
      </c>
      <c r="E5" s="13">
        <v>44547</v>
      </c>
      <c r="F5" s="38" t="s">
        <v>101</v>
      </c>
      <c r="G5" s="13">
        <v>44571</v>
      </c>
      <c r="H5" s="10" t="s">
        <v>129</v>
      </c>
      <c r="I5" s="1">
        <v>45</v>
      </c>
      <c r="J5" s="1">
        <v>34</v>
      </c>
      <c r="K5" s="1">
        <v>30</v>
      </c>
      <c r="L5" s="1">
        <v>9</v>
      </c>
      <c r="M5" s="41">
        <v>11.475</v>
      </c>
      <c r="N5" s="8">
        <v>12</v>
      </c>
      <c r="O5" s="26">
        <v>3000</v>
      </c>
      <c r="P5" s="27">
        <f>Table224578910112345678910111213[[#This Row],[PEMBULATAN]]*O5</f>
        <v>36000</v>
      </c>
    </row>
    <row r="6" spans="1:16" ht="26.25" customHeight="1" x14ac:dyDescent="0.2">
      <c r="A6" s="14"/>
      <c r="B6" s="14"/>
      <c r="C6" s="35" t="s">
        <v>118</v>
      </c>
      <c r="D6" s="38" t="s">
        <v>167</v>
      </c>
      <c r="E6" s="13">
        <v>44547</v>
      </c>
      <c r="F6" s="38" t="s">
        <v>101</v>
      </c>
      <c r="G6" s="13">
        <v>44571</v>
      </c>
      <c r="H6" s="39" t="s">
        <v>129</v>
      </c>
      <c r="I6" s="16">
        <v>45</v>
      </c>
      <c r="J6" s="16">
        <v>34</v>
      </c>
      <c r="K6" s="16">
        <v>30</v>
      </c>
      <c r="L6" s="16">
        <v>9</v>
      </c>
      <c r="M6" s="42">
        <v>11.475</v>
      </c>
      <c r="N6" s="34">
        <v>12</v>
      </c>
      <c r="O6" s="26">
        <v>3000</v>
      </c>
      <c r="P6" s="27">
        <f>Table224578910112345678910111213[[#This Row],[PEMBULATAN]]*O6</f>
        <v>36000</v>
      </c>
    </row>
    <row r="7" spans="1:16" ht="26.25" customHeight="1" x14ac:dyDescent="0.2">
      <c r="A7" s="14"/>
      <c r="B7" s="14"/>
      <c r="C7" s="35" t="s">
        <v>119</v>
      </c>
      <c r="D7" s="38" t="s">
        <v>167</v>
      </c>
      <c r="E7" s="13">
        <v>44547</v>
      </c>
      <c r="F7" s="38" t="s">
        <v>101</v>
      </c>
      <c r="G7" s="13">
        <v>44571</v>
      </c>
      <c r="H7" s="39" t="s">
        <v>129</v>
      </c>
      <c r="I7" s="16">
        <v>53</v>
      </c>
      <c r="J7" s="16">
        <v>45</v>
      </c>
      <c r="K7" s="16">
        <v>12</v>
      </c>
      <c r="L7" s="16">
        <v>12</v>
      </c>
      <c r="M7" s="42">
        <v>7.1550000000000002</v>
      </c>
      <c r="N7" s="34">
        <v>12</v>
      </c>
      <c r="O7" s="26">
        <v>3000</v>
      </c>
      <c r="P7" s="27">
        <f>Table224578910112345678910111213[[#This Row],[PEMBULATAN]]*O7</f>
        <v>36000</v>
      </c>
    </row>
    <row r="8" spans="1:16" ht="26.25" customHeight="1" x14ac:dyDescent="0.2">
      <c r="A8" s="14"/>
      <c r="B8" s="14"/>
      <c r="C8" s="35" t="s">
        <v>120</v>
      </c>
      <c r="D8" s="38" t="s">
        <v>167</v>
      </c>
      <c r="E8" s="13">
        <v>44547</v>
      </c>
      <c r="F8" s="38" t="s">
        <v>101</v>
      </c>
      <c r="G8" s="13">
        <v>44571</v>
      </c>
      <c r="H8" s="39" t="s">
        <v>129</v>
      </c>
      <c r="I8" s="16">
        <v>53</v>
      </c>
      <c r="J8" s="16">
        <v>45</v>
      </c>
      <c r="K8" s="16">
        <v>12</v>
      </c>
      <c r="L8" s="16">
        <v>12</v>
      </c>
      <c r="M8" s="42">
        <v>7.1550000000000002</v>
      </c>
      <c r="N8" s="34">
        <v>12</v>
      </c>
      <c r="O8" s="26">
        <v>3000</v>
      </c>
      <c r="P8" s="27">
        <f>Table224578910112345678910111213[[#This Row],[PEMBULATAN]]*O8</f>
        <v>36000</v>
      </c>
    </row>
    <row r="9" spans="1:16" ht="26.25" customHeight="1" x14ac:dyDescent="0.2">
      <c r="A9" s="14"/>
      <c r="B9" s="14"/>
      <c r="C9" s="35" t="s">
        <v>121</v>
      </c>
      <c r="D9" s="38" t="s">
        <v>167</v>
      </c>
      <c r="E9" s="13">
        <v>44547</v>
      </c>
      <c r="F9" s="38" t="s">
        <v>101</v>
      </c>
      <c r="G9" s="13">
        <v>44571</v>
      </c>
      <c r="H9" s="39" t="s">
        <v>129</v>
      </c>
      <c r="I9" s="16">
        <v>53</v>
      </c>
      <c r="J9" s="16">
        <v>45</v>
      </c>
      <c r="K9" s="16">
        <v>12</v>
      </c>
      <c r="L9" s="16">
        <v>12</v>
      </c>
      <c r="M9" s="42">
        <v>7.1550000000000002</v>
      </c>
      <c r="N9" s="34">
        <v>12</v>
      </c>
      <c r="O9" s="26">
        <v>3000</v>
      </c>
      <c r="P9" s="27">
        <f>Table224578910112345678910111213[[#This Row],[PEMBULATAN]]*O9</f>
        <v>36000</v>
      </c>
    </row>
    <row r="10" spans="1:16" ht="26.25" customHeight="1" x14ac:dyDescent="0.2">
      <c r="A10" s="14"/>
      <c r="B10" s="14"/>
      <c r="C10" s="35" t="s">
        <v>122</v>
      </c>
      <c r="D10" s="38" t="s">
        <v>167</v>
      </c>
      <c r="E10" s="13">
        <v>44547</v>
      </c>
      <c r="F10" s="38" t="s">
        <v>101</v>
      </c>
      <c r="G10" s="13">
        <v>44571</v>
      </c>
      <c r="H10" s="39" t="s">
        <v>129</v>
      </c>
      <c r="I10" s="16">
        <v>53</v>
      </c>
      <c r="J10" s="16">
        <v>45</v>
      </c>
      <c r="K10" s="16">
        <v>12</v>
      </c>
      <c r="L10" s="16">
        <v>12</v>
      </c>
      <c r="M10" s="42">
        <v>7.1550000000000002</v>
      </c>
      <c r="N10" s="34">
        <v>12</v>
      </c>
      <c r="O10" s="26">
        <v>3000</v>
      </c>
      <c r="P10" s="27">
        <f>Table224578910112345678910111213[[#This Row],[PEMBULATAN]]*O10</f>
        <v>36000</v>
      </c>
    </row>
    <row r="11" spans="1:16" ht="26.25" customHeight="1" x14ac:dyDescent="0.2">
      <c r="A11" s="14"/>
      <c r="B11" s="51"/>
      <c r="C11" s="35" t="s">
        <v>123</v>
      </c>
      <c r="D11" s="38" t="s">
        <v>167</v>
      </c>
      <c r="E11" s="13">
        <v>44547</v>
      </c>
      <c r="F11" s="38" t="s">
        <v>101</v>
      </c>
      <c r="G11" s="13">
        <v>44571</v>
      </c>
      <c r="H11" s="39" t="s">
        <v>129</v>
      </c>
      <c r="I11" s="16">
        <v>53</v>
      </c>
      <c r="J11" s="16">
        <v>45</v>
      </c>
      <c r="K11" s="16">
        <v>12</v>
      </c>
      <c r="L11" s="16">
        <v>12</v>
      </c>
      <c r="M11" s="42">
        <v>7.1550000000000002</v>
      </c>
      <c r="N11" s="34">
        <v>12</v>
      </c>
      <c r="O11" s="26">
        <v>3000</v>
      </c>
      <c r="P11" s="27">
        <f>Table224578910112345678910111213[[#This Row],[PEMBULATAN]]*O11</f>
        <v>36000</v>
      </c>
    </row>
    <row r="12" spans="1:16" ht="26.25" customHeight="1" x14ac:dyDescent="0.2">
      <c r="A12" s="14"/>
      <c r="B12" s="14" t="s">
        <v>124</v>
      </c>
      <c r="C12" s="35" t="s">
        <v>125</v>
      </c>
      <c r="D12" s="38" t="s">
        <v>167</v>
      </c>
      <c r="E12" s="13">
        <v>44547</v>
      </c>
      <c r="F12" s="38" t="s">
        <v>101</v>
      </c>
      <c r="G12" s="13">
        <v>44571</v>
      </c>
      <c r="H12" s="39" t="s">
        <v>129</v>
      </c>
      <c r="I12" s="16">
        <v>60</v>
      </c>
      <c r="J12" s="16">
        <v>50</v>
      </c>
      <c r="K12" s="16">
        <v>91</v>
      </c>
      <c r="L12" s="16">
        <v>13</v>
      </c>
      <c r="M12" s="42">
        <v>68.25</v>
      </c>
      <c r="N12" s="50">
        <v>68.25</v>
      </c>
      <c r="O12" s="26">
        <v>3000</v>
      </c>
      <c r="P12" s="27">
        <f>Table224578910112345678910111213[[#This Row],[PEMBULATAN]]*O12</f>
        <v>204750</v>
      </c>
    </row>
    <row r="13" spans="1:16" ht="26.25" customHeight="1" x14ac:dyDescent="0.2">
      <c r="A13" s="14"/>
      <c r="B13" s="14"/>
      <c r="C13" s="35" t="s">
        <v>126</v>
      </c>
      <c r="D13" s="38" t="s">
        <v>167</v>
      </c>
      <c r="E13" s="13">
        <v>44547</v>
      </c>
      <c r="F13" s="38" t="s">
        <v>101</v>
      </c>
      <c r="G13" s="13">
        <v>44571</v>
      </c>
      <c r="H13" s="39" t="s">
        <v>129</v>
      </c>
      <c r="I13" s="16">
        <v>53</v>
      </c>
      <c r="J13" s="16">
        <v>44</v>
      </c>
      <c r="K13" s="16">
        <v>85</v>
      </c>
      <c r="L13" s="16">
        <v>5</v>
      </c>
      <c r="M13" s="42">
        <v>49.555</v>
      </c>
      <c r="N13" s="50">
        <v>49.555</v>
      </c>
      <c r="O13" s="26">
        <v>3000</v>
      </c>
      <c r="P13" s="27">
        <f>Table224578910112345678910111213[[#This Row],[PEMBULATAN]]*O13</f>
        <v>148665</v>
      </c>
    </row>
    <row r="14" spans="1:16" ht="26.25" customHeight="1" x14ac:dyDescent="0.2">
      <c r="A14" s="14"/>
      <c r="B14" s="14"/>
      <c r="C14" s="35" t="s">
        <v>127</v>
      </c>
      <c r="D14" s="38" t="s">
        <v>167</v>
      </c>
      <c r="E14" s="13">
        <v>44547</v>
      </c>
      <c r="F14" s="38" t="s">
        <v>101</v>
      </c>
      <c r="G14" s="13">
        <v>44571</v>
      </c>
      <c r="H14" s="39" t="s">
        <v>129</v>
      </c>
      <c r="I14" s="16">
        <v>38</v>
      </c>
      <c r="J14" s="16">
        <v>23</v>
      </c>
      <c r="K14" s="16">
        <v>15</v>
      </c>
      <c r="L14" s="16">
        <v>3</v>
      </c>
      <c r="M14" s="42">
        <v>3.2774999999999999</v>
      </c>
      <c r="N14" s="50">
        <v>3.2774999999999999</v>
      </c>
      <c r="O14" s="26">
        <v>3000</v>
      </c>
      <c r="P14" s="27">
        <f>Table224578910112345678910111213[[#This Row],[PEMBULATAN]]*O14</f>
        <v>9832.5</v>
      </c>
    </row>
    <row r="15" spans="1:16" ht="26.25" customHeight="1" x14ac:dyDescent="0.2">
      <c r="A15" s="14"/>
      <c r="B15" s="14"/>
      <c r="C15" s="35" t="s">
        <v>128</v>
      </c>
      <c r="D15" s="38" t="s">
        <v>167</v>
      </c>
      <c r="E15" s="13">
        <v>44547</v>
      </c>
      <c r="F15" s="38" t="s">
        <v>101</v>
      </c>
      <c r="G15" s="13">
        <v>44571</v>
      </c>
      <c r="H15" s="39" t="s">
        <v>129</v>
      </c>
      <c r="I15" s="16">
        <v>60</v>
      </c>
      <c r="J15" s="16">
        <v>50</v>
      </c>
      <c r="K15" s="16">
        <v>91</v>
      </c>
      <c r="L15" s="16">
        <v>13</v>
      </c>
      <c r="M15" s="42">
        <v>68.25</v>
      </c>
      <c r="N15" s="50">
        <v>68.25</v>
      </c>
      <c r="O15" s="26">
        <v>3000</v>
      </c>
      <c r="P15" s="27">
        <f>Table224578910112345678910111213[[#This Row],[PEMBULATAN]]*O15</f>
        <v>204750</v>
      </c>
    </row>
    <row r="16" spans="1:16" ht="22.5" customHeight="1" x14ac:dyDescent="0.2">
      <c r="A16" s="54" t="s">
        <v>8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6"/>
      <c r="M16" s="40">
        <f>SUBTOTAL(109,Table224578910112345678910111213[KG VOLUME])</f>
        <v>259.72149999999999</v>
      </c>
      <c r="N16" s="30">
        <f>SUM(N3:N15)</f>
        <v>297.33249999999998</v>
      </c>
      <c r="O16" s="57">
        <f>SUM(P3:P15)</f>
        <v>891997.5</v>
      </c>
      <c r="P16" s="58"/>
    </row>
    <row r="17" spans="1:16" ht="18" customHeight="1" x14ac:dyDescent="0.2">
      <c r="A17" s="44"/>
      <c r="B17" s="18" t="s">
        <v>14</v>
      </c>
      <c r="C17" s="17"/>
      <c r="D17" s="19" t="s">
        <v>15</v>
      </c>
      <c r="E17" s="44"/>
      <c r="F17" s="44"/>
      <c r="G17" s="44"/>
      <c r="H17" s="44"/>
      <c r="I17" s="44"/>
      <c r="J17" s="44"/>
      <c r="K17" s="44"/>
      <c r="L17" s="44"/>
      <c r="M17" s="45"/>
      <c r="N17" s="46" t="s">
        <v>21</v>
      </c>
      <c r="O17" s="47"/>
      <c r="P17" s="47">
        <f>O16*10%</f>
        <v>89199.75</v>
      </c>
    </row>
    <row r="18" spans="1:16" ht="18" customHeight="1" thickBot="1" x14ac:dyDescent="0.25">
      <c r="A18" s="44"/>
      <c r="B18" s="18"/>
      <c r="C18" s="17"/>
      <c r="D18" s="19"/>
      <c r="E18" s="44"/>
      <c r="F18" s="44"/>
      <c r="G18" s="44"/>
      <c r="H18" s="44"/>
      <c r="I18" s="44"/>
      <c r="J18" s="44"/>
      <c r="K18" s="44"/>
      <c r="L18" s="44"/>
      <c r="M18" s="45"/>
      <c r="N18" s="48" t="s">
        <v>22</v>
      </c>
      <c r="O18" s="49"/>
      <c r="P18" s="49">
        <f>O16-P17</f>
        <v>802797.75</v>
      </c>
    </row>
    <row r="19" spans="1:16" ht="18" customHeight="1" x14ac:dyDescent="0.2">
      <c r="A19" s="11"/>
      <c r="H19" s="25"/>
      <c r="N19" s="24" t="s">
        <v>9</v>
      </c>
      <c r="P19" s="31">
        <f>P18*1%</f>
        <v>8027.9775</v>
      </c>
    </row>
    <row r="20" spans="1:16" ht="18" customHeight="1" thickBot="1" x14ac:dyDescent="0.25">
      <c r="A20" s="11"/>
      <c r="H20" s="25"/>
      <c r="N20" s="24" t="s">
        <v>23</v>
      </c>
      <c r="P20" s="33">
        <f>P18*2%</f>
        <v>16055.955</v>
      </c>
    </row>
    <row r="21" spans="1:16" ht="18" customHeight="1" x14ac:dyDescent="0.2">
      <c r="A21" s="11"/>
      <c r="H21" s="25"/>
      <c r="N21" s="28" t="s">
        <v>10</v>
      </c>
      <c r="O21" s="29"/>
      <c r="P21" s="32">
        <f>P18+P19-P20</f>
        <v>794769.77250000008</v>
      </c>
    </row>
    <row r="23" spans="1:16" x14ac:dyDescent="0.2">
      <c r="A23" s="11"/>
      <c r="H23" s="25"/>
      <c r="P23" s="33"/>
    </row>
    <row r="24" spans="1:16" x14ac:dyDescent="0.2">
      <c r="A24" s="11"/>
      <c r="H24" s="25"/>
      <c r="O24" s="20"/>
      <c r="P24" s="33"/>
    </row>
    <row r="25" spans="1:16" s="3" customFormat="1" x14ac:dyDescent="0.25">
      <c r="A25" s="11"/>
      <c r="B25" s="2"/>
      <c r="C25" s="2"/>
      <c r="E25" s="12"/>
      <c r="H25" s="25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25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25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25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25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25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25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25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25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25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25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25"/>
      <c r="N36" s="15"/>
      <c r="O36" s="15"/>
      <c r="P36" s="15"/>
    </row>
  </sheetData>
  <mergeCells count="2">
    <mergeCell ref="A16:L16"/>
    <mergeCell ref="O16:P16"/>
  </mergeCells>
  <conditionalFormatting sqref="B3">
    <cfRule type="duplicateValues" dxfId="18" priority="2"/>
  </conditionalFormatting>
  <conditionalFormatting sqref="B4">
    <cfRule type="duplicateValues" dxfId="17" priority="1"/>
  </conditionalFormatting>
  <conditionalFormatting sqref="B5:B15">
    <cfRule type="duplicateValues" dxfId="16" priority="3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12" sqref="J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21" t="s">
        <v>16</v>
      </c>
      <c r="B2" s="7" t="s">
        <v>7</v>
      </c>
      <c r="C2" s="7" t="s">
        <v>0</v>
      </c>
      <c r="D2" s="7" t="s">
        <v>1</v>
      </c>
      <c r="E2" s="22" t="s">
        <v>4</v>
      </c>
      <c r="F2" s="7" t="s">
        <v>3</v>
      </c>
      <c r="G2" s="7" t="s">
        <v>5</v>
      </c>
      <c r="H2" s="22" t="s">
        <v>2</v>
      </c>
      <c r="I2" s="7" t="s">
        <v>11</v>
      </c>
      <c r="J2" s="7" t="s">
        <v>12</v>
      </c>
      <c r="K2" s="7" t="s">
        <v>13</v>
      </c>
      <c r="L2" s="23" t="s">
        <v>17</v>
      </c>
      <c r="M2" s="23" t="s">
        <v>18</v>
      </c>
      <c r="N2" s="23" t="s">
        <v>6</v>
      </c>
      <c r="O2" s="23" t="s">
        <v>19</v>
      </c>
      <c r="P2" s="23" t="s">
        <v>20</v>
      </c>
    </row>
    <row r="3" spans="1:16" ht="26.25" customHeight="1" x14ac:dyDescent="0.2">
      <c r="A3" s="43">
        <v>402904</v>
      </c>
      <c r="B3" s="36" t="s">
        <v>130</v>
      </c>
      <c r="C3" s="9" t="s">
        <v>131</v>
      </c>
      <c r="D3" s="38" t="s">
        <v>167</v>
      </c>
      <c r="E3" s="13">
        <v>44548</v>
      </c>
      <c r="F3" s="38" t="s">
        <v>101</v>
      </c>
      <c r="G3" s="13">
        <v>44571</v>
      </c>
      <c r="H3" s="10" t="s">
        <v>129</v>
      </c>
      <c r="I3" s="1">
        <v>148</v>
      </c>
      <c r="J3" s="1">
        <v>64</v>
      </c>
      <c r="K3" s="1">
        <v>10</v>
      </c>
      <c r="L3" s="1">
        <v>7</v>
      </c>
      <c r="M3" s="41">
        <v>23.68</v>
      </c>
      <c r="N3" s="50">
        <v>23.68</v>
      </c>
      <c r="O3" s="26">
        <v>3000</v>
      </c>
      <c r="P3" s="27">
        <f>Table22457891011234567891011121314[[#This Row],[PEMBULATAN]]*O3</f>
        <v>71040</v>
      </c>
    </row>
    <row r="4" spans="1:16" ht="26.25" customHeight="1" x14ac:dyDescent="0.2">
      <c r="A4" s="14"/>
      <c r="B4" s="37"/>
      <c r="C4" s="9" t="s">
        <v>132</v>
      </c>
      <c r="D4" s="38" t="s">
        <v>167</v>
      </c>
      <c r="E4" s="13">
        <v>44548</v>
      </c>
      <c r="F4" s="38" t="s">
        <v>101</v>
      </c>
      <c r="G4" s="13">
        <v>44571</v>
      </c>
      <c r="H4" s="10" t="s">
        <v>129</v>
      </c>
      <c r="I4" s="1">
        <v>148</v>
      </c>
      <c r="J4" s="1">
        <v>64</v>
      </c>
      <c r="K4" s="1">
        <v>10</v>
      </c>
      <c r="L4" s="1">
        <v>7</v>
      </c>
      <c r="M4" s="41">
        <v>23.68</v>
      </c>
      <c r="N4" s="50">
        <v>23.68</v>
      </c>
      <c r="O4" s="26">
        <v>3000</v>
      </c>
      <c r="P4" s="27">
        <f>Table22457891011234567891011121314[[#This Row],[PEMBULATAN]]*O4</f>
        <v>71040</v>
      </c>
    </row>
    <row r="5" spans="1:16" ht="26.25" customHeight="1" x14ac:dyDescent="0.2">
      <c r="A5" s="14"/>
      <c r="B5" s="14"/>
      <c r="C5" s="9" t="s">
        <v>133</v>
      </c>
      <c r="D5" s="38" t="s">
        <v>167</v>
      </c>
      <c r="E5" s="13">
        <v>44548</v>
      </c>
      <c r="F5" s="38" t="s">
        <v>101</v>
      </c>
      <c r="G5" s="13">
        <v>44571</v>
      </c>
      <c r="H5" s="10" t="s">
        <v>129</v>
      </c>
      <c r="I5" s="1">
        <v>148</v>
      </c>
      <c r="J5" s="1">
        <v>64</v>
      </c>
      <c r="K5" s="1">
        <v>10</v>
      </c>
      <c r="L5" s="1">
        <v>7</v>
      </c>
      <c r="M5" s="41">
        <v>23.68</v>
      </c>
      <c r="N5" s="50">
        <v>23.68</v>
      </c>
      <c r="O5" s="26">
        <v>3000</v>
      </c>
      <c r="P5" s="27">
        <f>Table22457891011234567891011121314[[#This Row],[PEMBULATAN]]*O5</f>
        <v>71040</v>
      </c>
    </row>
    <row r="6" spans="1:16" ht="26.25" customHeight="1" x14ac:dyDescent="0.2">
      <c r="A6" s="14"/>
      <c r="B6" s="14"/>
      <c r="C6" s="35" t="s">
        <v>134</v>
      </c>
      <c r="D6" s="38" t="s">
        <v>167</v>
      </c>
      <c r="E6" s="13">
        <v>44548</v>
      </c>
      <c r="F6" s="38" t="s">
        <v>101</v>
      </c>
      <c r="G6" s="13">
        <v>44571</v>
      </c>
      <c r="H6" s="39" t="s">
        <v>129</v>
      </c>
      <c r="I6" s="16">
        <v>148</v>
      </c>
      <c r="J6" s="16">
        <v>64</v>
      </c>
      <c r="K6" s="16">
        <v>10</v>
      </c>
      <c r="L6" s="16">
        <v>7</v>
      </c>
      <c r="M6" s="42">
        <v>23.68</v>
      </c>
      <c r="N6" s="50">
        <v>23.68</v>
      </c>
      <c r="O6" s="26">
        <v>3000</v>
      </c>
      <c r="P6" s="27">
        <f>Table22457891011234567891011121314[[#This Row],[PEMBULATAN]]*O6</f>
        <v>71040</v>
      </c>
    </row>
    <row r="7" spans="1:16" ht="26.25" customHeight="1" x14ac:dyDescent="0.2">
      <c r="A7" s="14"/>
      <c r="B7" s="14"/>
      <c r="C7" s="35" t="s">
        <v>135</v>
      </c>
      <c r="D7" s="38" t="s">
        <v>167</v>
      </c>
      <c r="E7" s="13">
        <v>44548</v>
      </c>
      <c r="F7" s="38" t="s">
        <v>101</v>
      </c>
      <c r="G7" s="13">
        <v>44571</v>
      </c>
      <c r="H7" s="39" t="s">
        <v>129</v>
      </c>
      <c r="I7" s="16">
        <v>148</v>
      </c>
      <c r="J7" s="16">
        <v>64</v>
      </c>
      <c r="K7" s="16">
        <v>10</v>
      </c>
      <c r="L7" s="16">
        <v>7</v>
      </c>
      <c r="M7" s="42">
        <v>23.68</v>
      </c>
      <c r="N7" s="50">
        <v>23.68</v>
      </c>
      <c r="O7" s="26">
        <v>3000</v>
      </c>
      <c r="P7" s="27">
        <f>Table22457891011234567891011121314[[#This Row],[PEMBULATAN]]*O7</f>
        <v>71040</v>
      </c>
    </row>
    <row r="8" spans="1:16" ht="26.25" customHeight="1" x14ac:dyDescent="0.2">
      <c r="A8" s="14"/>
      <c r="B8" s="14"/>
      <c r="C8" s="35" t="s">
        <v>136</v>
      </c>
      <c r="D8" s="38" t="s">
        <v>167</v>
      </c>
      <c r="E8" s="13">
        <v>44548</v>
      </c>
      <c r="F8" s="38" t="s">
        <v>101</v>
      </c>
      <c r="G8" s="13">
        <v>44571</v>
      </c>
      <c r="H8" s="39" t="s">
        <v>129</v>
      </c>
      <c r="I8" s="16">
        <v>148</v>
      </c>
      <c r="J8" s="16">
        <v>64</v>
      </c>
      <c r="K8" s="16">
        <v>10</v>
      </c>
      <c r="L8" s="16">
        <v>7</v>
      </c>
      <c r="M8" s="42">
        <v>23.68</v>
      </c>
      <c r="N8" s="50">
        <v>23.68</v>
      </c>
      <c r="O8" s="26">
        <v>3000</v>
      </c>
      <c r="P8" s="27">
        <f>Table22457891011234567891011121314[[#This Row],[PEMBULATAN]]*O8</f>
        <v>71040</v>
      </c>
    </row>
    <row r="9" spans="1:16" ht="22.5" customHeight="1" x14ac:dyDescent="0.2">
      <c r="A9" s="54" t="s">
        <v>8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6"/>
      <c r="M9" s="40">
        <f>SUBTOTAL(109,Table22457891011234567891011121314[KG VOLUME])</f>
        <v>142.08000000000001</v>
      </c>
      <c r="N9" s="30">
        <f>SUM(N3:N8)</f>
        <v>142.08000000000001</v>
      </c>
      <c r="O9" s="57">
        <f>SUM(P3:P8)</f>
        <v>426240</v>
      </c>
      <c r="P9" s="58"/>
    </row>
    <row r="10" spans="1:16" ht="18" customHeight="1" x14ac:dyDescent="0.2">
      <c r="A10" s="44"/>
      <c r="B10" s="18" t="s">
        <v>14</v>
      </c>
      <c r="C10" s="17"/>
      <c r="D10" s="19" t="s">
        <v>15</v>
      </c>
      <c r="E10" s="44"/>
      <c r="F10" s="44"/>
      <c r="G10" s="44"/>
      <c r="H10" s="44"/>
      <c r="I10" s="44"/>
      <c r="J10" s="44"/>
      <c r="K10" s="44"/>
      <c r="L10" s="44"/>
      <c r="M10" s="45"/>
      <c r="N10" s="46" t="s">
        <v>21</v>
      </c>
      <c r="O10" s="47"/>
      <c r="P10" s="47">
        <f>O9*10%</f>
        <v>42624</v>
      </c>
    </row>
    <row r="11" spans="1:16" ht="18" customHeight="1" thickBot="1" x14ac:dyDescent="0.25">
      <c r="A11" s="44"/>
      <c r="B11" s="18"/>
      <c r="C11" s="17"/>
      <c r="D11" s="19"/>
      <c r="E11" s="44"/>
      <c r="F11" s="44"/>
      <c r="G11" s="44"/>
      <c r="H11" s="44"/>
      <c r="I11" s="44"/>
      <c r="J11" s="44"/>
      <c r="K11" s="44"/>
      <c r="L11" s="44"/>
      <c r="M11" s="45"/>
      <c r="N11" s="48" t="s">
        <v>22</v>
      </c>
      <c r="O11" s="49"/>
      <c r="P11" s="49">
        <f>O9-P10</f>
        <v>383616</v>
      </c>
    </row>
    <row r="12" spans="1:16" ht="18" customHeight="1" x14ac:dyDescent="0.2">
      <c r="A12" s="11"/>
      <c r="H12" s="25"/>
      <c r="N12" s="24" t="s">
        <v>9</v>
      </c>
      <c r="P12" s="31">
        <f>P11*1%</f>
        <v>3836.16</v>
      </c>
    </row>
    <row r="13" spans="1:16" ht="18" customHeight="1" thickBot="1" x14ac:dyDescent="0.25">
      <c r="A13" s="11"/>
      <c r="H13" s="25"/>
      <c r="N13" s="24" t="s">
        <v>23</v>
      </c>
      <c r="P13" s="33">
        <f>P11*2%</f>
        <v>7672.32</v>
      </c>
    </row>
    <row r="14" spans="1:16" ht="18" customHeight="1" x14ac:dyDescent="0.2">
      <c r="A14" s="11"/>
      <c r="H14" s="25"/>
      <c r="N14" s="28" t="s">
        <v>10</v>
      </c>
      <c r="O14" s="29"/>
      <c r="P14" s="32">
        <f>P11+P12-P13</f>
        <v>379779.83999999997</v>
      </c>
    </row>
    <row r="16" spans="1:16" x14ac:dyDescent="0.2">
      <c r="A16" s="11"/>
      <c r="H16" s="25"/>
      <c r="P16" s="33"/>
    </row>
    <row r="17" spans="1:16" x14ac:dyDescent="0.2">
      <c r="A17" s="11"/>
      <c r="H17" s="25"/>
      <c r="O17" s="20"/>
      <c r="P17" s="33"/>
    </row>
    <row r="18" spans="1:16" s="3" customFormat="1" x14ac:dyDescent="0.25">
      <c r="A18" s="11"/>
      <c r="B18" s="2"/>
      <c r="C18" s="2"/>
      <c r="E18" s="12"/>
      <c r="H18" s="25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25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25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25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25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25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25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25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25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25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25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25"/>
      <c r="N29" s="15"/>
      <c r="O29" s="15"/>
      <c r="P29" s="15"/>
    </row>
  </sheetData>
  <mergeCells count="2">
    <mergeCell ref="A9:L9"/>
    <mergeCell ref="O9:P9"/>
  </mergeCells>
  <conditionalFormatting sqref="B3">
    <cfRule type="duplicateValues" dxfId="15" priority="2"/>
  </conditionalFormatting>
  <conditionalFormatting sqref="B4">
    <cfRule type="duplicateValues" dxfId="14" priority="1"/>
  </conditionalFormatting>
  <conditionalFormatting sqref="B5:B8">
    <cfRule type="duplicateValues" dxfId="13" priority="3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3" sqref="F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85546875" style="2" customWidth="1"/>
    <col min="4" max="4" width="10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21" t="s">
        <v>16</v>
      </c>
      <c r="B2" s="7" t="s">
        <v>7</v>
      </c>
      <c r="C2" s="7" t="s">
        <v>0</v>
      </c>
      <c r="D2" s="7" t="s">
        <v>1</v>
      </c>
      <c r="E2" s="22" t="s">
        <v>4</v>
      </c>
      <c r="F2" s="7" t="s">
        <v>3</v>
      </c>
      <c r="G2" s="7" t="s">
        <v>5</v>
      </c>
      <c r="H2" s="22" t="s">
        <v>2</v>
      </c>
      <c r="I2" s="7" t="s">
        <v>11</v>
      </c>
      <c r="J2" s="7" t="s">
        <v>12</v>
      </c>
      <c r="K2" s="7" t="s">
        <v>13</v>
      </c>
      <c r="L2" s="23" t="s">
        <v>17</v>
      </c>
      <c r="M2" s="23" t="s">
        <v>18</v>
      </c>
      <c r="N2" s="23" t="s">
        <v>6</v>
      </c>
      <c r="O2" s="23" t="s">
        <v>19</v>
      </c>
      <c r="P2" s="23" t="s">
        <v>20</v>
      </c>
    </row>
    <row r="3" spans="1:16" ht="26.25" customHeight="1" x14ac:dyDescent="0.2">
      <c r="A3" s="43">
        <v>402717</v>
      </c>
      <c r="B3" s="36" t="s">
        <v>137</v>
      </c>
      <c r="C3" s="9" t="s">
        <v>138</v>
      </c>
      <c r="D3" s="38" t="s">
        <v>167</v>
      </c>
      <c r="E3" s="13">
        <v>44553</v>
      </c>
      <c r="F3" s="38" t="s">
        <v>101</v>
      </c>
      <c r="G3" s="13">
        <v>44571</v>
      </c>
      <c r="H3" s="10" t="s">
        <v>129</v>
      </c>
      <c r="I3" s="1">
        <v>72</v>
      </c>
      <c r="J3" s="1">
        <v>54</v>
      </c>
      <c r="K3" s="1">
        <v>85</v>
      </c>
      <c r="L3" s="1">
        <v>14</v>
      </c>
      <c r="M3" s="41">
        <v>82.62</v>
      </c>
      <c r="N3" s="50">
        <v>82.62</v>
      </c>
      <c r="O3" s="26">
        <v>3000</v>
      </c>
      <c r="P3" s="27">
        <f>Table2245789101123456789101112131415[[#This Row],[PEMBULATAN]]*O3</f>
        <v>247860</v>
      </c>
    </row>
    <row r="4" spans="1:16" ht="26.25" customHeight="1" x14ac:dyDescent="0.2">
      <c r="A4" s="14"/>
      <c r="B4" s="37"/>
      <c r="C4" s="9" t="s">
        <v>139</v>
      </c>
      <c r="D4" s="38" t="s">
        <v>167</v>
      </c>
      <c r="E4" s="13">
        <v>44553</v>
      </c>
      <c r="F4" s="38" t="s">
        <v>101</v>
      </c>
      <c r="G4" s="13">
        <v>44571</v>
      </c>
      <c r="H4" s="10" t="s">
        <v>129</v>
      </c>
      <c r="I4" s="1">
        <v>50</v>
      </c>
      <c r="J4" s="1">
        <v>48</v>
      </c>
      <c r="K4" s="1">
        <v>80</v>
      </c>
      <c r="L4" s="1">
        <v>11</v>
      </c>
      <c r="M4" s="41">
        <v>48</v>
      </c>
      <c r="N4" s="50">
        <v>48</v>
      </c>
      <c r="O4" s="26">
        <v>3000</v>
      </c>
      <c r="P4" s="27">
        <f>Table2245789101123456789101112131415[[#This Row],[PEMBULATAN]]*O4</f>
        <v>144000</v>
      </c>
    </row>
    <row r="5" spans="1:16" ht="26.25" customHeight="1" x14ac:dyDescent="0.2">
      <c r="A5" s="14"/>
      <c r="B5" s="14"/>
      <c r="C5" s="9" t="s">
        <v>140</v>
      </c>
      <c r="D5" s="38" t="s">
        <v>167</v>
      </c>
      <c r="E5" s="13">
        <v>44553</v>
      </c>
      <c r="F5" s="38" t="s">
        <v>101</v>
      </c>
      <c r="G5" s="13">
        <v>44571</v>
      </c>
      <c r="H5" s="10" t="s">
        <v>129</v>
      </c>
      <c r="I5" s="1">
        <v>50</v>
      </c>
      <c r="J5" s="1">
        <v>48</v>
      </c>
      <c r="K5" s="1">
        <v>80</v>
      </c>
      <c r="L5" s="1">
        <v>11</v>
      </c>
      <c r="M5" s="41">
        <v>48</v>
      </c>
      <c r="N5" s="50">
        <v>48</v>
      </c>
      <c r="O5" s="26">
        <v>3000</v>
      </c>
      <c r="P5" s="27">
        <f>Table2245789101123456789101112131415[[#This Row],[PEMBULATAN]]*O5</f>
        <v>144000</v>
      </c>
    </row>
    <row r="6" spans="1:16" ht="26.25" customHeight="1" x14ac:dyDescent="0.2">
      <c r="A6" s="14"/>
      <c r="B6" s="14"/>
      <c r="C6" s="35" t="s">
        <v>141</v>
      </c>
      <c r="D6" s="38" t="s">
        <v>167</v>
      </c>
      <c r="E6" s="13">
        <v>44553</v>
      </c>
      <c r="F6" s="38" t="s">
        <v>101</v>
      </c>
      <c r="G6" s="13">
        <v>44571</v>
      </c>
      <c r="H6" s="39" t="s">
        <v>129</v>
      </c>
      <c r="I6" s="16">
        <v>50</v>
      </c>
      <c r="J6" s="16">
        <v>48</v>
      </c>
      <c r="K6" s="16">
        <v>80</v>
      </c>
      <c r="L6" s="16">
        <v>11</v>
      </c>
      <c r="M6" s="42">
        <v>48</v>
      </c>
      <c r="N6" s="50">
        <v>48</v>
      </c>
      <c r="O6" s="26">
        <v>3000</v>
      </c>
      <c r="P6" s="27">
        <f>Table2245789101123456789101112131415[[#This Row],[PEMBULATAN]]*O6</f>
        <v>144000</v>
      </c>
    </row>
    <row r="7" spans="1:16" ht="26.25" customHeight="1" x14ac:dyDescent="0.2">
      <c r="A7" s="14"/>
      <c r="B7" s="14"/>
      <c r="C7" s="35" t="s">
        <v>142</v>
      </c>
      <c r="D7" s="38" t="s">
        <v>167</v>
      </c>
      <c r="E7" s="13">
        <v>44553</v>
      </c>
      <c r="F7" s="38" t="s">
        <v>101</v>
      </c>
      <c r="G7" s="13">
        <v>44571</v>
      </c>
      <c r="H7" s="39" t="s">
        <v>129</v>
      </c>
      <c r="I7" s="16">
        <v>37</v>
      </c>
      <c r="J7" s="16">
        <v>37</v>
      </c>
      <c r="K7" s="16">
        <v>55</v>
      </c>
      <c r="L7" s="16">
        <v>15</v>
      </c>
      <c r="M7" s="42">
        <v>18.82375</v>
      </c>
      <c r="N7" s="50">
        <v>18.82375</v>
      </c>
      <c r="O7" s="26">
        <v>3000</v>
      </c>
      <c r="P7" s="27">
        <f>Table2245789101123456789101112131415[[#This Row],[PEMBULATAN]]*O7</f>
        <v>56471.25</v>
      </c>
    </row>
    <row r="8" spans="1:16" ht="26.25" customHeight="1" x14ac:dyDescent="0.2">
      <c r="A8" s="14"/>
      <c r="B8" s="14"/>
      <c r="C8" s="35" t="s">
        <v>143</v>
      </c>
      <c r="D8" s="38" t="s">
        <v>167</v>
      </c>
      <c r="E8" s="13">
        <v>44553</v>
      </c>
      <c r="F8" s="38" t="s">
        <v>101</v>
      </c>
      <c r="G8" s="13">
        <v>44571</v>
      </c>
      <c r="H8" s="39" t="s">
        <v>129</v>
      </c>
      <c r="I8" s="16">
        <v>37</v>
      </c>
      <c r="J8" s="16">
        <v>37</v>
      </c>
      <c r="K8" s="16">
        <v>55</v>
      </c>
      <c r="L8" s="16">
        <v>7</v>
      </c>
      <c r="M8" s="42">
        <v>18.82375</v>
      </c>
      <c r="N8" s="50">
        <v>18.82375</v>
      </c>
      <c r="O8" s="26">
        <v>3000</v>
      </c>
      <c r="P8" s="27">
        <f>Table2245789101123456789101112131415[[#This Row],[PEMBULATAN]]*O8</f>
        <v>56471.25</v>
      </c>
    </row>
    <row r="9" spans="1:16" ht="26.25" customHeight="1" x14ac:dyDescent="0.2">
      <c r="A9" s="14"/>
      <c r="B9" s="14"/>
      <c r="C9" s="35" t="s">
        <v>144</v>
      </c>
      <c r="D9" s="38" t="s">
        <v>167</v>
      </c>
      <c r="E9" s="13">
        <v>44553</v>
      </c>
      <c r="F9" s="38" t="s">
        <v>101</v>
      </c>
      <c r="G9" s="13">
        <v>44571</v>
      </c>
      <c r="H9" s="39" t="s">
        <v>129</v>
      </c>
      <c r="I9" s="16">
        <v>50</v>
      </c>
      <c r="J9" s="16">
        <v>48</v>
      </c>
      <c r="K9" s="16">
        <v>80</v>
      </c>
      <c r="L9" s="16">
        <v>11</v>
      </c>
      <c r="M9" s="42">
        <v>48</v>
      </c>
      <c r="N9" s="50">
        <v>48</v>
      </c>
      <c r="O9" s="26">
        <v>3000</v>
      </c>
      <c r="P9" s="27">
        <f>Table2245789101123456789101112131415[[#This Row],[PEMBULATAN]]*O9</f>
        <v>144000</v>
      </c>
    </row>
    <row r="10" spans="1:16" ht="26.25" customHeight="1" x14ac:dyDescent="0.2">
      <c r="A10" s="14"/>
      <c r="B10" s="51"/>
      <c r="C10" s="35" t="s">
        <v>145</v>
      </c>
      <c r="D10" s="38" t="s">
        <v>167</v>
      </c>
      <c r="E10" s="13">
        <v>44553</v>
      </c>
      <c r="F10" s="38" t="s">
        <v>101</v>
      </c>
      <c r="G10" s="13">
        <v>44571</v>
      </c>
      <c r="H10" s="39" t="s">
        <v>129</v>
      </c>
      <c r="I10" s="16">
        <v>72</v>
      </c>
      <c r="J10" s="16">
        <v>54</v>
      </c>
      <c r="K10" s="16">
        <v>85</v>
      </c>
      <c r="L10" s="16">
        <v>14</v>
      </c>
      <c r="M10" s="42">
        <v>82.62</v>
      </c>
      <c r="N10" s="50">
        <v>82.62</v>
      </c>
      <c r="O10" s="26">
        <v>3000</v>
      </c>
      <c r="P10" s="27">
        <f>Table2245789101123456789101112131415[[#This Row],[PEMBULATAN]]*O10</f>
        <v>247860</v>
      </c>
    </row>
    <row r="11" spans="1:16" ht="26.25" customHeight="1" x14ac:dyDescent="0.2">
      <c r="A11" s="14"/>
      <c r="B11" s="14" t="s">
        <v>146</v>
      </c>
      <c r="C11" s="35" t="s">
        <v>147</v>
      </c>
      <c r="D11" s="38" t="s">
        <v>167</v>
      </c>
      <c r="E11" s="13">
        <v>44553</v>
      </c>
      <c r="F11" s="38" t="s">
        <v>101</v>
      </c>
      <c r="G11" s="13">
        <v>44571</v>
      </c>
      <c r="H11" s="39" t="s">
        <v>129</v>
      </c>
      <c r="I11" s="16">
        <v>52</v>
      </c>
      <c r="J11" s="16">
        <v>40</v>
      </c>
      <c r="K11" s="16">
        <v>14</v>
      </c>
      <c r="L11" s="16">
        <v>10</v>
      </c>
      <c r="M11" s="42">
        <v>7.28</v>
      </c>
      <c r="N11" s="34">
        <v>10</v>
      </c>
      <c r="O11" s="26">
        <v>3000</v>
      </c>
      <c r="P11" s="27">
        <f>Table2245789101123456789101112131415[[#This Row],[PEMBULATAN]]*O11</f>
        <v>30000</v>
      </c>
    </row>
    <row r="12" spans="1:16" ht="26.25" customHeight="1" x14ac:dyDescent="0.2">
      <c r="A12" s="14"/>
      <c r="B12" s="14"/>
      <c r="C12" s="35" t="s">
        <v>148</v>
      </c>
      <c r="D12" s="38" t="s">
        <v>167</v>
      </c>
      <c r="E12" s="13">
        <v>44553</v>
      </c>
      <c r="F12" s="38" t="s">
        <v>101</v>
      </c>
      <c r="G12" s="13">
        <v>44571</v>
      </c>
      <c r="H12" s="39" t="s">
        <v>129</v>
      </c>
      <c r="I12" s="16">
        <v>46</v>
      </c>
      <c r="J12" s="16">
        <v>40</v>
      </c>
      <c r="K12" s="16">
        <v>15</v>
      </c>
      <c r="L12" s="16">
        <v>10</v>
      </c>
      <c r="M12" s="42">
        <v>6.9</v>
      </c>
      <c r="N12" s="34">
        <v>10</v>
      </c>
      <c r="O12" s="26">
        <v>3000</v>
      </c>
      <c r="P12" s="27">
        <f>Table2245789101123456789101112131415[[#This Row],[PEMBULATAN]]*O12</f>
        <v>30000</v>
      </c>
    </row>
    <row r="13" spans="1:16" ht="26.25" customHeight="1" x14ac:dyDescent="0.2">
      <c r="A13" s="14"/>
      <c r="B13" s="14"/>
      <c r="C13" s="35" t="s">
        <v>149</v>
      </c>
      <c r="D13" s="38" t="s">
        <v>167</v>
      </c>
      <c r="E13" s="13">
        <v>44553</v>
      </c>
      <c r="F13" s="38" t="s">
        <v>101</v>
      </c>
      <c r="G13" s="13">
        <v>44571</v>
      </c>
      <c r="H13" s="39" t="s">
        <v>129</v>
      </c>
      <c r="I13" s="16">
        <v>52</v>
      </c>
      <c r="J13" s="16">
        <v>40</v>
      </c>
      <c r="K13" s="16">
        <v>14</v>
      </c>
      <c r="L13" s="16">
        <v>10</v>
      </c>
      <c r="M13" s="42">
        <v>7.28</v>
      </c>
      <c r="N13" s="34">
        <v>10</v>
      </c>
      <c r="O13" s="26">
        <v>3000</v>
      </c>
      <c r="P13" s="27">
        <f>Table2245789101123456789101112131415[[#This Row],[PEMBULATAN]]*O13</f>
        <v>30000</v>
      </c>
    </row>
    <row r="14" spans="1:16" ht="22.5" customHeight="1" x14ac:dyDescent="0.2">
      <c r="A14" s="54" t="s">
        <v>8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6"/>
      <c r="M14" s="40">
        <f>SUBTOTAL(109,Table2245789101123456789101112131415[KG VOLUME])</f>
        <v>416.34749999999991</v>
      </c>
      <c r="N14" s="30">
        <f>SUM(N3:N13)</f>
        <v>424.88749999999999</v>
      </c>
      <c r="O14" s="57">
        <f>SUM(P3:P13)</f>
        <v>1274662.5</v>
      </c>
      <c r="P14" s="58"/>
    </row>
    <row r="15" spans="1:16" ht="18" customHeight="1" x14ac:dyDescent="0.2">
      <c r="A15" s="44"/>
      <c r="B15" s="18" t="s">
        <v>14</v>
      </c>
      <c r="C15" s="17"/>
      <c r="D15" s="19" t="s">
        <v>15</v>
      </c>
      <c r="E15" s="44"/>
      <c r="F15" s="44"/>
      <c r="G15" s="44"/>
      <c r="H15" s="44"/>
      <c r="I15" s="44"/>
      <c r="J15" s="44"/>
      <c r="K15" s="44"/>
      <c r="L15" s="44"/>
      <c r="M15" s="45"/>
      <c r="N15" s="46" t="s">
        <v>21</v>
      </c>
      <c r="O15" s="47"/>
      <c r="P15" s="47">
        <f>O14*10%</f>
        <v>127466.25</v>
      </c>
    </row>
    <row r="16" spans="1:16" ht="18" customHeight="1" thickBot="1" x14ac:dyDescent="0.25">
      <c r="A16" s="44"/>
      <c r="B16" s="18"/>
      <c r="C16" s="17"/>
      <c r="D16" s="19"/>
      <c r="E16" s="44"/>
      <c r="F16" s="44"/>
      <c r="G16" s="44"/>
      <c r="H16" s="44"/>
      <c r="I16" s="44"/>
      <c r="J16" s="44"/>
      <c r="K16" s="44"/>
      <c r="L16" s="44"/>
      <c r="M16" s="45"/>
      <c r="N16" s="48" t="s">
        <v>22</v>
      </c>
      <c r="O16" s="49"/>
      <c r="P16" s="49">
        <f>O14-P15</f>
        <v>1147196.25</v>
      </c>
    </row>
    <row r="17" spans="1:16" ht="18" customHeight="1" x14ac:dyDescent="0.2">
      <c r="A17" s="11"/>
      <c r="H17" s="25"/>
      <c r="N17" s="24" t="s">
        <v>9</v>
      </c>
      <c r="P17" s="31">
        <f>P16*1%</f>
        <v>11471.9625</v>
      </c>
    </row>
    <row r="18" spans="1:16" ht="18" customHeight="1" thickBot="1" x14ac:dyDescent="0.25">
      <c r="A18" s="11"/>
      <c r="H18" s="25"/>
      <c r="N18" s="24" t="s">
        <v>23</v>
      </c>
      <c r="P18" s="33">
        <f>P16*2%</f>
        <v>22943.924999999999</v>
      </c>
    </row>
    <row r="19" spans="1:16" ht="18" customHeight="1" x14ac:dyDescent="0.2">
      <c r="A19" s="11"/>
      <c r="H19" s="25"/>
      <c r="N19" s="28" t="s">
        <v>10</v>
      </c>
      <c r="O19" s="29"/>
      <c r="P19" s="32">
        <f>P16+P17-P18</f>
        <v>1135724.2874999999</v>
      </c>
    </row>
    <row r="21" spans="1:16" x14ac:dyDescent="0.2">
      <c r="A21" s="11"/>
      <c r="H21" s="25"/>
      <c r="P21" s="33"/>
    </row>
    <row r="22" spans="1:16" x14ac:dyDescent="0.2">
      <c r="A22" s="11"/>
      <c r="H22" s="25"/>
      <c r="O22" s="20"/>
      <c r="P22" s="33"/>
    </row>
    <row r="23" spans="1:16" s="3" customFormat="1" x14ac:dyDescent="0.25">
      <c r="A23" s="11"/>
      <c r="B23" s="2"/>
      <c r="C23" s="2"/>
      <c r="E23" s="12"/>
      <c r="H23" s="25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25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25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25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25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25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25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25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25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25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25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25"/>
      <c r="N34" s="15"/>
      <c r="O34" s="15"/>
      <c r="P34" s="15"/>
    </row>
  </sheetData>
  <mergeCells count="2">
    <mergeCell ref="A14:L14"/>
    <mergeCell ref="O14:P14"/>
  </mergeCells>
  <conditionalFormatting sqref="B3">
    <cfRule type="duplicateValues" dxfId="12" priority="2"/>
  </conditionalFormatting>
  <conditionalFormatting sqref="B4">
    <cfRule type="duplicateValues" dxfId="11" priority="1"/>
  </conditionalFormatting>
  <conditionalFormatting sqref="B5:B13">
    <cfRule type="duplicateValues" dxfId="10" priority="3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0" sqref="H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21" t="s">
        <v>16</v>
      </c>
      <c r="B2" s="7" t="s">
        <v>7</v>
      </c>
      <c r="C2" s="7" t="s">
        <v>0</v>
      </c>
      <c r="D2" s="7" t="s">
        <v>1</v>
      </c>
      <c r="E2" s="22" t="s">
        <v>4</v>
      </c>
      <c r="F2" s="7" t="s">
        <v>3</v>
      </c>
      <c r="G2" s="7" t="s">
        <v>5</v>
      </c>
      <c r="H2" s="22" t="s">
        <v>2</v>
      </c>
      <c r="I2" s="7" t="s">
        <v>11</v>
      </c>
      <c r="J2" s="7" t="s">
        <v>12</v>
      </c>
      <c r="K2" s="7" t="s">
        <v>13</v>
      </c>
      <c r="L2" s="23" t="s">
        <v>17</v>
      </c>
      <c r="M2" s="23" t="s">
        <v>18</v>
      </c>
      <c r="N2" s="23" t="s">
        <v>6</v>
      </c>
      <c r="O2" s="23" t="s">
        <v>19</v>
      </c>
      <c r="P2" s="23" t="s">
        <v>20</v>
      </c>
    </row>
    <row r="3" spans="1:16" ht="26.25" customHeight="1" x14ac:dyDescent="0.2">
      <c r="A3" s="43">
        <v>402728</v>
      </c>
      <c r="B3" s="36" t="s">
        <v>150</v>
      </c>
      <c r="C3" s="9" t="s">
        <v>151</v>
      </c>
      <c r="D3" s="38" t="s">
        <v>167</v>
      </c>
      <c r="E3" s="13">
        <v>44554</v>
      </c>
      <c r="F3" s="38" t="s">
        <v>101</v>
      </c>
      <c r="G3" s="13">
        <v>44571</v>
      </c>
      <c r="H3" s="10" t="s">
        <v>129</v>
      </c>
      <c r="I3" s="1">
        <v>51</v>
      </c>
      <c r="J3" s="1">
        <v>45</v>
      </c>
      <c r="K3" s="1">
        <v>14</v>
      </c>
      <c r="L3" s="1">
        <v>11</v>
      </c>
      <c r="M3" s="41">
        <v>8.0325000000000006</v>
      </c>
      <c r="N3" s="8">
        <v>11</v>
      </c>
      <c r="O3" s="26">
        <v>3000</v>
      </c>
      <c r="P3" s="27">
        <f>Table224578910112345678910111213141516[[#This Row],[PEMBULATAN]]*O3</f>
        <v>33000</v>
      </c>
    </row>
    <row r="4" spans="1:16" ht="26.25" customHeight="1" x14ac:dyDescent="0.2">
      <c r="A4" s="14"/>
      <c r="B4" s="37"/>
      <c r="C4" s="9" t="s">
        <v>152</v>
      </c>
      <c r="D4" s="38" t="s">
        <v>167</v>
      </c>
      <c r="E4" s="13">
        <v>44554</v>
      </c>
      <c r="F4" s="38" t="s">
        <v>101</v>
      </c>
      <c r="G4" s="13">
        <v>44571</v>
      </c>
      <c r="H4" s="10" t="s">
        <v>129</v>
      </c>
      <c r="I4" s="1">
        <v>51</v>
      </c>
      <c r="J4" s="1">
        <v>45</v>
      </c>
      <c r="K4" s="1">
        <v>14</v>
      </c>
      <c r="L4" s="1">
        <v>11</v>
      </c>
      <c r="M4" s="41">
        <v>8.0325000000000006</v>
      </c>
      <c r="N4" s="8">
        <v>11</v>
      </c>
      <c r="O4" s="26">
        <v>3000</v>
      </c>
      <c r="P4" s="27">
        <f>Table224578910112345678910111213141516[[#This Row],[PEMBULATAN]]*O4</f>
        <v>33000</v>
      </c>
    </row>
    <row r="5" spans="1:16" ht="26.25" customHeight="1" x14ac:dyDescent="0.2">
      <c r="A5" s="14"/>
      <c r="B5" s="14"/>
      <c r="C5" s="9" t="s">
        <v>153</v>
      </c>
      <c r="D5" s="38" t="s">
        <v>167</v>
      </c>
      <c r="E5" s="13">
        <v>44554</v>
      </c>
      <c r="F5" s="38" t="s">
        <v>101</v>
      </c>
      <c r="G5" s="13">
        <v>44571</v>
      </c>
      <c r="H5" s="10" t="s">
        <v>129</v>
      </c>
      <c r="I5" s="1">
        <v>51</v>
      </c>
      <c r="J5" s="1">
        <v>45</v>
      </c>
      <c r="K5" s="1">
        <v>14</v>
      </c>
      <c r="L5" s="1">
        <v>11</v>
      </c>
      <c r="M5" s="41">
        <v>8.0325000000000006</v>
      </c>
      <c r="N5" s="8">
        <v>11</v>
      </c>
      <c r="O5" s="26">
        <v>3000</v>
      </c>
      <c r="P5" s="27">
        <f>Table224578910112345678910111213141516[[#This Row],[PEMBULATAN]]*O5</f>
        <v>33000</v>
      </c>
    </row>
    <row r="6" spans="1:16" ht="26.25" customHeight="1" x14ac:dyDescent="0.2">
      <c r="A6" s="14"/>
      <c r="B6" s="14"/>
      <c r="C6" s="35" t="s">
        <v>154</v>
      </c>
      <c r="D6" s="38" t="s">
        <v>167</v>
      </c>
      <c r="E6" s="13">
        <v>44554</v>
      </c>
      <c r="F6" s="38" t="s">
        <v>101</v>
      </c>
      <c r="G6" s="13">
        <v>44571</v>
      </c>
      <c r="H6" s="39" t="s">
        <v>129</v>
      </c>
      <c r="I6" s="16">
        <v>35</v>
      </c>
      <c r="J6" s="16">
        <v>35</v>
      </c>
      <c r="K6" s="16">
        <v>53</v>
      </c>
      <c r="L6" s="16">
        <v>7</v>
      </c>
      <c r="M6" s="42">
        <v>16.231249999999999</v>
      </c>
      <c r="N6" s="50">
        <v>16.231249999999999</v>
      </c>
      <c r="O6" s="26">
        <v>3000</v>
      </c>
      <c r="P6" s="27">
        <f>Table224578910112345678910111213141516[[#This Row],[PEMBULATAN]]*O6</f>
        <v>48693.75</v>
      </c>
    </row>
    <row r="7" spans="1:16" ht="22.5" customHeight="1" x14ac:dyDescent="0.2">
      <c r="A7" s="54" t="s">
        <v>8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6"/>
      <c r="M7" s="40">
        <f>SUBTOTAL(109,Table224578910112345678910111213141516[KG VOLUME])</f>
        <v>40.328749999999999</v>
      </c>
      <c r="N7" s="30">
        <f>SUM(N3:N6)</f>
        <v>49.231250000000003</v>
      </c>
      <c r="O7" s="57">
        <f>SUM(P3:P6)</f>
        <v>147693.75</v>
      </c>
      <c r="P7" s="58"/>
    </row>
    <row r="8" spans="1:16" ht="18" customHeight="1" x14ac:dyDescent="0.2">
      <c r="A8" s="44"/>
      <c r="B8" s="18" t="s">
        <v>14</v>
      </c>
      <c r="C8" s="17"/>
      <c r="D8" s="19" t="s">
        <v>15</v>
      </c>
      <c r="E8" s="44"/>
      <c r="F8" s="44"/>
      <c r="G8" s="44"/>
      <c r="H8" s="44"/>
      <c r="I8" s="44"/>
      <c r="J8" s="44"/>
      <c r="K8" s="44"/>
      <c r="L8" s="44"/>
      <c r="M8" s="45"/>
      <c r="N8" s="46" t="s">
        <v>21</v>
      </c>
      <c r="O8" s="47"/>
      <c r="P8" s="47">
        <f>O7*10%</f>
        <v>14769.375</v>
      </c>
    </row>
    <row r="9" spans="1:16" ht="18" customHeight="1" thickBot="1" x14ac:dyDescent="0.25">
      <c r="A9" s="44"/>
      <c r="B9" s="18"/>
      <c r="C9" s="17"/>
      <c r="D9" s="19"/>
      <c r="E9" s="44"/>
      <c r="F9" s="44"/>
      <c r="G9" s="44"/>
      <c r="H9" s="44"/>
      <c r="I9" s="44"/>
      <c r="J9" s="44"/>
      <c r="K9" s="44"/>
      <c r="L9" s="44"/>
      <c r="M9" s="45"/>
      <c r="N9" s="48" t="s">
        <v>22</v>
      </c>
      <c r="O9" s="49"/>
      <c r="P9" s="49">
        <f>O7-P8</f>
        <v>132924.375</v>
      </c>
    </row>
    <row r="10" spans="1:16" ht="18" customHeight="1" x14ac:dyDescent="0.2">
      <c r="A10" s="11"/>
      <c r="H10" s="25"/>
      <c r="N10" s="24" t="s">
        <v>9</v>
      </c>
      <c r="P10" s="31">
        <f>P9*1%</f>
        <v>1329.2437500000001</v>
      </c>
    </row>
    <row r="11" spans="1:16" ht="18" customHeight="1" thickBot="1" x14ac:dyDescent="0.25">
      <c r="A11" s="11"/>
      <c r="H11" s="25"/>
      <c r="N11" s="24" t="s">
        <v>23</v>
      </c>
      <c r="P11" s="33">
        <f>P9*2%</f>
        <v>2658.4875000000002</v>
      </c>
    </row>
    <row r="12" spans="1:16" ht="18" customHeight="1" x14ac:dyDescent="0.2">
      <c r="A12" s="11"/>
      <c r="H12" s="25"/>
      <c r="N12" s="28" t="s">
        <v>10</v>
      </c>
      <c r="O12" s="29"/>
      <c r="P12" s="32">
        <f>P9+P10-P11</f>
        <v>131595.13125000001</v>
      </c>
    </row>
    <row r="14" spans="1:16" x14ac:dyDescent="0.2">
      <c r="A14" s="11"/>
      <c r="H14" s="25"/>
      <c r="P14" s="33"/>
    </row>
    <row r="15" spans="1:16" x14ac:dyDescent="0.2">
      <c r="A15" s="11"/>
      <c r="H15" s="25"/>
      <c r="O15" s="20"/>
      <c r="P15" s="33"/>
    </row>
    <row r="16" spans="1:16" s="3" customFormat="1" x14ac:dyDescent="0.25">
      <c r="A16" s="11"/>
      <c r="B16" s="2"/>
      <c r="C16" s="2"/>
      <c r="E16" s="12"/>
      <c r="H16" s="25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25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25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25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25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25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25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25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25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25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25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25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9" priority="2"/>
  </conditionalFormatting>
  <conditionalFormatting sqref="B4">
    <cfRule type="duplicateValues" dxfId="8" priority="1"/>
  </conditionalFormatting>
  <conditionalFormatting sqref="B5:B6">
    <cfRule type="duplicateValues" dxfId="7" priority="3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6" sqref="F6"/>
    </sheetView>
  </sheetViews>
  <sheetFormatPr defaultRowHeight="15" x14ac:dyDescent="0.2"/>
  <cols>
    <col min="1" max="1" width="8" style="4" customWidth="1"/>
    <col min="2" max="2" width="19.7109375" style="2" customWidth="1"/>
    <col min="3" max="3" width="15" style="2" customWidth="1"/>
    <col min="4" max="4" width="9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21" t="s">
        <v>16</v>
      </c>
      <c r="B2" s="7" t="s">
        <v>7</v>
      </c>
      <c r="C2" s="7" t="s">
        <v>0</v>
      </c>
      <c r="D2" s="7" t="s">
        <v>1</v>
      </c>
      <c r="E2" s="22" t="s">
        <v>4</v>
      </c>
      <c r="F2" s="7" t="s">
        <v>3</v>
      </c>
      <c r="G2" s="7" t="s">
        <v>5</v>
      </c>
      <c r="H2" s="22" t="s">
        <v>2</v>
      </c>
      <c r="I2" s="7" t="s">
        <v>11</v>
      </c>
      <c r="J2" s="7" t="s">
        <v>12</v>
      </c>
      <c r="K2" s="7" t="s">
        <v>13</v>
      </c>
      <c r="L2" s="23" t="s">
        <v>17</v>
      </c>
      <c r="M2" s="23" t="s">
        <v>18</v>
      </c>
      <c r="N2" s="23" t="s">
        <v>6</v>
      </c>
      <c r="O2" s="23" t="s">
        <v>19</v>
      </c>
      <c r="P2" s="23" t="s">
        <v>20</v>
      </c>
    </row>
    <row r="3" spans="1:16" ht="26.25" customHeight="1" x14ac:dyDescent="0.2">
      <c r="A3" s="43">
        <v>402743</v>
      </c>
      <c r="B3" s="36" t="s">
        <v>155</v>
      </c>
      <c r="C3" s="9" t="s">
        <v>156</v>
      </c>
      <c r="D3" s="38" t="s">
        <v>167</v>
      </c>
      <c r="E3" s="13">
        <v>44557</v>
      </c>
      <c r="F3" s="38" t="s">
        <v>101</v>
      </c>
      <c r="G3" s="13">
        <v>44571</v>
      </c>
      <c r="H3" s="10" t="s">
        <v>129</v>
      </c>
      <c r="I3" s="1">
        <v>24</v>
      </c>
      <c r="J3" s="1">
        <v>18</v>
      </c>
      <c r="K3" s="1">
        <v>16</v>
      </c>
      <c r="L3" s="1">
        <v>1</v>
      </c>
      <c r="M3" s="41">
        <v>1.728</v>
      </c>
      <c r="N3" s="50">
        <v>1.728</v>
      </c>
      <c r="O3" s="26">
        <v>3000</v>
      </c>
      <c r="P3" s="27">
        <f>Table22457891011234567891011121314151617[[#This Row],[PEMBULATAN]]*O3</f>
        <v>5184</v>
      </c>
    </row>
    <row r="4" spans="1:16" ht="22.5" customHeight="1" x14ac:dyDescent="0.2">
      <c r="A4" s="54" t="s">
        <v>8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6"/>
      <c r="M4" s="40">
        <f>SUBTOTAL(109,Table22457891011234567891011121314151617[KG VOLUME])</f>
        <v>1.728</v>
      </c>
      <c r="N4" s="30">
        <f>SUM(N3:N3)</f>
        <v>1.728</v>
      </c>
      <c r="O4" s="57">
        <f>SUM(P3:P3)</f>
        <v>5184</v>
      </c>
      <c r="P4" s="58"/>
    </row>
    <row r="5" spans="1:16" ht="18" customHeight="1" x14ac:dyDescent="0.2">
      <c r="A5" s="44"/>
      <c r="B5" s="18" t="s">
        <v>14</v>
      </c>
      <c r="C5" s="17"/>
      <c r="D5" s="19" t="s">
        <v>15</v>
      </c>
      <c r="E5" s="44"/>
      <c r="F5" s="44"/>
      <c r="G5" s="44"/>
      <c r="H5" s="44"/>
      <c r="I5" s="44"/>
      <c r="J5" s="44"/>
      <c r="K5" s="44"/>
      <c r="L5" s="44"/>
      <c r="M5" s="45"/>
      <c r="N5" s="46" t="s">
        <v>21</v>
      </c>
      <c r="O5" s="47"/>
      <c r="P5" s="47">
        <f>O4*10%</f>
        <v>518.4</v>
      </c>
    </row>
    <row r="6" spans="1:16" ht="18" customHeight="1" thickBot="1" x14ac:dyDescent="0.25">
      <c r="A6" s="44"/>
      <c r="B6" s="18"/>
      <c r="C6" s="17"/>
      <c r="D6" s="19"/>
      <c r="E6" s="44"/>
      <c r="F6" s="44"/>
      <c r="G6" s="44"/>
      <c r="H6" s="44"/>
      <c r="I6" s="44"/>
      <c r="J6" s="44"/>
      <c r="K6" s="44"/>
      <c r="L6" s="44"/>
      <c r="M6" s="45"/>
      <c r="N6" s="48" t="s">
        <v>22</v>
      </c>
      <c r="O6" s="49"/>
      <c r="P6" s="49">
        <f>O4-P5</f>
        <v>4665.6000000000004</v>
      </c>
    </row>
    <row r="7" spans="1:16" ht="18" customHeight="1" x14ac:dyDescent="0.2">
      <c r="A7" s="11"/>
      <c r="H7" s="25"/>
      <c r="N7" s="24" t="s">
        <v>9</v>
      </c>
      <c r="P7" s="31">
        <f>P6*1%</f>
        <v>46.656000000000006</v>
      </c>
    </row>
    <row r="8" spans="1:16" ht="18" customHeight="1" thickBot="1" x14ac:dyDescent="0.25">
      <c r="A8" s="11"/>
      <c r="H8" s="25"/>
      <c r="N8" s="24" t="s">
        <v>23</v>
      </c>
      <c r="P8" s="33">
        <f>P6*2%</f>
        <v>93.312000000000012</v>
      </c>
    </row>
    <row r="9" spans="1:16" ht="18" customHeight="1" x14ac:dyDescent="0.2">
      <c r="A9" s="11"/>
      <c r="H9" s="25"/>
      <c r="N9" s="28" t="s">
        <v>10</v>
      </c>
      <c r="O9" s="29"/>
      <c r="P9" s="32">
        <f>P6+P7-P8</f>
        <v>4618.9440000000004</v>
      </c>
    </row>
    <row r="11" spans="1:16" x14ac:dyDescent="0.2">
      <c r="A11" s="11"/>
      <c r="H11" s="25"/>
      <c r="P11" s="33"/>
    </row>
    <row r="12" spans="1:16" x14ac:dyDescent="0.2">
      <c r="A12" s="11"/>
      <c r="H12" s="25"/>
      <c r="O12" s="20"/>
      <c r="P12" s="33"/>
    </row>
    <row r="13" spans="1:16" s="3" customFormat="1" x14ac:dyDescent="0.25">
      <c r="A13" s="11"/>
      <c r="B13" s="2"/>
      <c r="C13" s="2"/>
      <c r="E13" s="12"/>
      <c r="H13" s="25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25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25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25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25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25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25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25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25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25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25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25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6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M11" sqref="M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21" t="s">
        <v>16</v>
      </c>
      <c r="B2" s="7" t="s">
        <v>7</v>
      </c>
      <c r="C2" s="7" t="s">
        <v>0</v>
      </c>
      <c r="D2" s="7" t="s">
        <v>1</v>
      </c>
      <c r="E2" s="22" t="s">
        <v>4</v>
      </c>
      <c r="F2" s="7" t="s">
        <v>3</v>
      </c>
      <c r="G2" s="7" t="s">
        <v>5</v>
      </c>
      <c r="H2" s="22" t="s">
        <v>2</v>
      </c>
      <c r="I2" s="7" t="s">
        <v>11</v>
      </c>
      <c r="J2" s="7" t="s">
        <v>12</v>
      </c>
      <c r="K2" s="7" t="s">
        <v>13</v>
      </c>
      <c r="L2" s="23" t="s">
        <v>17</v>
      </c>
      <c r="M2" s="23" t="s">
        <v>18</v>
      </c>
      <c r="N2" s="23" t="s">
        <v>6</v>
      </c>
      <c r="O2" s="23" t="s">
        <v>19</v>
      </c>
      <c r="P2" s="23" t="s">
        <v>20</v>
      </c>
    </row>
    <row r="3" spans="1:16" ht="26.25" customHeight="1" x14ac:dyDescent="0.2">
      <c r="A3" s="43">
        <v>402756</v>
      </c>
      <c r="B3" s="36" t="s">
        <v>157</v>
      </c>
      <c r="C3" s="9" t="s">
        <v>158</v>
      </c>
      <c r="D3" s="38" t="s">
        <v>167</v>
      </c>
      <c r="E3" s="13">
        <v>44560</v>
      </c>
      <c r="F3" s="38" t="s">
        <v>101</v>
      </c>
      <c r="G3" s="13">
        <v>44571</v>
      </c>
      <c r="H3" s="10" t="s">
        <v>129</v>
      </c>
      <c r="I3" s="1">
        <v>34</v>
      </c>
      <c r="J3" s="1">
        <v>24</v>
      </c>
      <c r="K3" s="1">
        <v>20</v>
      </c>
      <c r="L3" s="1">
        <v>7</v>
      </c>
      <c r="M3" s="41">
        <v>4.08</v>
      </c>
      <c r="N3" s="8">
        <v>7</v>
      </c>
      <c r="O3" s="26">
        <v>3000</v>
      </c>
      <c r="P3" s="27">
        <f>Table2245789101123456789101112131415161718[[#This Row],[PEMBULATAN]]*O3</f>
        <v>21000</v>
      </c>
    </row>
    <row r="4" spans="1:16" ht="26.25" customHeight="1" x14ac:dyDescent="0.2">
      <c r="A4" s="14"/>
      <c r="B4" s="37"/>
      <c r="C4" s="9" t="s">
        <v>159</v>
      </c>
      <c r="D4" s="38" t="s">
        <v>167</v>
      </c>
      <c r="E4" s="13">
        <v>44560</v>
      </c>
      <c r="F4" s="38" t="s">
        <v>101</v>
      </c>
      <c r="G4" s="13">
        <v>44571</v>
      </c>
      <c r="H4" s="10" t="s">
        <v>129</v>
      </c>
      <c r="I4" s="1">
        <v>60</v>
      </c>
      <c r="J4" s="1">
        <v>50</v>
      </c>
      <c r="K4" s="1">
        <v>12</v>
      </c>
      <c r="L4" s="1">
        <v>10</v>
      </c>
      <c r="M4" s="41">
        <v>9</v>
      </c>
      <c r="N4" s="8">
        <v>10</v>
      </c>
      <c r="O4" s="26">
        <v>3000</v>
      </c>
      <c r="P4" s="27">
        <f>Table2245789101123456789101112131415161718[[#This Row],[PEMBULATAN]]*O4</f>
        <v>30000</v>
      </c>
    </row>
    <row r="5" spans="1:16" ht="26.25" customHeight="1" x14ac:dyDescent="0.2">
      <c r="A5" s="14"/>
      <c r="B5" s="14"/>
      <c r="C5" s="9" t="s">
        <v>160</v>
      </c>
      <c r="D5" s="38" t="s">
        <v>167</v>
      </c>
      <c r="E5" s="13">
        <v>44560</v>
      </c>
      <c r="F5" s="38" t="s">
        <v>101</v>
      </c>
      <c r="G5" s="13">
        <v>44571</v>
      </c>
      <c r="H5" s="10" t="s">
        <v>129</v>
      </c>
      <c r="I5" s="1">
        <v>56</v>
      </c>
      <c r="J5" s="1">
        <v>28</v>
      </c>
      <c r="K5" s="1">
        <v>21</v>
      </c>
      <c r="L5" s="1">
        <v>10</v>
      </c>
      <c r="M5" s="41">
        <v>8.2319999999999993</v>
      </c>
      <c r="N5" s="8">
        <v>10</v>
      </c>
      <c r="O5" s="26">
        <v>3000</v>
      </c>
      <c r="P5" s="27">
        <f>Table2245789101123456789101112131415161718[[#This Row],[PEMBULATAN]]*O5</f>
        <v>30000</v>
      </c>
    </row>
    <row r="6" spans="1:16" ht="26.25" customHeight="1" x14ac:dyDescent="0.2">
      <c r="A6" s="14"/>
      <c r="B6" s="14"/>
      <c r="C6" s="35" t="s">
        <v>161</v>
      </c>
      <c r="D6" s="38" t="s">
        <v>167</v>
      </c>
      <c r="E6" s="13">
        <v>44560</v>
      </c>
      <c r="F6" s="38" t="s">
        <v>101</v>
      </c>
      <c r="G6" s="13">
        <v>44571</v>
      </c>
      <c r="H6" s="39" t="s">
        <v>129</v>
      </c>
      <c r="I6" s="16">
        <v>34</v>
      </c>
      <c r="J6" s="16">
        <v>24</v>
      </c>
      <c r="K6" s="16">
        <v>20</v>
      </c>
      <c r="L6" s="16">
        <v>7</v>
      </c>
      <c r="M6" s="42">
        <v>4.08</v>
      </c>
      <c r="N6" s="34">
        <v>7</v>
      </c>
      <c r="O6" s="26">
        <v>3000</v>
      </c>
      <c r="P6" s="27">
        <f>Table2245789101123456789101112131415161718[[#This Row],[PEMBULATAN]]*O6</f>
        <v>21000</v>
      </c>
    </row>
    <row r="7" spans="1:16" ht="22.5" customHeight="1" x14ac:dyDescent="0.2">
      <c r="A7" s="54" t="s">
        <v>8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6"/>
      <c r="M7" s="40">
        <f>SUBTOTAL(109,Table2245789101123456789101112131415161718[KG VOLUME])</f>
        <v>25.391999999999996</v>
      </c>
      <c r="N7" s="30">
        <f>SUM(N3:N6)</f>
        <v>34</v>
      </c>
      <c r="O7" s="57">
        <f>SUM(P3:P6)</f>
        <v>102000</v>
      </c>
      <c r="P7" s="58"/>
    </row>
    <row r="8" spans="1:16" ht="18" customHeight="1" x14ac:dyDescent="0.2">
      <c r="A8" s="44"/>
      <c r="B8" s="18" t="s">
        <v>14</v>
      </c>
      <c r="C8" s="17"/>
      <c r="D8" s="19" t="s">
        <v>15</v>
      </c>
      <c r="E8" s="44"/>
      <c r="F8" s="44"/>
      <c r="G8" s="44"/>
      <c r="H8" s="44"/>
      <c r="I8" s="44"/>
      <c r="J8" s="44"/>
      <c r="K8" s="44"/>
      <c r="L8" s="44"/>
      <c r="M8" s="45"/>
      <c r="N8" s="46" t="s">
        <v>21</v>
      </c>
      <c r="O8" s="47"/>
      <c r="P8" s="47">
        <f>O7*10%</f>
        <v>10200</v>
      </c>
    </row>
    <row r="9" spans="1:16" ht="18" customHeight="1" thickBot="1" x14ac:dyDescent="0.25">
      <c r="A9" s="44"/>
      <c r="B9" s="18"/>
      <c r="C9" s="17"/>
      <c r="D9" s="19"/>
      <c r="E9" s="44"/>
      <c r="F9" s="44"/>
      <c r="G9" s="44"/>
      <c r="H9" s="44"/>
      <c r="I9" s="44"/>
      <c r="J9" s="44"/>
      <c r="K9" s="44"/>
      <c r="L9" s="44"/>
      <c r="M9" s="45"/>
      <c r="N9" s="48" t="s">
        <v>22</v>
      </c>
      <c r="O9" s="49"/>
      <c r="P9" s="49">
        <f>O7-P8</f>
        <v>91800</v>
      </c>
    </row>
    <row r="10" spans="1:16" ht="18" customHeight="1" x14ac:dyDescent="0.2">
      <c r="A10" s="11"/>
      <c r="H10" s="25"/>
      <c r="N10" s="24" t="s">
        <v>9</v>
      </c>
      <c r="P10" s="31">
        <f>P9*1%</f>
        <v>918</v>
      </c>
    </row>
    <row r="11" spans="1:16" ht="18" customHeight="1" thickBot="1" x14ac:dyDescent="0.25">
      <c r="A11" s="11"/>
      <c r="H11" s="25"/>
      <c r="N11" s="24" t="s">
        <v>23</v>
      </c>
      <c r="P11" s="33">
        <f>P9*2%</f>
        <v>1836</v>
      </c>
    </row>
    <row r="12" spans="1:16" ht="18" customHeight="1" x14ac:dyDescent="0.2">
      <c r="A12" s="11"/>
      <c r="H12" s="25"/>
      <c r="N12" s="28" t="s">
        <v>10</v>
      </c>
      <c r="O12" s="29"/>
      <c r="P12" s="32">
        <f>P9+P10-P11</f>
        <v>90882</v>
      </c>
    </row>
    <row r="14" spans="1:16" x14ac:dyDescent="0.2">
      <c r="A14" s="11"/>
      <c r="H14" s="25"/>
      <c r="P14" s="33"/>
    </row>
    <row r="15" spans="1:16" x14ac:dyDescent="0.2">
      <c r="A15" s="11"/>
      <c r="H15" s="25"/>
      <c r="O15" s="20"/>
      <c r="P15" s="33"/>
    </row>
    <row r="16" spans="1:16" s="3" customFormat="1" x14ac:dyDescent="0.25">
      <c r="A16" s="11"/>
      <c r="B16" s="2"/>
      <c r="C16" s="2"/>
      <c r="E16" s="12"/>
      <c r="H16" s="25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25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25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25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25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25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25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25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25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25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25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25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5" priority="2"/>
  </conditionalFormatting>
  <conditionalFormatting sqref="B4">
    <cfRule type="duplicateValues" dxfId="4" priority="1"/>
  </conditionalFormatting>
  <conditionalFormatting sqref="B5:B6">
    <cfRule type="duplicateValues" dxfId="3" priority="3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12" sqref="G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21" t="s">
        <v>16</v>
      </c>
      <c r="B2" s="7" t="s">
        <v>7</v>
      </c>
      <c r="C2" s="7" t="s">
        <v>0</v>
      </c>
      <c r="D2" s="7" t="s">
        <v>1</v>
      </c>
      <c r="E2" s="22" t="s">
        <v>4</v>
      </c>
      <c r="F2" s="7" t="s">
        <v>3</v>
      </c>
      <c r="G2" s="7" t="s">
        <v>5</v>
      </c>
      <c r="H2" s="22" t="s">
        <v>2</v>
      </c>
      <c r="I2" s="7" t="s">
        <v>11</v>
      </c>
      <c r="J2" s="7" t="s">
        <v>12</v>
      </c>
      <c r="K2" s="7" t="s">
        <v>13</v>
      </c>
      <c r="L2" s="23" t="s">
        <v>17</v>
      </c>
      <c r="M2" s="23" t="s">
        <v>18</v>
      </c>
      <c r="N2" s="23" t="s">
        <v>6</v>
      </c>
      <c r="O2" s="23" t="s">
        <v>19</v>
      </c>
      <c r="P2" s="23" t="s">
        <v>20</v>
      </c>
    </row>
    <row r="3" spans="1:16" ht="26.25" customHeight="1" x14ac:dyDescent="0.2">
      <c r="A3" s="43">
        <v>402760</v>
      </c>
      <c r="B3" s="36" t="s">
        <v>162</v>
      </c>
      <c r="C3" s="9" t="s">
        <v>163</v>
      </c>
      <c r="D3" s="38" t="s">
        <v>167</v>
      </c>
      <c r="E3" s="13">
        <v>44561</v>
      </c>
      <c r="F3" s="38" t="s">
        <v>101</v>
      </c>
      <c r="G3" s="13">
        <v>44571</v>
      </c>
      <c r="H3" s="10" t="s">
        <v>129</v>
      </c>
      <c r="I3" s="1">
        <v>33</v>
      </c>
      <c r="J3" s="1">
        <v>23</v>
      </c>
      <c r="K3" s="1">
        <v>18</v>
      </c>
      <c r="L3" s="1">
        <v>7</v>
      </c>
      <c r="M3" s="41">
        <v>3.4155000000000002</v>
      </c>
      <c r="N3" s="8">
        <v>7</v>
      </c>
      <c r="O3" s="26">
        <v>3000</v>
      </c>
      <c r="P3" s="27">
        <f>Table224578910112345678910111213141516171819[[#This Row],[PEMBULATAN]]*O3</f>
        <v>21000</v>
      </c>
    </row>
    <row r="4" spans="1:16" ht="26.25" customHeight="1" x14ac:dyDescent="0.2">
      <c r="A4" s="14"/>
      <c r="B4" s="37"/>
      <c r="C4" s="9" t="s">
        <v>164</v>
      </c>
      <c r="D4" s="38" t="s">
        <v>167</v>
      </c>
      <c r="E4" s="13">
        <v>44561</v>
      </c>
      <c r="F4" s="38" t="s">
        <v>101</v>
      </c>
      <c r="G4" s="13">
        <v>44571</v>
      </c>
      <c r="H4" s="10" t="s">
        <v>129</v>
      </c>
      <c r="I4" s="1">
        <v>33</v>
      </c>
      <c r="J4" s="1">
        <v>23</v>
      </c>
      <c r="K4" s="1">
        <v>18</v>
      </c>
      <c r="L4" s="1">
        <v>7</v>
      </c>
      <c r="M4" s="41">
        <v>3.4155000000000002</v>
      </c>
      <c r="N4" s="8">
        <v>7</v>
      </c>
      <c r="O4" s="26">
        <v>3000</v>
      </c>
      <c r="P4" s="27">
        <f>Table224578910112345678910111213141516171819[[#This Row],[PEMBULATAN]]*O4</f>
        <v>21000</v>
      </c>
    </row>
    <row r="5" spans="1:16" ht="26.25" customHeight="1" x14ac:dyDescent="0.2">
      <c r="A5" s="14"/>
      <c r="B5" s="14"/>
      <c r="C5" s="9" t="s">
        <v>165</v>
      </c>
      <c r="D5" s="38" t="s">
        <v>167</v>
      </c>
      <c r="E5" s="13">
        <v>44561</v>
      </c>
      <c r="F5" s="38" t="s">
        <v>101</v>
      </c>
      <c r="G5" s="13">
        <v>44571</v>
      </c>
      <c r="H5" s="10" t="s">
        <v>129</v>
      </c>
      <c r="I5" s="1">
        <v>58</v>
      </c>
      <c r="J5" s="1">
        <v>50</v>
      </c>
      <c r="K5" s="1">
        <v>10</v>
      </c>
      <c r="L5" s="1">
        <v>10</v>
      </c>
      <c r="M5" s="41">
        <v>7.25</v>
      </c>
      <c r="N5" s="8">
        <v>10</v>
      </c>
      <c r="O5" s="26">
        <v>3000</v>
      </c>
      <c r="P5" s="27">
        <f>Table224578910112345678910111213141516171819[[#This Row],[PEMBULATAN]]*O5</f>
        <v>30000</v>
      </c>
    </row>
    <row r="6" spans="1:16" ht="26.25" customHeight="1" x14ac:dyDescent="0.2">
      <c r="A6" s="14"/>
      <c r="B6" s="14"/>
      <c r="C6" s="35" t="s">
        <v>166</v>
      </c>
      <c r="D6" s="38" t="s">
        <v>167</v>
      </c>
      <c r="E6" s="13">
        <v>44561</v>
      </c>
      <c r="F6" s="38" t="s">
        <v>101</v>
      </c>
      <c r="G6" s="13">
        <v>44571</v>
      </c>
      <c r="H6" s="39" t="s">
        <v>129</v>
      </c>
      <c r="I6" s="16">
        <v>33</v>
      </c>
      <c r="J6" s="16">
        <v>23</v>
      </c>
      <c r="K6" s="16">
        <v>18</v>
      </c>
      <c r="L6" s="16">
        <v>7</v>
      </c>
      <c r="M6" s="42">
        <v>3.4155000000000002</v>
      </c>
      <c r="N6" s="34">
        <v>7</v>
      </c>
      <c r="O6" s="26">
        <v>3000</v>
      </c>
      <c r="P6" s="27">
        <f>Table224578910112345678910111213141516171819[[#This Row],[PEMBULATAN]]*O6</f>
        <v>21000</v>
      </c>
    </row>
    <row r="7" spans="1:16" ht="22.5" customHeight="1" x14ac:dyDescent="0.2">
      <c r="A7" s="54" t="s">
        <v>8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6"/>
      <c r="M7" s="40">
        <f>SUBTOTAL(109,Table224578910112345678910111213141516171819[KG VOLUME])</f>
        <v>17.496500000000001</v>
      </c>
      <c r="N7" s="30">
        <f>SUM(N3:N6)</f>
        <v>31</v>
      </c>
      <c r="O7" s="57">
        <f>SUM(P3:P6)</f>
        <v>93000</v>
      </c>
      <c r="P7" s="58"/>
    </row>
    <row r="8" spans="1:16" ht="18" customHeight="1" x14ac:dyDescent="0.2">
      <c r="A8" s="44"/>
      <c r="B8" s="18" t="s">
        <v>14</v>
      </c>
      <c r="C8" s="17"/>
      <c r="D8" s="19" t="s">
        <v>15</v>
      </c>
      <c r="E8" s="44"/>
      <c r="F8" s="44"/>
      <c r="G8" s="44"/>
      <c r="H8" s="44"/>
      <c r="I8" s="44"/>
      <c r="J8" s="44"/>
      <c r="K8" s="44"/>
      <c r="L8" s="44"/>
      <c r="M8" s="45"/>
      <c r="N8" s="46" t="s">
        <v>21</v>
      </c>
      <c r="O8" s="47"/>
      <c r="P8" s="47">
        <f>O7*10%</f>
        <v>9300</v>
      </c>
    </row>
    <row r="9" spans="1:16" ht="18" customHeight="1" thickBot="1" x14ac:dyDescent="0.25">
      <c r="A9" s="44"/>
      <c r="B9" s="18"/>
      <c r="C9" s="17"/>
      <c r="D9" s="19"/>
      <c r="E9" s="44"/>
      <c r="F9" s="44"/>
      <c r="G9" s="44"/>
      <c r="H9" s="44"/>
      <c r="I9" s="44"/>
      <c r="J9" s="44"/>
      <c r="K9" s="44"/>
      <c r="L9" s="44"/>
      <c r="M9" s="45"/>
      <c r="N9" s="48" t="s">
        <v>22</v>
      </c>
      <c r="O9" s="49"/>
      <c r="P9" s="49">
        <f>O7-P8</f>
        <v>83700</v>
      </c>
    </row>
    <row r="10" spans="1:16" ht="18" customHeight="1" x14ac:dyDescent="0.2">
      <c r="A10" s="11"/>
      <c r="H10" s="25"/>
      <c r="N10" s="24" t="s">
        <v>9</v>
      </c>
      <c r="P10" s="31">
        <f>P9*1%</f>
        <v>837</v>
      </c>
    </row>
    <row r="11" spans="1:16" ht="18" customHeight="1" thickBot="1" x14ac:dyDescent="0.25">
      <c r="A11" s="11"/>
      <c r="H11" s="25"/>
      <c r="N11" s="24" t="s">
        <v>23</v>
      </c>
      <c r="P11" s="33">
        <f>P9*2%</f>
        <v>1674</v>
      </c>
    </row>
    <row r="12" spans="1:16" ht="18" customHeight="1" x14ac:dyDescent="0.2">
      <c r="A12" s="11"/>
      <c r="H12" s="25"/>
      <c r="N12" s="28" t="s">
        <v>10</v>
      </c>
      <c r="O12" s="29"/>
      <c r="P12" s="32">
        <f>P9+P10-P11</f>
        <v>82863</v>
      </c>
    </row>
    <row r="14" spans="1:16" x14ac:dyDescent="0.2">
      <c r="A14" s="11"/>
      <c r="H14" s="25"/>
      <c r="P14" s="33"/>
    </row>
    <row r="15" spans="1:16" x14ac:dyDescent="0.2">
      <c r="A15" s="11"/>
      <c r="H15" s="25"/>
      <c r="O15" s="20"/>
      <c r="P15" s="33"/>
    </row>
    <row r="16" spans="1:16" s="3" customFormat="1" x14ac:dyDescent="0.25">
      <c r="A16" s="11"/>
      <c r="B16" s="2"/>
      <c r="C16" s="2"/>
      <c r="E16" s="12"/>
      <c r="H16" s="25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25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25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25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25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25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25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25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25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25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25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25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2" priority="2"/>
  </conditionalFormatting>
  <conditionalFormatting sqref="B4">
    <cfRule type="duplicateValues" dxfId="1" priority="1"/>
  </conditionalFormatting>
  <conditionalFormatting sqref="B5:B6">
    <cfRule type="duplicateValues" dxfId="0" priority="4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30" sqref="N3:N3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21" t="s">
        <v>16</v>
      </c>
      <c r="B2" s="7" t="s">
        <v>7</v>
      </c>
      <c r="C2" s="7" t="s">
        <v>0</v>
      </c>
      <c r="D2" s="7" t="s">
        <v>1</v>
      </c>
      <c r="E2" s="22" t="s">
        <v>4</v>
      </c>
      <c r="F2" s="7" t="s">
        <v>3</v>
      </c>
      <c r="G2" s="7" t="s">
        <v>5</v>
      </c>
      <c r="H2" s="22" t="s">
        <v>2</v>
      </c>
      <c r="I2" s="7" t="s">
        <v>11</v>
      </c>
      <c r="J2" s="7" t="s">
        <v>12</v>
      </c>
      <c r="K2" s="7" t="s">
        <v>13</v>
      </c>
      <c r="L2" s="23" t="s">
        <v>17</v>
      </c>
      <c r="M2" s="23" t="s">
        <v>18</v>
      </c>
      <c r="N2" s="23" t="s">
        <v>6</v>
      </c>
      <c r="O2" s="23" t="s">
        <v>19</v>
      </c>
      <c r="P2" s="23" t="s">
        <v>20</v>
      </c>
    </row>
    <row r="3" spans="1:16" ht="26.25" customHeight="1" x14ac:dyDescent="0.2">
      <c r="A3" s="43">
        <v>405809</v>
      </c>
      <c r="B3" s="36" t="s">
        <v>30</v>
      </c>
      <c r="C3" s="9" t="s">
        <v>31</v>
      </c>
      <c r="D3" s="38" t="s">
        <v>167</v>
      </c>
      <c r="E3" s="13">
        <v>44533</v>
      </c>
      <c r="F3" s="38" t="s">
        <v>61</v>
      </c>
      <c r="G3" s="13">
        <v>44547</v>
      </c>
      <c r="H3" s="10" t="s">
        <v>62</v>
      </c>
      <c r="I3" s="1">
        <v>70</v>
      </c>
      <c r="J3" s="1">
        <v>54</v>
      </c>
      <c r="K3" s="1">
        <v>57</v>
      </c>
      <c r="L3" s="1">
        <v>9</v>
      </c>
      <c r="M3" s="41">
        <v>53.865000000000002</v>
      </c>
      <c r="N3" s="50">
        <v>53.865000000000002</v>
      </c>
      <c r="O3" s="26">
        <v>3000</v>
      </c>
      <c r="P3" s="27">
        <f>Table2245789101123[[#This Row],[PEMBULATAN]]*O3</f>
        <v>161595</v>
      </c>
    </row>
    <row r="4" spans="1:16" ht="26.25" customHeight="1" x14ac:dyDescent="0.2">
      <c r="A4" s="14"/>
      <c r="B4" s="37"/>
      <c r="C4" s="9" t="s">
        <v>32</v>
      </c>
      <c r="D4" s="38" t="s">
        <v>167</v>
      </c>
      <c r="E4" s="13">
        <v>44533</v>
      </c>
      <c r="F4" s="38" t="s">
        <v>61</v>
      </c>
      <c r="G4" s="13">
        <v>44547</v>
      </c>
      <c r="H4" s="10" t="s">
        <v>62</v>
      </c>
      <c r="I4" s="1">
        <v>47</v>
      </c>
      <c r="J4" s="1">
        <v>47</v>
      </c>
      <c r="K4" s="1">
        <v>47</v>
      </c>
      <c r="L4" s="1">
        <v>14</v>
      </c>
      <c r="M4" s="41">
        <v>25.955749999999998</v>
      </c>
      <c r="N4" s="50">
        <v>25.955749999999998</v>
      </c>
      <c r="O4" s="26">
        <v>3000</v>
      </c>
      <c r="P4" s="27">
        <f>Table2245789101123[[#This Row],[PEMBULATAN]]*O4</f>
        <v>77867.25</v>
      </c>
    </row>
    <row r="5" spans="1:16" ht="26.25" customHeight="1" x14ac:dyDescent="0.2">
      <c r="A5" s="14"/>
      <c r="B5" s="14"/>
      <c r="C5" s="9" t="s">
        <v>33</v>
      </c>
      <c r="D5" s="38" t="s">
        <v>167</v>
      </c>
      <c r="E5" s="13">
        <v>44533</v>
      </c>
      <c r="F5" s="38" t="s">
        <v>61</v>
      </c>
      <c r="G5" s="13">
        <v>44547</v>
      </c>
      <c r="H5" s="10" t="s">
        <v>62</v>
      </c>
      <c r="I5" s="1">
        <v>70</v>
      </c>
      <c r="J5" s="1">
        <v>54</v>
      </c>
      <c r="K5" s="1">
        <v>57</v>
      </c>
      <c r="L5" s="1">
        <v>9</v>
      </c>
      <c r="M5" s="41">
        <v>53.865000000000002</v>
      </c>
      <c r="N5" s="50">
        <v>53.865000000000002</v>
      </c>
      <c r="O5" s="26">
        <v>3000</v>
      </c>
      <c r="P5" s="27">
        <f>Table2245789101123[[#This Row],[PEMBULATAN]]*O5</f>
        <v>161595</v>
      </c>
    </row>
    <row r="6" spans="1:16" ht="26.25" customHeight="1" x14ac:dyDescent="0.2">
      <c r="A6" s="14"/>
      <c r="B6" s="14"/>
      <c r="C6" s="35" t="s">
        <v>34</v>
      </c>
      <c r="D6" s="38" t="s">
        <v>167</v>
      </c>
      <c r="E6" s="13">
        <v>44533</v>
      </c>
      <c r="F6" s="38" t="s">
        <v>61</v>
      </c>
      <c r="G6" s="13">
        <v>44547</v>
      </c>
      <c r="H6" s="39" t="s">
        <v>62</v>
      </c>
      <c r="I6" s="16">
        <v>82</v>
      </c>
      <c r="J6" s="16">
        <v>45</v>
      </c>
      <c r="K6" s="16">
        <v>75</v>
      </c>
      <c r="L6" s="16">
        <v>15</v>
      </c>
      <c r="M6" s="42">
        <v>69.1875</v>
      </c>
      <c r="N6" s="50">
        <v>69.1875</v>
      </c>
      <c r="O6" s="26">
        <v>3000</v>
      </c>
      <c r="P6" s="27">
        <f>Table2245789101123[[#This Row],[PEMBULATAN]]*O6</f>
        <v>207562.5</v>
      </c>
    </row>
    <row r="7" spans="1:16" ht="26.25" customHeight="1" x14ac:dyDescent="0.2">
      <c r="A7" s="14"/>
      <c r="B7" s="14"/>
      <c r="C7" s="35" t="s">
        <v>35</v>
      </c>
      <c r="D7" s="38" t="s">
        <v>167</v>
      </c>
      <c r="E7" s="13">
        <v>44533</v>
      </c>
      <c r="F7" s="38" t="s">
        <v>61</v>
      </c>
      <c r="G7" s="13">
        <v>44547</v>
      </c>
      <c r="H7" s="39" t="s">
        <v>62</v>
      </c>
      <c r="I7" s="16">
        <v>82</v>
      </c>
      <c r="J7" s="16">
        <v>45</v>
      </c>
      <c r="K7" s="16">
        <v>75</v>
      </c>
      <c r="L7" s="16">
        <v>15</v>
      </c>
      <c r="M7" s="42">
        <v>69.1875</v>
      </c>
      <c r="N7" s="50">
        <v>69.1875</v>
      </c>
      <c r="O7" s="26">
        <v>3000</v>
      </c>
      <c r="P7" s="27">
        <f>Table2245789101123[[#This Row],[PEMBULATAN]]*O7</f>
        <v>207562.5</v>
      </c>
    </row>
    <row r="8" spans="1:16" ht="26.25" customHeight="1" x14ac:dyDescent="0.2">
      <c r="A8" s="14"/>
      <c r="B8" s="14"/>
      <c r="C8" s="35" t="s">
        <v>36</v>
      </c>
      <c r="D8" s="38" t="s">
        <v>167</v>
      </c>
      <c r="E8" s="13">
        <v>44533</v>
      </c>
      <c r="F8" s="38" t="s">
        <v>61</v>
      </c>
      <c r="G8" s="13">
        <v>44547</v>
      </c>
      <c r="H8" s="39" t="s">
        <v>62</v>
      </c>
      <c r="I8" s="16">
        <v>62</v>
      </c>
      <c r="J8" s="16">
        <v>42</v>
      </c>
      <c r="K8" s="16">
        <v>75</v>
      </c>
      <c r="L8" s="16">
        <v>31</v>
      </c>
      <c r="M8" s="42">
        <v>48.825000000000003</v>
      </c>
      <c r="N8" s="50">
        <v>48.825000000000003</v>
      </c>
      <c r="O8" s="26">
        <v>3000</v>
      </c>
      <c r="P8" s="27">
        <f>Table2245789101123[[#This Row],[PEMBULATAN]]*O8</f>
        <v>146475</v>
      </c>
    </row>
    <row r="9" spans="1:16" ht="26.25" customHeight="1" x14ac:dyDescent="0.2">
      <c r="A9" s="14"/>
      <c r="B9" s="14"/>
      <c r="C9" s="35" t="s">
        <v>37</v>
      </c>
      <c r="D9" s="38" t="s">
        <v>167</v>
      </c>
      <c r="E9" s="13">
        <v>44533</v>
      </c>
      <c r="F9" s="38" t="s">
        <v>61</v>
      </c>
      <c r="G9" s="13">
        <v>44547</v>
      </c>
      <c r="H9" s="39" t="s">
        <v>62</v>
      </c>
      <c r="I9" s="16">
        <v>62</v>
      </c>
      <c r="J9" s="16">
        <v>42</v>
      </c>
      <c r="K9" s="16">
        <v>75</v>
      </c>
      <c r="L9" s="16">
        <v>31</v>
      </c>
      <c r="M9" s="42">
        <v>48.825000000000003</v>
      </c>
      <c r="N9" s="50">
        <v>48.825000000000003</v>
      </c>
      <c r="O9" s="26">
        <v>3000</v>
      </c>
      <c r="P9" s="27">
        <f>Table2245789101123[[#This Row],[PEMBULATAN]]*O9</f>
        <v>146475</v>
      </c>
    </row>
    <row r="10" spans="1:16" ht="26.25" customHeight="1" x14ac:dyDescent="0.2">
      <c r="A10" s="14"/>
      <c r="B10" s="14"/>
      <c r="C10" s="35" t="s">
        <v>38</v>
      </c>
      <c r="D10" s="38" t="s">
        <v>167</v>
      </c>
      <c r="E10" s="13">
        <v>44533</v>
      </c>
      <c r="F10" s="38" t="s">
        <v>61</v>
      </c>
      <c r="G10" s="13">
        <v>44547</v>
      </c>
      <c r="H10" s="39" t="s">
        <v>62</v>
      </c>
      <c r="I10" s="16">
        <v>62</v>
      </c>
      <c r="J10" s="16">
        <v>42</v>
      </c>
      <c r="K10" s="16">
        <v>75</v>
      </c>
      <c r="L10" s="16">
        <v>31</v>
      </c>
      <c r="M10" s="42">
        <v>48.825000000000003</v>
      </c>
      <c r="N10" s="50">
        <v>48.825000000000003</v>
      </c>
      <c r="O10" s="26">
        <v>3000</v>
      </c>
      <c r="P10" s="27">
        <f>Table2245789101123[[#This Row],[PEMBULATAN]]*O10</f>
        <v>146475</v>
      </c>
    </row>
    <row r="11" spans="1:16" ht="26.25" customHeight="1" x14ac:dyDescent="0.2">
      <c r="A11" s="14"/>
      <c r="B11" s="14"/>
      <c r="C11" s="35" t="s">
        <v>39</v>
      </c>
      <c r="D11" s="38" t="s">
        <v>167</v>
      </c>
      <c r="E11" s="13">
        <v>44533</v>
      </c>
      <c r="F11" s="38" t="s">
        <v>61</v>
      </c>
      <c r="G11" s="13">
        <v>44547</v>
      </c>
      <c r="H11" s="39" t="s">
        <v>62</v>
      </c>
      <c r="I11" s="16">
        <v>62</v>
      </c>
      <c r="J11" s="16">
        <v>42</v>
      </c>
      <c r="K11" s="16">
        <v>75</v>
      </c>
      <c r="L11" s="16">
        <v>31</v>
      </c>
      <c r="M11" s="42">
        <v>48.825000000000003</v>
      </c>
      <c r="N11" s="50">
        <v>48.825000000000003</v>
      </c>
      <c r="O11" s="26">
        <v>3000</v>
      </c>
      <c r="P11" s="27">
        <f>Table2245789101123[[#This Row],[PEMBULATAN]]*O11</f>
        <v>146475</v>
      </c>
    </row>
    <row r="12" spans="1:16" ht="26.25" customHeight="1" x14ac:dyDescent="0.2">
      <c r="A12" s="14"/>
      <c r="B12" s="14"/>
      <c r="C12" s="35" t="s">
        <v>40</v>
      </c>
      <c r="D12" s="38" t="s">
        <v>167</v>
      </c>
      <c r="E12" s="13">
        <v>44533</v>
      </c>
      <c r="F12" s="38" t="s">
        <v>61</v>
      </c>
      <c r="G12" s="13">
        <v>44547</v>
      </c>
      <c r="H12" s="39" t="s">
        <v>62</v>
      </c>
      <c r="I12" s="16">
        <v>62</v>
      </c>
      <c r="J12" s="16">
        <v>42</v>
      </c>
      <c r="K12" s="16">
        <v>75</v>
      </c>
      <c r="L12" s="16">
        <v>31</v>
      </c>
      <c r="M12" s="42">
        <v>48.825000000000003</v>
      </c>
      <c r="N12" s="50">
        <v>48.825000000000003</v>
      </c>
      <c r="O12" s="26">
        <v>3000</v>
      </c>
      <c r="P12" s="27">
        <f>Table2245789101123[[#This Row],[PEMBULATAN]]*O12</f>
        <v>146475</v>
      </c>
    </row>
    <row r="13" spans="1:16" ht="26.25" customHeight="1" x14ac:dyDescent="0.2">
      <c r="A13" s="14"/>
      <c r="B13" s="14"/>
      <c r="C13" s="35" t="s">
        <v>41</v>
      </c>
      <c r="D13" s="38" t="s">
        <v>167</v>
      </c>
      <c r="E13" s="13">
        <v>44533</v>
      </c>
      <c r="F13" s="38" t="s">
        <v>61</v>
      </c>
      <c r="G13" s="13">
        <v>44547</v>
      </c>
      <c r="H13" s="39" t="s">
        <v>62</v>
      </c>
      <c r="I13" s="16">
        <v>62</v>
      </c>
      <c r="J13" s="16">
        <v>42</v>
      </c>
      <c r="K13" s="16">
        <v>75</v>
      </c>
      <c r="L13" s="16">
        <v>31</v>
      </c>
      <c r="M13" s="42">
        <v>48.825000000000003</v>
      </c>
      <c r="N13" s="50">
        <v>48.825000000000003</v>
      </c>
      <c r="O13" s="26">
        <v>3000</v>
      </c>
      <c r="P13" s="27">
        <f>Table2245789101123[[#This Row],[PEMBULATAN]]*O13</f>
        <v>146475</v>
      </c>
    </row>
    <row r="14" spans="1:16" ht="26.25" customHeight="1" x14ac:dyDescent="0.2">
      <c r="A14" s="14"/>
      <c r="B14" s="14"/>
      <c r="C14" s="35" t="s">
        <v>42</v>
      </c>
      <c r="D14" s="38" t="s">
        <v>167</v>
      </c>
      <c r="E14" s="13">
        <v>44533</v>
      </c>
      <c r="F14" s="38" t="s">
        <v>61</v>
      </c>
      <c r="G14" s="13">
        <v>44547</v>
      </c>
      <c r="H14" s="39" t="s">
        <v>62</v>
      </c>
      <c r="I14" s="16">
        <v>62</v>
      </c>
      <c r="J14" s="16">
        <v>42</v>
      </c>
      <c r="K14" s="16">
        <v>75</v>
      </c>
      <c r="L14" s="16">
        <v>31</v>
      </c>
      <c r="M14" s="42">
        <v>48.825000000000003</v>
      </c>
      <c r="N14" s="50">
        <v>48.825000000000003</v>
      </c>
      <c r="O14" s="26">
        <v>3000</v>
      </c>
      <c r="P14" s="27">
        <f>Table2245789101123[[#This Row],[PEMBULATAN]]*O14</f>
        <v>146475</v>
      </c>
    </row>
    <row r="15" spans="1:16" ht="26.25" customHeight="1" x14ac:dyDescent="0.2">
      <c r="A15" s="14"/>
      <c r="B15" s="14"/>
      <c r="C15" s="35" t="s">
        <v>43</v>
      </c>
      <c r="D15" s="38" t="s">
        <v>167</v>
      </c>
      <c r="E15" s="13">
        <v>44533</v>
      </c>
      <c r="F15" s="38" t="s">
        <v>61</v>
      </c>
      <c r="G15" s="13">
        <v>44547</v>
      </c>
      <c r="H15" s="39" t="s">
        <v>62</v>
      </c>
      <c r="I15" s="16">
        <v>62</v>
      </c>
      <c r="J15" s="16">
        <v>42</v>
      </c>
      <c r="K15" s="16">
        <v>75</v>
      </c>
      <c r="L15" s="16">
        <v>31</v>
      </c>
      <c r="M15" s="42">
        <v>48.825000000000003</v>
      </c>
      <c r="N15" s="50">
        <v>48.825000000000003</v>
      </c>
      <c r="O15" s="26">
        <v>3000</v>
      </c>
      <c r="P15" s="27">
        <f>Table2245789101123[[#This Row],[PEMBULATAN]]*O15</f>
        <v>146475</v>
      </c>
    </row>
    <row r="16" spans="1:16" ht="26.25" customHeight="1" x14ac:dyDescent="0.2">
      <c r="A16" s="14"/>
      <c r="B16" s="14"/>
      <c r="C16" s="35" t="s">
        <v>44</v>
      </c>
      <c r="D16" s="38" t="s">
        <v>167</v>
      </c>
      <c r="E16" s="13">
        <v>44533</v>
      </c>
      <c r="F16" s="38" t="s">
        <v>61</v>
      </c>
      <c r="G16" s="13">
        <v>44547</v>
      </c>
      <c r="H16" s="39" t="s">
        <v>62</v>
      </c>
      <c r="I16" s="16">
        <v>62</v>
      </c>
      <c r="J16" s="16">
        <v>42</v>
      </c>
      <c r="K16" s="16">
        <v>75</v>
      </c>
      <c r="L16" s="16">
        <v>31</v>
      </c>
      <c r="M16" s="42">
        <v>48.825000000000003</v>
      </c>
      <c r="N16" s="50">
        <v>48.825000000000003</v>
      </c>
      <c r="O16" s="26">
        <v>3000</v>
      </c>
      <c r="P16" s="27">
        <f>Table2245789101123[[#This Row],[PEMBULATAN]]*O16</f>
        <v>146475</v>
      </c>
    </row>
    <row r="17" spans="1:16" ht="26.25" customHeight="1" x14ac:dyDescent="0.2">
      <c r="A17" s="14"/>
      <c r="B17" s="14"/>
      <c r="C17" s="35" t="s">
        <v>45</v>
      </c>
      <c r="D17" s="38" t="s">
        <v>167</v>
      </c>
      <c r="E17" s="13">
        <v>44533</v>
      </c>
      <c r="F17" s="38" t="s">
        <v>61</v>
      </c>
      <c r="G17" s="13">
        <v>44547</v>
      </c>
      <c r="H17" s="39" t="s">
        <v>62</v>
      </c>
      <c r="I17" s="16">
        <v>62</v>
      </c>
      <c r="J17" s="16">
        <v>42</v>
      </c>
      <c r="K17" s="16">
        <v>75</v>
      </c>
      <c r="L17" s="16">
        <v>31</v>
      </c>
      <c r="M17" s="42">
        <v>48.825000000000003</v>
      </c>
      <c r="N17" s="50">
        <v>48.825000000000003</v>
      </c>
      <c r="O17" s="26">
        <v>3000</v>
      </c>
      <c r="P17" s="27">
        <f>Table2245789101123[[#This Row],[PEMBULATAN]]*O17</f>
        <v>146475</v>
      </c>
    </row>
    <row r="18" spans="1:16" ht="26.25" customHeight="1" x14ac:dyDescent="0.2">
      <c r="A18" s="14"/>
      <c r="B18" s="14"/>
      <c r="C18" s="35" t="s">
        <v>46</v>
      </c>
      <c r="D18" s="38" t="s">
        <v>167</v>
      </c>
      <c r="E18" s="13">
        <v>44533</v>
      </c>
      <c r="F18" s="38" t="s">
        <v>61</v>
      </c>
      <c r="G18" s="13">
        <v>44547</v>
      </c>
      <c r="H18" s="39" t="s">
        <v>62</v>
      </c>
      <c r="I18" s="16">
        <v>62</v>
      </c>
      <c r="J18" s="16">
        <v>42</v>
      </c>
      <c r="K18" s="16">
        <v>75</v>
      </c>
      <c r="L18" s="16">
        <v>31</v>
      </c>
      <c r="M18" s="42">
        <v>48.825000000000003</v>
      </c>
      <c r="N18" s="50">
        <v>48.825000000000003</v>
      </c>
      <c r="O18" s="26">
        <v>3000</v>
      </c>
      <c r="P18" s="27">
        <f>Table2245789101123[[#This Row],[PEMBULATAN]]*O18</f>
        <v>146475</v>
      </c>
    </row>
    <row r="19" spans="1:16" ht="26.25" customHeight="1" x14ac:dyDescent="0.2">
      <c r="A19" s="14"/>
      <c r="B19" s="14"/>
      <c r="C19" s="35" t="s">
        <v>47</v>
      </c>
      <c r="D19" s="38" t="s">
        <v>167</v>
      </c>
      <c r="E19" s="13">
        <v>44533</v>
      </c>
      <c r="F19" s="38" t="s">
        <v>61</v>
      </c>
      <c r="G19" s="13">
        <v>44547</v>
      </c>
      <c r="H19" s="39" t="s">
        <v>62</v>
      </c>
      <c r="I19" s="16">
        <v>40</v>
      </c>
      <c r="J19" s="16">
        <v>36</v>
      </c>
      <c r="K19" s="16">
        <v>15</v>
      </c>
      <c r="L19" s="16">
        <v>4</v>
      </c>
      <c r="M19" s="42">
        <v>5.4</v>
      </c>
      <c r="N19" s="50">
        <v>6</v>
      </c>
      <c r="O19" s="26">
        <v>3000</v>
      </c>
      <c r="P19" s="27">
        <f>Table2245789101123[[#This Row],[PEMBULATAN]]*O19</f>
        <v>18000</v>
      </c>
    </row>
    <row r="20" spans="1:16" ht="26.25" customHeight="1" x14ac:dyDescent="0.2">
      <c r="A20" s="14"/>
      <c r="B20" s="14"/>
      <c r="C20" s="35" t="s">
        <v>48</v>
      </c>
      <c r="D20" s="38" t="s">
        <v>167</v>
      </c>
      <c r="E20" s="13">
        <v>44533</v>
      </c>
      <c r="F20" s="38" t="s">
        <v>61</v>
      </c>
      <c r="G20" s="13">
        <v>44547</v>
      </c>
      <c r="H20" s="39" t="s">
        <v>62</v>
      </c>
      <c r="I20" s="16">
        <v>48</v>
      </c>
      <c r="J20" s="16">
        <v>43</v>
      </c>
      <c r="K20" s="16">
        <v>37</v>
      </c>
      <c r="L20" s="16">
        <v>14</v>
      </c>
      <c r="M20" s="42">
        <v>19.091999999999999</v>
      </c>
      <c r="N20" s="50">
        <v>19.091999999999999</v>
      </c>
      <c r="O20" s="26">
        <v>3000</v>
      </c>
      <c r="P20" s="27">
        <f>Table2245789101123[[#This Row],[PEMBULATAN]]*O20</f>
        <v>57275.999999999993</v>
      </c>
    </row>
    <row r="21" spans="1:16" ht="26.25" customHeight="1" x14ac:dyDescent="0.2">
      <c r="A21" s="14"/>
      <c r="B21" s="14"/>
      <c r="C21" s="35" t="s">
        <v>49</v>
      </c>
      <c r="D21" s="38" t="s">
        <v>167</v>
      </c>
      <c r="E21" s="13">
        <v>44533</v>
      </c>
      <c r="F21" s="38" t="s">
        <v>61</v>
      </c>
      <c r="G21" s="13">
        <v>44547</v>
      </c>
      <c r="H21" s="39" t="s">
        <v>62</v>
      </c>
      <c r="I21" s="16">
        <v>62</v>
      </c>
      <c r="J21" s="16">
        <v>42</v>
      </c>
      <c r="K21" s="16">
        <v>75</v>
      </c>
      <c r="L21" s="16">
        <v>31</v>
      </c>
      <c r="M21" s="42">
        <v>48.825000000000003</v>
      </c>
      <c r="N21" s="50">
        <v>48.825000000000003</v>
      </c>
      <c r="O21" s="26">
        <v>3000</v>
      </c>
      <c r="P21" s="27">
        <f>Table2245789101123[[#This Row],[PEMBULATAN]]*O21</f>
        <v>146475</v>
      </c>
    </row>
    <row r="22" spans="1:16" ht="26.25" customHeight="1" x14ac:dyDescent="0.2">
      <c r="A22" s="14"/>
      <c r="B22" s="14"/>
      <c r="C22" s="35" t="s">
        <v>50</v>
      </c>
      <c r="D22" s="38" t="s">
        <v>167</v>
      </c>
      <c r="E22" s="13">
        <v>44533</v>
      </c>
      <c r="F22" s="38" t="s">
        <v>61</v>
      </c>
      <c r="G22" s="13">
        <v>44547</v>
      </c>
      <c r="H22" s="39" t="s">
        <v>62</v>
      </c>
      <c r="I22" s="16">
        <v>62</v>
      </c>
      <c r="J22" s="16">
        <v>42</v>
      </c>
      <c r="K22" s="16">
        <v>75</v>
      </c>
      <c r="L22" s="16">
        <v>31</v>
      </c>
      <c r="M22" s="42">
        <v>48.825000000000003</v>
      </c>
      <c r="N22" s="50">
        <v>48.825000000000003</v>
      </c>
      <c r="O22" s="26">
        <v>3000</v>
      </c>
      <c r="P22" s="27">
        <f>Table2245789101123[[#This Row],[PEMBULATAN]]*O22</f>
        <v>146475</v>
      </c>
    </row>
    <row r="23" spans="1:16" ht="26.25" customHeight="1" x14ac:dyDescent="0.2">
      <c r="A23" s="14"/>
      <c r="B23" s="14"/>
      <c r="C23" s="35" t="s">
        <v>51</v>
      </c>
      <c r="D23" s="38" t="s">
        <v>167</v>
      </c>
      <c r="E23" s="13">
        <v>44533</v>
      </c>
      <c r="F23" s="38" t="s">
        <v>61</v>
      </c>
      <c r="G23" s="13">
        <v>44547</v>
      </c>
      <c r="H23" s="39" t="s">
        <v>62</v>
      </c>
      <c r="I23" s="16">
        <v>62</v>
      </c>
      <c r="J23" s="16">
        <v>42</v>
      </c>
      <c r="K23" s="16">
        <v>75</v>
      </c>
      <c r="L23" s="16">
        <v>31</v>
      </c>
      <c r="M23" s="42">
        <v>48.825000000000003</v>
      </c>
      <c r="N23" s="50">
        <v>48.825000000000003</v>
      </c>
      <c r="O23" s="26">
        <v>3000</v>
      </c>
      <c r="P23" s="27">
        <f>Table2245789101123[[#This Row],[PEMBULATAN]]*O23</f>
        <v>146475</v>
      </c>
    </row>
    <row r="24" spans="1:16" ht="26.25" customHeight="1" x14ac:dyDescent="0.2">
      <c r="A24" s="14"/>
      <c r="B24" s="14"/>
      <c r="C24" s="35" t="s">
        <v>52</v>
      </c>
      <c r="D24" s="38" t="s">
        <v>167</v>
      </c>
      <c r="E24" s="13">
        <v>44533</v>
      </c>
      <c r="F24" s="38" t="s">
        <v>61</v>
      </c>
      <c r="G24" s="13">
        <v>44547</v>
      </c>
      <c r="H24" s="39" t="s">
        <v>62</v>
      </c>
      <c r="I24" s="16">
        <v>62</v>
      </c>
      <c r="J24" s="16">
        <v>42</v>
      </c>
      <c r="K24" s="16">
        <v>75</v>
      </c>
      <c r="L24" s="16">
        <v>31</v>
      </c>
      <c r="M24" s="42">
        <v>48.825000000000003</v>
      </c>
      <c r="N24" s="50">
        <v>48.825000000000003</v>
      </c>
      <c r="O24" s="26">
        <v>3000</v>
      </c>
      <c r="P24" s="27">
        <f>Table2245789101123[[#This Row],[PEMBULATAN]]*O24</f>
        <v>146475</v>
      </c>
    </row>
    <row r="25" spans="1:16" ht="26.25" customHeight="1" x14ac:dyDescent="0.2">
      <c r="A25" s="14"/>
      <c r="B25" s="14"/>
      <c r="C25" s="35" t="s">
        <v>53</v>
      </c>
      <c r="D25" s="38" t="s">
        <v>167</v>
      </c>
      <c r="E25" s="13">
        <v>44533</v>
      </c>
      <c r="F25" s="38" t="s">
        <v>61</v>
      </c>
      <c r="G25" s="13">
        <v>44547</v>
      </c>
      <c r="H25" s="39" t="s">
        <v>62</v>
      </c>
      <c r="I25" s="16">
        <v>62</v>
      </c>
      <c r="J25" s="16">
        <v>42</v>
      </c>
      <c r="K25" s="16">
        <v>75</v>
      </c>
      <c r="L25" s="16">
        <v>31</v>
      </c>
      <c r="M25" s="42">
        <v>48.825000000000003</v>
      </c>
      <c r="N25" s="50">
        <v>48.825000000000003</v>
      </c>
      <c r="O25" s="26">
        <v>3000</v>
      </c>
      <c r="P25" s="27">
        <f>Table2245789101123[[#This Row],[PEMBULATAN]]*O25</f>
        <v>146475</v>
      </c>
    </row>
    <row r="26" spans="1:16" ht="26.25" customHeight="1" x14ac:dyDescent="0.2">
      <c r="A26" s="14"/>
      <c r="B26" s="14"/>
      <c r="C26" s="35" t="s">
        <v>54</v>
      </c>
      <c r="D26" s="38" t="s">
        <v>167</v>
      </c>
      <c r="E26" s="13">
        <v>44533</v>
      </c>
      <c r="F26" s="38" t="s">
        <v>61</v>
      </c>
      <c r="G26" s="13">
        <v>44547</v>
      </c>
      <c r="H26" s="39" t="s">
        <v>62</v>
      </c>
      <c r="I26" s="16">
        <v>40</v>
      </c>
      <c r="J26" s="16">
        <v>37</v>
      </c>
      <c r="K26" s="16">
        <v>20</v>
      </c>
      <c r="L26" s="16">
        <v>9</v>
      </c>
      <c r="M26" s="42">
        <v>7.4</v>
      </c>
      <c r="N26" s="50">
        <v>9</v>
      </c>
      <c r="O26" s="26">
        <v>3000</v>
      </c>
      <c r="P26" s="27">
        <f>Table2245789101123[[#This Row],[PEMBULATAN]]*O26</f>
        <v>27000</v>
      </c>
    </row>
    <row r="27" spans="1:16" ht="26.25" customHeight="1" x14ac:dyDescent="0.2">
      <c r="A27" s="14"/>
      <c r="B27" s="14"/>
      <c r="C27" s="35" t="s">
        <v>55</v>
      </c>
      <c r="D27" s="38" t="s">
        <v>167</v>
      </c>
      <c r="E27" s="13">
        <v>44533</v>
      </c>
      <c r="F27" s="38" t="s">
        <v>61</v>
      </c>
      <c r="G27" s="13">
        <v>44547</v>
      </c>
      <c r="H27" s="39" t="s">
        <v>62</v>
      </c>
      <c r="I27" s="16">
        <v>40</v>
      </c>
      <c r="J27" s="16">
        <v>37</v>
      </c>
      <c r="K27" s="16">
        <v>20</v>
      </c>
      <c r="L27" s="16">
        <v>9</v>
      </c>
      <c r="M27" s="42">
        <v>7.4</v>
      </c>
      <c r="N27" s="50">
        <v>9</v>
      </c>
      <c r="O27" s="26">
        <v>3000</v>
      </c>
      <c r="P27" s="27">
        <f>Table2245789101123[[#This Row],[PEMBULATAN]]*O27</f>
        <v>27000</v>
      </c>
    </row>
    <row r="28" spans="1:16" ht="26.25" customHeight="1" x14ac:dyDescent="0.2">
      <c r="A28" s="14"/>
      <c r="B28" s="51"/>
      <c r="C28" s="35" t="s">
        <v>56</v>
      </c>
      <c r="D28" s="38" t="s">
        <v>167</v>
      </c>
      <c r="E28" s="13">
        <v>44533</v>
      </c>
      <c r="F28" s="38" t="s">
        <v>61</v>
      </c>
      <c r="G28" s="13">
        <v>44547</v>
      </c>
      <c r="H28" s="39" t="s">
        <v>62</v>
      </c>
      <c r="I28" s="16">
        <v>62</v>
      </c>
      <c r="J28" s="16">
        <v>42</v>
      </c>
      <c r="K28" s="16">
        <v>75</v>
      </c>
      <c r="L28" s="16">
        <v>31</v>
      </c>
      <c r="M28" s="42">
        <v>48.825000000000003</v>
      </c>
      <c r="N28" s="50">
        <v>48.825000000000003</v>
      </c>
      <c r="O28" s="26">
        <v>3000</v>
      </c>
      <c r="P28" s="27">
        <f>Table2245789101123[[#This Row],[PEMBULATAN]]*O28</f>
        <v>146475</v>
      </c>
    </row>
    <row r="29" spans="1:16" ht="26.25" customHeight="1" x14ac:dyDescent="0.2">
      <c r="A29" s="14"/>
      <c r="B29" s="52" t="s">
        <v>57</v>
      </c>
      <c r="C29" s="35" t="s">
        <v>58</v>
      </c>
      <c r="D29" s="38" t="s">
        <v>167</v>
      </c>
      <c r="E29" s="13">
        <v>44533</v>
      </c>
      <c r="F29" s="38" t="s">
        <v>61</v>
      </c>
      <c r="G29" s="13">
        <v>44547</v>
      </c>
      <c r="H29" s="39" t="s">
        <v>62</v>
      </c>
      <c r="I29" s="16">
        <v>70</v>
      </c>
      <c r="J29" s="16">
        <v>54</v>
      </c>
      <c r="K29" s="16">
        <v>57</v>
      </c>
      <c r="L29" s="16">
        <v>9</v>
      </c>
      <c r="M29" s="42">
        <v>53.865000000000002</v>
      </c>
      <c r="N29" s="50">
        <v>53.865000000000002</v>
      </c>
      <c r="O29" s="26">
        <v>3000</v>
      </c>
      <c r="P29" s="27">
        <f>Table2245789101123[[#This Row],[PEMBULATAN]]*O29</f>
        <v>161595</v>
      </c>
    </row>
    <row r="30" spans="1:16" ht="26.25" customHeight="1" x14ac:dyDescent="0.2">
      <c r="A30" s="14"/>
      <c r="B30" s="14" t="s">
        <v>59</v>
      </c>
      <c r="C30" s="35" t="s">
        <v>60</v>
      </c>
      <c r="D30" s="38" t="s">
        <v>167</v>
      </c>
      <c r="E30" s="13">
        <v>44533</v>
      </c>
      <c r="F30" s="38" t="s">
        <v>61</v>
      </c>
      <c r="G30" s="13">
        <v>44547</v>
      </c>
      <c r="H30" s="39" t="s">
        <v>62</v>
      </c>
      <c r="I30" s="16">
        <v>35</v>
      </c>
      <c r="J30" s="16">
        <v>25</v>
      </c>
      <c r="K30" s="16">
        <v>12</v>
      </c>
      <c r="L30" s="16">
        <v>6</v>
      </c>
      <c r="M30" s="42">
        <v>2.625</v>
      </c>
      <c r="N30" s="34">
        <v>6</v>
      </c>
      <c r="O30" s="26">
        <v>3000</v>
      </c>
      <c r="P30" s="27">
        <f>Table2245789101123[[#This Row],[PEMBULATAN]]*O30</f>
        <v>18000</v>
      </c>
    </row>
    <row r="31" spans="1:16" ht="22.5" customHeight="1" x14ac:dyDescent="0.2">
      <c r="A31" s="54" t="s">
        <v>8</v>
      </c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6"/>
      <c r="M31" s="40">
        <f>SUBTOTAL(109,Table2245789101123[KG VOLUME])</f>
        <v>1197.8677500000006</v>
      </c>
      <c r="N31" s="30">
        <f>SUM(N3:N30)</f>
        <v>1205.0427500000005</v>
      </c>
      <c r="O31" s="57">
        <f>SUM(P3:P30)</f>
        <v>3615128.25</v>
      </c>
      <c r="P31" s="58"/>
    </row>
    <row r="32" spans="1:16" ht="18" customHeight="1" x14ac:dyDescent="0.2">
      <c r="A32" s="44"/>
      <c r="B32" s="18" t="s">
        <v>14</v>
      </c>
      <c r="C32" s="17"/>
      <c r="D32" s="19" t="s">
        <v>15</v>
      </c>
      <c r="E32" s="44"/>
      <c r="F32" s="44"/>
      <c r="G32" s="44"/>
      <c r="H32" s="44"/>
      <c r="I32" s="44"/>
      <c r="J32" s="44"/>
      <c r="K32" s="44"/>
      <c r="L32" s="44"/>
      <c r="M32" s="45"/>
      <c r="N32" s="46" t="s">
        <v>21</v>
      </c>
      <c r="O32" s="47"/>
      <c r="P32" s="47">
        <f>O31*10%</f>
        <v>361512.82500000001</v>
      </c>
    </row>
    <row r="33" spans="1:16" ht="18" customHeight="1" thickBot="1" x14ac:dyDescent="0.25">
      <c r="A33" s="44"/>
      <c r="B33" s="18"/>
      <c r="C33" s="17"/>
      <c r="D33" s="19"/>
      <c r="E33" s="44"/>
      <c r="F33" s="44"/>
      <c r="G33" s="44"/>
      <c r="H33" s="44"/>
      <c r="I33" s="44"/>
      <c r="J33" s="44"/>
      <c r="K33" s="44"/>
      <c r="L33" s="44"/>
      <c r="M33" s="45"/>
      <c r="N33" s="48" t="s">
        <v>22</v>
      </c>
      <c r="O33" s="49"/>
      <c r="P33" s="49">
        <f>O31-P32</f>
        <v>3253615.4249999998</v>
      </c>
    </row>
    <row r="34" spans="1:16" ht="18" customHeight="1" x14ac:dyDescent="0.2">
      <c r="A34" s="11"/>
      <c r="H34" s="25"/>
      <c r="N34" s="24" t="s">
        <v>9</v>
      </c>
      <c r="P34" s="31">
        <f>P33*1%</f>
        <v>32536.15425</v>
      </c>
    </row>
    <row r="35" spans="1:16" ht="18" customHeight="1" thickBot="1" x14ac:dyDescent="0.25">
      <c r="A35" s="11"/>
      <c r="H35" s="25"/>
      <c r="N35" s="24" t="s">
        <v>23</v>
      </c>
      <c r="P35" s="33">
        <f>P33*2%</f>
        <v>65072.308499999999</v>
      </c>
    </row>
    <row r="36" spans="1:16" ht="18" customHeight="1" x14ac:dyDescent="0.2">
      <c r="A36" s="11"/>
      <c r="H36" s="25"/>
      <c r="N36" s="28" t="s">
        <v>10</v>
      </c>
      <c r="O36" s="29"/>
      <c r="P36" s="32">
        <f>P33+P34-P35</f>
        <v>3221079.2707500001</v>
      </c>
    </row>
    <row r="38" spans="1:16" x14ac:dyDescent="0.2">
      <c r="A38" s="11"/>
      <c r="H38" s="25"/>
      <c r="P38" s="33"/>
    </row>
    <row r="39" spans="1:16" x14ac:dyDescent="0.2">
      <c r="A39" s="11"/>
      <c r="H39" s="25"/>
      <c r="O39" s="20"/>
      <c r="P39" s="33"/>
    </row>
    <row r="40" spans="1:16" s="3" customFormat="1" x14ac:dyDescent="0.25">
      <c r="A40" s="11"/>
      <c r="B40" s="2"/>
      <c r="C40" s="2"/>
      <c r="E40" s="12"/>
      <c r="H40" s="25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25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25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25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25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25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25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25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25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25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25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25"/>
      <c r="N51" s="15"/>
      <c r="O51" s="15"/>
      <c r="P51" s="15"/>
    </row>
  </sheetData>
  <mergeCells count="2">
    <mergeCell ref="A31:L31"/>
    <mergeCell ref="O31:P31"/>
  </mergeCells>
  <conditionalFormatting sqref="B3">
    <cfRule type="duplicateValues" dxfId="43" priority="2"/>
  </conditionalFormatting>
  <conditionalFormatting sqref="B4">
    <cfRule type="duplicateValues" dxfId="42" priority="1"/>
  </conditionalFormatting>
  <conditionalFormatting sqref="B5:B30">
    <cfRule type="duplicateValues" dxfId="41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3" sqref="N3:N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21" t="s">
        <v>16</v>
      </c>
      <c r="B2" s="7" t="s">
        <v>7</v>
      </c>
      <c r="C2" s="7" t="s">
        <v>0</v>
      </c>
      <c r="D2" s="7" t="s">
        <v>1</v>
      </c>
      <c r="E2" s="22" t="s">
        <v>4</v>
      </c>
      <c r="F2" s="7" t="s">
        <v>3</v>
      </c>
      <c r="G2" s="7" t="s">
        <v>5</v>
      </c>
      <c r="H2" s="22" t="s">
        <v>2</v>
      </c>
      <c r="I2" s="7" t="s">
        <v>11</v>
      </c>
      <c r="J2" s="7" t="s">
        <v>12</v>
      </c>
      <c r="K2" s="7" t="s">
        <v>13</v>
      </c>
      <c r="L2" s="23" t="s">
        <v>17</v>
      </c>
      <c r="M2" s="23" t="s">
        <v>18</v>
      </c>
      <c r="N2" s="23" t="s">
        <v>6</v>
      </c>
      <c r="O2" s="23" t="s">
        <v>19</v>
      </c>
      <c r="P2" s="23" t="s">
        <v>20</v>
      </c>
    </row>
    <row r="3" spans="1:16" ht="26.25" customHeight="1" x14ac:dyDescent="0.2">
      <c r="A3" s="43">
        <v>405815</v>
      </c>
      <c r="B3" s="36" t="s">
        <v>63</v>
      </c>
      <c r="C3" s="9" t="s">
        <v>64</v>
      </c>
      <c r="D3" s="38" t="s">
        <v>167</v>
      </c>
      <c r="E3" s="13">
        <v>44534</v>
      </c>
      <c r="F3" s="38" t="s">
        <v>61</v>
      </c>
      <c r="G3" s="13">
        <v>44547</v>
      </c>
      <c r="H3" s="10" t="s">
        <v>62</v>
      </c>
      <c r="I3" s="1">
        <v>51</v>
      </c>
      <c r="J3" s="1">
        <v>43</v>
      </c>
      <c r="K3" s="1">
        <v>12</v>
      </c>
      <c r="L3" s="1">
        <v>8</v>
      </c>
      <c r="M3" s="41">
        <v>6.5789999999999997</v>
      </c>
      <c r="N3" s="8">
        <v>8</v>
      </c>
      <c r="O3" s="26">
        <v>3000</v>
      </c>
      <c r="P3" s="27">
        <f>Table22457891011234[[#This Row],[PEMBULATAN]]*O3</f>
        <v>24000</v>
      </c>
    </row>
    <row r="4" spans="1:16" ht="26.25" customHeight="1" x14ac:dyDescent="0.2">
      <c r="A4" s="14"/>
      <c r="B4" s="37"/>
      <c r="C4" s="9" t="s">
        <v>65</v>
      </c>
      <c r="D4" s="38" t="s">
        <v>167</v>
      </c>
      <c r="E4" s="13">
        <v>44534</v>
      </c>
      <c r="F4" s="38" t="s">
        <v>61</v>
      </c>
      <c r="G4" s="13">
        <v>44547</v>
      </c>
      <c r="H4" s="10" t="s">
        <v>62</v>
      </c>
      <c r="I4" s="1">
        <v>51</v>
      </c>
      <c r="J4" s="1">
        <v>43</v>
      </c>
      <c r="K4" s="1">
        <v>12</v>
      </c>
      <c r="L4" s="1">
        <v>8</v>
      </c>
      <c r="M4" s="41">
        <v>6.5789999999999997</v>
      </c>
      <c r="N4" s="8">
        <v>8</v>
      </c>
      <c r="O4" s="26">
        <v>3000</v>
      </c>
      <c r="P4" s="27">
        <f>Table22457891011234[[#This Row],[PEMBULATAN]]*O4</f>
        <v>24000</v>
      </c>
    </row>
    <row r="5" spans="1:16" ht="26.25" customHeight="1" x14ac:dyDescent="0.2">
      <c r="A5" s="14"/>
      <c r="B5" s="14"/>
      <c r="C5" s="9" t="s">
        <v>66</v>
      </c>
      <c r="D5" s="38" t="s">
        <v>167</v>
      </c>
      <c r="E5" s="13">
        <v>44534</v>
      </c>
      <c r="F5" s="38" t="s">
        <v>61</v>
      </c>
      <c r="G5" s="13">
        <v>44547</v>
      </c>
      <c r="H5" s="10" t="s">
        <v>62</v>
      </c>
      <c r="I5" s="1">
        <v>51</v>
      </c>
      <c r="J5" s="1">
        <v>43</v>
      </c>
      <c r="K5" s="1">
        <v>12</v>
      </c>
      <c r="L5" s="1">
        <v>8</v>
      </c>
      <c r="M5" s="41">
        <v>6.5789999999999997</v>
      </c>
      <c r="N5" s="8">
        <v>8</v>
      </c>
      <c r="O5" s="26">
        <v>3000</v>
      </c>
      <c r="P5" s="27">
        <f>Table22457891011234[[#This Row],[PEMBULATAN]]*O5</f>
        <v>24000</v>
      </c>
    </row>
    <row r="6" spans="1:16" ht="26.25" customHeight="1" x14ac:dyDescent="0.2">
      <c r="A6" s="14"/>
      <c r="B6" s="14"/>
      <c r="C6" s="35" t="s">
        <v>67</v>
      </c>
      <c r="D6" s="38" t="s">
        <v>167</v>
      </c>
      <c r="E6" s="13">
        <v>44534</v>
      </c>
      <c r="F6" s="38" t="s">
        <v>61</v>
      </c>
      <c r="G6" s="13">
        <v>44547</v>
      </c>
      <c r="H6" s="39" t="s">
        <v>62</v>
      </c>
      <c r="I6" s="16">
        <v>51</v>
      </c>
      <c r="J6" s="16">
        <v>43</v>
      </c>
      <c r="K6" s="16">
        <v>12</v>
      </c>
      <c r="L6" s="16">
        <v>8</v>
      </c>
      <c r="M6" s="42">
        <v>6.5789999999999997</v>
      </c>
      <c r="N6" s="34">
        <v>8</v>
      </c>
      <c r="O6" s="26">
        <v>3000</v>
      </c>
      <c r="P6" s="27">
        <f>Table22457891011234[[#This Row],[PEMBULATAN]]*O6</f>
        <v>24000</v>
      </c>
    </row>
    <row r="7" spans="1:16" ht="26.25" customHeight="1" x14ac:dyDescent="0.2">
      <c r="A7" s="14"/>
      <c r="B7" s="14"/>
      <c r="C7" s="35" t="s">
        <v>68</v>
      </c>
      <c r="D7" s="38" t="s">
        <v>167</v>
      </c>
      <c r="E7" s="13">
        <v>44534</v>
      </c>
      <c r="F7" s="38" t="s">
        <v>61</v>
      </c>
      <c r="G7" s="13">
        <v>44547</v>
      </c>
      <c r="H7" s="39" t="s">
        <v>62</v>
      </c>
      <c r="I7" s="16">
        <v>51</v>
      </c>
      <c r="J7" s="16">
        <v>43</v>
      </c>
      <c r="K7" s="16">
        <v>12</v>
      </c>
      <c r="L7" s="16">
        <v>8</v>
      </c>
      <c r="M7" s="42">
        <v>6.5789999999999997</v>
      </c>
      <c r="N7" s="34">
        <v>8</v>
      </c>
      <c r="O7" s="26">
        <v>3000</v>
      </c>
      <c r="P7" s="27">
        <f>Table22457891011234[[#This Row],[PEMBULATAN]]*O7</f>
        <v>24000</v>
      </c>
    </row>
    <row r="8" spans="1:16" ht="22.5" customHeight="1" x14ac:dyDescent="0.2">
      <c r="A8" s="54" t="s">
        <v>8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6"/>
      <c r="M8" s="40">
        <f>SUBTOTAL(109,Table22457891011234[KG VOLUME])</f>
        <v>32.894999999999996</v>
      </c>
      <c r="N8" s="30">
        <f>SUM(N3:N7)</f>
        <v>40</v>
      </c>
      <c r="O8" s="57">
        <f>SUM(P3:P7)</f>
        <v>120000</v>
      </c>
      <c r="P8" s="58"/>
    </row>
    <row r="9" spans="1:16" ht="18" customHeight="1" x14ac:dyDescent="0.2">
      <c r="A9" s="44"/>
      <c r="B9" s="18" t="s">
        <v>14</v>
      </c>
      <c r="C9" s="17"/>
      <c r="D9" s="19" t="s">
        <v>15</v>
      </c>
      <c r="E9" s="44"/>
      <c r="F9" s="44"/>
      <c r="G9" s="44"/>
      <c r="H9" s="44"/>
      <c r="I9" s="44"/>
      <c r="J9" s="44"/>
      <c r="K9" s="44"/>
      <c r="L9" s="44"/>
      <c r="M9" s="45"/>
      <c r="N9" s="46" t="s">
        <v>21</v>
      </c>
      <c r="O9" s="47"/>
      <c r="P9" s="47">
        <f>O8*10%</f>
        <v>12000</v>
      </c>
    </row>
    <row r="10" spans="1:16" ht="18" customHeight="1" thickBot="1" x14ac:dyDescent="0.25">
      <c r="A10" s="44"/>
      <c r="B10" s="18"/>
      <c r="C10" s="17"/>
      <c r="D10" s="19"/>
      <c r="E10" s="44"/>
      <c r="F10" s="44"/>
      <c r="G10" s="44"/>
      <c r="H10" s="44"/>
      <c r="I10" s="44"/>
      <c r="J10" s="44"/>
      <c r="K10" s="44"/>
      <c r="L10" s="44"/>
      <c r="M10" s="45"/>
      <c r="N10" s="48" t="s">
        <v>22</v>
      </c>
      <c r="O10" s="49"/>
      <c r="P10" s="49">
        <f>O8-P9</f>
        <v>108000</v>
      </c>
    </row>
    <row r="11" spans="1:16" ht="18" customHeight="1" x14ac:dyDescent="0.2">
      <c r="A11" s="11"/>
      <c r="H11" s="25"/>
      <c r="N11" s="24" t="s">
        <v>9</v>
      </c>
      <c r="P11" s="31">
        <f>P10*1%</f>
        <v>1080</v>
      </c>
    </row>
    <row r="12" spans="1:16" ht="18" customHeight="1" thickBot="1" x14ac:dyDescent="0.25">
      <c r="A12" s="11"/>
      <c r="H12" s="25"/>
      <c r="N12" s="24" t="s">
        <v>23</v>
      </c>
      <c r="P12" s="33">
        <f>P10*2%</f>
        <v>2160</v>
      </c>
    </row>
    <row r="13" spans="1:16" ht="18" customHeight="1" x14ac:dyDescent="0.2">
      <c r="A13" s="11"/>
      <c r="H13" s="25"/>
      <c r="N13" s="28" t="s">
        <v>10</v>
      </c>
      <c r="O13" s="29"/>
      <c r="P13" s="32">
        <f>P10+P11-P12</f>
        <v>106920</v>
      </c>
    </row>
    <row r="15" spans="1:16" x14ac:dyDescent="0.2">
      <c r="A15" s="11"/>
      <c r="H15" s="25"/>
      <c r="P15" s="33"/>
    </row>
    <row r="16" spans="1:16" x14ac:dyDescent="0.2">
      <c r="A16" s="11"/>
      <c r="H16" s="25"/>
      <c r="O16" s="20"/>
      <c r="P16" s="33"/>
    </row>
    <row r="17" spans="1:16" s="3" customFormat="1" x14ac:dyDescent="0.25">
      <c r="A17" s="11"/>
      <c r="B17" s="2"/>
      <c r="C17" s="2"/>
      <c r="E17" s="12"/>
      <c r="H17" s="25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25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25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25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25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25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25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25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25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25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25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25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40" priority="2"/>
  </conditionalFormatting>
  <conditionalFormatting sqref="B4">
    <cfRule type="duplicateValues" dxfId="39" priority="1"/>
  </conditionalFormatting>
  <conditionalFormatting sqref="B5:B7">
    <cfRule type="duplicateValues" dxfId="38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14" sqref="G1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21" t="s">
        <v>16</v>
      </c>
      <c r="B2" s="7" t="s">
        <v>7</v>
      </c>
      <c r="C2" s="7" t="s">
        <v>0</v>
      </c>
      <c r="D2" s="7" t="s">
        <v>1</v>
      </c>
      <c r="E2" s="22" t="s">
        <v>4</v>
      </c>
      <c r="F2" s="7" t="s">
        <v>3</v>
      </c>
      <c r="G2" s="7" t="s">
        <v>5</v>
      </c>
      <c r="H2" s="22" t="s">
        <v>2</v>
      </c>
      <c r="I2" s="7" t="s">
        <v>11</v>
      </c>
      <c r="J2" s="7" t="s">
        <v>12</v>
      </c>
      <c r="K2" s="7" t="s">
        <v>13</v>
      </c>
      <c r="L2" s="23" t="s">
        <v>17</v>
      </c>
      <c r="M2" s="23" t="s">
        <v>18</v>
      </c>
      <c r="N2" s="23" t="s">
        <v>6</v>
      </c>
      <c r="O2" s="23" t="s">
        <v>19</v>
      </c>
      <c r="P2" s="23" t="s">
        <v>20</v>
      </c>
    </row>
    <row r="3" spans="1:16" ht="26.25" customHeight="1" x14ac:dyDescent="0.2">
      <c r="A3" s="43">
        <v>405821</v>
      </c>
      <c r="B3" s="36" t="s">
        <v>69</v>
      </c>
      <c r="C3" s="9" t="s">
        <v>70</v>
      </c>
      <c r="D3" s="38" t="s">
        <v>167</v>
      </c>
      <c r="E3" s="13">
        <v>44535</v>
      </c>
      <c r="F3" s="38" t="s">
        <v>61</v>
      </c>
      <c r="G3" s="13">
        <v>44547</v>
      </c>
      <c r="H3" s="10" t="s">
        <v>62</v>
      </c>
      <c r="I3" s="1">
        <v>22</v>
      </c>
      <c r="J3" s="1">
        <v>12</v>
      </c>
      <c r="K3" s="1">
        <v>15</v>
      </c>
      <c r="L3" s="1">
        <v>8</v>
      </c>
      <c r="M3" s="41">
        <v>0.99</v>
      </c>
      <c r="N3" s="8">
        <v>8</v>
      </c>
      <c r="O3" s="26">
        <v>3000</v>
      </c>
      <c r="P3" s="27">
        <f>Table224578910112345[[#This Row],[PEMBULATAN]]*O3</f>
        <v>24000</v>
      </c>
    </row>
    <row r="4" spans="1:16" ht="22.5" customHeight="1" x14ac:dyDescent="0.2">
      <c r="A4" s="54" t="s">
        <v>8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6"/>
      <c r="M4" s="40">
        <f>SUBTOTAL(109,Table224578910112345[KG VOLUME])</f>
        <v>0.99</v>
      </c>
      <c r="N4" s="30">
        <f>SUM(N3:N3)</f>
        <v>8</v>
      </c>
      <c r="O4" s="57">
        <f>SUM(P3:P3)</f>
        <v>24000</v>
      </c>
      <c r="P4" s="58"/>
    </row>
    <row r="5" spans="1:16" ht="18" customHeight="1" x14ac:dyDescent="0.2">
      <c r="A5" s="44"/>
      <c r="B5" s="18" t="s">
        <v>14</v>
      </c>
      <c r="C5" s="17"/>
      <c r="D5" s="19" t="s">
        <v>15</v>
      </c>
      <c r="E5" s="44"/>
      <c r="F5" s="44"/>
      <c r="G5" s="44"/>
      <c r="H5" s="44"/>
      <c r="I5" s="44"/>
      <c r="J5" s="44"/>
      <c r="K5" s="44"/>
      <c r="L5" s="44"/>
      <c r="M5" s="45"/>
      <c r="N5" s="46" t="s">
        <v>21</v>
      </c>
      <c r="O5" s="47"/>
      <c r="P5" s="47">
        <f>O4*10%</f>
        <v>2400</v>
      </c>
    </row>
    <row r="6" spans="1:16" ht="18" customHeight="1" thickBot="1" x14ac:dyDescent="0.25">
      <c r="A6" s="44"/>
      <c r="B6" s="18"/>
      <c r="C6" s="17"/>
      <c r="D6" s="19"/>
      <c r="E6" s="44"/>
      <c r="F6" s="44"/>
      <c r="G6" s="44"/>
      <c r="H6" s="44"/>
      <c r="I6" s="44"/>
      <c r="J6" s="44"/>
      <c r="K6" s="44"/>
      <c r="L6" s="44"/>
      <c r="M6" s="45"/>
      <c r="N6" s="48" t="s">
        <v>22</v>
      </c>
      <c r="O6" s="49"/>
      <c r="P6" s="49">
        <f>O4-P5</f>
        <v>21600</v>
      </c>
    </row>
    <row r="7" spans="1:16" ht="18" customHeight="1" x14ac:dyDescent="0.2">
      <c r="A7" s="11"/>
      <c r="H7" s="25"/>
      <c r="N7" s="24" t="s">
        <v>9</v>
      </c>
      <c r="P7" s="31">
        <f>P6*1%</f>
        <v>216</v>
      </c>
    </row>
    <row r="8" spans="1:16" ht="18" customHeight="1" thickBot="1" x14ac:dyDescent="0.25">
      <c r="A8" s="11"/>
      <c r="H8" s="25"/>
      <c r="N8" s="24" t="s">
        <v>23</v>
      </c>
      <c r="P8" s="33">
        <f>P6*2%</f>
        <v>432</v>
      </c>
    </row>
    <row r="9" spans="1:16" ht="18" customHeight="1" x14ac:dyDescent="0.2">
      <c r="A9" s="11"/>
      <c r="H9" s="25"/>
      <c r="N9" s="28" t="s">
        <v>10</v>
      </c>
      <c r="O9" s="29"/>
      <c r="P9" s="32">
        <f>P6+P7-P8</f>
        <v>21384</v>
      </c>
    </row>
    <row r="11" spans="1:16" x14ac:dyDescent="0.2">
      <c r="A11" s="11"/>
      <c r="H11" s="25"/>
      <c r="P11" s="33"/>
    </row>
    <row r="12" spans="1:16" x14ac:dyDescent="0.2">
      <c r="A12" s="11"/>
      <c r="H12" s="25"/>
      <c r="O12" s="20"/>
      <c r="P12" s="33"/>
    </row>
    <row r="13" spans="1:16" s="3" customFormat="1" x14ac:dyDescent="0.25">
      <c r="A13" s="11"/>
      <c r="B13" s="2"/>
      <c r="C13" s="2"/>
      <c r="E13" s="12"/>
      <c r="H13" s="25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25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25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25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25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25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25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25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25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25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25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25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37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10" sqref="J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21" t="s">
        <v>16</v>
      </c>
      <c r="B2" s="7" t="s">
        <v>7</v>
      </c>
      <c r="C2" s="7" t="s">
        <v>0</v>
      </c>
      <c r="D2" s="7" t="s">
        <v>1</v>
      </c>
      <c r="E2" s="22" t="s">
        <v>4</v>
      </c>
      <c r="F2" s="7" t="s">
        <v>3</v>
      </c>
      <c r="G2" s="7" t="s">
        <v>5</v>
      </c>
      <c r="H2" s="22" t="s">
        <v>2</v>
      </c>
      <c r="I2" s="7" t="s">
        <v>11</v>
      </c>
      <c r="J2" s="7" t="s">
        <v>12</v>
      </c>
      <c r="K2" s="7" t="s">
        <v>13</v>
      </c>
      <c r="L2" s="23" t="s">
        <v>17</v>
      </c>
      <c r="M2" s="23" t="s">
        <v>18</v>
      </c>
      <c r="N2" s="23" t="s">
        <v>6</v>
      </c>
      <c r="O2" s="23" t="s">
        <v>19</v>
      </c>
      <c r="P2" s="23" t="s">
        <v>20</v>
      </c>
    </row>
    <row r="3" spans="1:16" ht="26.25" customHeight="1" x14ac:dyDescent="0.2">
      <c r="A3" s="43">
        <v>405828</v>
      </c>
      <c r="B3" s="53" t="s">
        <v>71</v>
      </c>
      <c r="C3" s="9" t="s">
        <v>72</v>
      </c>
      <c r="D3" s="38" t="s">
        <v>167</v>
      </c>
      <c r="E3" s="13">
        <v>44536</v>
      </c>
      <c r="F3" s="38" t="s">
        <v>61</v>
      </c>
      <c r="G3" s="13">
        <v>44547</v>
      </c>
      <c r="H3" s="10" t="s">
        <v>62</v>
      </c>
      <c r="I3" s="1">
        <v>74</v>
      </c>
      <c r="J3" s="1">
        <v>42</v>
      </c>
      <c r="K3" s="1">
        <v>95</v>
      </c>
      <c r="L3" s="1">
        <v>15</v>
      </c>
      <c r="M3" s="41">
        <v>73.814999999999998</v>
      </c>
      <c r="N3" s="50">
        <v>73.814999999999998</v>
      </c>
      <c r="O3" s="26">
        <v>3000</v>
      </c>
      <c r="P3" s="27">
        <f>Table2245789101123456[[#This Row],[PEMBULATAN]]*O3</f>
        <v>221445</v>
      </c>
    </row>
    <row r="4" spans="1:16" ht="26.25" customHeight="1" x14ac:dyDescent="0.2">
      <c r="A4" s="14"/>
      <c r="B4" s="37" t="s">
        <v>73</v>
      </c>
      <c r="C4" s="9" t="s">
        <v>74</v>
      </c>
      <c r="D4" s="38" t="s">
        <v>167</v>
      </c>
      <c r="E4" s="13">
        <v>44536</v>
      </c>
      <c r="F4" s="38" t="s">
        <v>61</v>
      </c>
      <c r="G4" s="13">
        <v>44547</v>
      </c>
      <c r="H4" s="10" t="s">
        <v>62</v>
      </c>
      <c r="I4" s="1">
        <v>65</v>
      </c>
      <c r="J4" s="1">
        <v>55</v>
      </c>
      <c r="K4" s="1">
        <v>23</v>
      </c>
      <c r="L4" s="1">
        <v>9</v>
      </c>
      <c r="M4" s="41">
        <v>20.556249999999999</v>
      </c>
      <c r="N4" s="50">
        <v>20.556249999999999</v>
      </c>
      <c r="O4" s="26">
        <v>3000</v>
      </c>
      <c r="P4" s="27">
        <f>Table2245789101123456[[#This Row],[PEMBULATAN]]*O4</f>
        <v>61668.749999999993</v>
      </c>
    </row>
    <row r="5" spans="1:16" ht="26.25" customHeight="1" x14ac:dyDescent="0.2">
      <c r="A5" s="14"/>
      <c r="B5" s="14"/>
      <c r="C5" s="9" t="s">
        <v>75</v>
      </c>
      <c r="D5" s="38" t="s">
        <v>167</v>
      </c>
      <c r="E5" s="13">
        <v>44536</v>
      </c>
      <c r="F5" s="38" t="s">
        <v>61</v>
      </c>
      <c r="G5" s="13">
        <v>44547</v>
      </c>
      <c r="H5" s="10" t="s">
        <v>62</v>
      </c>
      <c r="I5" s="1">
        <v>65</v>
      </c>
      <c r="J5" s="1">
        <v>55</v>
      </c>
      <c r="K5" s="1">
        <v>23</v>
      </c>
      <c r="L5" s="1">
        <v>9</v>
      </c>
      <c r="M5" s="41">
        <v>20.556249999999999</v>
      </c>
      <c r="N5" s="50">
        <v>20.556249999999999</v>
      </c>
      <c r="O5" s="26">
        <v>3000</v>
      </c>
      <c r="P5" s="27">
        <f>Table2245789101123456[[#This Row],[PEMBULATAN]]*O5</f>
        <v>61668.749999999993</v>
      </c>
    </row>
    <row r="6" spans="1:16" ht="26.25" customHeight="1" x14ac:dyDescent="0.2">
      <c r="A6" s="14"/>
      <c r="B6" s="14"/>
      <c r="C6" s="35" t="s">
        <v>76</v>
      </c>
      <c r="D6" s="38" t="s">
        <v>167</v>
      </c>
      <c r="E6" s="13">
        <v>44536</v>
      </c>
      <c r="F6" s="38" t="s">
        <v>61</v>
      </c>
      <c r="G6" s="13">
        <v>44547</v>
      </c>
      <c r="H6" s="39" t="s">
        <v>62</v>
      </c>
      <c r="I6" s="16">
        <v>65</v>
      </c>
      <c r="J6" s="16">
        <v>55</v>
      </c>
      <c r="K6" s="16">
        <v>23</v>
      </c>
      <c r="L6" s="16">
        <v>9</v>
      </c>
      <c r="M6" s="42">
        <v>20.556249999999999</v>
      </c>
      <c r="N6" s="50">
        <v>20.556249999999999</v>
      </c>
      <c r="O6" s="26">
        <v>3000</v>
      </c>
      <c r="P6" s="27">
        <f>Table2245789101123456[[#This Row],[PEMBULATAN]]*O6</f>
        <v>61668.749999999993</v>
      </c>
    </row>
    <row r="7" spans="1:16" ht="22.5" customHeight="1" x14ac:dyDescent="0.2">
      <c r="A7" s="54" t="s">
        <v>8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6"/>
      <c r="M7" s="40">
        <f>SUBTOTAL(109,Table2245789101123456[KG VOLUME])</f>
        <v>135.48375000000001</v>
      </c>
      <c r="N7" s="30">
        <f>SUM(N3:N6)</f>
        <v>135.48375000000001</v>
      </c>
      <c r="O7" s="57">
        <f>SUM(P3:P6)</f>
        <v>406451.25</v>
      </c>
      <c r="P7" s="58"/>
    </row>
    <row r="8" spans="1:16" ht="18" customHeight="1" x14ac:dyDescent="0.2">
      <c r="A8" s="44"/>
      <c r="B8" s="18" t="s">
        <v>14</v>
      </c>
      <c r="C8" s="17"/>
      <c r="D8" s="19" t="s">
        <v>15</v>
      </c>
      <c r="E8" s="44"/>
      <c r="F8" s="44"/>
      <c r="G8" s="44"/>
      <c r="H8" s="44"/>
      <c r="I8" s="44"/>
      <c r="J8" s="44"/>
      <c r="K8" s="44"/>
      <c r="L8" s="44"/>
      <c r="M8" s="45"/>
      <c r="N8" s="46" t="s">
        <v>21</v>
      </c>
      <c r="O8" s="47"/>
      <c r="P8" s="47">
        <f>O7*10%</f>
        <v>40645.125</v>
      </c>
    </row>
    <row r="9" spans="1:16" ht="18" customHeight="1" thickBot="1" x14ac:dyDescent="0.25">
      <c r="A9" s="44"/>
      <c r="B9" s="18"/>
      <c r="C9" s="17"/>
      <c r="D9" s="19"/>
      <c r="E9" s="44"/>
      <c r="F9" s="44"/>
      <c r="G9" s="44"/>
      <c r="H9" s="44"/>
      <c r="I9" s="44"/>
      <c r="J9" s="44"/>
      <c r="K9" s="44"/>
      <c r="L9" s="44"/>
      <c r="M9" s="45"/>
      <c r="N9" s="48" t="s">
        <v>22</v>
      </c>
      <c r="O9" s="49"/>
      <c r="P9" s="49">
        <f>O7-P8</f>
        <v>365806.125</v>
      </c>
    </row>
    <row r="10" spans="1:16" ht="18" customHeight="1" x14ac:dyDescent="0.2">
      <c r="A10" s="11"/>
      <c r="H10" s="25"/>
      <c r="N10" s="24" t="s">
        <v>9</v>
      </c>
      <c r="P10" s="31">
        <f>P9*1%</f>
        <v>3658.0612500000002</v>
      </c>
    </row>
    <row r="11" spans="1:16" ht="18" customHeight="1" thickBot="1" x14ac:dyDescent="0.25">
      <c r="A11" s="11"/>
      <c r="H11" s="25"/>
      <c r="N11" s="24" t="s">
        <v>23</v>
      </c>
      <c r="P11" s="33">
        <f>P9*2%</f>
        <v>7316.1225000000004</v>
      </c>
    </row>
    <row r="12" spans="1:16" ht="18" customHeight="1" x14ac:dyDescent="0.2">
      <c r="A12" s="11"/>
      <c r="H12" s="25"/>
      <c r="N12" s="28" t="s">
        <v>10</v>
      </c>
      <c r="O12" s="29"/>
      <c r="P12" s="32">
        <f>P9+P10-P11</f>
        <v>362148.06375000003</v>
      </c>
    </row>
    <row r="14" spans="1:16" x14ac:dyDescent="0.2">
      <c r="A14" s="11"/>
      <c r="H14" s="25"/>
      <c r="P14" s="33"/>
    </row>
    <row r="15" spans="1:16" x14ac:dyDescent="0.2">
      <c r="A15" s="11"/>
      <c r="H15" s="25"/>
      <c r="O15" s="20"/>
      <c r="P15" s="33"/>
    </row>
    <row r="16" spans="1:16" s="3" customFormat="1" x14ac:dyDescent="0.25">
      <c r="A16" s="11"/>
      <c r="B16" s="2"/>
      <c r="C16" s="2"/>
      <c r="E16" s="12"/>
      <c r="H16" s="25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25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25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25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25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25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25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25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25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25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25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25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36" priority="2"/>
  </conditionalFormatting>
  <conditionalFormatting sqref="B4">
    <cfRule type="duplicateValues" dxfId="35" priority="1"/>
  </conditionalFormatting>
  <conditionalFormatting sqref="B5:B6">
    <cfRule type="duplicateValues" dxfId="34" priority="3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16" sqref="N3:N1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21" t="s">
        <v>16</v>
      </c>
      <c r="B2" s="7" t="s">
        <v>7</v>
      </c>
      <c r="C2" s="7" t="s">
        <v>0</v>
      </c>
      <c r="D2" s="7" t="s">
        <v>1</v>
      </c>
      <c r="E2" s="22" t="s">
        <v>4</v>
      </c>
      <c r="F2" s="7" t="s">
        <v>3</v>
      </c>
      <c r="G2" s="7" t="s">
        <v>5</v>
      </c>
      <c r="H2" s="22" t="s">
        <v>2</v>
      </c>
      <c r="I2" s="7" t="s">
        <v>11</v>
      </c>
      <c r="J2" s="7" t="s">
        <v>12</v>
      </c>
      <c r="K2" s="7" t="s">
        <v>13</v>
      </c>
      <c r="L2" s="23" t="s">
        <v>17</v>
      </c>
      <c r="M2" s="23" t="s">
        <v>18</v>
      </c>
      <c r="N2" s="23" t="s">
        <v>6</v>
      </c>
      <c r="O2" s="23" t="s">
        <v>19</v>
      </c>
      <c r="P2" s="23" t="s">
        <v>20</v>
      </c>
    </row>
    <row r="3" spans="1:16" ht="26.25" customHeight="1" x14ac:dyDescent="0.2">
      <c r="A3" s="43">
        <v>405837</v>
      </c>
      <c r="B3" s="36" t="s">
        <v>77</v>
      </c>
      <c r="C3" s="9" t="s">
        <v>78</v>
      </c>
      <c r="D3" s="38" t="s">
        <v>167</v>
      </c>
      <c r="E3" s="13">
        <v>44537</v>
      </c>
      <c r="F3" s="38" t="s">
        <v>61</v>
      </c>
      <c r="G3" s="13">
        <v>44547</v>
      </c>
      <c r="H3" s="10" t="s">
        <v>62</v>
      </c>
      <c r="I3" s="1">
        <v>72</v>
      </c>
      <c r="J3" s="1">
        <v>56</v>
      </c>
      <c r="K3" s="1">
        <v>38</v>
      </c>
      <c r="L3" s="1">
        <v>14</v>
      </c>
      <c r="M3" s="41">
        <v>38.304000000000002</v>
      </c>
      <c r="N3" s="8">
        <v>39</v>
      </c>
      <c r="O3" s="26">
        <v>3000</v>
      </c>
      <c r="P3" s="27">
        <f>Table22457891011234567[[#This Row],[PEMBULATAN]]*O3</f>
        <v>117000</v>
      </c>
    </row>
    <row r="4" spans="1:16" ht="26.25" customHeight="1" x14ac:dyDescent="0.2">
      <c r="A4" s="14"/>
      <c r="B4" s="37"/>
      <c r="C4" s="9" t="s">
        <v>79</v>
      </c>
      <c r="D4" s="38" t="s">
        <v>167</v>
      </c>
      <c r="E4" s="13">
        <v>44537</v>
      </c>
      <c r="F4" s="38" t="s">
        <v>61</v>
      </c>
      <c r="G4" s="13">
        <v>44547</v>
      </c>
      <c r="H4" s="10" t="s">
        <v>62</v>
      </c>
      <c r="I4" s="1">
        <v>68</v>
      </c>
      <c r="J4" s="1">
        <v>42</v>
      </c>
      <c r="K4" s="1">
        <v>28</v>
      </c>
      <c r="L4" s="1">
        <v>14</v>
      </c>
      <c r="M4" s="41">
        <v>19.992000000000001</v>
      </c>
      <c r="N4" s="50">
        <v>19.992000000000001</v>
      </c>
      <c r="O4" s="26">
        <v>3000</v>
      </c>
      <c r="P4" s="27">
        <f>Table22457891011234567[[#This Row],[PEMBULATAN]]*O4</f>
        <v>59976</v>
      </c>
    </row>
    <row r="5" spans="1:16" ht="26.25" customHeight="1" x14ac:dyDescent="0.2">
      <c r="A5" s="14"/>
      <c r="B5" s="14"/>
      <c r="C5" s="9" t="s">
        <v>80</v>
      </c>
      <c r="D5" s="38" t="s">
        <v>167</v>
      </c>
      <c r="E5" s="13">
        <v>44537</v>
      </c>
      <c r="F5" s="38" t="s">
        <v>61</v>
      </c>
      <c r="G5" s="13">
        <v>44547</v>
      </c>
      <c r="H5" s="10" t="s">
        <v>62</v>
      </c>
      <c r="I5" s="1">
        <v>38</v>
      </c>
      <c r="J5" s="1">
        <v>38</v>
      </c>
      <c r="K5" s="1">
        <v>46</v>
      </c>
      <c r="L5" s="1">
        <v>14</v>
      </c>
      <c r="M5" s="41">
        <v>16.606000000000002</v>
      </c>
      <c r="N5" s="50">
        <v>16.606000000000002</v>
      </c>
      <c r="O5" s="26">
        <v>3000</v>
      </c>
      <c r="P5" s="27">
        <f>Table22457891011234567[[#This Row],[PEMBULATAN]]*O5</f>
        <v>49818.000000000007</v>
      </c>
    </row>
    <row r="6" spans="1:16" ht="26.25" customHeight="1" x14ac:dyDescent="0.2">
      <c r="A6" s="14"/>
      <c r="B6" s="14"/>
      <c r="C6" s="35" t="s">
        <v>81</v>
      </c>
      <c r="D6" s="38" t="s">
        <v>167</v>
      </c>
      <c r="E6" s="13">
        <v>44537</v>
      </c>
      <c r="F6" s="38" t="s">
        <v>61</v>
      </c>
      <c r="G6" s="13">
        <v>44547</v>
      </c>
      <c r="H6" s="39" t="s">
        <v>62</v>
      </c>
      <c r="I6" s="16">
        <v>65</v>
      </c>
      <c r="J6" s="16">
        <v>46</v>
      </c>
      <c r="K6" s="16">
        <v>41</v>
      </c>
      <c r="L6" s="16">
        <v>14</v>
      </c>
      <c r="M6" s="42">
        <v>30.647500000000001</v>
      </c>
      <c r="N6" s="50">
        <v>30.647500000000001</v>
      </c>
      <c r="O6" s="26">
        <v>3000</v>
      </c>
      <c r="P6" s="27">
        <f>Table22457891011234567[[#This Row],[PEMBULATAN]]*O6</f>
        <v>91942.5</v>
      </c>
    </row>
    <row r="7" spans="1:16" ht="26.25" customHeight="1" x14ac:dyDescent="0.2">
      <c r="A7" s="14"/>
      <c r="B7" s="14"/>
      <c r="C7" s="35" t="s">
        <v>82</v>
      </c>
      <c r="D7" s="38" t="s">
        <v>167</v>
      </c>
      <c r="E7" s="13">
        <v>44537</v>
      </c>
      <c r="F7" s="38" t="s">
        <v>61</v>
      </c>
      <c r="G7" s="13">
        <v>44547</v>
      </c>
      <c r="H7" s="39" t="s">
        <v>62</v>
      </c>
      <c r="I7" s="16">
        <v>65</v>
      </c>
      <c r="J7" s="16">
        <v>46</v>
      </c>
      <c r="K7" s="16">
        <v>41</v>
      </c>
      <c r="L7" s="16">
        <v>14</v>
      </c>
      <c r="M7" s="42">
        <v>30.647500000000001</v>
      </c>
      <c r="N7" s="50">
        <v>30.647500000000001</v>
      </c>
      <c r="O7" s="26">
        <v>3000</v>
      </c>
      <c r="P7" s="27">
        <f>Table22457891011234567[[#This Row],[PEMBULATAN]]*O7</f>
        <v>91942.5</v>
      </c>
    </row>
    <row r="8" spans="1:16" ht="26.25" customHeight="1" x14ac:dyDescent="0.2">
      <c r="A8" s="14"/>
      <c r="B8" s="14"/>
      <c r="C8" s="35" t="s">
        <v>83</v>
      </c>
      <c r="D8" s="38" t="s">
        <v>167</v>
      </c>
      <c r="E8" s="13">
        <v>44537</v>
      </c>
      <c r="F8" s="38" t="s">
        <v>61</v>
      </c>
      <c r="G8" s="13">
        <v>44547</v>
      </c>
      <c r="H8" s="39" t="s">
        <v>62</v>
      </c>
      <c r="I8" s="16">
        <v>65</v>
      </c>
      <c r="J8" s="16">
        <v>46</v>
      </c>
      <c r="K8" s="16">
        <v>41</v>
      </c>
      <c r="L8" s="16">
        <v>14</v>
      </c>
      <c r="M8" s="42">
        <v>30.647500000000001</v>
      </c>
      <c r="N8" s="50">
        <v>30.647500000000001</v>
      </c>
      <c r="O8" s="26">
        <v>3000</v>
      </c>
      <c r="P8" s="27">
        <f>Table22457891011234567[[#This Row],[PEMBULATAN]]*O8</f>
        <v>91942.5</v>
      </c>
    </row>
    <row r="9" spans="1:16" ht="26.25" customHeight="1" x14ac:dyDescent="0.2">
      <c r="A9" s="14"/>
      <c r="B9" s="14"/>
      <c r="C9" s="35" t="s">
        <v>84</v>
      </c>
      <c r="D9" s="38" t="s">
        <v>167</v>
      </c>
      <c r="E9" s="13">
        <v>44537</v>
      </c>
      <c r="F9" s="38" t="s">
        <v>61</v>
      </c>
      <c r="G9" s="13">
        <v>44547</v>
      </c>
      <c r="H9" s="39" t="s">
        <v>62</v>
      </c>
      <c r="I9" s="16">
        <v>65</v>
      </c>
      <c r="J9" s="16">
        <v>46</v>
      </c>
      <c r="K9" s="16">
        <v>41</v>
      </c>
      <c r="L9" s="16">
        <v>14</v>
      </c>
      <c r="M9" s="42">
        <v>30.647500000000001</v>
      </c>
      <c r="N9" s="50">
        <v>30.647500000000001</v>
      </c>
      <c r="O9" s="26">
        <v>3000</v>
      </c>
      <c r="P9" s="27">
        <f>Table22457891011234567[[#This Row],[PEMBULATAN]]*O9</f>
        <v>91942.5</v>
      </c>
    </row>
    <row r="10" spans="1:16" ht="26.25" customHeight="1" x14ac:dyDescent="0.2">
      <c r="A10" s="14"/>
      <c r="B10" s="14"/>
      <c r="C10" s="35" t="s">
        <v>85</v>
      </c>
      <c r="D10" s="38" t="s">
        <v>167</v>
      </c>
      <c r="E10" s="13">
        <v>44537</v>
      </c>
      <c r="F10" s="38" t="s">
        <v>61</v>
      </c>
      <c r="G10" s="13">
        <v>44547</v>
      </c>
      <c r="H10" s="39" t="s">
        <v>62</v>
      </c>
      <c r="I10" s="16">
        <v>40</v>
      </c>
      <c r="J10" s="16">
        <v>40</v>
      </c>
      <c r="K10" s="16">
        <v>45</v>
      </c>
      <c r="L10" s="16">
        <v>14</v>
      </c>
      <c r="M10" s="42">
        <v>18</v>
      </c>
      <c r="N10" s="34">
        <v>18</v>
      </c>
      <c r="O10" s="26">
        <v>3000</v>
      </c>
      <c r="P10" s="27">
        <f>Table22457891011234567[[#This Row],[PEMBULATAN]]*O10</f>
        <v>54000</v>
      </c>
    </row>
    <row r="11" spans="1:16" ht="26.25" customHeight="1" x14ac:dyDescent="0.2">
      <c r="A11" s="14"/>
      <c r="B11" s="14"/>
      <c r="C11" s="35" t="s">
        <v>86</v>
      </c>
      <c r="D11" s="38" t="s">
        <v>167</v>
      </c>
      <c r="E11" s="13">
        <v>44537</v>
      </c>
      <c r="F11" s="38" t="s">
        <v>61</v>
      </c>
      <c r="G11" s="13">
        <v>44547</v>
      </c>
      <c r="H11" s="39" t="s">
        <v>62</v>
      </c>
      <c r="I11" s="16">
        <v>76</v>
      </c>
      <c r="J11" s="16">
        <v>62</v>
      </c>
      <c r="K11" s="16">
        <v>25</v>
      </c>
      <c r="L11" s="16">
        <v>16</v>
      </c>
      <c r="M11" s="42">
        <v>29.45</v>
      </c>
      <c r="N11" s="34">
        <v>30</v>
      </c>
      <c r="O11" s="26">
        <v>3000</v>
      </c>
      <c r="P11" s="27">
        <f>Table22457891011234567[[#This Row],[PEMBULATAN]]*O11</f>
        <v>90000</v>
      </c>
    </row>
    <row r="12" spans="1:16" ht="26.25" customHeight="1" x14ac:dyDescent="0.2">
      <c r="A12" s="14"/>
      <c r="B12" s="14"/>
      <c r="C12" s="35" t="s">
        <v>87</v>
      </c>
      <c r="D12" s="38" t="s">
        <v>167</v>
      </c>
      <c r="E12" s="13">
        <v>44537</v>
      </c>
      <c r="F12" s="38" t="s">
        <v>61</v>
      </c>
      <c r="G12" s="13">
        <v>44547</v>
      </c>
      <c r="H12" s="39" t="s">
        <v>62</v>
      </c>
      <c r="I12" s="16">
        <v>150</v>
      </c>
      <c r="J12" s="16">
        <v>65</v>
      </c>
      <c r="K12" s="16">
        <v>10</v>
      </c>
      <c r="L12" s="16">
        <v>18</v>
      </c>
      <c r="M12" s="42">
        <v>24.375</v>
      </c>
      <c r="N12" s="34">
        <v>25</v>
      </c>
      <c r="O12" s="26">
        <v>3000</v>
      </c>
      <c r="P12" s="27">
        <f>Table22457891011234567[[#This Row],[PEMBULATAN]]*O12</f>
        <v>75000</v>
      </c>
    </row>
    <row r="13" spans="1:16" ht="26.25" customHeight="1" x14ac:dyDescent="0.2">
      <c r="A13" s="14"/>
      <c r="B13" s="14"/>
      <c r="C13" s="35" t="s">
        <v>88</v>
      </c>
      <c r="D13" s="38" t="s">
        <v>167</v>
      </c>
      <c r="E13" s="13">
        <v>44537</v>
      </c>
      <c r="F13" s="38" t="s">
        <v>61</v>
      </c>
      <c r="G13" s="13">
        <v>44547</v>
      </c>
      <c r="H13" s="39" t="s">
        <v>62</v>
      </c>
      <c r="I13" s="16">
        <v>150</v>
      </c>
      <c r="J13" s="16">
        <v>65</v>
      </c>
      <c r="K13" s="16">
        <v>10</v>
      </c>
      <c r="L13" s="16">
        <v>18</v>
      </c>
      <c r="M13" s="42">
        <v>24.375</v>
      </c>
      <c r="N13" s="34">
        <v>25</v>
      </c>
      <c r="O13" s="26">
        <v>3000</v>
      </c>
      <c r="P13" s="27">
        <f>Table22457891011234567[[#This Row],[PEMBULATAN]]*O13</f>
        <v>75000</v>
      </c>
    </row>
    <row r="14" spans="1:16" ht="26.25" customHeight="1" x14ac:dyDescent="0.2">
      <c r="A14" s="14"/>
      <c r="B14" s="14"/>
      <c r="C14" s="35" t="s">
        <v>89</v>
      </c>
      <c r="D14" s="38" t="s">
        <v>167</v>
      </c>
      <c r="E14" s="13">
        <v>44537</v>
      </c>
      <c r="F14" s="38" t="s">
        <v>61</v>
      </c>
      <c r="G14" s="13">
        <v>44547</v>
      </c>
      <c r="H14" s="39" t="s">
        <v>62</v>
      </c>
      <c r="I14" s="16">
        <v>150</v>
      </c>
      <c r="J14" s="16">
        <v>65</v>
      </c>
      <c r="K14" s="16">
        <v>10</v>
      </c>
      <c r="L14" s="16">
        <v>18</v>
      </c>
      <c r="M14" s="42">
        <v>24.375</v>
      </c>
      <c r="N14" s="34">
        <v>25</v>
      </c>
      <c r="O14" s="26">
        <v>3000</v>
      </c>
      <c r="P14" s="27">
        <f>Table22457891011234567[[#This Row],[PEMBULATAN]]*O14</f>
        <v>75000</v>
      </c>
    </row>
    <row r="15" spans="1:16" ht="26.25" customHeight="1" x14ac:dyDescent="0.2">
      <c r="A15" s="14"/>
      <c r="B15" s="14"/>
      <c r="C15" s="35" t="s">
        <v>90</v>
      </c>
      <c r="D15" s="38" t="s">
        <v>167</v>
      </c>
      <c r="E15" s="13">
        <v>44537</v>
      </c>
      <c r="F15" s="38" t="s">
        <v>61</v>
      </c>
      <c r="G15" s="13">
        <v>44547</v>
      </c>
      <c r="H15" s="39" t="s">
        <v>62</v>
      </c>
      <c r="I15" s="16">
        <v>150</v>
      </c>
      <c r="J15" s="16">
        <v>65</v>
      </c>
      <c r="K15" s="16">
        <v>10</v>
      </c>
      <c r="L15" s="16">
        <v>18</v>
      </c>
      <c r="M15" s="42">
        <v>24.375</v>
      </c>
      <c r="N15" s="34">
        <v>25</v>
      </c>
      <c r="O15" s="26">
        <v>3000</v>
      </c>
      <c r="P15" s="27">
        <f>Table22457891011234567[[#This Row],[PEMBULATAN]]*O15</f>
        <v>75000</v>
      </c>
    </row>
    <row r="16" spans="1:16" ht="26.25" customHeight="1" x14ac:dyDescent="0.2">
      <c r="A16" s="14"/>
      <c r="B16" s="14"/>
      <c r="C16" s="35" t="s">
        <v>91</v>
      </c>
      <c r="D16" s="38" t="s">
        <v>167</v>
      </c>
      <c r="E16" s="13">
        <v>44537</v>
      </c>
      <c r="F16" s="38" t="s">
        <v>61</v>
      </c>
      <c r="G16" s="13">
        <v>44547</v>
      </c>
      <c r="H16" s="39" t="s">
        <v>62</v>
      </c>
      <c r="I16" s="16">
        <v>150</v>
      </c>
      <c r="J16" s="16">
        <v>65</v>
      </c>
      <c r="K16" s="16">
        <v>10</v>
      </c>
      <c r="L16" s="16">
        <v>18</v>
      </c>
      <c r="M16" s="42">
        <v>24.375</v>
      </c>
      <c r="N16" s="34">
        <v>25</v>
      </c>
      <c r="O16" s="26">
        <v>3000</v>
      </c>
      <c r="P16" s="27">
        <f>Table22457891011234567[[#This Row],[PEMBULATAN]]*O16</f>
        <v>75000</v>
      </c>
    </row>
    <row r="17" spans="1:16" ht="22.5" customHeight="1" x14ac:dyDescent="0.2">
      <c r="A17" s="54" t="s">
        <v>8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6"/>
      <c r="M17" s="40">
        <f>SUBTOTAL(109,Table22457891011234567[KG VOLUME])</f>
        <v>366.81700000000001</v>
      </c>
      <c r="N17" s="30">
        <f>SUM(N3:N16)</f>
        <v>371.18800000000005</v>
      </c>
      <c r="O17" s="57">
        <f>SUM(P3:P16)</f>
        <v>1113564</v>
      </c>
      <c r="P17" s="58"/>
    </row>
    <row r="18" spans="1:16" ht="18" customHeight="1" x14ac:dyDescent="0.2">
      <c r="A18" s="44"/>
      <c r="B18" s="18" t="s">
        <v>14</v>
      </c>
      <c r="C18" s="17"/>
      <c r="D18" s="19" t="s">
        <v>15</v>
      </c>
      <c r="E18" s="44"/>
      <c r="F18" s="44"/>
      <c r="G18" s="44"/>
      <c r="H18" s="44"/>
      <c r="I18" s="44"/>
      <c r="J18" s="44"/>
      <c r="K18" s="44"/>
      <c r="L18" s="44"/>
      <c r="M18" s="45"/>
      <c r="N18" s="46" t="s">
        <v>21</v>
      </c>
      <c r="O18" s="47"/>
      <c r="P18" s="47">
        <f>O17*10%</f>
        <v>111356.40000000001</v>
      </c>
    </row>
    <row r="19" spans="1:16" ht="18" customHeight="1" thickBot="1" x14ac:dyDescent="0.25">
      <c r="A19" s="44"/>
      <c r="B19" s="18"/>
      <c r="C19" s="17"/>
      <c r="D19" s="19"/>
      <c r="E19" s="44"/>
      <c r="F19" s="44"/>
      <c r="G19" s="44"/>
      <c r="H19" s="44"/>
      <c r="I19" s="44"/>
      <c r="J19" s="44"/>
      <c r="K19" s="44"/>
      <c r="L19" s="44"/>
      <c r="M19" s="45"/>
      <c r="N19" s="48" t="s">
        <v>22</v>
      </c>
      <c r="O19" s="49"/>
      <c r="P19" s="49">
        <f>O17-P18</f>
        <v>1002207.6</v>
      </c>
    </row>
    <row r="20" spans="1:16" ht="18" customHeight="1" x14ac:dyDescent="0.2">
      <c r="A20" s="11"/>
      <c r="H20" s="25"/>
      <c r="N20" s="24" t="s">
        <v>9</v>
      </c>
      <c r="P20" s="31">
        <f>P19*1%</f>
        <v>10022.075999999999</v>
      </c>
    </row>
    <row r="21" spans="1:16" ht="18" customHeight="1" thickBot="1" x14ac:dyDescent="0.25">
      <c r="A21" s="11"/>
      <c r="H21" s="25"/>
      <c r="N21" s="24" t="s">
        <v>23</v>
      </c>
      <c r="P21" s="33">
        <f>P19*2%</f>
        <v>20044.151999999998</v>
      </c>
    </row>
    <row r="22" spans="1:16" ht="18" customHeight="1" x14ac:dyDescent="0.2">
      <c r="A22" s="11"/>
      <c r="H22" s="25"/>
      <c r="N22" s="28" t="s">
        <v>10</v>
      </c>
      <c r="O22" s="29"/>
      <c r="P22" s="32">
        <f>P19+P20-P21</f>
        <v>992185.52399999998</v>
      </c>
    </row>
    <row r="24" spans="1:16" x14ac:dyDescent="0.2">
      <c r="A24" s="11"/>
      <c r="H24" s="25"/>
      <c r="P24" s="33"/>
    </row>
    <row r="25" spans="1:16" x14ac:dyDescent="0.2">
      <c r="A25" s="11"/>
      <c r="H25" s="25"/>
      <c r="O25" s="20"/>
      <c r="P25" s="33"/>
    </row>
    <row r="26" spans="1:16" s="3" customFormat="1" x14ac:dyDescent="0.25">
      <c r="A26" s="11"/>
      <c r="B26" s="2"/>
      <c r="C26" s="2"/>
      <c r="E26" s="12"/>
      <c r="H26" s="25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25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25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25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25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25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25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25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25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25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25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25"/>
      <c r="N37" s="15"/>
      <c r="O37" s="15"/>
      <c r="P37" s="15"/>
    </row>
  </sheetData>
  <mergeCells count="2">
    <mergeCell ref="A17:L17"/>
    <mergeCell ref="O17:P17"/>
  </mergeCells>
  <conditionalFormatting sqref="B3">
    <cfRule type="duplicateValues" dxfId="33" priority="2"/>
  </conditionalFormatting>
  <conditionalFormatting sqref="B4">
    <cfRule type="duplicateValues" dxfId="32" priority="1"/>
  </conditionalFormatting>
  <conditionalFormatting sqref="B5:B16">
    <cfRule type="duplicateValues" dxfId="31" priority="3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4" sqref="N3:N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21" t="s">
        <v>16</v>
      </c>
      <c r="B2" s="7" t="s">
        <v>7</v>
      </c>
      <c r="C2" s="7" t="s">
        <v>0</v>
      </c>
      <c r="D2" s="7" t="s">
        <v>1</v>
      </c>
      <c r="E2" s="22" t="s">
        <v>4</v>
      </c>
      <c r="F2" s="7" t="s">
        <v>3</v>
      </c>
      <c r="G2" s="7" t="s">
        <v>5</v>
      </c>
      <c r="H2" s="22" t="s">
        <v>2</v>
      </c>
      <c r="I2" s="7" t="s">
        <v>11</v>
      </c>
      <c r="J2" s="7" t="s">
        <v>12</v>
      </c>
      <c r="K2" s="7" t="s">
        <v>13</v>
      </c>
      <c r="L2" s="23" t="s">
        <v>17</v>
      </c>
      <c r="M2" s="23" t="s">
        <v>18</v>
      </c>
      <c r="N2" s="23" t="s">
        <v>6</v>
      </c>
      <c r="O2" s="23" t="s">
        <v>19</v>
      </c>
      <c r="P2" s="23" t="s">
        <v>20</v>
      </c>
    </row>
    <row r="3" spans="1:16" ht="26.25" customHeight="1" x14ac:dyDescent="0.2">
      <c r="A3" s="43">
        <v>405843</v>
      </c>
      <c r="B3" s="36" t="s">
        <v>92</v>
      </c>
      <c r="C3" s="9" t="s">
        <v>93</v>
      </c>
      <c r="D3" s="38" t="s">
        <v>167</v>
      </c>
      <c r="E3" s="13">
        <v>44538</v>
      </c>
      <c r="F3" s="38" t="s">
        <v>61</v>
      </c>
      <c r="G3" s="13">
        <v>44547</v>
      </c>
      <c r="H3" s="10" t="s">
        <v>62</v>
      </c>
      <c r="I3" s="1">
        <v>62</v>
      </c>
      <c r="J3" s="1">
        <v>52</v>
      </c>
      <c r="K3" s="1">
        <v>18</v>
      </c>
      <c r="L3" s="1">
        <v>17</v>
      </c>
      <c r="M3" s="41">
        <v>14.507999999999999</v>
      </c>
      <c r="N3" s="8">
        <v>17</v>
      </c>
      <c r="O3" s="26">
        <v>3000</v>
      </c>
      <c r="P3" s="27">
        <f>Table224578910112345678[[#This Row],[PEMBULATAN]]*O3</f>
        <v>51000</v>
      </c>
    </row>
    <row r="4" spans="1:16" ht="26.25" customHeight="1" x14ac:dyDescent="0.2">
      <c r="A4" s="14"/>
      <c r="B4" s="37"/>
      <c r="C4" s="9" t="s">
        <v>94</v>
      </c>
      <c r="D4" s="38" t="s">
        <v>167</v>
      </c>
      <c r="E4" s="13">
        <v>44538</v>
      </c>
      <c r="F4" s="38" t="s">
        <v>61</v>
      </c>
      <c r="G4" s="13">
        <v>44547</v>
      </c>
      <c r="H4" s="10" t="s">
        <v>62</v>
      </c>
      <c r="I4" s="1">
        <v>66</v>
      </c>
      <c r="J4" s="1">
        <v>52</v>
      </c>
      <c r="K4" s="1">
        <v>211</v>
      </c>
      <c r="L4" s="1">
        <v>25</v>
      </c>
      <c r="M4" s="41">
        <v>181.03800000000001</v>
      </c>
      <c r="N4" s="50">
        <v>181.03800000000001</v>
      </c>
      <c r="O4" s="26">
        <v>3000</v>
      </c>
      <c r="P4" s="27">
        <f>Table224578910112345678[[#This Row],[PEMBULATAN]]*O4</f>
        <v>543114</v>
      </c>
    </row>
    <row r="5" spans="1:16" ht="22.5" customHeight="1" x14ac:dyDescent="0.2">
      <c r="A5" s="54" t="s">
        <v>8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6"/>
      <c r="M5" s="40">
        <f>SUBTOTAL(109,Table224578910112345678[KG VOLUME])</f>
        <v>195.54600000000002</v>
      </c>
      <c r="N5" s="30">
        <f>SUM(N3:N4)</f>
        <v>198.03800000000001</v>
      </c>
      <c r="O5" s="57">
        <f>SUM(P3:P4)</f>
        <v>594114</v>
      </c>
      <c r="P5" s="58"/>
    </row>
    <row r="6" spans="1:16" ht="18" customHeight="1" x14ac:dyDescent="0.2">
      <c r="A6" s="44"/>
      <c r="B6" s="18" t="s">
        <v>14</v>
      </c>
      <c r="C6" s="17"/>
      <c r="D6" s="19" t="s">
        <v>15</v>
      </c>
      <c r="E6" s="44"/>
      <c r="F6" s="44"/>
      <c r="G6" s="44"/>
      <c r="H6" s="44"/>
      <c r="I6" s="44"/>
      <c r="J6" s="44"/>
      <c r="K6" s="44"/>
      <c r="L6" s="44"/>
      <c r="M6" s="45"/>
      <c r="N6" s="46" t="s">
        <v>21</v>
      </c>
      <c r="O6" s="47"/>
      <c r="P6" s="47">
        <f>O5*10%</f>
        <v>59411.4</v>
      </c>
    </row>
    <row r="7" spans="1:16" ht="18" customHeight="1" thickBot="1" x14ac:dyDescent="0.25">
      <c r="A7" s="44"/>
      <c r="B7" s="18"/>
      <c r="C7" s="17"/>
      <c r="D7" s="19"/>
      <c r="E7" s="44"/>
      <c r="F7" s="44"/>
      <c r="G7" s="44"/>
      <c r="H7" s="44"/>
      <c r="I7" s="44"/>
      <c r="J7" s="44"/>
      <c r="K7" s="44"/>
      <c r="L7" s="44"/>
      <c r="M7" s="45"/>
      <c r="N7" s="48" t="s">
        <v>22</v>
      </c>
      <c r="O7" s="49"/>
      <c r="P7" s="49">
        <f>O5-P6</f>
        <v>534702.6</v>
      </c>
    </row>
    <row r="8" spans="1:16" ht="18" customHeight="1" x14ac:dyDescent="0.2">
      <c r="A8" s="11"/>
      <c r="H8" s="25"/>
      <c r="N8" s="24" t="s">
        <v>9</v>
      </c>
      <c r="P8" s="31">
        <f>P7*1%</f>
        <v>5347.0259999999998</v>
      </c>
    </row>
    <row r="9" spans="1:16" ht="18" customHeight="1" thickBot="1" x14ac:dyDescent="0.25">
      <c r="A9" s="11"/>
      <c r="H9" s="25"/>
      <c r="N9" s="24" t="s">
        <v>23</v>
      </c>
      <c r="P9" s="33">
        <f>P7*2%</f>
        <v>10694.052</v>
      </c>
    </row>
    <row r="10" spans="1:16" ht="18" customHeight="1" x14ac:dyDescent="0.2">
      <c r="A10" s="11"/>
      <c r="H10" s="25"/>
      <c r="N10" s="28" t="s">
        <v>10</v>
      </c>
      <c r="O10" s="29"/>
      <c r="P10" s="32">
        <f>P7+P8-P9</f>
        <v>529355.57399999991</v>
      </c>
    </row>
    <row r="12" spans="1:16" x14ac:dyDescent="0.2">
      <c r="A12" s="11"/>
      <c r="H12" s="25"/>
      <c r="P12" s="33"/>
    </row>
    <row r="13" spans="1:16" x14ac:dyDescent="0.2">
      <c r="A13" s="11"/>
      <c r="H13" s="25"/>
      <c r="O13" s="20"/>
      <c r="P13" s="33"/>
    </row>
    <row r="14" spans="1:16" s="3" customFormat="1" x14ac:dyDescent="0.25">
      <c r="A14" s="11"/>
      <c r="B14" s="2"/>
      <c r="C14" s="2"/>
      <c r="E14" s="12"/>
      <c r="H14" s="25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25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25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25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25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25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25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25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25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25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25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25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30" priority="2"/>
  </conditionalFormatting>
  <conditionalFormatting sqref="B4">
    <cfRule type="duplicateValues" dxfId="29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4" sqref="N3:N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21" t="s">
        <v>16</v>
      </c>
      <c r="B2" s="7" t="s">
        <v>7</v>
      </c>
      <c r="C2" s="7" t="s">
        <v>0</v>
      </c>
      <c r="D2" s="7" t="s">
        <v>1</v>
      </c>
      <c r="E2" s="22" t="s">
        <v>4</v>
      </c>
      <c r="F2" s="7" t="s">
        <v>3</v>
      </c>
      <c r="G2" s="7" t="s">
        <v>5</v>
      </c>
      <c r="H2" s="22" t="s">
        <v>2</v>
      </c>
      <c r="I2" s="7" t="s">
        <v>11</v>
      </c>
      <c r="J2" s="7" t="s">
        <v>12</v>
      </c>
      <c r="K2" s="7" t="s">
        <v>13</v>
      </c>
      <c r="L2" s="23" t="s">
        <v>17</v>
      </c>
      <c r="M2" s="23" t="s">
        <v>18</v>
      </c>
      <c r="N2" s="23" t="s">
        <v>6</v>
      </c>
      <c r="O2" s="23" t="s">
        <v>19</v>
      </c>
      <c r="P2" s="23" t="s">
        <v>20</v>
      </c>
    </row>
    <row r="3" spans="1:16" ht="26.25" customHeight="1" x14ac:dyDescent="0.2">
      <c r="A3" s="43">
        <v>405850</v>
      </c>
      <c r="B3" s="36" t="s">
        <v>95</v>
      </c>
      <c r="C3" s="9" t="s">
        <v>96</v>
      </c>
      <c r="D3" s="38" t="s">
        <v>167</v>
      </c>
      <c r="E3" s="13">
        <v>44539</v>
      </c>
      <c r="F3" s="38" t="s">
        <v>61</v>
      </c>
      <c r="G3" s="13">
        <v>44547</v>
      </c>
      <c r="H3" s="10" t="s">
        <v>62</v>
      </c>
      <c r="I3" s="1">
        <v>102</v>
      </c>
      <c r="J3" s="1">
        <v>57</v>
      </c>
      <c r="K3" s="1">
        <v>57</v>
      </c>
      <c r="L3" s="1">
        <v>18</v>
      </c>
      <c r="M3" s="41">
        <v>82.849500000000006</v>
      </c>
      <c r="N3" s="50">
        <v>82.849500000000006</v>
      </c>
      <c r="O3" s="26">
        <v>3000</v>
      </c>
      <c r="P3" s="27">
        <f>Table2245789101123456789[[#This Row],[PEMBULATAN]]*O3</f>
        <v>248548.50000000003</v>
      </c>
    </row>
    <row r="4" spans="1:16" ht="26.25" customHeight="1" x14ac:dyDescent="0.2">
      <c r="A4" s="14"/>
      <c r="B4" s="37"/>
      <c r="C4" s="9" t="s">
        <v>97</v>
      </c>
      <c r="D4" s="38" t="s">
        <v>167</v>
      </c>
      <c r="E4" s="13">
        <v>44539</v>
      </c>
      <c r="F4" s="38" t="s">
        <v>61</v>
      </c>
      <c r="G4" s="13">
        <v>44547</v>
      </c>
      <c r="H4" s="10" t="s">
        <v>62</v>
      </c>
      <c r="I4" s="1">
        <v>102</v>
      </c>
      <c r="J4" s="1">
        <v>57</v>
      </c>
      <c r="K4" s="1">
        <v>57</v>
      </c>
      <c r="L4" s="1">
        <v>18</v>
      </c>
      <c r="M4" s="41">
        <v>82.849500000000006</v>
      </c>
      <c r="N4" s="50">
        <v>82.849500000000006</v>
      </c>
      <c r="O4" s="26">
        <v>3000</v>
      </c>
      <c r="P4" s="27">
        <f>Table2245789101123456789[[#This Row],[PEMBULATAN]]*O4</f>
        <v>248548.50000000003</v>
      </c>
    </row>
    <row r="5" spans="1:16" ht="22.5" customHeight="1" x14ac:dyDescent="0.2">
      <c r="A5" s="54" t="s">
        <v>8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6"/>
      <c r="M5" s="40">
        <f>SUBTOTAL(109,Table2245789101123456789[KG VOLUME])</f>
        <v>165.69900000000001</v>
      </c>
      <c r="N5" s="30">
        <f>SUM(N3:N4)</f>
        <v>165.69900000000001</v>
      </c>
      <c r="O5" s="57">
        <f>SUM(P3:P4)</f>
        <v>497097.00000000006</v>
      </c>
      <c r="P5" s="58"/>
    </row>
    <row r="6" spans="1:16" ht="18" customHeight="1" x14ac:dyDescent="0.2">
      <c r="A6" s="44"/>
      <c r="B6" s="18" t="s">
        <v>14</v>
      </c>
      <c r="C6" s="17"/>
      <c r="D6" s="19" t="s">
        <v>15</v>
      </c>
      <c r="E6" s="44"/>
      <c r="F6" s="44"/>
      <c r="G6" s="44"/>
      <c r="H6" s="44"/>
      <c r="I6" s="44"/>
      <c r="J6" s="44"/>
      <c r="K6" s="44"/>
      <c r="L6" s="44"/>
      <c r="M6" s="45"/>
      <c r="N6" s="46" t="s">
        <v>21</v>
      </c>
      <c r="O6" s="47"/>
      <c r="P6" s="47">
        <f>O5*10%</f>
        <v>49709.700000000012</v>
      </c>
    </row>
    <row r="7" spans="1:16" ht="18" customHeight="1" thickBot="1" x14ac:dyDescent="0.25">
      <c r="A7" s="44"/>
      <c r="B7" s="18"/>
      <c r="C7" s="17"/>
      <c r="D7" s="19"/>
      <c r="E7" s="44"/>
      <c r="F7" s="44"/>
      <c r="G7" s="44"/>
      <c r="H7" s="44"/>
      <c r="I7" s="44"/>
      <c r="J7" s="44"/>
      <c r="K7" s="44"/>
      <c r="L7" s="44"/>
      <c r="M7" s="45"/>
      <c r="N7" s="48" t="s">
        <v>22</v>
      </c>
      <c r="O7" s="49"/>
      <c r="P7" s="49">
        <f>O5-P6</f>
        <v>447387.30000000005</v>
      </c>
    </row>
    <row r="8" spans="1:16" ht="18" customHeight="1" x14ac:dyDescent="0.2">
      <c r="A8" s="11"/>
      <c r="H8" s="25"/>
      <c r="N8" s="24" t="s">
        <v>9</v>
      </c>
      <c r="P8" s="31">
        <f>P7*1%</f>
        <v>4473.8730000000005</v>
      </c>
    </row>
    <row r="9" spans="1:16" ht="18" customHeight="1" thickBot="1" x14ac:dyDescent="0.25">
      <c r="A9" s="11"/>
      <c r="H9" s="25"/>
      <c r="N9" s="24" t="s">
        <v>23</v>
      </c>
      <c r="P9" s="33">
        <f>P7*2%</f>
        <v>8947.746000000001</v>
      </c>
    </row>
    <row r="10" spans="1:16" ht="18" customHeight="1" x14ac:dyDescent="0.2">
      <c r="A10" s="11"/>
      <c r="H10" s="25"/>
      <c r="N10" s="28" t="s">
        <v>10</v>
      </c>
      <c r="O10" s="29"/>
      <c r="P10" s="32">
        <f>P7+P8-P9</f>
        <v>442913.42700000008</v>
      </c>
    </row>
    <row r="12" spans="1:16" x14ac:dyDescent="0.2">
      <c r="A12" s="11"/>
      <c r="H12" s="25"/>
      <c r="P12" s="33"/>
    </row>
    <row r="13" spans="1:16" x14ac:dyDescent="0.2">
      <c r="A13" s="11"/>
      <c r="H13" s="25"/>
      <c r="O13" s="20"/>
      <c r="P13" s="33"/>
    </row>
    <row r="14" spans="1:16" s="3" customFormat="1" x14ac:dyDescent="0.25">
      <c r="A14" s="11"/>
      <c r="B14" s="2"/>
      <c r="C14" s="2"/>
      <c r="E14" s="12"/>
      <c r="H14" s="25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25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25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25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25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25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25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25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25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25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25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25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28" priority="2"/>
  </conditionalFormatting>
  <conditionalFormatting sqref="B4">
    <cfRule type="duplicateValues" dxfId="27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L7" sqref="L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21" t="s">
        <v>16</v>
      </c>
      <c r="B2" s="7" t="s">
        <v>7</v>
      </c>
      <c r="C2" s="7" t="s">
        <v>0</v>
      </c>
      <c r="D2" s="7" t="s">
        <v>1</v>
      </c>
      <c r="E2" s="22" t="s">
        <v>4</v>
      </c>
      <c r="F2" s="7" t="s">
        <v>3</v>
      </c>
      <c r="G2" s="7" t="s">
        <v>5</v>
      </c>
      <c r="H2" s="22" t="s">
        <v>2</v>
      </c>
      <c r="I2" s="7" t="s">
        <v>11</v>
      </c>
      <c r="J2" s="7" t="s">
        <v>12</v>
      </c>
      <c r="K2" s="7" t="s">
        <v>13</v>
      </c>
      <c r="L2" s="23" t="s">
        <v>17</v>
      </c>
      <c r="M2" s="23" t="s">
        <v>18</v>
      </c>
      <c r="N2" s="23" t="s">
        <v>6</v>
      </c>
      <c r="O2" s="23" t="s">
        <v>19</v>
      </c>
      <c r="P2" s="23" t="s">
        <v>20</v>
      </c>
    </row>
    <row r="3" spans="1:16" ht="26.25" customHeight="1" x14ac:dyDescent="0.2">
      <c r="A3" s="43">
        <v>406454</v>
      </c>
      <c r="B3" s="36" t="s">
        <v>98</v>
      </c>
      <c r="C3" s="9" t="s">
        <v>99</v>
      </c>
      <c r="D3" s="38" t="s">
        <v>167</v>
      </c>
      <c r="E3" s="13">
        <v>44540</v>
      </c>
      <c r="F3" s="38" t="s">
        <v>101</v>
      </c>
      <c r="G3" s="13">
        <v>44551</v>
      </c>
      <c r="H3" s="10" t="s">
        <v>102</v>
      </c>
      <c r="I3" s="1">
        <v>70</v>
      </c>
      <c r="J3" s="1">
        <v>55</v>
      </c>
      <c r="K3" s="1">
        <v>60</v>
      </c>
      <c r="L3" s="1">
        <v>17</v>
      </c>
      <c r="M3" s="41">
        <v>57.75</v>
      </c>
      <c r="N3" s="50">
        <v>57.75</v>
      </c>
      <c r="O3" s="26">
        <v>3000</v>
      </c>
      <c r="P3" s="27">
        <f>Table224578910112345678910[[#This Row],[PEMBULATAN]]*O3</f>
        <v>173250</v>
      </c>
    </row>
    <row r="4" spans="1:16" ht="26.25" customHeight="1" x14ac:dyDescent="0.2">
      <c r="A4" s="14"/>
      <c r="B4" s="37"/>
      <c r="C4" s="9" t="s">
        <v>100</v>
      </c>
      <c r="D4" s="38" t="s">
        <v>167</v>
      </c>
      <c r="E4" s="13">
        <v>44540</v>
      </c>
      <c r="F4" s="38" t="s">
        <v>101</v>
      </c>
      <c r="G4" s="13">
        <v>44551</v>
      </c>
      <c r="H4" s="10" t="s">
        <v>102</v>
      </c>
      <c r="I4" s="1">
        <v>42</v>
      </c>
      <c r="J4" s="1">
        <v>27</v>
      </c>
      <c r="K4" s="1">
        <v>27</v>
      </c>
      <c r="L4" s="1">
        <v>17</v>
      </c>
      <c r="M4" s="41">
        <v>7.6544999999999996</v>
      </c>
      <c r="N4" s="8">
        <v>17</v>
      </c>
      <c r="O4" s="26">
        <v>3000</v>
      </c>
      <c r="P4" s="27">
        <f>Table224578910112345678910[[#This Row],[PEMBULATAN]]*O4</f>
        <v>51000</v>
      </c>
    </row>
    <row r="5" spans="1:16" ht="22.5" customHeight="1" x14ac:dyDescent="0.2">
      <c r="A5" s="54" t="s">
        <v>8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6"/>
      <c r="M5" s="40">
        <f>SUBTOTAL(109,Table224578910112345678910[KG VOLUME])</f>
        <v>65.404499999999999</v>
      </c>
      <c r="N5" s="30">
        <f>SUM(N3:N4)</f>
        <v>74.75</v>
      </c>
      <c r="O5" s="57">
        <f>SUM(P3:P4)</f>
        <v>224250</v>
      </c>
      <c r="P5" s="58"/>
    </row>
    <row r="6" spans="1:16" ht="18" customHeight="1" x14ac:dyDescent="0.2">
      <c r="A6" s="44"/>
      <c r="B6" s="18" t="s">
        <v>14</v>
      </c>
      <c r="C6" s="17"/>
      <c r="D6" s="19" t="s">
        <v>15</v>
      </c>
      <c r="E6" s="44"/>
      <c r="F6" s="44"/>
      <c r="G6" s="44"/>
      <c r="H6" s="44"/>
      <c r="I6" s="44"/>
      <c r="J6" s="44"/>
      <c r="K6" s="44"/>
      <c r="L6" s="44"/>
      <c r="M6" s="45"/>
      <c r="N6" s="46" t="s">
        <v>21</v>
      </c>
      <c r="O6" s="47"/>
      <c r="P6" s="47">
        <f>O5*10%</f>
        <v>22425</v>
      </c>
    </row>
    <row r="7" spans="1:16" ht="18" customHeight="1" thickBot="1" x14ac:dyDescent="0.25">
      <c r="A7" s="44"/>
      <c r="B7" s="18"/>
      <c r="C7" s="17"/>
      <c r="D7" s="19"/>
      <c r="E7" s="44"/>
      <c r="F7" s="44"/>
      <c r="G7" s="44"/>
      <c r="H7" s="44"/>
      <c r="I7" s="44"/>
      <c r="J7" s="44"/>
      <c r="K7" s="44"/>
      <c r="L7" s="44"/>
      <c r="M7" s="45"/>
      <c r="N7" s="48" t="s">
        <v>22</v>
      </c>
      <c r="O7" s="49"/>
      <c r="P7" s="49">
        <f>O5-P6</f>
        <v>201825</v>
      </c>
    </row>
    <row r="8" spans="1:16" ht="18" customHeight="1" x14ac:dyDescent="0.2">
      <c r="A8" s="11"/>
      <c r="H8" s="25"/>
      <c r="N8" s="24" t="s">
        <v>9</v>
      </c>
      <c r="P8" s="31">
        <f>P7*1%</f>
        <v>2018.25</v>
      </c>
    </row>
    <row r="9" spans="1:16" ht="18" customHeight="1" thickBot="1" x14ac:dyDescent="0.25">
      <c r="A9" s="11"/>
      <c r="H9" s="25"/>
      <c r="N9" s="24" t="s">
        <v>23</v>
      </c>
      <c r="P9" s="33">
        <f>P7*2%</f>
        <v>4036.5</v>
      </c>
    </row>
    <row r="10" spans="1:16" ht="18" customHeight="1" x14ac:dyDescent="0.2">
      <c r="A10" s="11"/>
      <c r="H10" s="25"/>
      <c r="N10" s="28" t="s">
        <v>10</v>
      </c>
      <c r="O10" s="29"/>
      <c r="P10" s="32">
        <f>P7+P8-P9</f>
        <v>199806.75</v>
      </c>
    </row>
    <row r="12" spans="1:16" x14ac:dyDescent="0.2">
      <c r="A12" s="11"/>
      <c r="H12" s="25"/>
      <c r="P12" s="33"/>
    </row>
    <row r="13" spans="1:16" x14ac:dyDescent="0.2">
      <c r="A13" s="11"/>
      <c r="H13" s="25"/>
      <c r="O13" s="20"/>
      <c r="P13" s="33"/>
    </row>
    <row r="14" spans="1:16" s="3" customFormat="1" x14ac:dyDescent="0.25">
      <c r="A14" s="11"/>
      <c r="B14" s="2"/>
      <c r="C14" s="2"/>
      <c r="E14" s="12"/>
      <c r="H14" s="25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25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25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25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25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25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25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25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25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25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25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25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26" priority="2"/>
  </conditionalFormatting>
  <conditionalFormatting sqref="B4">
    <cfRule type="duplicateValues" dxfId="2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403746</vt:lpstr>
      <vt:lpstr>405809</vt:lpstr>
      <vt:lpstr>405815</vt:lpstr>
      <vt:lpstr>405821</vt:lpstr>
      <vt:lpstr>405828</vt:lpstr>
      <vt:lpstr>405837</vt:lpstr>
      <vt:lpstr>405843</vt:lpstr>
      <vt:lpstr>405850</vt:lpstr>
      <vt:lpstr>406454</vt:lpstr>
      <vt:lpstr>406463</vt:lpstr>
      <vt:lpstr>402669</vt:lpstr>
      <vt:lpstr>402678</vt:lpstr>
      <vt:lpstr>402904</vt:lpstr>
      <vt:lpstr>402717</vt:lpstr>
      <vt:lpstr>402728</vt:lpstr>
      <vt:lpstr>402743</vt:lpstr>
      <vt:lpstr>402756</vt:lpstr>
      <vt:lpstr>402760</vt:lpstr>
      <vt:lpstr>'402669'!Print_Titles</vt:lpstr>
      <vt:lpstr>'402678'!Print_Titles</vt:lpstr>
      <vt:lpstr>'402717'!Print_Titles</vt:lpstr>
      <vt:lpstr>'402728'!Print_Titles</vt:lpstr>
      <vt:lpstr>'402743'!Print_Titles</vt:lpstr>
      <vt:lpstr>'402756'!Print_Titles</vt:lpstr>
      <vt:lpstr>'402760'!Print_Titles</vt:lpstr>
      <vt:lpstr>'402904'!Print_Titles</vt:lpstr>
      <vt:lpstr>'403746'!Print_Titles</vt:lpstr>
      <vt:lpstr>'405809'!Print_Titles</vt:lpstr>
      <vt:lpstr>'405815'!Print_Titles</vt:lpstr>
      <vt:lpstr>'405821'!Print_Titles</vt:lpstr>
      <vt:lpstr>'405828'!Print_Titles</vt:lpstr>
      <vt:lpstr>'405837'!Print_Titles</vt:lpstr>
      <vt:lpstr>'405843'!Print_Titles</vt:lpstr>
      <vt:lpstr>'405850'!Print_Titles</vt:lpstr>
      <vt:lpstr>'406454'!Print_Titles</vt:lpstr>
      <vt:lpstr>'406463'!Print_Titles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2022-01-24T09:23:59Z</cp:lastPrinted>
  <dcterms:created xsi:type="dcterms:W3CDTF">2021-07-02T11:08:00Z</dcterms:created>
  <dcterms:modified xsi:type="dcterms:W3CDTF">2022-01-25T07:02:44Z</dcterms:modified>
</cp:coreProperties>
</file>