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063_Sicepat_Manokwari" sheetId="2" r:id="rId1"/>
    <sheet name="405829" sheetId="26" r:id="rId2"/>
    <sheet name="405834" sheetId="57" r:id="rId3"/>
    <sheet name="406471" sheetId="58" r:id="rId4"/>
    <sheet name="402668" sheetId="59" r:id="rId5"/>
    <sheet name="402729" sheetId="60" r:id="rId6"/>
    <sheet name="402762" sheetId="61" r:id="rId7"/>
  </sheets>
  <definedNames>
    <definedName name="_xlnm.Print_Titles" localSheetId="0">'063_Sicepat_Manokwari'!$2:$17</definedName>
    <definedName name="_xlnm.Print_Titles" localSheetId="4">'402668'!$2:$2</definedName>
    <definedName name="_xlnm.Print_Titles" localSheetId="5">'402729'!$2:$2</definedName>
    <definedName name="_xlnm.Print_Titles" localSheetId="6">'402762'!$2:$2</definedName>
    <definedName name="_xlnm.Print_Titles" localSheetId="1">'405829'!$2:$2</definedName>
    <definedName name="_xlnm.Print_Titles" localSheetId="2">'405834'!$2:$2</definedName>
    <definedName name="_xlnm.Print_Titles" localSheetId="3">'406471'!$2:$2</definedName>
  </definedNames>
  <calcPr calcId="162913"/>
</workbook>
</file>

<file path=xl/calcChain.xml><?xml version="1.0" encoding="utf-8"?>
<calcChain xmlns="http://schemas.openxmlformats.org/spreadsheetml/2006/main">
  <c r="N9" i="26" l="1"/>
  <c r="B23" i="2" l="1"/>
  <c r="B22" i="2"/>
  <c r="B21" i="2"/>
  <c r="B20" i="2"/>
  <c r="B19" i="2"/>
  <c r="B18" i="2"/>
  <c r="C23" i="2" l="1"/>
  <c r="C22" i="2"/>
  <c r="C21" i="2"/>
  <c r="C20" i="2"/>
  <c r="C19" i="2"/>
  <c r="C18" i="2"/>
  <c r="N5" i="61"/>
  <c r="M5" i="61"/>
  <c r="P4" i="61"/>
  <c r="P3" i="61"/>
  <c r="N9" i="60"/>
  <c r="M9" i="60"/>
  <c r="P8" i="60"/>
  <c r="P7" i="60"/>
  <c r="P6" i="60"/>
  <c r="P5" i="60"/>
  <c r="P4" i="60"/>
  <c r="P3" i="60"/>
  <c r="N10" i="59"/>
  <c r="G21" i="2" s="1"/>
  <c r="M10" i="59"/>
  <c r="P9" i="59"/>
  <c r="P8" i="59"/>
  <c r="P7" i="59"/>
  <c r="P6" i="59"/>
  <c r="P5" i="59"/>
  <c r="P4" i="59"/>
  <c r="P3" i="59"/>
  <c r="N4" i="58"/>
  <c r="M4" i="58"/>
  <c r="P3" i="58"/>
  <c r="O4" i="58" s="1"/>
  <c r="N6" i="57"/>
  <c r="M6" i="57"/>
  <c r="P5" i="57"/>
  <c r="P4" i="57"/>
  <c r="P3" i="57"/>
  <c r="P8" i="26"/>
  <c r="P5" i="58" l="1"/>
  <c r="P6" i="58" s="1"/>
  <c r="O5" i="61"/>
  <c r="O9" i="60"/>
  <c r="O10" i="59"/>
  <c r="O6" i="57"/>
  <c r="P7" i="61" l="1"/>
  <c r="P9" i="61" s="1"/>
  <c r="P6" i="61"/>
  <c r="P10" i="60"/>
  <c r="P11" i="60" s="1"/>
  <c r="P12" i="59"/>
  <c r="P14" i="59" s="1"/>
  <c r="P11" i="59"/>
  <c r="P8" i="58"/>
  <c r="P7" i="58"/>
  <c r="P7" i="57"/>
  <c r="P8" i="57" s="1"/>
  <c r="P9" i="58"/>
  <c r="I29" i="2"/>
  <c r="I28" i="2"/>
  <c r="I30" i="2" s="1"/>
  <c r="P4" i="26"/>
  <c r="P5" i="26"/>
  <c r="P6" i="26"/>
  <c r="P7" i="26"/>
  <c r="P8" i="61" l="1"/>
  <c r="P10" i="61" s="1"/>
  <c r="P12" i="60"/>
  <c r="P13" i="60"/>
  <c r="P14" i="60" s="1"/>
  <c r="P13" i="59"/>
  <c r="P15" i="59" s="1"/>
  <c r="P9" i="57"/>
  <c r="P10" i="57"/>
  <c r="P11" i="57" s="1"/>
  <c r="G18" i="2"/>
  <c r="M9" i="26"/>
  <c r="P3" i="26"/>
  <c r="O9" i="26" s="1"/>
  <c r="P10" i="26" s="1"/>
  <c r="P11" i="26" l="1"/>
  <c r="P12" i="26" l="1"/>
  <c r="P13" i="26"/>
  <c r="P14" i="26" l="1"/>
  <c r="A19" i="2"/>
  <c r="A20" i="2" s="1"/>
  <c r="A21" i="2" s="1"/>
  <c r="A22" i="2" s="1"/>
  <c r="A23" i="2" s="1"/>
  <c r="J23" i="2"/>
  <c r="J21" i="2"/>
  <c r="J22" i="2"/>
  <c r="J20" i="2"/>
  <c r="J19" i="2"/>
  <c r="I41" i="2" l="1"/>
  <c r="J18" i="2"/>
  <c r="J24" i="2" l="1"/>
  <c r="J26" i="2" l="1"/>
  <c r="J27" i="2" s="1"/>
  <c r="J29" i="2" l="1"/>
  <c r="J28" i="2"/>
  <c r="J30" i="2" l="1"/>
</calcChain>
</file>

<file path=xl/sharedStrings.xml><?xml version="1.0" encoding="utf-8"?>
<sst xmlns="http://schemas.openxmlformats.org/spreadsheetml/2006/main" count="306" uniqueCount="99">
  <si>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</si>
  <si>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</si>
  <si>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</si>
  <si>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</si>
  <si>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</si>
  <si>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</si>
  <si>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</si>
  <si>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</si>
  <si>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</si>
  <si>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</si>
  <si>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</si>
  <si>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</si>
  <si>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</si>
  <si>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</si>
  <si>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</si>
  <si>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</si>
  <si>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</si>
  <si>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</si>
  <si>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</si>
  <si>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</si>
  <si>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</si>
  <si>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</si>
  <si>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</si>
  <si>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</si>
  <si>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</si>
  <si>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</si>
  <si>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</si>
  <si>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</si>
  <si>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</si>
  <si>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</si>
  <si>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</si>
  <si>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</si>
  <si>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</si>
  <si>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</si>
  <si>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</si>
  <si>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</si>
  <si>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</si>
  <si>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</si>
  <si>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</si>
  <si>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</si>
  <si>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</si>
  <si>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</si>
  <si>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</si>
  <si>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</si>
  <si>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</si>
  <si>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</si>
  <si>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</si>
  <si>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</si>
  <si>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</si>
  <si>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</si>
  <si>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</si>
  <si>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</si>
  <si>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</si>
  <si>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</si>
  <si>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</si>
  <si>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</si>
  <si>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DMD/2112/06/UMVG0384</t>
  </si>
  <si>
    <t>GSK211206CLD465</t>
  </si>
  <si>
    <t>GSK211206OPM829</t>
  </si>
  <si>
    <t>GSK211206ECD652</t>
  </si>
  <si>
    <t>GSK211206WPE502</t>
  </si>
  <si>
    <t>GSK211206ZJE074</t>
  </si>
  <si>
    <t>GSK211206EMP356</t>
  </si>
  <si>
    <t>DMP MKW (MANUKWARI)</t>
  </si>
  <si>
    <t>KM GUNUNG DEMPO</t>
  </si>
  <si>
    <t>12/17/2021 NUNU</t>
  </si>
  <si>
    <t>DMD/2112/07/EWMG0984</t>
  </si>
  <si>
    <t>GSK211207DRI268</t>
  </si>
  <si>
    <t>GSK211207QXL061</t>
  </si>
  <si>
    <t>GSK211207UOZ381</t>
  </si>
  <si>
    <t>DMD/2112/12/DQFM3890</t>
  </si>
  <si>
    <t>GSK211212KNY602</t>
  </si>
  <si>
    <t>KM CIREMAI</t>
  </si>
  <si>
    <t>12/28/2021 DARMAWAN</t>
  </si>
  <si>
    <t>DMD/2112/16/XFPJ0872</t>
  </si>
  <si>
    <t>GSK211216UTC431</t>
  </si>
  <si>
    <t>GSK211216JUW014</t>
  </si>
  <si>
    <t>GSK211216FPH629</t>
  </si>
  <si>
    <t>GSK211216DWC065</t>
  </si>
  <si>
    <t>GSK211216YKU082</t>
  </si>
  <si>
    <t>GSK211216NRO753</t>
  </si>
  <si>
    <t>GSK211216INY578</t>
  </si>
  <si>
    <t>DMD/2112/24/TVSN4307</t>
  </si>
  <si>
    <t>GSK211224DON109</t>
  </si>
  <si>
    <t>GSK211224PKR408</t>
  </si>
  <si>
    <t>GSK211224DGO586</t>
  </si>
  <si>
    <t>GSK211224CIJ623</t>
  </si>
  <si>
    <t>GSK211224ZFB764</t>
  </si>
  <si>
    <t>GSK211224SZJ921</t>
  </si>
  <si>
    <t>01/12/2022 NUNU</t>
  </si>
  <si>
    <t>DMD/2112/31/BOWT7620</t>
  </si>
  <si>
    <t>GSK211230TXM413</t>
  </si>
  <si>
    <t>GSK211230ZDI076</t>
  </si>
  <si>
    <t xml:space="preserve"> 12 Januari  2022</t>
  </si>
  <si>
    <t>MANOKWARI</t>
  </si>
  <si>
    <t xml:space="preserve"> DESEMBER 2022</t>
  </si>
  <si>
    <t>PENGIRIMAN BARANG TUJUAN MANOKWARI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</si>
  <si>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Enam Ratus Lima Puluh Tujuh Ribu Sembilan Puluh Enam Rupiah.</t>
    </r>
  </si>
  <si>
    <t xml:space="preserve"> 063/PCI/PI/I/22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</si>
</sst>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0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41</xdr:row>
      <xdr:rowOff>29879</xdr:rowOff>
    </xdr:from>
    <xdr:to>
      <xdr:col>10</xdr:col>
      <xdr:colOff>161925</xdr:colOff>
      <xdr:row>47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111550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8" totalsRowShown="0" headerRowDxfId="101" dataDxfId="99" headerRowBorderDxfId="100">
  <tableColumns count="12">
    <tableColumn id="1" name="NOMOR" dataDxfId="98" dataCellStyle="Normal"/>
    <tableColumn id="3" name="TUJUAN" dataDxfId="97" dataCellStyle="Normal"/>
    <tableColumn id="16" name="Pick Up" dataDxfId="96"/>
    <tableColumn id="14" name="KAPAL" dataDxfId="95"/>
    <tableColumn id="15" name="ETD Kapal" dataDxfId="94"/>
    <tableColumn id="10" name="KETERANGAN" dataDxfId="93" dataCellStyle="Normal"/>
    <tableColumn id="5" name="P" dataDxfId="92" dataCellStyle="Normal"/>
    <tableColumn id="6" name="L" dataDxfId="91" dataCellStyle="Normal"/>
    <tableColumn id="7" name="T" dataDxfId="90" dataCellStyle="Normal"/>
    <tableColumn id="4" name="ACT KG" dataDxfId="89" dataCellStyle="Normal"/>
    <tableColumn id="8" name="KG VOLUME" dataDxfId="88" dataCellStyle="Normal"/>
    <tableColumn id="19" name="PEMBULATAN" dataDxfId="8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5" totalsRowShown="0" headerRowDxfId="83" dataDxfId="81" headerRowBorderDxfId="82">
  <tableColumns count="12">
    <tableColumn id="1" name="NOMOR" dataDxfId="80" dataCellStyle="Normal"/>
    <tableColumn id="3" name="TUJUAN" dataDxfId="79" dataCellStyle="Normal"/>
    <tableColumn id="16" name="Pick Up" dataDxfId="78"/>
    <tableColumn id="14" name="KAPAL" dataDxfId="77"/>
    <tableColumn id="15" name="ETD Kapal" dataDxfId="76"/>
    <tableColumn id="10" name="KETERANGAN" dataDxfId="75" dataCellStyle="Normal"/>
    <tableColumn id="5" name="P" dataDxfId="74" dataCellStyle="Normal"/>
    <tableColumn id="6" name="L" dataDxfId="73" dataCellStyle="Normal"/>
    <tableColumn id="7" name="T" dataDxfId="72" dataCellStyle="Normal"/>
    <tableColumn id="4" name="ACT KG" dataDxfId="71" dataCellStyle="Normal"/>
    <tableColumn id="8" name="KG VOLUME" dataDxfId="70" dataCellStyle="Normal"/>
    <tableColumn id="19" name="PEMBULATAN" dataDxfId="69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3" totalsRowShown="0" headerRowDxfId="67" dataDxfId="65" headerRowBorderDxfId="66">
  <tableColumns count="12">
    <tableColumn id="1" name="NOMOR" dataDxfId="64" dataCellStyle="Normal"/>
    <tableColumn id="3" name="TUJUAN" dataDxfId="63" dataCellStyle="Normal"/>
    <tableColumn id="16" name="Pick Up" dataDxfId="62"/>
    <tableColumn id="14" name="KAPAL" dataDxfId="61"/>
    <tableColumn id="15" name="ETD Kapal" dataDxfId="60"/>
    <tableColumn id="10" name="KETERANGAN" dataDxfId="59" dataCellStyle="Normal"/>
    <tableColumn id="5" name="P" dataDxfId="58" dataCellStyle="Normal"/>
    <tableColumn id="6" name="L" dataDxfId="57" dataCellStyle="Normal"/>
    <tableColumn id="7" name="T" dataDxfId="56" dataCellStyle="Normal"/>
    <tableColumn id="4" name="ACT KG" dataDxfId="55" dataCellStyle="Normal"/>
    <tableColumn id="8" name="KG VOLUME" dataDxfId="54" dataCellStyle="Normal"/>
    <tableColumn id="19" name="PEMBULATAN" dataDxfId="5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9" totalsRowShown="0" headerRowDxfId="49" dataDxfId="47" headerRowBorderDxfId="48">
  <tableColumns count="12">
    <tableColumn id="1" name="NOMOR" dataDxfId="46" dataCellStyle="Normal"/>
    <tableColumn id="3" name="TUJUAN" dataDxfId="45" dataCellStyle="Normal"/>
    <tableColumn id="16" name="Pick Up" dataDxfId="44"/>
    <tableColumn id="14" name="KAPAL" dataDxfId="43"/>
    <tableColumn id="15" name="ETD Kapal" dataDxfId="42"/>
    <tableColumn id="10" name="KETERANGAN" dataDxfId="41" dataCellStyle="Normal"/>
    <tableColumn id="5" name="P" dataDxfId="40" dataCellStyle="Normal"/>
    <tableColumn id="6" name="L" dataDxfId="39" dataCellStyle="Normal"/>
    <tableColumn id="7" name="T" dataDxfId="38" dataCellStyle="Normal"/>
    <tableColumn id="4" name="ACT KG" dataDxfId="37" dataCellStyle="Normal"/>
    <tableColumn id="8" name="KG VOLUME" dataDxfId="36" dataCellStyle="Normal"/>
    <tableColumn id="19" name="PEMBULATAN" dataDxfId="35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8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8"/>
  <sheetViews>
    <sheetView tabSelected="1" topLeftCell="A6" workbookViewId="0">
      <selection activeCell="K16" sqref="K16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28515625" style="18" customWidth="1"/>
    <col min="5" max="5" width="14.71093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3" t="s">
        <v>14</v>
      </c>
      <c r="B10" s="104"/>
      <c r="C10" s="104"/>
      <c r="D10" s="104"/>
      <c r="E10" s="104"/>
      <c r="F10" s="104"/>
      <c r="G10" s="104"/>
      <c r="H10" s="104"/>
      <c r="I10" s="104"/>
      <c r="J10" s="105"/>
    </row>
    <row r="12" spans="1:10" x14ac:dyDescent="0.25">
      <c r="A12" s="18" t="s">
        <v>15</v>
      </c>
      <c r="B12" s="18" t="s">
        <v>16</v>
      </c>
      <c r="G12" s="100" t="s">
        <v>49</v>
      </c>
      <c r="H12" s="100"/>
      <c r="I12" s="23" t="s">
        <v>17</v>
      </c>
      <c r="J12" s="24" t="s">
        <v>98</v>
      </c>
    </row>
    <row r="13" spans="1:10" x14ac:dyDescent="0.25">
      <c r="G13" s="100" t="s">
        <v>18</v>
      </c>
      <c r="H13" s="100"/>
      <c r="I13" s="23" t="s">
        <v>17</v>
      </c>
      <c r="J13" s="25" t="s">
        <v>93</v>
      </c>
    </row>
    <row r="14" spans="1:10" x14ac:dyDescent="0.25">
      <c r="G14" s="100" t="s">
        <v>50</v>
      </c>
      <c r="H14" s="100"/>
      <c r="I14" s="23" t="s">
        <v>17</v>
      </c>
      <c r="J14" s="18" t="s">
        <v>94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95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6" t="s">
        <v>28</v>
      </c>
      <c r="I17" s="107"/>
      <c r="J17" s="29" t="s">
        <v>29</v>
      </c>
    </row>
    <row r="18" spans="1:12" ht="48" customHeight="1" x14ac:dyDescent="0.25">
      <c r="A18" s="30">
        <v>1</v>
      </c>
      <c r="B18" s="31">
        <f>'405829'!E3</f>
        <v>44536</v>
      </c>
      <c r="C18" s="84">
        <f>'405829'!A3</f>
        <v>405829</v>
      </c>
      <c r="D18" s="32" t="s">
        <v>96</v>
      </c>
      <c r="E18" s="32" t="s">
        <v>63</v>
      </c>
      <c r="F18" s="33">
        <v>6</v>
      </c>
      <c r="G18" s="97">
        <f>'405829'!N9</f>
        <v>199.178</v>
      </c>
      <c r="H18" s="108">
        <v>14000</v>
      </c>
      <c r="I18" s="109"/>
      <c r="J18" s="34">
        <f>G18*H18</f>
        <v>2788492</v>
      </c>
      <c r="L18"/>
    </row>
    <row r="19" spans="1:12" ht="48" customHeight="1" x14ac:dyDescent="0.25">
      <c r="A19" s="30">
        <f>A18+1</f>
        <v>2</v>
      </c>
      <c r="B19" s="31">
        <f>'405834'!E3</f>
        <v>44537</v>
      </c>
      <c r="C19" s="84">
        <f>'405834'!A3</f>
        <v>405834</v>
      </c>
      <c r="D19" s="32" t="s">
        <v>96</v>
      </c>
      <c r="E19" s="32" t="s">
        <v>63</v>
      </c>
      <c r="F19" s="33">
        <v>3</v>
      </c>
      <c r="G19" s="98">
        <v>100</v>
      </c>
      <c r="H19" s="108">
        <v>14000</v>
      </c>
      <c r="I19" s="109"/>
      <c r="J19" s="34">
        <f t="shared" ref="J19:J20" si="0">G19*H19</f>
        <v>1400000</v>
      </c>
      <c r="L19"/>
    </row>
    <row r="20" spans="1:12" ht="48" customHeight="1" x14ac:dyDescent="0.25">
      <c r="A20" s="30">
        <f t="shared" ref="A20:A23" si="1">A19+1</f>
        <v>3</v>
      </c>
      <c r="B20" s="31">
        <f>'406471'!E3</f>
        <v>44542</v>
      </c>
      <c r="C20" s="84">
        <f>'406471'!A3</f>
        <v>406471</v>
      </c>
      <c r="D20" s="32" t="s">
        <v>96</v>
      </c>
      <c r="E20" s="32" t="s">
        <v>63</v>
      </c>
      <c r="F20" s="33">
        <v>1</v>
      </c>
      <c r="G20" s="98">
        <v>100</v>
      </c>
      <c r="H20" s="108">
        <v>14000</v>
      </c>
      <c r="I20" s="109"/>
      <c r="J20" s="34">
        <f t="shared" si="0"/>
        <v>1400000</v>
      </c>
      <c r="L20"/>
    </row>
    <row r="21" spans="1:12" ht="48" customHeight="1" x14ac:dyDescent="0.25">
      <c r="A21" s="30">
        <f t="shared" si="1"/>
        <v>4</v>
      </c>
      <c r="B21" s="31">
        <f>'402668'!E3</f>
        <v>44546</v>
      </c>
      <c r="C21" s="84">
        <f>'402668'!A3</f>
        <v>402668</v>
      </c>
      <c r="D21" s="32" t="s">
        <v>96</v>
      </c>
      <c r="E21" s="32" t="s">
        <v>63</v>
      </c>
      <c r="F21" s="33">
        <v>7</v>
      </c>
      <c r="G21" s="98">
        <f>'402668'!N10</f>
        <v>175</v>
      </c>
      <c r="H21" s="108">
        <v>14000</v>
      </c>
      <c r="I21" s="109"/>
      <c r="J21" s="34">
        <f>G21*H21</f>
        <v>2450000</v>
      </c>
      <c r="L21"/>
    </row>
    <row r="22" spans="1:12" ht="48" customHeight="1" x14ac:dyDescent="0.25">
      <c r="A22" s="30">
        <f t="shared" si="1"/>
        <v>5</v>
      </c>
      <c r="B22" s="31">
        <f>'402729'!E3</f>
        <v>44554</v>
      </c>
      <c r="C22" s="84">
        <f>'402729'!A3</f>
        <v>402729</v>
      </c>
      <c r="D22" s="32" t="s">
        <v>96</v>
      </c>
      <c r="E22" s="32" t="s">
        <v>63</v>
      </c>
      <c r="F22" s="33">
        <v>6</v>
      </c>
      <c r="G22" s="98">
        <v>100</v>
      </c>
      <c r="H22" s="108">
        <v>14000</v>
      </c>
      <c r="I22" s="109"/>
      <c r="J22" s="34">
        <f>G22*H22</f>
        <v>1400000</v>
      </c>
      <c r="L22"/>
    </row>
    <row r="23" spans="1:12" ht="48" customHeight="1" x14ac:dyDescent="0.25">
      <c r="A23" s="30">
        <f t="shared" si="1"/>
        <v>6</v>
      </c>
      <c r="B23" s="31">
        <f>'402762'!E3</f>
        <v>44561</v>
      </c>
      <c r="C23" s="84">
        <f>'402762'!A3</f>
        <v>402762</v>
      </c>
      <c r="D23" s="32" t="s">
        <v>96</v>
      </c>
      <c r="E23" s="32" t="s">
        <v>63</v>
      </c>
      <c r="F23" s="33">
        <v>2</v>
      </c>
      <c r="G23" s="98">
        <v>100</v>
      </c>
      <c r="H23" s="108">
        <v>14000</v>
      </c>
      <c r="I23" s="109"/>
      <c r="J23" s="34">
        <f>G23*H23</f>
        <v>1400000</v>
      </c>
      <c r="L23"/>
    </row>
    <row r="24" spans="1:12" ht="32.25" customHeight="1" thickBot="1" x14ac:dyDescent="0.3">
      <c r="A24" s="110" t="s">
        <v>30</v>
      </c>
      <c r="B24" s="111"/>
      <c r="C24" s="111"/>
      <c r="D24" s="111"/>
      <c r="E24" s="111"/>
      <c r="F24" s="111"/>
      <c r="G24" s="111"/>
      <c r="H24" s="111"/>
      <c r="I24" s="112"/>
      <c r="J24" s="35">
        <f>SUM(J18:J23)</f>
        <v>10838492</v>
      </c>
      <c r="L24" s="82"/>
    </row>
    <row r="25" spans="1:12" x14ac:dyDescent="0.25">
      <c r="A25" s="113"/>
      <c r="B25" s="113"/>
      <c r="C25" s="36"/>
      <c r="D25" s="36"/>
      <c r="E25" s="36"/>
      <c r="F25" s="36"/>
      <c r="G25" s="36"/>
      <c r="H25" s="37"/>
      <c r="I25" s="37"/>
      <c r="J25" s="38"/>
    </row>
    <row r="26" spans="1:12" x14ac:dyDescent="0.25">
      <c r="A26" s="85"/>
      <c r="B26" s="85"/>
      <c r="C26" s="85"/>
      <c r="D26" s="85"/>
      <c r="E26" s="85"/>
      <c r="F26" s="85"/>
      <c r="G26" s="39" t="s">
        <v>51</v>
      </c>
      <c r="H26" s="39"/>
      <c r="I26" s="37"/>
      <c r="J26" s="38">
        <f>J24*10%</f>
        <v>1083849.2</v>
      </c>
      <c r="L26" s="40"/>
    </row>
    <row r="27" spans="1:12" x14ac:dyDescent="0.25">
      <c r="A27" s="85"/>
      <c r="B27" s="85"/>
      <c r="C27" s="85"/>
      <c r="D27" s="85"/>
      <c r="E27" s="85"/>
      <c r="F27" s="85"/>
      <c r="G27" s="92" t="s">
        <v>52</v>
      </c>
      <c r="H27" s="92"/>
      <c r="I27" s="93"/>
      <c r="J27" s="95">
        <f>J24-J26</f>
        <v>9754642.8000000007</v>
      </c>
      <c r="L27" s="40"/>
    </row>
    <row r="28" spans="1:12" x14ac:dyDescent="0.25">
      <c r="A28" s="85"/>
      <c r="B28" s="85"/>
      <c r="C28" s="85"/>
      <c r="D28" s="85"/>
      <c r="E28" s="85"/>
      <c r="F28" s="85"/>
      <c r="G28" s="39" t="s">
        <v>31</v>
      </c>
      <c r="H28" s="39"/>
      <c r="I28" s="40" t="e">
        <f>#REF!*1%</f>
        <v>#REF!</v>
      </c>
      <c r="J28" s="38">
        <f>J27*1%</f>
        <v>97546.428000000014</v>
      </c>
    </row>
    <row r="29" spans="1:12" ht="16.5" thickBot="1" x14ac:dyDescent="0.3">
      <c r="A29" s="85"/>
      <c r="B29" s="85"/>
      <c r="C29" s="85"/>
      <c r="D29" s="85"/>
      <c r="E29" s="85"/>
      <c r="F29" s="85"/>
      <c r="G29" s="94" t="s">
        <v>54</v>
      </c>
      <c r="H29" s="94"/>
      <c r="I29" s="41">
        <f>I25*10%</f>
        <v>0</v>
      </c>
      <c r="J29" s="41">
        <f>J27*2%</f>
        <v>195092.85600000003</v>
      </c>
    </row>
    <row r="30" spans="1:12" x14ac:dyDescent="0.25">
      <c r="E30" s="17"/>
      <c r="F30" s="17"/>
      <c r="G30" s="42" t="s">
        <v>55</v>
      </c>
      <c r="H30" s="42"/>
      <c r="I30" s="43" t="e">
        <f>I24+I28</f>
        <v>#REF!</v>
      </c>
      <c r="J30" s="43">
        <f>J27+J28-J29</f>
        <v>9657096.3719999995</v>
      </c>
    </row>
    <row r="31" spans="1:12" x14ac:dyDescent="0.25">
      <c r="E31" s="17"/>
      <c r="F31" s="17"/>
      <c r="G31" s="42"/>
      <c r="H31" s="42"/>
      <c r="I31" s="43"/>
      <c r="J31" s="43"/>
    </row>
    <row r="32" spans="1:12" x14ac:dyDescent="0.25">
      <c r="A32" s="17" t="s">
        <v>97</v>
      </c>
      <c r="D32" s="17"/>
      <c r="E32" s="17"/>
      <c r="F32" s="17"/>
      <c r="G32" s="17"/>
      <c r="H32" s="42"/>
      <c r="I32" s="42"/>
      <c r="J32" s="43"/>
    </row>
    <row r="33" spans="1:10" x14ac:dyDescent="0.25">
      <c r="A33" s="44"/>
      <c r="D33" s="17"/>
      <c r="E33" s="17"/>
      <c r="F33" s="17"/>
      <c r="G33" s="17"/>
      <c r="H33" s="42"/>
      <c r="I33" s="42"/>
      <c r="J33" s="43"/>
    </row>
    <row r="34" spans="1:10" x14ac:dyDescent="0.25">
      <c r="D34" s="17"/>
      <c r="E34" s="17"/>
      <c r="F34" s="17"/>
      <c r="G34" s="17"/>
      <c r="H34" s="42"/>
      <c r="I34" s="42"/>
      <c r="J34" s="43"/>
    </row>
    <row r="35" spans="1:10" x14ac:dyDescent="0.25">
      <c r="A35" s="45" t="s">
        <v>33</v>
      </c>
    </row>
    <row r="36" spans="1:10" x14ac:dyDescent="0.25">
      <c r="A36" s="46" t="s">
        <v>34</v>
      </c>
      <c r="B36" s="47"/>
      <c r="C36" s="47"/>
      <c r="D36" s="48"/>
      <c r="E36" s="48"/>
      <c r="F36" s="48"/>
      <c r="G36" s="48"/>
    </row>
    <row r="37" spans="1:10" x14ac:dyDescent="0.25">
      <c r="A37" s="46" t="s">
        <v>35</v>
      </c>
      <c r="B37" s="47"/>
      <c r="C37" s="47"/>
      <c r="D37" s="48"/>
      <c r="E37" s="48"/>
      <c r="F37" s="48"/>
      <c r="G37" s="48"/>
    </row>
    <row r="38" spans="1:10" x14ac:dyDescent="0.25">
      <c r="A38" s="49" t="s">
        <v>36</v>
      </c>
      <c r="B38" s="50"/>
      <c r="C38" s="50"/>
      <c r="D38" s="48"/>
      <c r="E38" s="48"/>
      <c r="F38" s="48"/>
      <c r="G38" s="48"/>
    </row>
    <row r="39" spans="1:10" x14ac:dyDescent="0.25">
      <c r="A39" s="51" t="s">
        <v>8</v>
      </c>
      <c r="B39" s="52"/>
      <c r="C39" s="52"/>
      <c r="D39" s="48"/>
      <c r="E39" s="48"/>
      <c r="F39" s="48"/>
      <c r="G39" s="48"/>
    </row>
    <row r="40" spans="1:10" x14ac:dyDescent="0.25">
      <c r="A40" s="53"/>
      <c r="B40" s="53"/>
      <c r="C40" s="53"/>
    </row>
    <row r="41" spans="1:10" x14ac:dyDescent="0.25">
      <c r="H41" s="54" t="s">
        <v>37</v>
      </c>
      <c r="I41" s="101" t="str">
        <f>+J13</f>
        <v xml:space="preserve"> 12 Januari  2022</v>
      </c>
      <c r="J41" s="102"/>
    </row>
    <row r="45" spans="1:10" ht="18" customHeight="1" x14ac:dyDescent="0.25"/>
    <row r="46" spans="1:10" ht="17.25" customHeight="1" x14ac:dyDescent="0.25"/>
    <row r="48" spans="1:10" x14ac:dyDescent="0.25">
      <c r="H48" s="99" t="s">
        <v>38</v>
      </c>
      <c r="I48" s="99"/>
      <c r="J48" s="99"/>
    </row>
  </sheetData>
  <mergeCells count="15">
    <mergeCell ref="A10:J10"/>
    <mergeCell ref="H17:I17"/>
    <mergeCell ref="H18:I18"/>
    <mergeCell ref="A24:I24"/>
    <mergeCell ref="A25:B25"/>
    <mergeCell ref="H19:I19"/>
    <mergeCell ref="H20:I20"/>
    <mergeCell ref="H22:I22"/>
    <mergeCell ref="H21:I21"/>
    <mergeCell ref="H23:I23"/>
    <mergeCell ref="H48:J48"/>
    <mergeCell ref="G14:H14"/>
    <mergeCell ref="G13:H13"/>
    <mergeCell ref="G12:H12"/>
    <mergeCell ref="I41:J41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2" sqref="G11:G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405829</v>
      </c>
      <c r="B3" s="74" t="s">
        <v>56</v>
      </c>
      <c r="C3" s="9" t="s">
        <v>57</v>
      </c>
      <c r="D3" s="76" t="s">
        <v>63</v>
      </c>
      <c r="E3" s="13">
        <v>44536</v>
      </c>
      <c r="F3" s="76" t="s">
        <v>64</v>
      </c>
      <c r="G3" s="13">
        <v>44549</v>
      </c>
      <c r="H3" s="10" t="s">
        <v>65</v>
      </c>
      <c r="I3" s="1">
        <v>41</v>
      </c>
      <c r="J3" s="1">
        <v>28</v>
      </c>
      <c r="K3" s="1">
        <v>38</v>
      </c>
      <c r="L3" s="1">
        <v>8</v>
      </c>
      <c r="M3" s="80">
        <v>10.906000000000001</v>
      </c>
      <c r="N3" s="96">
        <v>10.906000000000001</v>
      </c>
      <c r="O3" s="64">
        <v>14000</v>
      </c>
      <c r="P3" s="65">
        <f>Table224578910112[[#This Row],[PEMBULATAN]]*O3</f>
        <v>152684</v>
      </c>
    </row>
    <row r="4" spans="1:16" ht="26.25" customHeight="1" x14ac:dyDescent="0.2">
      <c r="A4" s="14"/>
      <c r="B4" s="75"/>
      <c r="C4" s="9" t="s">
        <v>58</v>
      </c>
      <c r="D4" s="76" t="s">
        <v>63</v>
      </c>
      <c r="E4" s="13">
        <v>44536</v>
      </c>
      <c r="F4" s="76" t="s">
        <v>64</v>
      </c>
      <c r="G4" s="13">
        <v>44549</v>
      </c>
      <c r="H4" s="10" t="s">
        <v>65</v>
      </c>
      <c r="I4" s="1">
        <v>84</v>
      </c>
      <c r="J4" s="1">
        <v>82</v>
      </c>
      <c r="K4" s="1">
        <v>23</v>
      </c>
      <c r="L4" s="1">
        <v>9</v>
      </c>
      <c r="M4" s="80">
        <v>39.606000000000002</v>
      </c>
      <c r="N4" s="96">
        <v>39.606000000000002</v>
      </c>
      <c r="O4" s="64">
        <v>14000</v>
      </c>
      <c r="P4" s="65">
        <f>Table224578910112[[#This Row],[PEMBULATAN]]*O4</f>
        <v>554484</v>
      </c>
    </row>
    <row r="5" spans="1:16" ht="26.25" customHeight="1" x14ac:dyDescent="0.2">
      <c r="A5" s="14"/>
      <c r="B5" s="14"/>
      <c r="C5" s="9" t="s">
        <v>59</v>
      </c>
      <c r="D5" s="76" t="s">
        <v>63</v>
      </c>
      <c r="E5" s="13">
        <v>44536</v>
      </c>
      <c r="F5" s="76" t="s">
        <v>64</v>
      </c>
      <c r="G5" s="13">
        <v>44549</v>
      </c>
      <c r="H5" s="10" t="s">
        <v>65</v>
      </c>
      <c r="I5" s="1">
        <v>84</v>
      </c>
      <c r="J5" s="1">
        <v>82</v>
      </c>
      <c r="K5" s="1">
        <v>23</v>
      </c>
      <c r="L5" s="1">
        <v>9</v>
      </c>
      <c r="M5" s="80">
        <v>39.606000000000002</v>
      </c>
      <c r="N5" s="96">
        <v>39.606000000000002</v>
      </c>
      <c r="O5" s="64">
        <v>14000</v>
      </c>
      <c r="P5" s="65">
        <f>Table224578910112[[#This Row],[PEMBULATAN]]*O5</f>
        <v>554484</v>
      </c>
    </row>
    <row r="6" spans="1:16" ht="26.25" customHeight="1" x14ac:dyDescent="0.2">
      <c r="A6" s="14"/>
      <c r="B6" s="14"/>
      <c r="C6" s="73" t="s">
        <v>60</v>
      </c>
      <c r="D6" s="78" t="s">
        <v>63</v>
      </c>
      <c r="E6" s="13">
        <v>44536</v>
      </c>
      <c r="F6" s="76" t="s">
        <v>64</v>
      </c>
      <c r="G6" s="13">
        <v>44549</v>
      </c>
      <c r="H6" s="77" t="s">
        <v>65</v>
      </c>
      <c r="I6" s="16">
        <v>84</v>
      </c>
      <c r="J6" s="16">
        <v>82</v>
      </c>
      <c r="K6" s="16">
        <v>23</v>
      </c>
      <c r="L6" s="16">
        <v>9</v>
      </c>
      <c r="M6" s="81">
        <v>39.606000000000002</v>
      </c>
      <c r="N6" s="96">
        <v>39.606000000000002</v>
      </c>
      <c r="O6" s="64">
        <v>14000</v>
      </c>
      <c r="P6" s="65">
        <f>Table224578910112[[#This Row],[PEMBULATAN]]*O6</f>
        <v>554484</v>
      </c>
    </row>
    <row r="7" spans="1:16" ht="26.25" customHeight="1" x14ac:dyDescent="0.2">
      <c r="A7" s="14"/>
      <c r="B7" s="14"/>
      <c r="C7" s="73" t="s">
        <v>61</v>
      </c>
      <c r="D7" s="78" t="s">
        <v>63</v>
      </c>
      <c r="E7" s="13">
        <v>44536</v>
      </c>
      <c r="F7" s="76" t="s">
        <v>64</v>
      </c>
      <c r="G7" s="13">
        <v>44549</v>
      </c>
      <c r="H7" s="77" t="s">
        <v>65</v>
      </c>
      <c r="I7" s="16">
        <v>84</v>
      </c>
      <c r="J7" s="16">
        <v>82</v>
      </c>
      <c r="K7" s="16">
        <v>23</v>
      </c>
      <c r="L7" s="16">
        <v>9</v>
      </c>
      <c r="M7" s="81">
        <v>39.606000000000002</v>
      </c>
      <c r="N7" s="96">
        <v>39.606000000000002</v>
      </c>
      <c r="O7" s="64">
        <v>14000</v>
      </c>
      <c r="P7" s="65">
        <f>Table224578910112[[#This Row],[PEMBULATAN]]*O7</f>
        <v>554484</v>
      </c>
    </row>
    <row r="8" spans="1:16" ht="26.25" customHeight="1" x14ac:dyDescent="0.2">
      <c r="A8" s="14"/>
      <c r="B8" s="14"/>
      <c r="C8" s="73" t="s">
        <v>62</v>
      </c>
      <c r="D8" s="78" t="s">
        <v>63</v>
      </c>
      <c r="E8" s="13">
        <v>44536</v>
      </c>
      <c r="F8" s="76" t="s">
        <v>64</v>
      </c>
      <c r="G8" s="13">
        <v>44549</v>
      </c>
      <c r="H8" s="77" t="s">
        <v>65</v>
      </c>
      <c r="I8" s="16">
        <v>82</v>
      </c>
      <c r="J8" s="16">
        <v>52</v>
      </c>
      <c r="K8" s="16">
        <v>28</v>
      </c>
      <c r="L8" s="16">
        <v>8</v>
      </c>
      <c r="M8" s="81">
        <v>29.847999999999999</v>
      </c>
      <c r="N8" s="96">
        <v>29.847999999999999</v>
      </c>
      <c r="O8" s="64">
        <v>14000</v>
      </c>
      <c r="P8" s="65">
        <f>Table224578910112[[#This Row],[PEMBULATAN]]*O8</f>
        <v>417872</v>
      </c>
    </row>
    <row r="9" spans="1:16" ht="22.5" customHeight="1" x14ac:dyDescent="0.2">
      <c r="A9" s="114" t="s">
        <v>30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6"/>
      <c r="M9" s="79">
        <f>SUBTOTAL(109,Table224578910112[KG VOLUME])</f>
        <v>199.178</v>
      </c>
      <c r="N9" s="68">
        <f>SUM(N3:N8)</f>
        <v>199.178</v>
      </c>
      <c r="O9" s="117">
        <f>SUM(P3:P8)</f>
        <v>2788492</v>
      </c>
      <c r="P9" s="118"/>
    </row>
    <row r="10" spans="1:16" ht="18" customHeight="1" x14ac:dyDescent="0.2">
      <c r="A10" s="86"/>
      <c r="B10" s="56" t="s">
        <v>42</v>
      </c>
      <c r="C10" s="55"/>
      <c r="D10" s="57" t="s">
        <v>43</v>
      </c>
      <c r="E10" s="86"/>
      <c r="F10" s="86"/>
      <c r="G10" s="86"/>
      <c r="H10" s="86"/>
      <c r="I10" s="86"/>
      <c r="J10" s="86"/>
      <c r="K10" s="86"/>
      <c r="L10" s="86"/>
      <c r="M10" s="87"/>
      <c r="N10" s="88" t="s">
        <v>51</v>
      </c>
      <c r="O10" s="89"/>
      <c r="P10" s="89">
        <f>O9*10%</f>
        <v>278849.2</v>
      </c>
    </row>
    <row r="11" spans="1:16" ht="18" customHeight="1" thickBot="1" x14ac:dyDescent="0.25">
      <c r="A11" s="86"/>
      <c r="B11" s="56"/>
      <c r="C11" s="55"/>
      <c r="D11" s="57"/>
      <c r="E11" s="86"/>
      <c r="F11" s="86"/>
      <c r="G11" s="86"/>
      <c r="H11" s="86"/>
      <c r="I11" s="86"/>
      <c r="J11" s="86"/>
      <c r="K11" s="86"/>
      <c r="L11" s="86"/>
      <c r="M11" s="87"/>
      <c r="N11" s="90" t="s">
        <v>52</v>
      </c>
      <c r="O11" s="91"/>
      <c r="P11" s="91">
        <f>O9-P10</f>
        <v>2509642.7999999998</v>
      </c>
    </row>
    <row r="12" spans="1:16" ht="18" customHeight="1" x14ac:dyDescent="0.2">
      <c r="A12" s="11"/>
      <c r="H12" s="63"/>
      <c r="N12" s="62" t="s">
        <v>31</v>
      </c>
      <c r="P12" s="69">
        <f>P11*1%</f>
        <v>25096.428</v>
      </c>
    </row>
    <row r="13" spans="1:16" ht="18" customHeight="1" thickBot="1" x14ac:dyDescent="0.25">
      <c r="A13" s="11"/>
      <c r="H13" s="63"/>
      <c r="N13" s="62" t="s">
        <v>53</v>
      </c>
      <c r="P13" s="71">
        <f>P11*2%</f>
        <v>50192.856</v>
      </c>
    </row>
    <row r="14" spans="1:16" ht="18" customHeight="1" x14ac:dyDescent="0.2">
      <c r="A14" s="11"/>
      <c r="H14" s="63"/>
      <c r="N14" s="66" t="s">
        <v>32</v>
      </c>
      <c r="O14" s="67"/>
      <c r="P14" s="70">
        <f>P11+P12-P13</f>
        <v>2484546.3719999995</v>
      </c>
    </row>
    <row r="16" spans="1:16" x14ac:dyDescent="0.2">
      <c r="A16" s="11"/>
      <c r="H16" s="63"/>
      <c r="P16" s="71"/>
    </row>
    <row r="17" spans="1:16" x14ac:dyDescent="0.2">
      <c r="A17" s="11"/>
      <c r="H17" s="63"/>
      <c r="O17" s="58"/>
      <c r="P17" s="71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104" priority="2"/>
  </conditionalFormatting>
  <conditionalFormatting sqref="B4">
    <cfRule type="duplicateValues" dxfId="103" priority="1"/>
  </conditionalFormatting>
  <conditionalFormatting sqref="B5:B8">
    <cfRule type="duplicateValues" dxfId="102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RowHeight="15" x14ac:dyDescent="0.2"/>
  <cols>
    <col min="1" max="1" width="7.42578125" style="4" customWidth="1"/>
    <col min="2" max="2" width="20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405834</v>
      </c>
      <c r="B3" s="74" t="s">
        <v>66</v>
      </c>
      <c r="C3" s="9" t="s">
        <v>67</v>
      </c>
      <c r="D3" s="76" t="s">
        <v>63</v>
      </c>
      <c r="E3" s="13">
        <v>44537</v>
      </c>
      <c r="F3" s="76" t="s">
        <v>64</v>
      </c>
      <c r="G3" s="13">
        <v>44549</v>
      </c>
      <c r="H3" s="10" t="s">
        <v>65</v>
      </c>
      <c r="I3" s="1">
        <v>82</v>
      </c>
      <c r="J3" s="1">
        <v>50</v>
      </c>
      <c r="K3" s="1">
        <v>38</v>
      </c>
      <c r="L3" s="1">
        <v>14</v>
      </c>
      <c r="M3" s="80">
        <v>38.950000000000003</v>
      </c>
      <c r="N3" s="96">
        <v>38.950000000000003</v>
      </c>
      <c r="O3" s="64">
        <v>14000</v>
      </c>
      <c r="P3" s="65">
        <f>Table2245789101123[[#This Row],[PEMBULATAN]]*O3</f>
        <v>545300</v>
      </c>
    </row>
    <row r="4" spans="1:16" ht="26.25" customHeight="1" x14ac:dyDescent="0.2">
      <c r="A4" s="14"/>
      <c r="B4" s="75"/>
      <c r="C4" s="9" t="s">
        <v>68</v>
      </c>
      <c r="D4" s="76" t="s">
        <v>63</v>
      </c>
      <c r="E4" s="13">
        <v>44537</v>
      </c>
      <c r="F4" s="76" t="s">
        <v>64</v>
      </c>
      <c r="G4" s="13">
        <v>44549</v>
      </c>
      <c r="H4" s="10" t="s">
        <v>65</v>
      </c>
      <c r="I4" s="1">
        <v>47</v>
      </c>
      <c r="J4" s="1">
        <v>36</v>
      </c>
      <c r="K4" s="1">
        <v>42</v>
      </c>
      <c r="L4" s="1">
        <v>19</v>
      </c>
      <c r="M4" s="80">
        <v>17.765999999999998</v>
      </c>
      <c r="N4" s="8">
        <v>19</v>
      </c>
      <c r="O4" s="64">
        <v>14000</v>
      </c>
      <c r="P4" s="65">
        <f>Table2245789101123[[#This Row],[PEMBULATAN]]*O4</f>
        <v>266000</v>
      </c>
    </row>
    <row r="5" spans="1:16" ht="26.25" customHeight="1" x14ac:dyDescent="0.2">
      <c r="A5" s="14"/>
      <c r="B5" s="14"/>
      <c r="C5" s="9" t="s">
        <v>69</v>
      </c>
      <c r="D5" s="76" t="s">
        <v>63</v>
      </c>
      <c r="E5" s="13">
        <v>44537</v>
      </c>
      <c r="F5" s="76" t="s">
        <v>64</v>
      </c>
      <c r="G5" s="13">
        <v>44549</v>
      </c>
      <c r="H5" s="10" t="s">
        <v>65</v>
      </c>
      <c r="I5" s="1">
        <v>47</v>
      </c>
      <c r="J5" s="1">
        <v>36</v>
      </c>
      <c r="K5" s="1">
        <v>42</v>
      </c>
      <c r="L5" s="1">
        <v>19</v>
      </c>
      <c r="M5" s="80">
        <v>17.765999999999998</v>
      </c>
      <c r="N5" s="8">
        <v>19</v>
      </c>
      <c r="O5" s="64">
        <v>14000</v>
      </c>
      <c r="P5" s="65">
        <f>Table2245789101123[[#This Row],[PEMBULATAN]]*O5</f>
        <v>266000</v>
      </c>
    </row>
    <row r="6" spans="1:16" ht="22.5" customHeight="1" x14ac:dyDescent="0.2">
      <c r="A6" s="114" t="s">
        <v>30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6"/>
      <c r="M6" s="79">
        <f>SUBTOTAL(109,Table2245789101123[KG VOLUME])</f>
        <v>74.481999999999999</v>
      </c>
      <c r="N6" s="68">
        <f>SUM(N3:N5)</f>
        <v>76.95</v>
      </c>
      <c r="O6" s="117">
        <f>SUM(P3:P5)</f>
        <v>1077300</v>
      </c>
      <c r="P6" s="118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107730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969570</v>
      </c>
    </row>
    <row r="9" spans="1:16" ht="18" customHeight="1" x14ac:dyDescent="0.2">
      <c r="A9" s="11"/>
      <c r="H9" s="63"/>
      <c r="N9" s="62" t="s">
        <v>31</v>
      </c>
      <c r="P9" s="69">
        <f>P8*1%</f>
        <v>9695.7000000000007</v>
      </c>
    </row>
    <row r="10" spans="1:16" ht="18" customHeight="1" thickBot="1" x14ac:dyDescent="0.25">
      <c r="A10" s="11"/>
      <c r="H10" s="63"/>
      <c r="N10" s="62" t="s">
        <v>53</v>
      </c>
      <c r="P10" s="71">
        <f>P8*2%</f>
        <v>19391.400000000001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959874.29999999993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86" priority="2"/>
  </conditionalFormatting>
  <conditionalFormatting sqref="B4">
    <cfRule type="duplicateValues" dxfId="85" priority="1"/>
  </conditionalFormatting>
  <conditionalFormatting sqref="B5">
    <cfRule type="duplicateValues" dxfId="84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7" sqref="J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11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406471</v>
      </c>
      <c r="B3" s="74" t="s">
        <v>70</v>
      </c>
      <c r="C3" s="9" t="s">
        <v>71</v>
      </c>
      <c r="D3" s="76" t="s">
        <v>63</v>
      </c>
      <c r="E3" s="13">
        <v>44542</v>
      </c>
      <c r="F3" s="76" t="s">
        <v>72</v>
      </c>
      <c r="G3" s="13">
        <v>44559</v>
      </c>
      <c r="H3" s="10" t="s">
        <v>73</v>
      </c>
      <c r="I3" s="1">
        <v>64</v>
      </c>
      <c r="J3" s="1">
        <v>40</v>
      </c>
      <c r="K3" s="1">
        <v>68</v>
      </c>
      <c r="L3" s="1">
        <v>10</v>
      </c>
      <c r="M3" s="80">
        <v>43.52</v>
      </c>
      <c r="N3" s="96">
        <v>43.52</v>
      </c>
      <c r="O3" s="64">
        <v>14000</v>
      </c>
      <c r="P3" s="65">
        <f>Table22457891011234[[#This Row],[PEMBULATAN]]*O3</f>
        <v>609280</v>
      </c>
    </row>
    <row r="4" spans="1:16" ht="22.5" customHeight="1" x14ac:dyDescent="0.2">
      <c r="A4" s="114" t="s">
        <v>30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  <c r="M4" s="79">
        <f>SUBTOTAL(109,Table22457891011234[KG VOLUME])</f>
        <v>43.52</v>
      </c>
      <c r="N4" s="68">
        <f>SUM(N3:N3)</f>
        <v>43.52</v>
      </c>
      <c r="O4" s="117">
        <f>SUM(P3:P3)</f>
        <v>609280</v>
      </c>
      <c r="P4" s="118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60928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548352</v>
      </c>
    </row>
    <row r="7" spans="1:16" ht="18" customHeight="1" x14ac:dyDescent="0.2">
      <c r="A7" s="11"/>
      <c r="H7" s="63"/>
      <c r="N7" s="62" t="s">
        <v>31</v>
      </c>
      <c r="P7" s="69">
        <f>P6*1%</f>
        <v>5483.52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10967.04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542868.47999999998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68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10" sqref="A10:L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402668</v>
      </c>
      <c r="B3" s="74" t="s">
        <v>74</v>
      </c>
      <c r="C3" s="9" t="s">
        <v>75</v>
      </c>
      <c r="D3" s="76" t="s">
        <v>63</v>
      </c>
      <c r="E3" s="13">
        <v>44546</v>
      </c>
      <c r="F3" s="76" t="s">
        <v>72</v>
      </c>
      <c r="G3" s="13">
        <v>44559</v>
      </c>
      <c r="H3" s="10" t="s">
        <v>73</v>
      </c>
      <c r="I3" s="1">
        <v>36</v>
      </c>
      <c r="J3" s="1">
        <v>36</v>
      </c>
      <c r="K3" s="1">
        <v>75</v>
      </c>
      <c r="L3" s="1">
        <v>14</v>
      </c>
      <c r="M3" s="80">
        <v>24.3</v>
      </c>
      <c r="N3" s="8">
        <v>25</v>
      </c>
      <c r="O3" s="64">
        <v>14000</v>
      </c>
      <c r="P3" s="65">
        <f>Table224578910112345[[#This Row],[PEMBULATAN]]*O3</f>
        <v>350000</v>
      </c>
    </row>
    <row r="4" spans="1:16" ht="26.25" customHeight="1" x14ac:dyDescent="0.2">
      <c r="A4" s="14"/>
      <c r="B4" s="75"/>
      <c r="C4" s="9" t="s">
        <v>76</v>
      </c>
      <c r="D4" s="76" t="s">
        <v>63</v>
      </c>
      <c r="E4" s="13">
        <v>44546</v>
      </c>
      <c r="F4" s="76" t="s">
        <v>72</v>
      </c>
      <c r="G4" s="13">
        <v>44559</v>
      </c>
      <c r="H4" s="10" t="s">
        <v>73</v>
      </c>
      <c r="I4" s="1">
        <v>150</v>
      </c>
      <c r="J4" s="1">
        <v>65</v>
      </c>
      <c r="K4" s="1">
        <v>10</v>
      </c>
      <c r="L4" s="1">
        <v>17</v>
      </c>
      <c r="M4" s="80">
        <v>24.375</v>
      </c>
      <c r="N4" s="8">
        <v>25</v>
      </c>
      <c r="O4" s="64">
        <v>14000</v>
      </c>
      <c r="P4" s="65">
        <f>Table224578910112345[[#This Row],[PEMBULATAN]]*O4</f>
        <v>350000</v>
      </c>
    </row>
    <row r="5" spans="1:16" ht="26.25" customHeight="1" x14ac:dyDescent="0.2">
      <c r="A5" s="14"/>
      <c r="B5" s="14"/>
      <c r="C5" s="9" t="s">
        <v>77</v>
      </c>
      <c r="D5" s="76" t="s">
        <v>63</v>
      </c>
      <c r="E5" s="13">
        <v>44546</v>
      </c>
      <c r="F5" s="76" t="s">
        <v>72</v>
      </c>
      <c r="G5" s="13">
        <v>44559</v>
      </c>
      <c r="H5" s="10" t="s">
        <v>73</v>
      </c>
      <c r="I5" s="1">
        <v>150</v>
      </c>
      <c r="J5" s="1">
        <v>65</v>
      </c>
      <c r="K5" s="1">
        <v>10</v>
      </c>
      <c r="L5" s="1">
        <v>17</v>
      </c>
      <c r="M5" s="80">
        <v>24.375</v>
      </c>
      <c r="N5" s="8">
        <v>25</v>
      </c>
      <c r="O5" s="64">
        <v>14000</v>
      </c>
      <c r="P5" s="65">
        <f>Table224578910112345[[#This Row],[PEMBULATAN]]*O5</f>
        <v>350000</v>
      </c>
    </row>
    <row r="6" spans="1:16" ht="26.25" customHeight="1" x14ac:dyDescent="0.2">
      <c r="A6" s="14"/>
      <c r="B6" s="14"/>
      <c r="C6" s="73" t="s">
        <v>78</v>
      </c>
      <c r="D6" s="78" t="s">
        <v>63</v>
      </c>
      <c r="E6" s="13">
        <v>44546</v>
      </c>
      <c r="F6" s="76" t="s">
        <v>72</v>
      </c>
      <c r="G6" s="13">
        <v>44559</v>
      </c>
      <c r="H6" s="77" t="s">
        <v>73</v>
      </c>
      <c r="I6" s="16">
        <v>150</v>
      </c>
      <c r="J6" s="16">
        <v>65</v>
      </c>
      <c r="K6" s="16">
        <v>10</v>
      </c>
      <c r="L6" s="16">
        <v>17</v>
      </c>
      <c r="M6" s="81">
        <v>24.375</v>
      </c>
      <c r="N6" s="72">
        <v>25</v>
      </c>
      <c r="O6" s="64">
        <v>14000</v>
      </c>
      <c r="P6" s="65">
        <f>Table224578910112345[[#This Row],[PEMBULATAN]]*O6</f>
        <v>350000</v>
      </c>
    </row>
    <row r="7" spans="1:16" ht="26.25" customHeight="1" x14ac:dyDescent="0.2">
      <c r="A7" s="14"/>
      <c r="B7" s="14"/>
      <c r="C7" s="73" t="s">
        <v>79</v>
      </c>
      <c r="D7" s="78" t="s">
        <v>63</v>
      </c>
      <c r="E7" s="13">
        <v>44546</v>
      </c>
      <c r="F7" s="76" t="s">
        <v>72</v>
      </c>
      <c r="G7" s="13">
        <v>44559</v>
      </c>
      <c r="H7" s="77" t="s">
        <v>73</v>
      </c>
      <c r="I7" s="16">
        <v>150</v>
      </c>
      <c r="J7" s="16">
        <v>65</v>
      </c>
      <c r="K7" s="16">
        <v>10</v>
      </c>
      <c r="L7" s="16">
        <v>17</v>
      </c>
      <c r="M7" s="81">
        <v>24.375</v>
      </c>
      <c r="N7" s="72">
        <v>25</v>
      </c>
      <c r="O7" s="64">
        <v>14000</v>
      </c>
      <c r="P7" s="65">
        <f>Table224578910112345[[#This Row],[PEMBULATAN]]*O7</f>
        <v>350000</v>
      </c>
    </row>
    <row r="8" spans="1:16" ht="26.25" customHeight="1" x14ac:dyDescent="0.2">
      <c r="A8" s="14"/>
      <c r="B8" s="14"/>
      <c r="C8" s="73" t="s">
        <v>80</v>
      </c>
      <c r="D8" s="78" t="s">
        <v>63</v>
      </c>
      <c r="E8" s="13">
        <v>44546</v>
      </c>
      <c r="F8" s="76" t="s">
        <v>72</v>
      </c>
      <c r="G8" s="13">
        <v>44559</v>
      </c>
      <c r="H8" s="77" t="s">
        <v>73</v>
      </c>
      <c r="I8" s="16">
        <v>150</v>
      </c>
      <c r="J8" s="16">
        <v>65</v>
      </c>
      <c r="K8" s="16">
        <v>10</v>
      </c>
      <c r="L8" s="16">
        <v>17</v>
      </c>
      <c r="M8" s="81">
        <v>24.375</v>
      </c>
      <c r="N8" s="72">
        <v>25</v>
      </c>
      <c r="O8" s="64">
        <v>14000</v>
      </c>
      <c r="P8" s="65">
        <f>Table224578910112345[[#This Row],[PEMBULATAN]]*O8</f>
        <v>350000</v>
      </c>
    </row>
    <row r="9" spans="1:16" ht="26.25" customHeight="1" x14ac:dyDescent="0.2">
      <c r="A9" s="14"/>
      <c r="B9" s="14"/>
      <c r="C9" s="73" t="s">
        <v>81</v>
      </c>
      <c r="D9" s="78" t="s">
        <v>63</v>
      </c>
      <c r="E9" s="13">
        <v>44546</v>
      </c>
      <c r="F9" s="76" t="s">
        <v>72</v>
      </c>
      <c r="G9" s="13">
        <v>44559</v>
      </c>
      <c r="H9" s="77" t="s">
        <v>73</v>
      </c>
      <c r="I9" s="16">
        <v>150</v>
      </c>
      <c r="J9" s="16">
        <v>65</v>
      </c>
      <c r="K9" s="16">
        <v>10</v>
      </c>
      <c r="L9" s="16">
        <v>17</v>
      </c>
      <c r="M9" s="81">
        <v>24.375</v>
      </c>
      <c r="N9" s="72">
        <v>25</v>
      </c>
      <c r="O9" s="64">
        <v>14000</v>
      </c>
      <c r="P9" s="65">
        <f>Table224578910112345[[#This Row],[PEMBULATAN]]*O9</f>
        <v>350000</v>
      </c>
    </row>
    <row r="10" spans="1:16" ht="22.5" customHeight="1" x14ac:dyDescent="0.2">
      <c r="A10" s="114" t="s">
        <v>30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6"/>
      <c r="M10" s="79">
        <f>SUBTOTAL(109,Table224578910112345[KG VOLUME])</f>
        <v>170.55</v>
      </c>
      <c r="N10" s="68">
        <f>SUM(N3:N9)</f>
        <v>175</v>
      </c>
      <c r="O10" s="117">
        <f>SUM(P3:P9)</f>
        <v>2450000</v>
      </c>
      <c r="P10" s="118"/>
    </row>
    <row r="11" spans="1:16" ht="18" customHeight="1" x14ac:dyDescent="0.2">
      <c r="A11" s="86"/>
      <c r="B11" s="56" t="s">
        <v>42</v>
      </c>
      <c r="C11" s="55"/>
      <c r="D11" s="57" t="s">
        <v>43</v>
      </c>
      <c r="E11" s="86"/>
      <c r="F11" s="86"/>
      <c r="G11" s="86"/>
      <c r="H11" s="86"/>
      <c r="I11" s="86"/>
      <c r="J11" s="86"/>
      <c r="K11" s="86"/>
      <c r="L11" s="86"/>
      <c r="M11" s="87"/>
      <c r="N11" s="88" t="s">
        <v>51</v>
      </c>
      <c r="O11" s="89"/>
      <c r="P11" s="89">
        <f>O10*10%</f>
        <v>245000</v>
      </c>
    </row>
    <row r="12" spans="1:16" ht="18" customHeight="1" thickBot="1" x14ac:dyDescent="0.25">
      <c r="A12" s="86"/>
      <c r="B12" s="56"/>
      <c r="C12" s="55"/>
      <c r="D12" s="57"/>
      <c r="E12" s="86"/>
      <c r="F12" s="86"/>
      <c r="G12" s="86"/>
      <c r="H12" s="86"/>
      <c r="I12" s="86"/>
      <c r="J12" s="86"/>
      <c r="K12" s="86"/>
      <c r="L12" s="86"/>
      <c r="M12" s="87"/>
      <c r="N12" s="90" t="s">
        <v>52</v>
      </c>
      <c r="O12" s="91"/>
      <c r="P12" s="91">
        <f>O10-P11</f>
        <v>2205000</v>
      </c>
    </row>
    <row r="13" spans="1:16" ht="18" customHeight="1" x14ac:dyDescent="0.2">
      <c r="A13" s="11"/>
      <c r="H13" s="63"/>
      <c r="N13" s="62" t="s">
        <v>31</v>
      </c>
      <c r="P13" s="69">
        <f>P12*1%</f>
        <v>22050</v>
      </c>
    </row>
    <row r="14" spans="1:16" ht="18" customHeight="1" thickBot="1" x14ac:dyDescent="0.25">
      <c r="A14" s="11"/>
      <c r="H14" s="63"/>
      <c r="N14" s="62" t="s">
        <v>53</v>
      </c>
      <c r="P14" s="71">
        <f>P12*2%</f>
        <v>44100</v>
      </c>
    </row>
    <row r="15" spans="1:16" ht="18" customHeight="1" x14ac:dyDescent="0.2">
      <c r="A15" s="11"/>
      <c r="H15" s="63"/>
      <c r="N15" s="66" t="s">
        <v>32</v>
      </c>
      <c r="O15" s="67"/>
      <c r="P15" s="70">
        <f>P12+P13-P14</f>
        <v>2182950</v>
      </c>
    </row>
    <row r="17" spans="1:16" x14ac:dyDescent="0.2">
      <c r="A17" s="11"/>
      <c r="H17" s="63"/>
      <c r="P17" s="71"/>
    </row>
    <row r="18" spans="1:16" x14ac:dyDescent="0.2">
      <c r="A18" s="11"/>
      <c r="H18" s="63"/>
      <c r="O18" s="58"/>
      <c r="P18" s="71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52" priority="2"/>
  </conditionalFormatting>
  <conditionalFormatting sqref="B4">
    <cfRule type="duplicateValues" dxfId="51" priority="1"/>
  </conditionalFormatting>
  <conditionalFormatting sqref="B5:B9">
    <cfRule type="duplicateValues" dxfId="50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2" sqref="G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402729</v>
      </c>
      <c r="B3" s="74" t="s">
        <v>82</v>
      </c>
      <c r="C3" s="9" t="s">
        <v>83</v>
      </c>
      <c r="D3" s="76" t="s">
        <v>63</v>
      </c>
      <c r="E3" s="13">
        <v>44554</v>
      </c>
      <c r="F3" s="76" t="s">
        <v>72</v>
      </c>
      <c r="G3" s="13">
        <v>44574</v>
      </c>
      <c r="H3" s="10" t="s">
        <v>89</v>
      </c>
      <c r="I3" s="1">
        <v>51</v>
      </c>
      <c r="J3" s="1">
        <v>45</v>
      </c>
      <c r="K3" s="1">
        <v>14</v>
      </c>
      <c r="L3" s="1">
        <v>11</v>
      </c>
      <c r="M3" s="80">
        <v>8.0325000000000006</v>
      </c>
      <c r="N3" s="8">
        <v>11</v>
      </c>
      <c r="O3" s="64">
        <v>14000</v>
      </c>
      <c r="P3" s="65">
        <f>Table2245789101123456[[#This Row],[PEMBULATAN]]*O3</f>
        <v>154000</v>
      </c>
    </row>
    <row r="4" spans="1:16" ht="26.25" customHeight="1" x14ac:dyDescent="0.2">
      <c r="A4" s="14"/>
      <c r="B4" s="75"/>
      <c r="C4" s="9" t="s">
        <v>84</v>
      </c>
      <c r="D4" s="76" t="s">
        <v>63</v>
      </c>
      <c r="E4" s="13">
        <v>44554</v>
      </c>
      <c r="F4" s="76" t="s">
        <v>72</v>
      </c>
      <c r="G4" s="13">
        <v>44574</v>
      </c>
      <c r="H4" s="10" t="s">
        <v>89</v>
      </c>
      <c r="I4" s="1">
        <v>51</v>
      </c>
      <c r="J4" s="1">
        <v>45</v>
      </c>
      <c r="K4" s="1">
        <v>14</v>
      </c>
      <c r="L4" s="1">
        <v>11</v>
      </c>
      <c r="M4" s="80">
        <v>8.0325000000000006</v>
      </c>
      <c r="N4" s="8">
        <v>11</v>
      </c>
      <c r="O4" s="64">
        <v>14000</v>
      </c>
      <c r="P4" s="65">
        <f>Table2245789101123456[[#This Row],[PEMBULATAN]]*O4</f>
        <v>154000</v>
      </c>
    </row>
    <row r="5" spans="1:16" ht="26.25" customHeight="1" x14ac:dyDescent="0.2">
      <c r="A5" s="14"/>
      <c r="B5" s="14"/>
      <c r="C5" s="9" t="s">
        <v>85</v>
      </c>
      <c r="D5" s="76" t="s">
        <v>63</v>
      </c>
      <c r="E5" s="13">
        <v>44554</v>
      </c>
      <c r="F5" s="76" t="s">
        <v>72</v>
      </c>
      <c r="G5" s="13">
        <v>44574</v>
      </c>
      <c r="H5" s="10" t="s">
        <v>89</v>
      </c>
      <c r="I5" s="1">
        <v>51</v>
      </c>
      <c r="J5" s="1">
        <v>45</v>
      </c>
      <c r="K5" s="1">
        <v>14</v>
      </c>
      <c r="L5" s="1">
        <v>11</v>
      </c>
      <c r="M5" s="80">
        <v>8.0325000000000006</v>
      </c>
      <c r="N5" s="8">
        <v>11</v>
      </c>
      <c r="O5" s="64">
        <v>14000</v>
      </c>
      <c r="P5" s="65">
        <f>Table2245789101123456[[#This Row],[PEMBULATAN]]*O5</f>
        <v>154000</v>
      </c>
    </row>
    <row r="6" spans="1:16" ht="26.25" customHeight="1" x14ac:dyDescent="0.2">
      <c r="A6" s="14"/>
      <c r="B6" s="14"/>
      <c r="C6" s="73" t="s">
        <v>86</v>
      </c>
      <c r="D6" s="78" t="s">
        <v>63</v>
      </c>
      <c r="E6" s="13">
        <v>44554</v>
      </c>
      <c r="F6" s="76" t="s">
        <v>72</v>
      </c>
      <c r="G6" s="13">
        <v>44574</v>
      </c>
      <c r="H6" s="77" t="s">
        <v>89</v>
      </c>
      <c r="I6" s="16">
        <v>51</v>
      </c>
      <c r="J6" s="16">
        <v>45</v>
      </c>
      <c r="K6" s="16">
        <v>14</v>
      </c>
      <c r="L6" s="16">
        <v>11</v>
      </c>
      <c r="M6" s="81">
        <v>8.0325000000000006</v>
      </c>
      <c r="N6" s="72">
        <v>11</v>
      </c>
      <c r="O6" s="64">
        <v>14000</v>
      </c>
      <c r="P6" s="65">
        <f>Table2245789101123456[[#This Row],[PEMBULATAN]]*O6</f>
        <v>154000</v>
      </c>
    </row>
    <row r="7" spans="1:16" ht="26.25" customHeight="1" x14ac:dyDescent="0.2">
      <c r="A7" s="14"/>
      <c r="B7" s="14"/>
      <c r="C7" s="73" t="s">
        <v>87</v>
      </c>
      <c r="D7" s="78" t="s">
        <v>63</v>
      </c>
      <c r="E7" s="13">
        <v>44554</v>
      </c>
      <c r="F7" s="76" t="s">
        <v>72</v>
      </c>
      <c r="G7" s="13">
        <v>44574</v>
      </c>
      <c r="H7" s="77" t="s">
        <v>89</v>
      </c>
      <c r="I7" s="16">
        <v>51</v>
      </c>
      <c r="J7" s="16">
        <v>45</v>
      </c>
      <c r="K7" s="16">
        <v>14</v>
      </c>
      <c r="L7" s="16">
        <v>11</v>
      </c>
      <c r="M7" s="81">
        <v>8.0325000000000006</v>
      </c>
      <c r="N7" s="72">
        <v>11</v>
      </c>
      <c r="O7" s="64">
        <v>14000</v>
      </c>
      <c r="P7" s="65">
        <f>Table2245789101123456[[#This Row],[PEMBULATAN]]*O7</f>
        <v>154000</v>
      </c>
    </row>
    <row r="8" spans="1:16" ht="26.25" customHeight="1" x14ac:dyDescent="0.2">
      <c r="A8" s="14"/>
      <c r="B8" s="14"/>
      <c r="C8" s="73" t="s">
        <v>88</v>
      </c>
      <c r="D8" s="78" t="s">
        <v>63</v>
      </c>
      <c r="E8" s="13">
        <v>44554</v>
      </c>
      <c r="F8" s="76" t="s">
        <v>72</v>
      </c>
      <c r="G8" s="13">
        <v>44574</v>
      </c>
      <c r="H8" s="77" t="s">
        <v>89</v>
      </c>
      <c r="I8" s="16">
        <v>51</v>
      </c>
      <c r="J8" s="16">
        <v>45</v>
      </c>
      <c r="K8" s="16">
        <v>14</v>
      </c>
      <c r="L8" s="16">
        <v>11</v>
      </c>
      <c r="M8" s="81">
        <v>8.0325000000000006</v>
      </c>
      <c r="N8" s="72">
        <v>11</v>
      </c>
      <c r="O8" s="64">
        <v>14000</v>
      </c>
      <c r="P8" s="65">
        <f>Table2245789101123456[[#This Row],[PEMBULATAN]]*O8</f>
        <v>154000</v>
      </c>
    </row>
    <row r="9" spans="1:16" ht="22.5" customHeight="1" x14ac:dyDescent="0.2">
      <c r="A9" s="114" t="s">
        <v>30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6"/>
      <c r="M9" s="79">
        <f>SUBTOTAL(109,Table2245789101123456[KG VOLUME])</f>
        <v>48.195</v>
      </c>
      <c r="N9" s="68">
        <f>SUM(N3:N8)</f>
        <v>66</v>
      </c>
      <c r="O9" s="117">
        <f>SUM(P3:P8)</f>
        <v>924000</v>
      </c>
      <c r="P9" s="118"/>
    </row>
    <row r="10" spans="1:16" ht="18" customHeight="1" x14ac:dyDescent="0.2">
      <c r="A10" s="86"/>
      <c r="B10" s="56" t="s">
        <v>42</v>
      </c>
      <c r="C10" s="55"/>
      <c r="D10" s="57" t="s">
        <v>43</v>
      </c>
      <c r="E10" s="86"/>
      <c r="F10" s="86"/>
      <c r="G10" s="86"/>
      <c r="H10" s="86"/>
      <c r="I10" s="86"/>
      <c r="J10" s="86"/>
      <c r="K10" s="86"/>
      <c r="L10" s="86"/>
      <c r="M10" s="87"/>
      <c r="N10" s="88" t="s">
        <v>51</v>
      </c>
      <c r="O10" s="89"/>
      <c r="P10" s="89">
        <f>O9*10%</f>
        <v>92400</v>
      </c>
    </row>
    <row r="11" spans="1:16" ht="18" customHeight="1" thickBot="1" x14ac:dyDescent="0.25">
      <c r="A11" s="86"/>
      <c r="B11" s="56"/>
      <c r="C11" s="55"/>
      <c r="D11" s="57"/>
      <c r="E11" s="86"/>
      <c r="F11" s="86"/>
      <c r="G11" s="86"/>
      <c r="H11" s="86"/>
      <c r="I11" s="86"/>
      <c r="J11" s="86"/>
      <c r="K11" s="86"/>
      <c r="L11" s="86"/>
      <c r="M11" s="87"/>
      <c r="N11" s="90" t="s">
        <v>52</v>
      </c>
      <c r="O11" s="91"/>
      <c r="P11" s="91">
        <f>O9-P10</f>
        <v>831600</v>
      </c>
    </row>
    <row r="12" spans="1:16" ht="18" customHeight="1" x14ac:dyDescent="0.2">
      <c r="A12" s="11"/>
      <c r="H12" s="63"/>
      <c r="N12" s="62" t="s">
        <v>31</v>
      </c>
      <c r="P12" s="69">
        <f>P11*1%</f>
        <v>8316</v>
      </c>
    </row>
    <row r="13" spans="1:16" ht="18" customHeight="1" thickBot="1" x14ac:dyDescent="0.25">
      <c r="A13" s="11"/>
      <c r="H13" s="63"/>
      <c r="N13" s="62" t="s">
        <v>53</v>
      </c>
      <c r="P13" s="71">
        <f>P11*2%</f>
        <v>16632</v>
      </c>
    </row>
    <row r="14" spans="1:16" ht="18" customHeight="1" x14ac:dyDescent="0.2">
      <c r="A14" s="11"/>
      <c r="H14" s="63"/>
      <c r="N14" s="66" t="s">
        <v>32</v>
      </c>
      <c r="O14" s="67"/>
      <c r="P14" s="70">
        <f>P11+P12-P13</f>
        <v>823284</v>
      </c>
    </row>
    <row r="16" spans="1:16" x14ac:dyDescent="0.2">
      <c r="A16" s="11"/>
      <c r="H16" s="63"/>
      <c r="P16" s="71"/>
    </row>
    <row r="17" spans="1:16" x14ac:dyDescent="0.2">
      <c r="A17" s="11"/>
      <c r="H17" s="63"/>
      <c r="O17" s="58"/>
      <c r="P17" s="71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34" priority="2"/>
  </conditionalFormatting>
  <conditionalFormatting sqref="B4">
    <cfRule type="duplicateValues" dxfId="33" priority="1"/>
  </conditionalFormatting>
  <conditionalFormatting sqref="B5:B8">
    <cfRule type="duplicateValues" dxfId="32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402762</v>
      </c>
      <c r="B3" s="74" t="s">
        <v>90</v>
      </c>
      <c r="C3" s="9" t="s">
        <v>91</v>
      </c>
      <c r="D3" s="76" t="s">
        <v>63</v>
      </c>
      <c r="E3" s="13">
        <v>44561</v>
      </c>
      <c r="F3" s="76" t="s">
        <v>72</v>
      </c>
      <c r="G3" s="13">
        <v>44574</v>
      </c>
      <c r="H3" s="10" t="s">
        <v>89</v>
      </c>
      <c r="I3" s="1">
        <v>37</v>
      </c>
      <c r="J3" s="1">
        <v>37</v>
      </c>
      <c r="K3" s="1">
        <v>75</v>
      </c>
      <c r="L3" s="1">
        <v>11</v>
      </c>
      <c r="M3" s="80">
        <v>25.668749999999999</v>
      </c>
      <c r="N3" s="96">
        <v>25.668749999999999</v>
      </c>
      <c r="O3" s="64">
        <v>14000</v>
      </c>
      <c r="P3" s="65">
        <f>Table22457891011234567[[#This Row],[PEMBULATAN]]*O3</f>
        <v>359362.5</v>
      </c>
    </row>
    <row r="4" spans="1:16" ht="26.25" customHeight="1" x14ac:dyDescent="0.2">
      <c r="A4" s="14"/>
      <c r="B4" s="75"/>
      <c r="C4" s="9" t="s">
        <v>92</v>
      </c>
      <c r="D4" s="76" t="s">
        <v>63</v>
      </c>
      <c r="E4" s="13">
        <v>44561</v>
      </c>
      <c r="F4" s="76" t="s">
        <v>72</v>
      </c>
      <c r="G4" s="13">
        <v>44574</v>
      </c>
      <c r="H4" s="10" t="s">
        <v>89</v>
      </c>
      <c r="I4" s="1">
        <v>150</v>
      </c>
      <c r="J4" s="1">
        <v>65</v>
      </c>
      <c r="K4" s="1">
        <v>10</v>
      </c>
      <c r="L4" s="1">
        <v>9</v>
      </c>
      <c r="M4" s="80">
        <v>24.375</v>
      </c>
      <c r="N4" s="8">
        <v>25</v>
      </c>
      <c r="O4" s="64">
        <v>14000</v>
      </c>
      <c r="P4" s="65">
        <f>Table22457891011234567[[#This Row],[PEMBULATAN]]*O4</f>
        <v>350000</v>
      </c>
    </row>
    <row r="5" spans="1:16" ht="22.5" customHeight="1" x14ac:dyDescent="0.2">
      <c r="A5" s="114" t="s">
        <v>30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  <c r="M5" s="79">
        <f>SUBTOTAL(109,Table22457891011234567[KG VOLUME])</f>
        <v>50.043750000000003</v>
      </c>
      <c r="N5" s="68">
        <f>SUM(N3:N4)</f>
        <v>50.668750000000003</v>
      </c>
      <c r="O5" s="117">
        <f>SUM(P3:P4)</f>
        <v>709362.5</v>
      </c>
      <c r="P5" s="118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70936.25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638426.25</v>
      </c>
    </row>
    <row r="8" spans="1:16" ht="18" customHeight="1" x14ac:dyDescent="0.2">
      <c r="A8" s="11"/>
      <c r="H8" s="63"/>
      <c r="N8" s="62" t="s">
        <v>31</v>
      </c>
      <c r="P8" s="69">
        <f>P7*1%</f>
        <v>6384.2624999999998</v>
      </c>
    </row>
    <row r="9" spans="1:16" ht="18" customHeight="1" thickBot="1" x14ac:dyDescent="0.25">
      <c r="A9" s="11"/>
      <c r="H9" s="63"/>
      <c r="N9" s="62" t="s">
        <v>53</v>
      </c>
      <c r="P9" s="71">
        <f>P7*2%</f>
        <v>12768.525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632041.98749999993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063_Sicepat_Manokwari</vt:lpstr>
      <vt:lpstr>405829</vt:lpstr>
      <vt:lpstr>405834</vt:lpstr>
      <vt:lpstr>406471</vt:lpstr>
      <vt:lpstr>402668</vt:lpstr>
      <vt:lpstr>402729</vt:lpstr>
      <vt:lpstr>402762</vt:lpstr>
      <vt:lpstr>'063_Sicepat_Manokwari'!Print_Titles</vt:lpstr>
      <vt:lpstr>'402668'!Print_Titles</vt:lpstr>
      <vt:lpstr>'402729'!Print_Titles</vt:lpstr>
      <vt:lpstr>'402762'!Print_Titles</vt:lpstr>
      <vt:lpstr>'405829'!Print_Titles</vt:lpstr>
      <vt:lpstr>'405834'!Print_Titles</vt:lpstr>
      <vt:lpstr>'406471'!Print_Titles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2022-01-13T06:20:10Z</cp:lastPrinted>
  <dcterms:created xsi:type="dcterms:W3CDTF">2021-07-02T11:08:00Z</dcterms:created>
  <dcterms:modified xsi:type="dcterms:W3CDTF">2022-01-13T07:09:02Z</dcterms:modified>
</cp:coreProperties>
</file>