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 activeTab="2"/>
  </bookViews>
  <sheets>
    <sheet name="Sicepat_AMBON Des 2021" sheetId="2" r:id="rId1"/>
    <sheet name="ALL" sheetId="89" r:id="rId2"/>
    <sheet name="405807" sheetId="26" r:id="rId3"/>
    <sheet name="405827" sheetId="57" r:id="rId4"/>
    <sheet name="402952" sheetId="58" r:id="rId5"/>
    <sheet name="406455" sheetId="59" r:id="rId6"/>
    <sheet name="406464" sheetId="60" r:id="rId7"/>
    <sheet name="402671" sheetId="61" r:id="rId8"/>
    <sheet name="402681" sheetId="62" r:id="rId9"/>
    <sheet name="402692" sheetId="63" r:id="rId10"/>
    <sheet name="402720" sheetId="64" r:id="rId11"/>
    <sheet name="402765" sheetId="65" r:id="rId12"/>
  </sheets>
  <definedNames>
    <definedName name="_xlnm.Print_Titles" localSheetId="7">'402671'!$2:$2</definedName>
    <definedName name="_xlnm.Print_Titles" localSheetId="8">'402681'!$2:$2</definedName>
    <definedName name="_xlnm.Print_Titles" localSheetId="9">'402692'!$2:$2</definedName>
    <definedName name="_xlnm.Print_Titles" localSheetId="10">'402720'!$2:$2</definedName>
    <definedName name="_xlnm.Print_Titles" localSheetId="11">'402765'!$2:$2</definedName>
    <definedName name="_xlnm.Print_Titles" localSheetId="4">'402952'!$2:$2</definedName>
    <definedName name="_xlnm.Print_Titles" localSheetId="2">'405807'!$2:$2</definedName>
    <definedName name="_xlnm.Print_Titles" localSheetId="3">'405827'!$2:$2</definedName>
    <definedName name="_xlnm.Print_Titles" localSheetId="5">'406455'!$2:$2</definedName>
    <definedName name="_xlnm.Print_Titles" localSheetId="6">'406464'!$2:$2</definedName>
    <definedName name="_xlnm.Print_Titles" localSheetId="1">ALL!$2:$2</definedName>
    <definedName name="_xlnm.Print_Titles" localSheetId="0">'Sicepat_AMBON Des 2021'!$2:$17</definedName>
  </definedNames>
  <calcPr calcId="162913"/>
</workbook>
</file>

<file path=xl/calcChain.xml><?xml version="1.0" encoding="utf-8"?>
<calcChain xmlns="http://schemas.openxmlformats.org/spreadsheetml/2006/main">
  <c r="O19" i="65" l="1"/>
  <c r="N19" i="65"/>
  <c r="N11" i="63"/>
  <c r="O11" i="62"/>
  <c r="N11" i="62"/>
  <c r="M13" i="61"/>
  <c r="O13" i="61"/>
  <c r="N13" i="61"/>
  <c r="O9" i="60"/>
  <c r="N9" i="60"/>
  <c r="M6" i="59"/>
  <c r="O6" i="59"/>
  <c r="N6" i="59"/>
  <c r="O4" i="58"/>
  <c r="N4" i="58"/>
  <c r="O4" i="57"/>
  <c r="N4" i="57"/>
  <c r="O10" i="26"/>
  <c r="N10" i="26"/>
  <c r="M9" i="60" l="1"/>
  <c r="M68" i="89"/>
  <c r="N68" i="89"/>
  <c r="O68" i="89"/>
  <c r="Q68" i="89"/>
  <c r="P11" i="89" l="1"/>
  <c r="P12" i="89"/>
  <c r="P13" i="89"/>
  <c r="P14" i="89"/>
  <c r="P15" i="89"/>
  <c r="P16" i="89"/>
  <c r="P17" i="89"/>
  <c r="P18" i="89"/>
  <c r="P19" i="89"/>
  <c r="P20" i="89"/>
  <c r="P21" i="89"/>
  <c r="P22" i="89"/>
  <c r="P23" i="89"/>
  <c r="P24" i="89"/>
  <c r="P25" i="89"/>
  <c r="P26" i="89"/>
  <c r="P27" i="89"/>
  <c r="P28" i="89"/>
  <c r="P29" i="89"/>
  <c r="P30" i="89"/>
  <c r="P31" i="89"/>
  <c r="P32" i="89"/>
  <c r="P33" i="89"/>
  <c r="P34" i="89"/>
  <c r="P35" i="89"/>
  <c r="P36" i="89"/>
  <c r="P37" i="89"/>
  <c r="P38" i="89"/>
  <c r="P39" i="89"/>
  <c r="P40" i="89"/>
  <c r="P41" i="89"/>
  <c r="P42" i="89"/>
  <c r="P43" i="89"/>
  <c r="P44" i="89"/>
  <c r="P45" i="89"/>
  <c r="P46" i="89"/>
  <c r="P47" i="89"/>
  <c r="P48" i="89"/>
  <c r="P49" i="89"/>
  <c r="P50" i="89"/>
  <c r="P51" i="89"/>
  <c r="P52" i="89"/>
  <c r="P53" i="89"/>
  <c r="P54" i="89"/>
  <c r="P55" i="89"/>
  <c r="P56" i="89"/>
  <c r="P57" i="89"/>
  <c r="P58" i="89"/>
  <c r="P59" i="89"/>
  <c r="P60" i="89"/>
  <c r="P61" i="89"/>
  <c r="P62" i="89"/>
  <c r="P63" i="89"/>
  <c r="P64" i="89"/>
  <c r="P65" i="89"/>
  <c r="P66" i="89"/>
  <c r="P67" i="89"/>
  <c r="P3" i="89"/>
  <c r="P4" i="89"/>
  <c r="P5" i="89"/>
  <c r="P6" i="89"/>
  <c r="P7" i="89"/>
  <c r="P8" i="89"/>
  <c r="P9" i="89"/>
  <c r="P10" i="89"/>
  <c r="P20" i="65"/>
  <c r="P5" i="58"/>
  <c r="M19" i="65"/>
  <c r="P9" i="64"/>
  <c r="P12" i="63"/>
  <c r="P14" i="61"/>
  <c r="P10" i="60"/>
  <c r="P7" i="59"/>
  <c r="P5" i="57"/>
  <c r="P69" i="89" l="1"/>
  <c r="P70" i="89" s="1"/>
  <c r="P9" i="26"/>
  <c r="P8" i="26"/>
  <c r="P7" i="26"/>
  <c r="P6" i="26"/>
  <c r="P5" i="26"/>
  <c r="P4" i="26"/>
  <c r="P72" i="89" l="1"/>
  <c r="P71" i="89"/>
  <c r="P73" i="89" s="1"/>
  <c r="B27" i="2"/>
  <c r="B26" i="2"/>
  <c r="B25" i="2"/>
  <c r="B24" i="2"/>
  <c r="B23" i="2"/>
  <c r="B22" i="2"/>
  <c r="B21" i="2"/>
  <c r="B20" i="2"/>
  <c r="B19" i="2"/>
  <c r="B18" i="2"/>
  <c r="G27" i="2" l="1"/>
  <c r="C27" i="2"/>
  <c r="C26" i="2"/>
  <c r="C25" i="2"/>
  <c r="C24" i="2"/>
  <c r="C23" i="2"/>
  <c r="C22" i="2"/>
  <c r="C21" i="2"/>
  <c r="C20" i="2"/>
  <c r="C19" i="2"/>
  <c r="C18" i="2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N8" i="64"/>
  <c r="G26" i="2" s="1"/>
  <c r="M8" i="64"/>
  <c r="P7" i="64"/>
  <c r="P6" i="64"/>
  <c r="P5" i="64"/>
  <c r="P4" i="64"/>
  <c r="P3" i="64"/>
  <c r="G25" i="2"/>
  <c r="M11" i="63"/>
  <c r="P10" i="63"/>
  <c r="P9" i="63"/>
  <c r="P8" i="63"/>
  <c r="P7" i="63"/>
  <c r="P6" i="63"/>
  <c r="P5" i="63"/>
  <c r="P4" i="63"/>
  <c r="P3" i="63"/>
  <c r="G24" i="2"/>
  <c r="M11" i="62"/>
  <c r="P10" i="62"/>
  <c r="P9" i="62"/>
  <c r="P8" i="62"/>
  <c r="P7" i="62"/>
  <c r="P6" i="62"/>
  <c r="P5" i="62"/>
  <c r="P4" i="62"/>
  <c r="P3" i="62"/>
  <c r="G23" i="2"/>
  <c r="P12" i="61"/>
  <c r="P11" i="61"/>
  <c r="P10" i="61"/>
  <c r="P9" i="61"/>
  <c r="P8" i="61"/>
  <c r="P7" i="61"/>
  <c r="P6" i="61"/>
  <c r="P5" i="61"/>
  <c r="P4" i="61"/>
  <c r="P3" i="61"/>
  <c r="G22" i="2"/>
  <c r="P8" i="60"/>
  <c r="P7" i="60"/>
  <c r="P6" i="60"/>
  <c r="P5" i="60"/>
  <c r="P4" i="60"/>
  <c r="P3" i="60"/>
  <c r="G21" i="2"/>
  <c r="P5" i="59"/>
  <c r="P4" i="59"/>
  <c r="P3" i="59"/>
  <c r="P8" i="59" s="1"/>
  <c r="M4" i="58"/>
  <c r="P3" i="58"/>
  <c r="P6" i="58" s="1"/>
  <c r="M4" i="57"/>
  <c r="P3" i="57"/>
  <c r="P21" i="65" l="1"/>
  <c r="P23" i="65" s="1"/>
  <c r="O8" i="64"/>
  <c r="P10" i="64" s="1"/>
  <c r="P12" i="64" s="1"/>
  <c r="O11" i="63"/>
  <c r="P13" i="63" s="1"/>
  <c r="P15" i="63" s="1"/>
  <c r="P13" i="62"/>
  <c r="P15" i="62" s="1"/>
  <c r="P15" i="61"/>
  <c r="P16" i="61" s="1"/>
  <c r="P11" i="60"/>
  <c r="P12" i="60" s="1"/>
  <c r="P6" i="57"/>
  <c r="P7" i="57" s="1"/>
  <c r="P10" i="59"/>
  <c r="P9" i="59"/>
  <c r="P8" i="58"/>
  <c r="P7" i="58"/>
  <c r="P9" i="58" s="1"/>
  <c r="P11" i="59" l="1"/>
  <c r="P22" i="65"/>
  <c r="P24" i="65" s="1"/>
  <c r="P11" i="64"/>
  <c r="P13" i="64" s="1"/>
  <c r="P14" i="63"/>
  <c r="P16" i="63" s="1"/>
  <c r="P14" i="62"/>
  <c r="P16" i="62" s="1"/>
  <c r="P17" i="61"/>
  <c r="P18" i="61" s="1"/>
  <c r="P13" i="60"/>
  <c r="P14" i="60" s="1"/>
  <c r="P8" i="57"/>
  <c r="P9" i="57" s="1"/>
  <c r="I33" i="2"/>
  <c r="I32" i="2"/>
  <c r="I34" i="2" s="1"/>
  <c r="G18" i="2" l="1"/>
  <c r="M10" i="26"/>
  <c r="P3" i="26"/>
  <c r="J27" i="2" l="1"/>
  <c r="J26" i="2"/>
  <c r="J25" i="2"/>
  <c r="P11" i="26" l="1"/>
  <c r="P12" i="26" s="1"/>
  <c r="J24" i="2"/>
  <c r="P13" i="26" l="1"/>
  <c r="P14" i="26"/>
  <c r="P15" i="26" s="1"/>
  <c r="A19" i="2"/>
  <c r="A20" i="2" s="1"/>
  <c r="A21" i="2" s="1"/>
  <c r="A22" i="2" s="1"/>
  <c r="A23" i="2" s="1"/>
  <c r="A24" i="2" s="1"/>
  <c r="A25" i="2" s="1"/>
  <c r="A26" i="2" s="1"/>
  <c r="A27" i="2" s="1"/>
  <c r="J23" i="2"/>
  <c r="J21" i="2"/>
  <c r="J22" i="2"/>
  <c r="J20" i="2"/>
  <c r="J19" i="2"/>
  <c r="I45" i="2" l="1"/>
  <c r="J18" i="2"/>
  <c r="J28" i="2" s="1"/>
  <c r="J30" i="2" l="1"/>
  <c r="J31" i="2" s="1"/>
  <c r="J32" i="2" l="1"/>
  <c r="J33" i="2"/>
  <c r="J34" i="2" l="1"/>
</calcChain>
</file>

<file path=xl/sharedStrings.xml><?xml version="1.0" encoding="utf-8"?>
<sst xmlns="http://schemas.openxmlformats.org/spreadsheetml/2006/main" count="880" uniqueCount="149">
  <si>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</si>
  <si>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</si>
  <si>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</si>
  <si>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</si>
  <si>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</si>
  <si>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</si>
  <si>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</si>
  <si>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</si>
  <si>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</si>
  <si>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</si>
  <si>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</si>
  <si>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</si>
  <si>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</si>
  <si>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</si>
  <si>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</si>
  <si>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</si>
  <si>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</si>
  <si>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</si>
  <si>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</si>
  <si>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</si>
  <si>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</si>
  <si>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</si>
  <si>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</si>
  <si>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</si>
  <si>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</si>
  <si>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</si>
  <si>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</si>
  <si>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</si>
  <si>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</si>
  <si>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</si>
  <si>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</si>
  <si>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</si>
  <si>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</si>
  <si>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</si>
  <si>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</si>
  <si>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</si>
  <si>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</si>
  <si>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</si>
  <si>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</si>
  <si>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</si>
  <si>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</si>
  <si>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</si>
  <si>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</si>
  <si>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</si>
  <si>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</si>
  <si>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</si>
  <si>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</si>
  <si>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</si>
  <si>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</si>
  <si>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</si>
  <si>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</si>
  <si>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</si>
  <si>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</si>
  <si>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</si>
  <si>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</si>
  <si>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</si>
  <si>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DESEMBER 2021</t>
  </si>
  <si>
    <t>AMBON</t>
  </si>
  <si>
    <t>DMD/2112/03/TCPD2970</t>
  </si>
  <si>
    <t>GSK211202AIZ395</t>
  </si>
  <si>
    <t>GSK211202MHE023</t>
  </si>
  <si>
    <t>GSK211202SNR378</t>
  </si>
  <si>
    <t>GSK211202TGZ473</t>
  </si>
  <si>
    <t>GSK211202GCW548</t>
  </si>
  <si>
    <t>GSK211202AKT096</t>
  </si>
  <si>
    <t>GSK211202XIV290</t>
  </si>
  <si>
    <t>DMP AMQ (AMBON)</t>
  </si>
  <si>
    <t>KM DOBONSOLO</t>
  </si>
  <si>
    <t>12/20/2021 ALWI</t>
  </si>
  <si>
    <t>DMD/2112/06/ZSIR0378</t>
  </si>
  <si>
    <t>GSK211205CFB268</t>
  </si>
  <si>
    <t>12/21/2021 ALWI</t>
  </si>
  <si>
    <t>DMD/2112/10/HDXN3518</t>
  </si>
  <si>
    <t>GSK211207GKQ643</t>
  </si>
  <si>
    <t>GSK211207XEB591</t>
  </si>
  <si>
    <t>GSK211210MNJ904</t>
  </si>
  <si>
    <t>KM SEMBILANG</t>
  </si>
  <si>
    <t>12/23/2021 SITI</t>
  </si>
  <si>
    <t>12/15/2021 RESTU</t>
  </si>
  <si>
    <t>DMD/2112/11/KHQR2940</t>
  </si>
  <si>
    <t>GSK211211SHR254</t>
  </si>
  <si>
    <t>GSK211211DVR147</t>
  </si>
  <si>
    <t>GSK211211SPW652</t>
  </si>
  <si>
    <t>GSK211211UTW231</t>
  </si>
  <si>
    <t>GSK211211AKG948</t>
  </si>
  <si>
    <t>GSK211211DUC297</t>
  </si>
  <si>
    <t>KM DOROLONDA</t>
  </si>
  <si>
    <t>DMD/2112/16/LZIV7386</t>
  </si>
  <si>
    <t>GSK211216RSB014</t>
  </si>
  <si>
    <t>GSK211216FGU165</t>
  </si>
  <si>
    <t>GSK211216WGH354</t>
  </si>
  <si>
    <t>GSK211216FKR109</t>
  </si>
  <si>
    <t>GSK211216BHQ240</t>
  </si>
  <si>
    <t>GSK211216HKE219</t>
  </si>
  <si>
    <t>GSK211216MKO143</t>
  </si>
  <si>
    <t>GSK211216COQ546</t>
  </si>
  <si>
    <t>GSK211216HZL938</t>
  </si>
  <si>
    <t>GSK211216IDJ139</t>
  </si>
  <si>
    <t>KM NGAPULU</t>
  </si>
  <si>
    <t>12/27/2021 ALWI</t>
  </si>
  <si>
    <t>DMD/2112/17/EODC5491</t>
  </si>
  <si>
    <t>GSK211217XAU457</t>
  </si>
  <si>
    <t>GSK211217UDN751</t>
  </si>
  <si>
    <t>GSK211217RQE986</t>
  </si>
  <si>
    <t>GSK211217CDP591</t>
  </si>
  <si>
    <t>GSK211217WSO842</t>
  </si>
  <si>
    <t>GSK211217AQN273</t>
  </si>
  <si>
    <t>GSK211217UQP567</t>
  </si>
  <si>
    <t>GSK211217XTM964</t>
  </si>
  <si>
    <t>DMD/2112/18/NZHE5307</t>
  </si>
  <si>
    <t>GSK211218JGZ091</t>
  </si>
  <si>
    <t>GSK211218WTZ056</t>
  </si>
  <si>
    <t>GSK211218VPI249</t>
  </si>
  <si>
    <t>GSK211218TJZ139</t>
  </si>
  <si>
    <t>GSK211218RLS903</t>
  </si>
  <si>
    <t>GSK211218VHU823</t>
  </si>
  <si>
    <t>GSK211218GUL243</t>
  </si>
  <si>
    <t>GSK211218JDY581</t>
  </si>
  <si>
    <t>DMD/2112/23/KXOZ0846</t>
  </si>
  <si>
    <t>GSK211223MYT123</t>
  </si>
  <si>
    <t>GSK211223JIO052</t>
  </si>
  <si>
    <t>GSK211223OCF295</t>
  </si>
  <si>
    <t>GSK211223YTO179</t>
  </si>
  <si>
    <t>GSK211223WHA710</t>
  </si>
  <si>
    <t>01/08/2022 ALWI</t>
  </si>
  <si>
    <t xml:space="preserve">DMD/2112/31/CBNE3907 </t>
  </si>
  <si>
    <t>GSK211231YIT940</t>
  </si>
  <si>
    <t>GSK211231SHU486</t>
  </si>
  <si>
    <t>GSK211231WDH293</t>
  </si>
  <si>
    <t>GSK211231CWA734</t>
  </si>
  <si>
    <t>GSK211231BJW264</t>
  </si>
  <si>
    <t xml:space="preserve">DMD/2112/31/GUFZ8054  </t>
  </si>
  <si>
    <t>GSK211230UVW019</t>
  </si>
  <si>
    <t>GSK211230RQF721</t>
  </si>
  <si>
    <t>GSK211230DPV726</t>
  </si>
  <si>
    <t>GSK211230LIB608</t>
  </si>
  <si>
    <t>GSK211230MJK108</t>
  </si>
  <si>
    <t>GSK211230CRK075</t>
  </si>
  <si>
    <t>GSK211231ZHP102</t>
  </si>
  <si>
    <t>GSK211231RHG918</t>
  </si>
  <si>
    <t>GSK211231GRH792</t>
  </si>
  <si>
    <t>GSK211231YCB396</t>
  </si>
  <si>
    <t>GSK211231FOW810</t>
  </si>
  <si>
    <t>01/24/2022 ALWI</t>
  </si>
  <si>
    <t>PENGIRIMAN BARANG TUJUAN AMBON</t>
  </si>
  <si>
    <t>DMD/2112/09/GBCK0358</t>
  </si>
  <si>
    <t>GSK211209ZUB051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</si>
  <si>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Empat Juta Tujuh Ratus Empat Puluh Tujuh Ribu Tiga RatusEmpat Puluh Enam Rupiah.</t>
    </r>
  </si>
  <si>
    <t xml:space="preserve"> 29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</si>
</sst>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8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28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 wrapText="1"/>
    </xf>
    <xf numFmtId="0" fontId="2" fillId="0" borderId="28" xfId="0" applyFont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166" fontId="2" fillId="0" borderId="28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vertical="center" wrapText="1"/>
    </xf>
    <xf numFmtId="0" fontId="2" fillId="0" borderId="28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3" fillId="0" borderId="28" xfId="2" applyFont="1" applyBorder="1" applyAlignment="1">
      <alignment horizontal="center" vertical="center"/>
    </xf>
    <xf numFmtId="167" fontId="3" fillId="0" borderId="28" xfId="1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7" fontId="5" fillId="0" borderId="25" xfId="1" applyNumberFormat="1" applyFont="1" applyBorder="1" applyAlignment="1">
      <alignment horizontal="center" vertical="center"/>
    </xf>
    <xf numFmtId="167" fontId="5" fillId="0" borderId="27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1" name="Table22457891011212" displayName="Table22457891011212" ref="C2:N9" totalsRowShown="0" headerRowDxfId="188" dataDxfId="186" headerRowBorderDxfId="187">
  <tableColumns count="12">
    <tableColumn id="1" name="NOMOR" dataDxfId="185" dataCellStyle="Normal"/>
    <tableColumn id="3" name="TUJUAN" dataDxfId="184" dataCellStyle="Normal"/>
    <tableColumn id="16" name="Pick Up" dataDxfId="183"/>
    <tableColumn id="14" name="KAPAL" dataDxfId="182"/>
    <tableColumn id="15" name="ETD Kapal" dataDxfId="181"/>
    <tableColumn id="10" name="KETERANGAN" dataDxfId="180" dataCellStyle="Normal"/>
    <tableColumn id="5" name="P" dataDxfId="179" dataCellStyle="Normal"/>
    <tableColumn id="6" name="L" dataDxfId="178" dataCellStyle="Normal"/>
    <tableColumn id="7" name="T" dataDxfId="177" dataCellStyle="Normal"/>
    <tableColumn id="4" name="ACT KG" dataDxfId="176" dataCellStyle="Normal"/>
    <tableColumn id="8" name="KG VOLUME" dataDxfId="175" dataCellStyle="Normal"/>
    <tableColumn id="19" name="PEMBULATAN" dataDxfId="174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78910112345678910" displayName="Table224578910112345678910" ref="C2:N7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0" name="Table22457891011234567891011" displayName="Table22457891011234567891011" ref="C2:N18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9" totalsRowShown="0" headerRowDxfId="172" dataDxfId="170" headerRowBorderDxfId="171">
  <tableColumns count="12">
    <tableColumn id="1" name="NOMOR" dataDxfId="169" dataCellStyle="Normal"/>
    <tableColumn id="3" name="TUJUAN" dataDxfId="168" dataCellStyle="Normal"/>
    <tableColumn id="16" name="Pick Up" dataDxfId="167"/>
    <tableColumn id="14" name="KAPAL" dataDxfId="166"/>
    <tableColumn id="15" name="ETD Kapal" dataDxfId="165"/>
    <tableColumn id="10" name="KETERANGAN" dataDxfId="164" dataCellStyle="Normal"/>
    <tableColumn id="5" name="P" dataDxfId="163" dataCellStyle="Normal"/>
    <tableColumn id="6" name="L" dataDxfId="162" dataCellStyle="Normal"/>
    <tableColumn id="7" name="T" dataDxfId="161" dataCellStyle="Normal"/>
    <tableColumn id="4" name="ACT KG" dataDxfId="160" dataCellStyle="Normal"/>
    <tableColumn id="8" name="KG VOLUME" dataDxfId="159" dataCellStyle="Normal"/>
    <tableColumn id="19" name="PEMBULATAN" dataDxfId="15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789101123" displayName="Table2245789101123" ref="C2:N3" totalsRowShown="0" headerRowDxfId="156" dataDxfId="154" headerRowBorderDxfId="155">
  <tableColumns count="12">
    <tableColumn id="1" name="NOMOR" dataDxfId="153" dataCellStyle="Normal"/>
    <tableColumn id="3" name="TUJUAN" dataDxfId="152" dataCellStyle="Normal"/>
    <tableColumn id="16" name="Pick Up" dataDxfId="151"/>
    <tableColumn id="14" name="KAPAL" dataDxfId="150"/>
    <tableColumn id="15" name="ETD Kapal" dataDxfId="149"/>
    <tableColumn id="10" name="KETERANGAN" dataDxfId="148" dataCellStyle="Normal"/>
    <tableColumn id="5" name="P" dataDxfId="147" dataCellStyle="Normal"/>
    <tableColumn id="6" name="L" dataDxfId="146" dataCellStyle="Normal"/>
    <tableColumn id="7" name="T" dataDxfId="145" dataCellStyle="Normal"/>
    <tableColumn id="4" name="ACT KG" dataDxfId="144" dataCellStyle="Normal"/>
    <tableColumn id="8" name="KG VOLUME" dataDxfId="143" dataCellStyle="Normal"/>
    <tableColumn id="19" name="PEMBULATAN" dataDxfId="14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7891011234" displayName="Table22457891011234" ref="C2:N3" totalsRowShown="0" headerRowDxfId="140" dataDxfId="138" headerRowBorderDxfId="139">
  <tableColumns count="12">
    <tableColumn id="1" name="NOMOR" dataDxfId="137" dataCellStyle="Normal"/>
    <tableColumn id="3" name="TUJUAN" dataDxfId="136" dataCellStyle="Normal"/>
    <tableColumn id="16" name="Pick Up" dataDxfId="135"/>
    <tableColumn id="14" name="KAPAL" dataDxfId="134"/>
    <tableColumn id="15" name="ETD Kapal" dataDxfId="133"/>
    <tableColumn id="10" name="KETERANGAN" dataDxfId="132" dataCellStyle="Normal"/>
    <tableColumn id="5" name="P" dataDxfId="131" dataCellStyle="Normal"/>
    <tableColumn id="6" name="L" dataDxfId="130" dataCellStyle="Normal"/>
    <tableColumn id="7" name="T" dataDxfId="129" dataCellStyle="Normal"/>
    <tableColumn id="4" name="ACT KG" dataDxfId="128" dataCellStyle="Normal"/>
    <tableColumn id="8" name="KG VOLUME" dataDxfId="127" dataCellStyle="Normal"/>
    <tableColumn id="19" name="PEMBULATAN" dataDxfId="12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78910112345" displayName="Table224578910112345" ref="C2:N5" totalsRowShown="0" headerRowDxfId="122" dataDxfId="120" headerRowBorderDxfId="121">
  <tableColumns count="12">
    <tableColumn id="1" name="NOMOR" dataDxfId="119" dataCellStyle="Normal"/>
    <tableColumn id="3" name="TUJUAN" dataDxfId="118" dataCellStyle="Normal"/>
    <tableColumn id="16" name="Pick Up" dataDxfId="117"/>
    <tableColumn id="14" name="KAPAL" dataDxfId="116"/>
    <tableColumn id="15" name="ETD Kapal" dataDxfId="115"/>
    <tableColumn id="10" name="KETERANGAN" dataDxfId="114" dataCellStyle="Normal"/>
    <tableColumn id="5" name="P" dataDxfId="113" dataCellStyle="Normal"/>
    <tableColumn id="6" name="L" dataDxfId="112" dataCellStyle="Normal"/>
    <tableColumn id="7" name="T" dataDxfId="111" dataCellStyle="Normal"/>
    <tableColumn id="4" name="ACT KG" dataDxfId="110" dataCellStyle="Normal"/>
    <tableColumn id="8" name="KG VOLUME" dataDxfId="109" dataCellStyle="Normal"/>
    <tableColumn id="19" name="PEMBULATAN" dataDxfId="10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789101123456" displayName="Table2245789101123456" ref="C2:N8" totalsRowShown="0" headerRowDxfId="104" dataDxfId="102" headerRowBorderDxfId="103">
  <tableColumns count="12">
    <tableColumn id="1" name="NOMOR" dataDxfId="101" dataCellStyle="Normal"/>
    <tableColumn id="3" name="TUJUAN" dataDxfId="100" dataCellStyle="Normal"/>
    <tableColumn id="16" name="Pick Up" dataDxfId="99"/>
    <tableColumn id="14" name="KAPAL" dataDxfId="98"/>
    <tableColumn id="15" name="ETD Kapal" dataDxfId="97"/>
    <tableColumn id="10" name="KETERANGAN" dataDxfId="96" dataCellStyle="Normal"/>
    <tableColumn id="5" name="P" dataDxfId="95" dataCellStyle="Normal"/>
    <tableColumn id="6" name="L" dataDxfId="94" dataCellStyle="Normal"/>
    <tableColumn id="7" name="T" dataDxfId="93" dataCellStyle="Normal"/>
    <tableColumn id="4" name="ACT KG" dataDxfId="92" dataCellStyle="Normal"/>
    <tableColumn id="8" name="KG VOLUME" dataDxfId="91" dataCellStyle="Normal"/>
    <tableColumn id="19" name="PEMBULATAN" dataDxfId="9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7891011234567" displayName="Table22457891011234567" ref="C2:N12" totalsRowShown="0" headerRowDxfId="86" dataDxfId="84" headerRowBorderDxfId="85">
  <tableColumns count="12">
    <tableColumn id="1" name="NOMOR" dataDxfId="83" dataCellStyle="Normal"/>
    <tableColumn id="3" name="TUJUAN" dataDxfId="82" dataCellStyle="Normal"/>
    <tableColumn id="16" name="Pick Up" dataDxfId="81"/>
    <tableColumn id="14" name="KAPAL" dataDxfId="80"/>
    <tableColumn id="15" name="ETD Kapal" dataDxfId="79"/>
    <tableColumn id="10" name="KETERANGAN" dataDxfId="78" dataCellStyle="Normal"/>
    <tableColumn id="5" name="P" dataDxfId="77" dataCellStyle="Normal"/>
    <tableColumn id="6" name="L" dataDxfId="76" dataCellStyle="Normal"/>
    <tableColumn id="7" name="T" dataDxfId="75" dataCellStyle="Normal"/>
    <tableColumn id="4" name="ACT KG" dataDxfId="74" dataCellStyle="Normal"/>
    <tableColumn id="8" name="KG VOLUME" dataDxfId="73" dataCellStyle="Normal"/>
    <tableColumn id="19" name="PEMBULATAN" dataDxfId="7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78910112345678" displayName="Table224578910112345678" ref="C2:N10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789101123456789" displayName="Table2245789101123456789" ref="C2:N10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2"/>
  <sheetViews>
    <sheetView topLeftCell="A16" workbookViewId="0">
      <selection activeCell="E27" sqref="E27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48" t="s">
        <v>14</v>
      </c>
      <c r="B10" s="149"/>
      <c r="C10" s="149"/>
      <c r="D10" s="149"/>
      <c r="E10" s="149"/>
      <c r="F10" s="149"/>
      <c r="G10" s="149"/>
      <c r="H10" s="149"/>
      <c r="I10" s="149"/>
      <c r="J10" s="150"/>
    </row>
    <row r="12" spans="1:10" x14ac:dyDescent="0.25">
      <c r="A12" s="18" t="s">
        <v>15</v>
      </c>
      <c r="B12" s="18" t="s">
        <v>16</v>
      </c>
      <c r="G12" s="160" t="s">
        <v>49</v>
      </c>
      <c r="H12" s="160"/>
      <c r="I12" s="23" t="s">
        <v>17</v>
      </c>
      <c r="J12" s="24"/>
    </row>
    <row r="13" spans="1:10" x14ac:dyDescent="0.25">
      <c r="G13" s="160" t="s">
        <v>18</v>
      </c>
      <c r="H13" s="160"/>
      <c r="I13" s="23" t="s">
        <v>17</v>
      </c>
      <c r="J13" s="25" t="s">
        <v>148</v>
      </c>
    </row>
    <row r="14" spans="1:10" x14ac:dyDescent="0.25">
      <c r="G14" s="160" t="s">
        <v>50</v>
      </c>
      <c r="H14" s="160"/>
      <c r="I14" s="23" t="s">
        <v>17</v>
      </c>
      <c r="J14" s="18" t="s">
        <v>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56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51" t="s">
        <v>28</v>
      </c>
      <c r="I17" s="152"/>
      <c r="J17" s="29" t="s">
        <v>29</v>
      </c>
    </row>
    <row r="18" spans="1:12" ht="48" customHeight="1" x14ac:dyDescent="0.25">
      <c r="A18" s="30">
        <v>1</v>
      </c>
      <c r="B18" s="31">
        <f>'405807'!E3</f>
        <v>44533</v>
      </c>
      <c r="C18" s="83">
        <f>'405807'!A3</f>
        <v>405807</v>
      </c>
      <c r="D18" s="32" t="s">
        <v>144</v>
      </c>
      <c r="E18" s="32" t="s">
        <v>66</v>
      </c>
      <c r="F18" s="33">
        <v>7</v>
      </c>
      <c r="G18" s="146">
        <f>'405807'!N10</f>
        <v>189.9545</v>
      </c>
      <c r="H18" s="153">
        <v>14000</v>
      </c>
      <c r="I18" s="154"/>
      <c r="J18" s="34">
        <f>G18*H18</f>
        <v>2659363</v>
      </c>
      <c r="L18"/>
    </row>
    <row r="19" spans="1:12" ht="48" customHeight="1" x14ac:dyDescent="0.25">
      <c r="A19" s="30">
        <f>A18+1</f>
        <v>2</v>
      </c>
      <c r="B19" s="31">
        <f>'405827'!E3</f>
        <v>44536</v>
      </c>
      <c r="C19" s="83">
        <f>'405827'!A3</f>
        <v>405827</v>
      </c>
      <c r="D19" s="32" t="s">
        <v>144</v>
      </c>
      <c r="E19" s="32" t="s">
        <v>66</v>
      </c>
      <c r="F19" s="33">
        <v>1</v>
      </c>
      <c r="G19" s="147">
        <v>100</v>
      </c>
      <c r="H19" s="153">
        <v>14000</v>
      </c>
      <c r="I19" s="154"/>
      <c r="J19" s="34">
        <f t="shared" ref="J19:J27" si="0">G19*H19</f>
        <v>1400000</v>
      </c>
      <c r="L19"/>
    </row>
    <row r="20" spans="1:12" ht="48" customHeight="1" x14ac:dyDescent="0.25">
      <c r="A20" s="30">
        <f t="shared" ref="A20:A27" si="1">A19+1</f>
        <v>3</v>
      </c>
      <c r="B20" s="31">
        <f>'402952'!E3</f>
        <v>44539</v>
      </c>
      <c r="C20" s="83">
        <f>'402952'!A3</f>
        <v>402952</v>
      </c>
      <c r="D20" s="32" t="s">
        <v>144</v>
      </c>
      <c r="E20" s="32" t="s">
        <v>66</v>
      </c>
      <c r="F20" s="33">
        <v>1</v>
      </c>
      <c r="G20" s="147">
        <v>100</v>
      </c>
      <c r="H20" s="153">
        <v>14000</v>
      </c>
      <c r="I20" s="154"/>
      <c r="J20" s="34">
        <f t="shared" si="0"/>
        <v>1400000</v>
      </c>
      <c r="L20"/>
    </row>
    <row r="21" spans="1:12" ht="48" customHeight="1" x14ac:dyDescent="0.25">
      <c r="A21" s="30">
        <f t="shared" si="1"/>
        <v>4</v>
      </c>
      <c r="B21" s="31">
        <f>'406455'!E3</f>
        <v>44540</v>
      </c>
      <c r="C21" s="83">
        <f>'406455'!A3</f>
        <v>406455</v>
      </c>
      <c r="D21" s="32" t="s">
        <v>144</v>
      </c>
      <c r="E21" s="32" t="s">
        <v>66</v>
      </c>
      <c r="F21" s="33">
        <v>3</v>
      </c>
      <c r="G21" s="147">
        <f>'406455'!N6</f>
        <v>160</v>
      </c>
      <c r="H21" s="153">
        <v>14000</v>
      </c>
      <c r="I21" s="154"/>
      <c r="J21" s="34">
        <f>G21*H21</f>
        <v>2240000</v>
      </c>
      <c r="L21"/>
    </row>
    <row r="22" spans="1:12" ht="48" customHeight="1" x14ac:dyDescent="0.25">
      <c r="A22" s="30">
        <f t="shared" si="1"/>
        <v>5</v>
      </c>
      <c r="B22" s="31">
        <f>'406464'!E3</f>
        <v>44541</v>
      </c>
      <c r="C22" s="83">
        <f>'406464'!A3</f>
        <v>406464</v>
      </c>
      <c r="D22" s="32" t="s">
        <v>144</v>
      </c>
      <c r="E22" s="32" t="s">
        <v>66</v>
      </c>
      <c r="F22" s="33">
        <v>6</v>
      </c>
      <c r="G22" s="147">
        <f>'406464'!N9</f>
        <v>107.1815</v>
      </c>
      <c r="H22" s="153">
        <v>14000</v>
      </c>
      <c r="I22" s="154"/>
      <c r="J22" s="34">
        <f>G22*H22</f>
        <v>1500541</v>
      </c>
      <c r="L22"/>
    </row>
    <row r="23" spans="1:12" ht="48" customHeight="1" x14ac:dyDescent="0.25">
      <c r="A23" s="30">
        <f t="shared" si="1"/>
        <v>6</v>
      </c>
      <c r="B23" s="31">
        <f>'402671'!E3</f>
        <v>44546</v>
      </c>
      <c r="C23" s="83">
        <f>'402671'!A3</f>
        <v>402671</v>
      </c>
      <c r="D23" s="32" t="s">
        <v>144</v>
      </c>
      <c r="E23" s="32" t="s">
        <v>66</v>
      </c>
      <c r="F23" s="33">
        <v>10</v>
      </c>
      <c r="G23" s="147">
        <f>'402671'!N13</f>
        <v>548.75</v>
      </c>
      <c r="H23" s="153">
        <v>14000</v>
      </c>
      <c r="I23" s="154"/>
      <c r="J23" s="34">
        <f>G23*H23</f>
        <v>7682500</v>
      </c>
      <c r="L23"/>
    </row>
    <row r="24" spans="1:12" ht="48" customHeight="1" x14ac:dyDescent="0.25">
      <c r="A24" s="30">
        <f t="shared" si="1"/>
        <v>7</v>
      </c>
      <c r="B24" s="31">
        <f>'402681'!E3</f>
        <v>44547</v>
      </c>
      <c r="C24" s="83">
        <f>'402681'!A3</f>
        <v>402681</v>
      </c>
      <c r="D24" s="32" t="s">
        <v>144</v>
      </c>
      <c r="E24" s="32" t="s">
        <v>66</v>
      </c>
      <c r="F24" s="33">
        <v>8</v>
      </c>
      <c r="G24" s="147">
        <f>'402681'!N11</f>
        <v>162.49200000000002</v>
      </c>
      <c r="H24" s="153">
        <v>14000</v>
      </c>
      <c r="I24" s="154"/>
      <c r="J24" s="34">
        <f t="shared" si="0"/>
        <v>2274888.0000000005</v>
      </c>
      <c r="L24"/>
    </row>
    <row r="25" spans="1:12" ht="48" customHeight="1" x14ac:dyDescent="0.25">
      <c r="A25" s="30">
        <f t="shared" si="1"/>
        <v>8</v>
      </c>
      <c r="B25" s="31">
        <f>'402692'!E3</f>
        <v>44548</v>
      </c>
      <c r="C25" s="83">
        <f>'402692'!A3</f>
        <v>402692</v>
      </c>
      <c r="D25" s="32" t="s">
        <v>144</v>
      </c>
      <c r="E25" s="32" t="s">
        <v>66</v>
      </c>
      <c r="F25" s="33">
        <v>8</v>
      </c>
      <c r="G25" s="147">
        <f>'402692'!N11</f>
        <v>175.76000000000002</v>
      </c>
      <c r="H25" s="153">
        <v>14000</v>
      </c>
      <c r="I25" s="154"/>
      <c r="J25" s="34">
        <f t="shared" si="0"/>
        <v>2460640.0000000005</v>
      </c>
      <c r="L25"/>
    </row>
    <row r="26" spans="1:12" ht="48" customHeight="1" x14ac:dyDescent="0.25">
      <c r="A26" s="30">
        <f t="shared" si="1"/>
        <v>9</v>
      </c>
      <c r="B26" s="31">
        <f>'402720'!E3</f>
        <v>44553</v>
      </c>
      <c r="C26" s="83">
        <f>'402671'!A3</f>
        <v>402671</v>
      </c>
      <c r="D26" s="32" t="s">
        <v>144</v>
      </c>
      <c r="E26" s="32" t="s">
        <v>66</v>
      </c>
      <c r="F26" s="33">
        <v>5</v>
      </c>
      <c r="G26" s="147">
        <f>'402720'!N8</f>
        <v>123.264</v>
      </c>
      <c r="H26" s="153">
        <v>14000</v>
      </c>
      <c r="I26" s="154"/>
      <c r="J26" s="34">
        <f t="shared" si="0"/>
        <v>1725696</v>
      </c>
      <c r="L26"/>
    </row>
    <row r="27" spans="1:12" ht="48" customHeight="1" x14ac:dyDescent="0.25">
      <c r="A27" s="30">
        <f t="shared" si="1"/>
        <v>10</v>
      </c>
      <c r="B27" s="31">
        <f>'402765'!E3</f>
        <v>44561</v>
      </c>
      <c r="C27" s="83">
        <f>'402765'!A3</f>
        <v>402765</v>
      </c>
      <c r="D27" s="32" t="s">
        <v>144</v>
      </c>
      <c r="E27" s="32" t="s">
        <v>66</v>
      </c>
      <c r="F27" s="33">
        <v>16</v>
      </c>
      <c r="G27" s="147">
        <f>'402765'!N19</f>
        <v>316.51224999999999</v>
      </c>
      <c r="H27" s="153">
        <v>14000</v>
      </c>
      <c r="I27" s="154"/>
      <c r="J27" s="34">
        <f t="shared" si="0"/>
        <v>4431171.5</v>
      </c>
      <c r="L27"/>
    </row>
    <row r="28" spans="1:12" ht="32.25" customHeight="1" thickBot="1" x14ac:dyDescent="0.3">
      <c r="A28" s="155" t="s">
        <v>30</v>
      </c>
      <c r="B28" s="156"/>
      <c r="C28" s="156"/>
      <c r="D28" s="156"/>
      <c r="E28" s="156"/>
      <c r="F28" s="156"/>
      <c r="G28" s="156"/>
      <c r="H28" s="156"/>
      <c r="I28" s="157"/>
      <c r="J28" s="35">
        <f>SUM(J18:J27)</f>
        <v>27774799.5</v>
      </c>
      <c r="L28" s="81"/>
    </row>
    <row r="29" spans="1:12" x14ac:dyDescent="0.25">
      <c r="A29" s="158"/>
      <c r="B29" s="158"/>
      <c r="C29" s="36"/>
      <c r="D29" s="36"/>
      <c r="E29" s="36"/>
      <c r="F29" s="36"/>
      <c r="G29" s="36"/>
      <c r="H29" s="37"/>
      <c r="I29" s="37"/>
      <c r="J29" s="38"/>
    </row>
    <row r="30" spans="1:12" x14ac:dyDescent="0.25">
      <c r="A30" s="84"/>
      <c r="B30" s="84"/>
      <c r="C30" s="84"/>
      <c r="D30" s="84"/>
      <c r="E30" s="84"/>
      <c r="F30" s="84"/>
      <c r="G30" s="39" t="s">
        <v>51</v>
      </c>
      <c r="H30" s="39"/>
      <c r="I30" s="37"/>
      <c r="J30" s="38">
        <f>J28*10%</f>
        <v>2777479.95</v>
      </c>
      <c r="L30" s="40"/>
    </row>
    <row r="31" spans="1:12" x14ac:dyDescent="0.25">
      <c r="A31" s="84"/>
      <c r="B31" s="84"/>
      <c r="C31" s="84"/>
      <c r="D31" s="84"/>
      <c r="E31" s="84"/>
      <c r="F31" s="84"/>
      <c r="G31" s="91" t="s">
        <v>52</v>
      </c>
      <c r="H31" s="91"/>
      <c r="I31" s="92"/>
      <c r="J31" s="94">
        <f>J28-J30</f>
        <v>24997319.550000001</v>
      </c>
      <c r="L31" s="40"/>
    </row>
    <row r="32" spans="1:12" x14ac:dyDescent="0.25">
      <c r="A32" s="84"/>
      <c r="B32" s="84"/>
      <c r="C32" s="84"/>
      <c r="D32" s="84"/>
      <c r="E32" s="84"/>
      <c r="F32" s="84"/>
      <c r="G32" s="39" t="s">
        <v>31</v>
      </c>
      <c r="H32" s="39"/>
      <c r="I32" s="40" t="e">
        <f>#REF!*1%</f>
        <v>#REF!</v>
      </c>
      <c r="J32" s="38">
        <f>J31*1%</f>
        <v>249973.1955</v>
      </c>
    </row>
    <row r="33" spans="1:10" ht="16.5" thickBot="1" x14ac:dyDescent="0.3">
      <c r="A33" s="84"/>
      <c r="B33" s="84"/>
      <c r="C33" s="84"/>
      <c r="D33" s="84"/>
      <c r="E33" s="84"/>
      <c r="F33" s="84"/>
      <c r="G33" s="93" t="s">
        <v>54</v>
      </c>
      <c r="H33" s="93"/>
      <c r="I33" s="41">
        <f>I29*10%</f>
        <v>0</v>
      </c>
      <c r="J33" s="41">
        <f>J31*2%</f>
        <v>499946.391</v>
      </c>
    </row>
    <row r="34" spans="1:10" x14ac:dyDescent="0.25">
      <c r="E34" s="17"/>
      <c r="F34" s="17"/>
      <c r="G34" s="42" t="s">
        <v>55</v>
      </c>
      <c r="H34" s="42"/>
      <c r="I34" s="43" t="e">
        <f>I28+I32</f>
        <v>#REF!</v>
      </c>
      <c r="J34" s="43">
        <f>J31+J32-J33</f>
        <v>24747346.354500003</v>
      </c>
    </row>
    <row r="35" spans="1:10" x14ac:dyDescent="0.25">
      <c r="E35" s="17"/>
      <c r="F35" s="17"/>
      <c r="G35" s="42"/>
      <c r="H35" s="42"/>
      <c r="I35" s="43"/>
      <c r="J35" s="43"/>
    </row>
    <row r="36" spans="1:10" x14ac:dyDescent="0.25">
      <c r="A36" s="17" t="s">
        <v>147</v>
      </c>
      <c r="D36" s="17"/>
      <c r="E36" s="17"/>
      <c r="F36" s="17"/>
      <c r="G36" s="17"/>
      <c r="H36" s="42"/>
      <c r="I36" s="42"/>
      <c r="J36" s="43"/>
    </row>
    <row r="37" spans="1:10" x14ac:dyDescent="0.25">
      <c r="A37" s="44"/>
      <c r="D37" s="17"/>
      <c r="E37" s="17"/>
      <c r="F37" s="17"/>
      <c r="G37" s="17"/>
      <c r="H37" s="42"/>
      <c r="I37" s="42"/>
      <c r="J37" s="43"/>
    </row>
    <row r="38" spans="1:10" x14ac:dyDescent="0.25">
      <c r="D38" s="17"/>
      <c r="E38" s="17"/>
      <c r="F38" s="17"/>
      <c r="G38" s="17"/>
      <c r="H38" s="42"/>
      <c r="I38" s="42"/>
      <c r="J38" s="43"/>
    </row>
    <row r="39" spans="1:10" x14ac:dyDescent="0.25">
      <c r="A39" s="45" t="s">
        <v>33</v>
      </c>
    </row>
    <row r="40" spans="1:10" x14ac:dyDescent="0.25">
      <c r="A40" s="46" t="s">
        <v>34</v>
      </c>
      <c r="B40" s="47"/>
      <c r="C40" s="47"/>
      <c r="D40" s="48"/>
      <c r="E40" s="48"/>
      <c r="F40" s="48"/>
      <c r="G40" s="48"/>
    </row>
    <row r="41" spans="1:10" x14ac:dyDescent="0.25">
      <c r="A41" s="46" t="s">
        <v>35</v>
      </c>
      <c r="B41" s="47"/>
      <c r="C41" s="47"/>
      <c r="D41" s="48"/>
      <c r="E41" s="48"/>
      <c r="F41" s="48"/>
      <c r="G41" s="48"/>
    </row>
    <row r="42" spans="1:10" x14ac:dyDescent="0.25">
      <c r="A42" s="49" t="s">
        <v>36</v>
      </c>
      <c r="B42" s="50"/>
      <c r="C42" s="50"/>
      <c r="D42" s="48"/>
      <c r="E42" s="48"/>
      <c r="F42" s="48"/>
      <c r="G42" s="48"/>
    </row>
    <row r="43" spans="1:10" x14ac:dyDescent="0.25">
      <c r="A43" s="51" t="s">
        <v>8</v>
      </c>
      <c r="B43" s="52"/>
      <c r="C43" s="52"/>
      <c r="D43" s="48"/>
      <c r="E43" s="48"/>
      <c r="F43" s="48"/>
      <c r="G43" s="48"/>
    </row>
    <row r="44" spans="1:10" x14ac:dyDescent="0.25">
      <c r="A44" s="53"/>
      <c r="B44" s="53"/>
      <c r="C44" s="53"/>
    </row>
    <row r="45" spans="1:10" x14ac:dyDescent="0.25">
      <c r="H45" s="54" t="s">
        <v>37</v>
      </c>
      <c r="I45" s="161" t="str">
        <f>+J13</f>
        <v xml:space="preserve"> 29 Desember 2022</v>
      </c>
      <c r="J45" s="162"/>
    </row>
    <row r="49" spans="8:10" ht="18" customHeight="1" x14ac:dyDescent="0.25"/>
    <row r="50" spans="8:10" ht="17.25" customHeight="1" x14ac:dyDescent="0.25"/>
    <row r="52" spans="8:10" x14ac:dyDescent="0.25">
      <c r="H52" s="159" t="s">
        <v>38</v>
      </c>
      <c r="I52" s="159"/>
      <c r="J52" s="159"/>
    </row>
  </sheetData>
  <mergeCells count="19">
    <mergeCell ref="H52:J52"/>
    <mergeCell ref="G14:H14"/>
    <mergeCell ref="G13:H13"/>
    <mergeCell ref="G12:H12"/>
    <mergeCell ref="H26:I26"/>
    <mergeCell ref="H27:I27"/>
    <mergeCell ref="I45:J45"/>
    <mergeCell ref="A10:J10"/>
    <mergeCell ref="H17:I17"/>
    <mergeCell ref="H18:I18"/>
    <mergeCell ref="A28:I28"/>
    <mergeCell ref="A29:B29"/>
    <mergeCell ref="H19:I19"/>
    <mergeCell ref="H20:I20"/>
    <mergeCell ref="H24:I24"/>
    <mergeCell ref="H22:I22"/>
    <mergeCell ref="H21:I21"/>
    <mergeCell ref="H25:I25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402692</v>
      </c>
      <c r="B3" s="73" t="s">
        <v>109</v>
      </c>
      <c r="C3" s="9" t="s">
        <v>110</v>
      </c>
      <c r="D3" s="75" t="s">
        <v>66</v>
      </c>
      <c r="E3" s="13">
        <v>44548</v>
      </c>
      <c r="F3" s="75" t="s">
        <v>98</v>
      </c>
      <c r="G3" s="13">
        <v>44561</v>
      </c>
      <c r="H3" s="10" t="s">
        <v>99</v>
      </c>
      <c r="I3" s="1">
        <v>148</v>
      </c>
      <c r="J3" s="1">
        <v>64</v>
      </c>
      <c r="K3" s="1">
        <v>10</v>
      </c>
      <c r="L3" s="1">
        <v>4</v>
      </c>
      <c r="M3" s="79">
        <v>23.68</v>
      </c>
      <c r="N3" s="97">
        <v>23.68</v>
      </c>
      <c r="O3" s="63">
        <v>14000</v>
      </c>
      <c r="P3" s="64">
        <f>Table2245789101123456789[[#This Row],[PEMBULATAN]]*O3</f>
        <v>331520</v>
      </c>
      <c r="Q3" s="179">
        <v>8</v>
      </c>
    </row>
    <row r="4" spans="1:17" ht="26.25" customHeight="1" x14ac:dyDescent="0.2">
      <c r="A4" s="14"/>
      <c r="B4" s="74"/>
      <c r="C4" s="9" t="s">
        <v>111</v>
      </c>
      <c r="D4" s="75" t="s">
        <v>66</v>
      </c>
      <c r="E4" s="13">
        <v>44548</v>
      </c>
      <c r="F4" s="75" t="s">
        <v>98</v>
      </c>
      <c r="G4" s="13">
        <v>44561</v>
      </c>
      <c r="H4" s="10" t="s">
        <v>99</v>
      </c>
      <c r="I4" s="1">
        <v>148</v>
      </c>
      <c r="J4" s="1">
        <v>64</v>
      </c>
      <c r="K4" s="1">
        <v>10</v>
      </c>
      <c r="L4" s="1">
        <v>4</v>
      </c>
      <c r="M4" s="79">
        <v>23.68</v>
      </c>
      <c r="N4" s="97">
        <v>23.68</v>
      </c>
      <c r="O4" s="63">
        <v>14000</v>
      </c>
      <c r="P4" s="64">
        <f>Table2245789101123456789[[#This Row],[PEMBULATAN]]*O4</f>
        <v>331520</v>
      </c>
      <c r="Q4" s="171"/>
    </row>
    <row r="5" spans="1:17" ht="26.25" customHeight="1" x14ac:dyDescent="0.2">
      <c r="A5" s="14"/>
      <c r="B5" s="14"/>
      <c r="C5" s="9" t="s">
        <v>112</v>
      </c>
      <c r="D5" s="75" t="s">
        <v>66</v>
      </c>
      <c r="E5" s="13">
        <v>44548</v>
      </c>
      <c r="F5" s="75" t="s">
        <v>98</v>
      </c>
      <c r="G5" s="13">
        <v>44561</v>
      </c>
      <c r="H5" s="10" t="s">
        <v>99</v>
      </c>
      <c r="I5" s="1">
        <v>148</v>
      </c>
      <c r="J5" s="1">
        <v>64</v>
      </c>
      <c r="K5" s="1">
        <v>10</v>
      </c>
      <c r="L5" s="1">
        <v>4</v>
      </c>
      <c r="M5" s="79">
        <v>23.68</v>
      </c>
      <c r="N5" s="97">
        <v>23.68</v>
      </c>
      <c r="O5" s="63">
        <v>14000</v>
      </c>
      <c r="P5" s="64">
        <f>Table2245789101123456789[[#This Row],[PEMBULATAN]]*O5</f>
        <v>331520</v>
      </c>
      <c r="Q5" s="171"/>
    </row>
    <row r="6" spans="1:17" ht="26.25" customHeight="1" x14ac:dyDescent="0.2">
      <c r="A6" s="14"/>
      <c r="B6" s="14"/>
      <c r="C6" s="72" t="s">
        <v>113</v>
      </c>
      <c r="D6" s="77" t="s">
        <v>66</v>
      </c>
      <c r="E6" s="13">
        <v>44548</v>
      </c>
      <c r="F6" s="75" t="s">
        <v>98</v>
      </c>
      <c r="G6" s="13">
        <v>44561</v>
      </c>
      <c r="H6" s="76" t="s">
        <v>99</v>
      </c>
      <c r="I6" s="16">
        <v>148</v>
      </c>
      <c r="J6" s="16">
        <v>64</v>
      </c>
      <c r="K6" s="16">
        <v>10</v>
      </c>
      <c r="L6" s="16">
        <v>4</v>
      </c>
      <c r="M6" s="80">
        <v>23.68</v>
      </c>
      <c r="N6" s="97">
        <v>23.68</v>
      </c>
      <c r="O6" s="63">
        <v>14000</v>
      </c>
      <c r="P6" s="64">
        <f>Table2245789101123456789[[#This Row],[PEMBULATAN]]*O6</f>
        <v>331520</v>
      </c>
      <c r="Q6" s="171"/>
    </row>
    <row r="7" spans="1:17" ht="26.25" customHeight="1" x14ac:dyDescent="0.2">
      <c r="A7" s="14"/>
      <c r="B7" s="14"/>
      <c r="C7" s="72" t="s">
        <v>114</v>
      </c>
      <c r="D7" s="77" t="s">
        <v>66</v>
      </c>
      <c r="E7" s="13">
        <v>44548</v>
      </c>
      <c r="F7" s="75" t="s">
        <v>98</v>
      </c>
      <c r="G7" s="13">
        <v>44561</v>
      </c>
      <c r="H7" s="76" t="s">
        <v>99</v>
      </c>
      <c r="I7" s="16">
        <v>53</v>
      </c>
      <c r="J7" s="16">
        <v>36</v>
      </c>
      <c r="K7" s="16">
        <v>11</v>
      </c>
      <c r="L7" s="16">
        <v>10</v>
      </c>
      <c r="M7" s="80">
        <v>5.2469999999999999</v>
      </c>
      <c r="N7" s="97">
        <v>10</v>
      </c>
      <c r="O7" s="63">
        <v>14000</v>
      </c>
      <c r="P7" s="64">
        <f>Table2245789101123456789[[#This Row],[PEMBULATAN]]*O7</f>
        <v>140000</v>
      </c>
      <c r="Q7" s="171"/>
    </row>
    <row r="8" spans="1:17" ht="26.25" customHeight="1" x14ac:dyDescent="0.2">
      <c r="A8" s="14"/>
      <c r="B8" s="14"/>
      <c r="C8" s="72" t="s">
        <v>115</v>
      </c>
      <c r="D8" s="77" t="s">
        <v>66</v>
      </c>
      <c r="E8" s="13">
        <v>44548</v>
      </c>
      <c r="F8" s="75" t="s">
        <v>98</v>
      </c>
      <c r="G8" s="13">
        <v>44561</v>
      </c>
      <c r="H8" s="76" t="s">
        <v>99</v>
      </c>
      <c r="I8" s="16">
        <v>148</v>
      </c>
      <c r="J8" s="16">
        <v>64</v>
      </c>
      <c r="K8" s="16">
        <v>10</v>
      </c>
      <c r="L8" s="16">
        <v>4</v>
      </c>
      <c r="M8" s="80">
        <v>23.68</v>
      </c>
      <c r="N8" s="97">
        <v>23.68</v>
      </c>
      <c r="O8" s="63">
        <v>14000</v>
      </c>
      <c r="P8" s="64">
        <f>Table2245789101123456789[[#This Row],[PEMBULATAN]]*O8</f>
        <v>331520</v>
      </c>
      <c r="Q8" s="171"/>
    </row>
    <row r="9" spans="1:17" ht="26.25" customHeight="1" x14ac:dyDescent="0.2">
      <c r="A9" s="14"/>
      <c r="B9" s="14"/>
      <c r="C9" s="72" t="s">
        <v>116</v>
      </c>
      <c r="D9" s="77" t="s">
        <v>66</v>
      </c>
      <c r="E9" s="13">
        <v>44548</v>
      </c>
      <c r="F9" s="75" t="s">
        <v>98</v>
      </c>
      <c r="G9" s="13">
        <v>44561</v>
      </c>
      <c r="H9" s="76" t="s">
        <v>99</v>
      </c>
      <c r="I9" s="16">
        <v>148</v>
      </c>
      <c r="J9" s="16">
        <v>64</v>
      </c>
      <c r="K9" s="16">
        <v>10</v>
      </c>
      <c r="L9" s="16">
        <v>4</v>
      </c>
      <c r="M9" s="80">
        <v>23.68</v>
      </c>
      <c r="N9" s="97">
        <v>23.68</v>
      </c>
      <c r="O9" s="63">
        <v>14000</v>
      </c>
      <c r="P9" s="64">
        <f>Table2245789101123456789[[#This Row],[PEMBULATAN]]*O9</f>
        <v>331520</v>
      </c>
      <c r="Q9" s="171"/>
    </row>
    <row r="10" spans="1:17" ht="26.25" customHeight="1" x14ac:dyDescent="0.2">
      <c r="A10" s="14"/>
      <c r="B10" s="14"/>
      <c r="C10" s="72" t="s">
        <v>117</v>
      </c>
      <c r="D10" s="77" t="s">
        <v>66</v>
      </c>
      <c r="E10" s="13">
        <v>44548</v>
      </c>
      <c r="F10" s="75" t="s">
        <v>98</v>
      </c>
      <c r="G10" s="13">
        <v>44561</v>
      </c>
      <c r="H10" s="76" t="s">
        <v>99</v>
      </c>
      <c r="I10" s="16">
        <v>148</v>
      </c>
      <c r="J10" s="16">
        <v>64</v>
      </c>
      <c r="K10" s="16">
        <v>10</v>
      </c>
      <c r="L10" s="16">
        <v>4</v>
      </c>
      <c r="M10" s="80">
        <v>23.68</v>
      </c>
      <c r="N10" s="97">
        <v>23.68</v>
      </c>
      <c r="O10" s="63">
        <v>14000</v>
      </c>
      <c r="P10" s="64">
        <f>Table2245789101123456789[[#This Row],[PEMBULATAN]]*O10</f>
        <v>331520</v>
      </c>
      <c r="Q10" s="180"/>
    </row>
    <row r="11" spans="1:17" ht="22.5" customHeight="1" x14ac:dyDescent="0.2">
      <c r="A11" s="173" t="s">
        <v>30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5"/>
      <c r="M11" s="78">
        <f>SUBTOTAL(109,Table2245789101123456789[KG VOLUME])</f>
        <v>171.00700000000001</v>
      </c>
      <c r="N11" s="67">
        <f>SUM(N3:N10)</f>
        <v>175.76000000000002</v>
      </c>
      <c r="O11" s="176">
        <f>SUM(P3:P10)</f>
        <v>2460640</v>
      </c>
      <c r="P11" s="177"/>
    </row>
    <row r="12" spans="1:17" ht="18" customHeight="1" x14ac:dyDescent="0.2">
      <c r="A12" s="85"/>
      <c r="B12" s="56" t="s">
        <v>42</v>
      </c>
      <c r="C12" s="55"/>
      <c r="D12" s="57" t="s">
        <v>43</v>
      </c>
      <c r="E12" s="85"/>
      <c r="F12" s="85"/>
      <c r="G12" s="85"/>
      <c r="H12" s="85"/>
      <c r="I12" s="85"/>
      <c r="J12" s="85"/>
      <c r="K12" s="85"/>
      <c r="L12" s="85"/>
      <c r="M12" s="86"/>
      <c r="N12" s="87" t="s">
        <v>51</v>
      </c>
      <c r="O12" s="88"/>
      <c r="P12" s="88">
        <f>O11*10%</f>
        <v>246064</v>
      </c>
    </row>
    <row r="13" spans="1:17" ht="18" customHeight="1" thickBot="1" x14ac:dyDescent="0.25">
      <c r="A13" s="85"/>
      <c r="B13" s="56"/>
      <c r="C13" s="55"/>
      <c r="D13" s="57"/>
      <c r="E13" s="85"/>
      <c r="F13" s="85"/>
      <c r="G13" s="85"/>
      <c r="H13" s="85"/>
      <c r="I13" s="85"/>
      <c r="J13" s="85"/>
      <c r="K13" s="85"/>
      <c r="L13" s="85"/>
      <c r="M13" s="86"/>
      <c r="N13" s="89" t="s">
        <v>52</v>
      </c>
      <c r="O13" s="90"/>
      <c r="P13" s="90">
        <f>O11-P12</f>
        <v>2214576</v>
      </c>
    </row>
    <row r="14" spans="1:17" ht="18" customHeight="1" x14ac:dyDescent="0.2">
      <c r="A14" s="11"/>
      <c r="H14" s="62"/>
      <c r="N14" s="61" t="s">
        <v>31</v>
      </c>
      <c r="P14" s="68">
        <f>P13*1%</f>
        <v>22145.760000000002</v>
      </c>
    </row>
    <row r="15" spans="1:17" ht="18" customHeight="1" thickBot="1" x14ac:dyDescent="0.25">
      <c r="A15" s="11"/>
      <c r="H15" s="62"/>
      <c r="N15" s="61" t="s">
        <v>53</v>
      </c>
      <c r="P15" s="70">
        <f>P13*2%</f>
        <v>44291.520000000004</v>
      </c>
    </row>
    <row r="16" spans="1:17" ht="18" customHeight="1" x14ac:dyDescent="0.2">
      <c r="A16" s="11"/>
      <c r="H16" s="62"/>
      <c r="N16" s="65" t="s">
        <v>32</v>
      </c>
      <c r="O16" s="66"/>
      <c r="P16" s="69">
        <f>P13+P14-P15</f>
        <v>2192430.2399999998</v>
      </c>
    </row>
    <row r="18" spans="1:16" x14ac:dyDescent="0.2">
      <c r="A18" s="11"/>
      <c r="H18" s="62"/>
      <c r="P18" s="70"/>
    </row>
    <row r="19" spans="1:16" x14ac:dyDescent="0.2">
      <c r="A19" s="11"/>
      <c r="H19" s="62"/>
      <c r="O19" s="58"/>
      <c r="P19" s="70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2"/>
      <c r="N31" s="15"/>
      <c r="O31" s="15"/>
      <c r="P31" s="15"/>
    </row>
  </sheetData>
  <mergeCells count="3">
    <mergeCell ref="A11:L11"/>
    <mergeCell ref="O11:P11"/>
    <mergeCell ref="Q3:Q10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10">
    <cfRule type="duplicateValues" dxfId="51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3" sqref="M13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402720</v>
      </c>
      <c r="B3" s="73" t="s">
        <v>118</v>
      </c>
      <c r="C3" s="9" t="s">
        <v>119</v>
      </c>
      <c r="D3" s="75" t="s">
        <v>66</v>
      </c>
      <c r="E3" s="13">
        <v>44553</v>
      </c>
      <c r="F3" s="75" t="s">
        <v>86</v>
      </c>
      <c r="G3" s="13">
        <v>44570</v>
      </c>
      <c r="H3" s="10" t="s">
        <v>124</v>
      </c>
      <c r="I3" s="1">
        <v>37</v>
      </c>
      <c r="J3" s="1">
        <v>37</v>
      </c>
      <c r="K3" s="1">
        <v>84</v>
      </c>
      <c r="L3" s="1">
        <v>15</v>
      </c>
      <c r="M3" s="79">
        <v>28.748999999999999</v>
      </c>
      <c r="N3" s="97">
        <v>28.748999999999999</v>
      </c>
      <c r="O3" s="63">
        <v>14000</v>
      </c>
      <c r="P3" s="64">
        <f>Table224578910112345678910[[#This Row],[PEMBULATAN]]*O3</f>
        <v>402486</v>
      </c>
      <c r="Q3" s="179">
        <v>5</v>
      </c>
    </row>
    <row r="4" spans="1:17" ht="26.25" customHeight="1" x14ac:dyDescent="0.2">
      <c r="A4" s="14"/>
      <c r="B4" s="74"/>
      <c r="C4" s="9" t="s">
        <v>120</v>
      </c>
      <c r="D4" s="75" t="s">
        <v>66</v>
      </c>
      <c r="E4" s="13">
        <v>44553</v>
      </c>
      <c r="F4" s="75" t="s">
        <v>86</v>
      </c>
      <c r="G4" s="13">
        <v>44570</v>
      </c>
      <c r="H4" s="10" t="s">
        <v>124</v>
      </c>
      <c r="I4" s="1">
        <v>66</v>
      </c>
      <c r="J4" s="1">
        <v>58</v>
      </c>
      <c r="K4" s="1">
        <v>20</v>
      </c>
      <c r="L4" s="1">
        <v>12</v>
      </c>
      <c r="M4" s="79">
        <v>19.14</v>
      </c>
      <c r="N4" s="97">
        <v>19.14</v>
      </c>
      <c r="O4" s="63">
        <v>14000</v>
      </c>
      <c r="P4" s="64">
        <f>Table224578910112345678910[[#This Row],[PEMBULATAN]]*O4</f>
        <v>267960</v>
      </c>
      <c r="Q4" s="171"/>
    </row>
    <row r="5" spans="1:17" ht="26.25" customHeight="1" x14ac:dyDescent="0.2">
      <c r="A5" s="14"/>
      <c r="B5" s="14"/>
      <c r="C5" s="9" t="s">
        <v>121</v>
      </c>
      <c r="D5" s="75" t="s">
        <v>66</v>
      </c>
      <c r="E5" s="13">
        <v>44553</v>
      </c>
      <c r="F5" s="75" t="s">
        <v>86</v>
      </c>
      <c r="G5" s="13">
        <v>44570</v>
      </c>
      <c r="H5" s="10" t="s">
        <v>124</v>
      </c>
      <c r="I5" s="1">
        <v>150</v>
      </c>
      <c r="J5" s="1">
        <v>67</v>
      </c>
      <c r="K5" s="1">
        <v>10</v>
      </c>
      <c r="L5" s="1">
        <v>15</v>
      </c>
      <c r="M5" s="79">
        <v>25.125</v>
      </c>
      <c r="N5" s="97">
        <v>25.125</v>
      </c>
      <c r="O5" s="63">
        <v>14000</v>
      </c>
      <c r="P5" s="64">
        <f>Table224578910112345678910[[#This Row],[PEMBULATAN]]*O5</f>
        <v>351750</v>
      </c>
      <c r="Q5" s="171"/>
    </row>
    <row r="6" spans="1:17" ht="26.25" customHeight="1" x14ac:dyDescent="0.2">
      <c r="A6" s="14"/>
      <c r="B6" s="14"/>
      <c r="C6" s="72" t="s">
        <v>122</v>
      </c>
      <c r="D6" s="77" t="s">
        <v>66</v>
      </c>
      <c r="E6" s="13">
        <v>44553</v>
      </c>
      <c r="F6" s="75" t="s">
        <v>86</v>
      </c>
      <c r="G6" s="13">
        <v>44570</v>
      </c>
      <c r="H6" s="76" t="s">
        <v>124</v>
      </c>
      <c r="I6" s="16">
        <v>150</v>
      </c>
      <c r="J6" s="16">
        <v>67</v>
      </c>
      <c r="K6" s="16">
        <v>10</v>
      </c>
      <c r="L6" s="16">
        <v>15</v>
      </c>
      <c r="M6" s="80">
        <v>25.125</v>
      </c>
      <c r="N6" s="97">
        <v>25.125</v>
      </c>
      <c r="O6" s="63">
        <v>14000</v>
      </c>
      <c r="P6" s="64">
        <f>Table224578910112345678910[[#This Row],[PEMBULATAN]]*O6</f>
        <v>351750</v>
      </c>
      <c r="Q6" s="171"/>
    </row>
    <row r="7" spans="1:17" ht="26.25" customHeight="1" x14ac:dyDescent="0.2">
      <c r="A7" s="14"/>
      <c r="B7" s="14"/>
      <c r="C7" s="72" t="s">
        <v>123</v>
      </c>
      <c r="D7" s="77" t="s">
        <v>66</v>
      </c>
      <c r="E7" s="13">
        <v>44553</v>
      </c>
      <c r="F7" s="75" t="s">
        <v>86</v>
      </c>
      <c r="G7" s="13">
        <v>44570</v>
      </c>
      <c r="H7" s="76" t="s">
        <v>124</v>
      </c>
      <c r="I7" s="16">
        <v>150</v>
      </c>
      <c r="J7" s="16">
        <v>67</v>
      </c>
      <c r="K7" s="16">
        <v>10</v>
      </c>
      <c r="L7" s="16">
        <v>15</v>
      </c>
      <c r="M7" s="80">
        <v>25.125</v>
      </c>
      <c r="N7" s="97">
        <v>25.125</v>
      </c>
      <c r="O7" s="63">
        <v>14000</v>
      </c>
      <c r="P7" s="64">
        <f>Table224578910112345678910[[#This Row],[PEMBULATAN]]*O7</f>
        <v>351750</v>
      </c>
      <c r="Q7" s="180"/>
    </row>
    <row r="8" spans="1:17" ht="22.5" customHeight="1" x14ac:dyDescent="0.2">
      <c r="A8" s="173" t="s">
        <v>30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5"/>
      <c r="M8" s="78">
        <f>SUBTOTAL(109,Table224578910112345678910[KG VOLUME])</f>
        <v>123.264</v>
      </c>
      <c r="N8" s="67">
        <f>SUM(N3:N7)</f>
        <v>123.264</v>
      </c>
      <c r="O8" s="176">
        <f>SUM(P3:P7)</f>
        <v>1725696</v>
      </c>
      <c r="P8" s="177"/>
    </row>
    <row r="9" spans="1:17" ht="18" customHeight="1" x14ac:dyDescent="0.2">
      <c r="A9" s="85"/>
      <c r="B9" s="56" t="s">
        <v>42</v>
      </c>
      <c r="C9" s="55"/>
      <c r="D9" s="57" t="s">
        <v>43</v>
      </c>
      <c r="E9" s="85"/>
      <c r="F9" s="85"/>
      <c r="G9" s="85"/>
      <c r="H9" s="85"/>
      <c r="I9" s="85"/>
      <c r="J9" s="85"/>
      <c r="K9" s="85"/>
      <c r="L9" s="85"/>
      <c r="M9" s="86"/>
      <c r="N9" s="87" t="s">
        <v>51</v>
      </c>
      <c r="O9" s="88"/>
      <c r="P9" s="88">
        <f>O8*10%</f>
        <v>172569.60000000001</v>
      </c>
    </row>
    <row r="10" spans="1:17" ht="18" customHeight="1" thickBot="1" x14ac:dyDescent="0.25">
      <c r="A10" s="85"/>
      <c r="B10" s="56"/>
      <c r="C10" s="55"/>
      <c r="D10" s="57"/>
      <c r="E10" s="85"/>
      <c r="F10" s="85"/>
      <c r="G10" s="85"/>
      <c r="H10" s="85"/>
      <c r="I10" s="85"/>
      <c r="J10" s="85"/>
      <c r="K10" s="85"/>
      <c r="L10" s="85"/>
      <c r="M10" s="86"/>
      <c r="N10" s="89" t="s">
        <v>52</v>
      </c>
      <c r="O10" s="90"/>
      <c r="P10" s="90">
        <f>O8-P9</f>
        <v>1553126.3999999999</v>
      </c>
    </row>
    <row r="11" spans="1:17" ht="18" customHeight="1" x14ac:dyDescent="0.2">
      <c r="A11" s="11"/>
      <c r="H11" s="62"/>
      <c r="N11" s="61" t="s">
        <v>31</v>
      </c>
      <c r="P11" s="68">
        <f>P10*1%</f>
        <v>15531.263999999999</v>
      </c>
    </row>
    <row r="12" spans="1:17" ht="18" customHeight="1" thickBot="1" x14ac:dyDescent="0.25">
      <c r="A12" s="11"/>
      <c r="H12" s="62"/>
      <c r="N12" s="61" t="s">
        <v>53</v>
      </c>
      <c r="P12" s="70">
        <f>P10*2%</f>
        <v>31062.527999999998</v>
      </c>
    </row>
    <row r="13" spans="1:17" ht="18" customHeight="1" x14ac:dyDescent="0.2">
      <c r="A13" s="11"/>
      <c r="H13" s="62"/>
      <c r="N13" s="65" t="s">
        <v>32</v>
      </c>
      <c r="O13" s="66"/>
      <c r="P13" s="69">
        <f>P10+P11-P12</f>
        <v>1537595.1359999999</v>
      </c>
    </row>
    <row r="15" spans="1:17" x14ac:dyDescent="0.2">
      <c r="A15" s="11"/>
      <c r="H15" s="62"/>
      <c r="P15" s="70"/>
    </row>
    <row r="16" spans="1:17" x14ac:dyDescent="0.2">
      <c r="A16" s="11"/>
      <c r="H16" s="62"/>
      <c r="O16" s="58"/>
      <c r="P16" s="70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</sheetData>
  <mergeCells count="3">
    <mergeCell ref="A8:L8"/>
    <mergeCell ref="O8:P8"/>
    <mergeCell ref="Q3:Q7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7">
    <cfRule type="duplicateValues" dxfId="33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9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402765</v>
      </c>
      <c r="B3" s="73" t="s">
        <v>125</v>
      </c>
      <c r="C3" s="9" t="s">
        <v>126</v>
      </c>
      <c r="D3" s="75" t="s">
        <v>66</v>
      </c>
      <c r="E3" s="13">
        <v>44561</v>
      </c>
      <c r="F3" s="75" t="s">
        <v>67</v>
      </c>
      <c r="G3" s="13">
        <v>44588</v>
      </c>
      <c r="H3" s="10" t="s">
        <v>143</v>
      </c>
      <c r="I3" s="1">
        <v>36</v>
      </c>
      <c r="J3" s="1">
        <v>36</v>
      </c>
      <c r="K3" s="1">
        <v>12</v>
      </c>
      <c r="L3" s="1">
        <v>10</v>
      </c>
      <c r="M3" s="79">
        <v>3.8879999999999999</v>
      </c>
      <c r="N3" s="97">
        <v>10</v>
      </c>
      <c r="O3" s="63">
        <v>14000</v>
      </c>
      <c r="P3" s="64">
        <f>Table22457891011234567891011[[#This Row],[PEMBULATAN]]*O3</f>
        <v>140000</v>
      </c>
      <c r="Q3" s="179">
        <v>16</v>
      </c>
    </row>
    <row r="4" spans="1:17" ht="26.25" customHeight="1" x14ac:dyDescent="0.2">
      <c r="A4" s="14"/>
      <c r="B4" s="74"/>
      <c r="C4" s="9" t="s">
        <v>127</v>
      </c>
      <c r="D4" s="75" t="s">
        <v>66</v>
      </c>
      <c r="E4" s="13">
        <v>44561</v>
      </c>
      <c r="F4" s="75" t="s">
        <v>67</v>
      </c>
      <c r="G4" s="13">
        <v>44588</v>
      </c>
      <c r="H4" s="10" t="s">
        <v>143</v>
      </c>
      <c r="I4" s="1">
        <v>36</v>
      </c>
      <c r="J4" s="1">
        <v>36</v>
      </c>
      <c r="K4" s="1">
        <v>12</v>
      </c>
      <c r="L4" s="1">
        <v>10</v>
      </c>
      <c r="M4" s="79">
        <v>3.8879999999999999</v>
      </c>
      <c r="N4" s="97">
        <v>10</v>
      </c>
      <c r="O4" s="63">
        <v>14000</v>
      </c>
      <c r="P4" s="64">
        <f>Table22457891011234567891011[[#This Row],[PEMBULATAN]]*O4</f>
        <v>140000</v>
      </c>
      <c r="Q4" s="171"/>
    </row>
    <row r="5" spans="1:17" ht="26.25" customHeight="1" x14ac:dyDescent="0.2">
      <c r="A5" s="14"/>
      <c r="B5" s="14"/>
      <c r="C5" s="9" t="s">
        <v>128</v>
      </c>
      <c r="D5" s="75" t="s">
        <v>66</v>
      </c>
      <c r="E5" s="13">
        <v>44561</v>
      </c>
      <c r="F5" s="75" t="s">
        <v>67</v>
      </c>
      <c r="G5" s="13">
        <v>44588</v>
      </c>
      <c r="H5" s="10" t="s">
        <v>143</v>
      </c>
      <c r="I5" s="1">
        <v>36</v>
      </c>
      <c r="J5" s="1">
        <v>36</v>
      </c>
      <c r="K5" s="1">
        <v>12</v>
      </c>
      <c r="L5" s="1">
        <v>10</v>
      </c>
      <c r="M5" s="79">
        <v>3.8879999999999999</v>
      </c>
      <c r="N5" s="97">
        <v>10</v>
      </c>
      <c r="O5" s="63">
        <v>14000</v>
      </c>
      <c r="P5" s="64">
        <f>Table22457891011234567891011[[#This Row],[PEMBULATAN]]*O5</f>
        <v>140000</v>
      </c>
      <c r="Q5" s="171"/>
    </row>
    <row r="6" spans="1:17" ht="26.25" customHeight="1" x14ac:dyDescent="0.2">
      <c r="A6" s="14"/>
      <c r="B6" s="14"/>
      <c r="C6" s="72" t="s">
        <v>129</v>
      </c>
      <c r="D6" s="77" t="s">
        <v>66</v>
      </c>
      <c r="E6" s="13">
        <v>44561</v>
      </c>
      <c r="F6" s="75" t="s">
        <v>67</v>
      </c>
      <c r="G6" s="13">
        <v>44588</v>
      </c>
      <c r="H6" s="76" t="s">
        <v>143</v>
      </c>
      <c r="I6" s="16">
        <v>55</v>
      </c>
      <c r="J6" s="16">
        <v>33</v>
      </c>
      <c r="K6" s="16">
        <v>7</v>
      </c>
      <c r="L6" s="16">
        <v>11</v>
      </c>
      <c r="M6" s="80">
        <v>3.17625</v>
      </c>
      <c r="N6" s="97">
        <v>11</v>
      </c>
      <c r="O6" s="63">
        <v>14000</v>
      </c>
      <c r="P6" s="64">
        <f>Table22457891011234567891011[[#This Row],[PEMBULATAN]]*O6</f>
        <v>154000</v>
      </c>
      <c r="Q6" s="171"/>
    </row>
    <row r="7" spans="1:17" ht="26.25" customHeight="1" x14ac:dyDescent="0.2">
      <c r="A7" s="14"/>
      <c r="B7" s="101"/>
      <c r="C7" s="72" t="s">
        <v>130</v>
      </c>
      <c r="D7" s="77" t="s">
        <v>66</v>
      </c>
      <c r="E7" s="13">
        <v>44561</v>
      </c>
      <c r="F7" s="75" t="s">
        <v>67</v>
      </c>
      <c r="G7" s="13">
        <v>44588</v>
      </c>
      <c r="H7" s="76" t="s">
        <v>143</v>
      </c>
      <c r="I7" s="16">
        <v>71</v>
      </c>
      <c r="J7" s="16">
        <v>39</v>
      </c>
      <c r="K7" s="16">
        <v>21</v>
      </c>
      <c r="L7" s="16">
        <v>10</v>
      </c>
      <c r="M7" s="80">
        <v>14.53725</v>
      </c>
      <c r="N7" s="97">
        <v>14.53725</v>
      </c>
      <c r="O7" s="63">
        <v>14000</v>
      </c>
      <c r="P7" s="64">
        <f>Table22457891011234567891011[[#This Row],[PEMBULATAN]]*O7</f>
        <v>203521.5</v>
      </c>
      <c r="Q7" s="171"/>
    </row>
    <row r="8" spans="1:17" ht="26.25" customHeight="1" x14ac:dyDescent="0.2">
      <c r="A8" s="14"/>
      <c r="B8" s="14" t="s">
        <v>131</v>
      </c>
      <c r="C8" s="72" t="s">
        <v>132</v>
      </c>
      <c r="D8" s="77" t="s">
        <v>66</v>
      </c>
      <c r="E8" s="13">
        <v>44561</v>
      </c>
      <c r="F8" s="75" t="s">
        <v>67</v>
      </c>
      <c r="G8" s="13">
        <v>44588</v>
      </c>
      <c r="H8" s="76" t="s">
        <v>143</v>
      </c>
      <c r="I8" s="16">
        <v>52</v>
      </c>
      <c r="J8" s="16">
        <v>45</v>
      </c>
      <c r="K8" s="16">
        <v>13</v>
      </c>
      <c r="L8" s="16">
        <v>10</v>
      </c>
      <c r="M8" s="80">
        <v>7.6050000000000004</v>
      </c>
      <c r="N8" s="97">
        <v>10</v>
      </c>
      <c r="O8" s="63">
        <v>14000</v>
      </c>
      <c r="P8" s="64">
        <f>Table22457891011234567891011[[#This Row],[PEMBULATAN]]*O8</f>
        <v>140000</v>
      </c>
      <c r="Q8" s="171"/>
    </row>
    <row r="9" spans="1:17" ht="26.25" customHeight="1" x14ac:dyDescent="0.2">
      <c r="A9" s="14"/>
      <c r="B9" s="14"/>
      <c r="C9" s="72" t="s">
        <v>133</v>
      </c>
      <c r="D9" s="77" t="s">
        <v>66</v>
      </c>
      <c r="E9" s="13">
        <v>44561</v>
      </c>
      <c r="F9" s="75" t="s">
        <v>67</v>
      </c>
      <c r="G9" s="13">
        <v>44588</v>
      </c>
      <c r="H9" s="76" t="s">
        <v>143</v>
      </c>
      <c r="I9" s="16">
        <v>52</v>
      </c>
      <c r="J9" s="16">
        <v>45</v>
      </c>
      <c r="K9" s="16">
        <v>13</v>
      </c>
      <c r="L9" s="16">
        <v>10</v>
      </c>
      <c r="M9" s="80">
        <v>7.6050000000000004</v>
      </c>
      <c r="N9" s="97">
        <v>10</v>
      </c>
      <c r="O9" s="63">
        <v>14000</v>
      </c>
      <c r="P9" s="64">
        <f>Table22457891011234567891011[[#This Row],[PEMBULATAN]]*O9</f>
        <v>140000</v>
      </c>
      <c r="Q9" s="171"/>
    </row>
    <row r="10" spans="1:17" ht="26.25" customHeight="1" x14ac:dyDescent="0.2">
      <c r="A10" s="14"/>
      <c r="B10" s="14"/>
      <c r="C10" s="72" t="s">
        <v>134</v>
      </c>
      <c r="D10" s="77" t="s">
        <v>66</v>
      </c>
      <c r="E10" s="13">
        <v>44561</v>
      </c>
      <c r="F10" s="75" t="s">
        <v>67</v>
      </c>
      <c r="G10" s="13">
        <v>44588</v>
      </c>
      <c r="H10" s="76" t="s">
        <v>143</v>
      </c>
      <c r="I10" s="16">
        <v>52</v>
      </c>
      <c r="J10" s="16">
        <v>45</v>
      </c>
      <c r="K10" s="16">
        <v>13</v>
      </c>
      <c r="L10" s="16">
        <v>10</v>
      </c>
      <c r="M10" s="80">
        <v>7.6050000000000004</v>
      </c>
      <c r="N10" s="97">
        <v>10</v>
      </c>
      <c r="O10" s="63">
        <v>14000</v>
      </c>
      <c r="P10" s="64">
        <f>Table22457891011234567891011[[#This Row],[PEMBULATAN]]*O10</f>
        <v>140000</v>
      </c>
      <c r="Q10" s="171"/>
    </row>
    <row r="11" spans="1:17" ht="26.25" customHeight="1" x14ac:dyDescent="0.2">
      <c r="A11" s="14"/>
      <c r="B11" s="14"/>
      <c r="C11" s="72" t="s">
        <v>135</v>
      </c>
      <c r="D11" s="77" t="s">
        <v>66</v>
      </c>
      <c r="E11" s="13">
        <v>44561</v>
      </c>
      <c r="F11" s="75" t="s">
        <v>67</v>
      </c>
      <c r="G11" s="13">
        <v>44588</v>
      </c>
      <c r="H11" s="76" t="s">
        <v>143</v>
      </c>
      <c r="I11" s="16">
        <v>52</v>
      </c>
      <c r="J11" s="16">
        <v>45</v>
      </c>
      <c r="K11" s="16">
        <v>13</v>
      </c>
      <c r="L11" s="16">
        <v>10</v>
      </c>
      <c r="M11" s="80">
        <v>7.6050000000000004</v>
      </c>
      <c r="N11" s="97">
        <v>10</v>
      </c>
      <c r="O11" s="63">
        <v>14000</v>
      </c>
      <c r="P11" s="64">
        <f>Table22457891011234567891011[[#This Row],[PEMBULATAN]]*O11</f>
        <v>140000</v>
      </c>
      <c r="Q11" s="171"/>
    </row>
    <row r="12" spans="1:17" ht="26.25" customHeight="1" x14ac:dyDescent="0.2">
      <c r="A12" s="14"/>
      <c r="B12" s="14"/>
      <c r="C12" s="72" t="s">
        <v>136</v>
      </c>
      <c r="D12" s="77" t="s">
        <v>66</v>
      </c>
      <c r="E12" s="13">
        <v>44561</v>
      </c>
      <c r="F12" s="75" t="s">
        <v>67</v>
      </c>
      <c r="G12" s="13">
        <v>44588</v>
      </c>
      <c r="H12" s="76" t="s">
        <v>143</v>
      </c>
      <c r="I12" s="16">
        <v>52</v>
      </c>
      <c r="J12" s="16">
        <v>45</v>
      </c>
      <c r="K12" s="16">
        <v>13</v>
      </c>
      <c r="L12" s="16">
        <v>10</v>
      </c>
      <c r="M12" s="80">
        <v>7.6050000000000004</v>
      </c>
      <c r="N12" s="97">
        <v>10</v>
      </c>
      <c r="O12" s="63">
        <v>14000</v>
      </c>
      <c r="P12" s="64">
        <f>Table22457891011234567891011[[#This Row],[PEMBULATAN]]*O12</f>
        <v>140000</v>
      </c>
      <c r="Q12" s="171"/>
    </row>
    <row r="13" spans="1:17" ht="26.25" customHeight="1" x14ac:dyDescent="0.2">
      <c r="A13" s="14"/>
      <c r="B13" s="14"/>
      <c r="C13" s="72" t="s">
        <v>137</v>
      </c>
      <c r="D13" s="77" t="s">
        <v>66</v>
      </c>
      <c r="E13" s="13">
        <v>44561</v>
      </c>
      <c r="F13" s="75" t="s">
        <v>67</v>
      </c>
      <c r="G13" s="13">
        <v>44588</v>
      </c>
      <c r="H13" s="76" t="s">
        <v>143</v>
      </c>
      <c r="I13" s="16">
        <v>52</v>
      </c>
      <c r="J13" s="16">
        <v>45</v>
      </c>
      <c r="K13" s="16">
        <v>13</v>
      </c>
      <c r="L13" s="16">
        <v>10</v>
      </c>
      <c r="M13" s="80">
        <v>7.6050000000000004</v>
      </c>
      <c r="N13" s="97">
        <v>10</v>
      </c>
      <c r="O13" s="63">
        <v>14000</v>
      </c>
      <c r="P13" s="64">
        <f>Table22457891011234567891011[[#This Row],[PEMBULATAN]]*O13</f>
        <v>140000</v>
      </c>
      <c r="Q13" s="171"/>
    </row>
    <row r="14" spans="1:17" ht="26.25" customHeight="1" x14ac:dyDescent="0.2">
      <c r="A14" s="14"/>
      <c r="B14" s="14"/>
      <c r="C14" s="72" t="s">
        <v>138</v>
      </c>
      <c r="D14" s="77" t="s">
        <v>66</v>
      </c>
      <c r="E14" s="13">
        <v>44561</v>
      </c>
      <c r="F14" s="75" t="s">
        <v>67</v>
      </c>
      <c r="G14" s="13">
        <v>44588</v>
      </c>
      <c r="H14" s="76" t="s">
        <v>143</v>
      </c>
      <c r="I14" s="16">
        <v>55</v>
      </c>
      <c r="J14" s="16">
        <v>55</v>
      </c>
      <c r="K14" s="16">
        <v>91</v>
      </c>
      <c r="L14" s="16">
        <v>7</v>
      </c>
      <c r="M14" s="80">
        <v>68.818749999999994</v>
      </c>
      <c r="N14" s="97">
        <v>68.818749999999994</v>
      </c>
      <c r="O14" s="63">
        <v>14000</v>
      </c>
      <c r="P14" s="64">
        <f>Table22457891011234567891011[[#This Row],[PEMBULATAN]]*O14</f>
        <v>963462.49999999988</v>
      </c>
      <c r="Q14" s="171"/>
    </row>
    <row r="15" spans="1:17" ht="26.25" customHeight="1" x14ac:dyDescent="0.2">
      <c r="A15" s="14"/>
      <c r="B15" s="14"/>
      <c r="C15" s="72" t="s">
        <v>139</v>
      </c>
      <c r="D15" s="77" t="s">
        <v>66</v>
      </c>
      <c r="E15" s="13">
        <v>44561</v>
      </c>
      <c r="F15" s="75" t="s">
        <v>67</v>
      </c>
      <c r="G15" s="13">
        <v>44588</v>
      </c>
      <c r="H15" s="76" t="s">
        <v>143</v>
      </c>
      <c r="I15" s="16">
        <v>55</v>
      </c>
      <c r="J15" s="16">
        <v>55</v>
      </c>
      <c r="K15" s="16">
        <v>91</v>
      </c>
      <c r="L15" s="16">
        <v>7</v>
      </c>
      <c r="M15" s="80">
        <v>68.818749999999994</v>
      </c>
      <c r="N15" s="97">
        <v>68.818749999999994</v>
      </c>
      <c r="O15" s="63">
        <v>14000</v>
      </c>
      <c r="P15" s="64">
        <f>Table22457891011234567891011[[#This Row],[PEMBULATAN]]*O15</f>
        <v>963462.49999999988</v>
      </c>
      <c r="Q15" s="171"/>
    </row>
    <row r="16" spans="1:17" ht="26.25" customHeight="1" x14ac:dyDescent="0.2">
      <c r="A16" s="14"/>
      <c r="B16" s="14"/>
      <c r="C16" s="72" t="s">
        <v>140</v>
      </c>
      <c r="D16" s="77" t="s">
        <v>66</v>
      </c>
      <c r="E16" s="13">
        <v>44561</v>
      </c>
      <c r="F16" s="75" t="s">
        <v>67</v>
      </c>
      <c r="G16" s="13">
        <v>44588</v>
      </c>
      <c r="H16" s="76" t="s">
        <v>143</v>
      </c>
      <c r="I16" s="16">
        <v>37</v>
      </c>
      <c r="J16" s="16">
        <v>37</v>
      </c>
      <c r="K16" s="16">
        <v>75</v>
      </c>
      <c r="L16" s="16">
        <v>7</v>
      </c>
      <c r="M16" s="80">
        <v>25.668749999999999</v>
      </c>
      <c r="N16" s="97">
        <v>25.668749999999999</v>
      </c>
      <c r="O16" s="63">
        <v>14000</v>
      </c>
      <c r="P16" s="64">
        <f>Table22457891011234567891011[[#This Row],[PEMBULATAN]]*O16</f>
        <v>359362.5</v>
      </c>
      <c r="Q16" s="171"/>
    </row>
    <row r="17" spans="1:17" ht="26.25" customHeight="1" x14ac:dyDescent="0.2">
      <c r="A17" s="14"/>
      <c r="B17" s="14"/>
      <c r="C17" s="72" t="s">
        <v>141</v>
      </c>
      <c r="D17" s="77" t="s">
        <v>66</v>
      </c>
      <c r="E17" s="13">
        <v>44561</v>
      </c>
      <c r="F17" s="75" t="s">
        <v>67</v>
      </c>
      <c r="G17" s="13">
        <v>44588</v>
      </c>
      <c r="H17" s="76" t="s">
        <v>143</v>
      </c>
      <c r="I17" s="16">
        <v>37</v>
      </c>
      <c r="J17" s="16">
        <v>37</v>
      </c>
      <c r="K17" s="16">
        <v>75</v>
      </c>
      <c r="L17" s="16">
        <v>7</v>
      </c>
      <c r="M17" s="80">
        <v>25.668749999999999</v>
      </c>
      <c r="N17" s="97">
        <v>25.668749999999999</v>
      </c>
      <c r="O17" s="63">
        <v>14000</v>
      </c>
      <c r="P17" s="64">
        <f>Table22457891011234567891011[[#This Row],[PEMBULATAN]]*O17</f>
        <v>359362.5</v>
      </c>
      <c r="Q17" s="171"/>
    </row>
    <row r="18" spans="1:17" ht="26.25" customHeight="1" x14ac:dyDescent="0.2">
      <c r="A18" s="14"/>
      <c r="B18" s="14"/>
      <c r="C18" s="72" t="s">
        <v>142</v>
      </c>
      <c r="D18" s="77" t="s">
        <v>66</v>
      </c>
      <c r="E18" s="13">
        <v>44561</v>
      </c>
      <c r="F18" s="75" t="s">
        <v>67</v>
      </c>
      <c r="G18" s="13">
        <v>44588</v>
      </c>
      <c r="H18" s="76" t="s">
        <v>143</v>
      </c>
      <c r="I18" s="16">
        <v>27</v>
      </c>
      <c r="J18" s="16">
        <v>27</v>
      </c>
      <c r="K18" s="16">
        <v>16</v>
      </c>
      <c r="L18" s="16">
        <v>12</v>
      </c>
      <c r="M18" s="80">
        <v>2.9159999999999999</v>
      </c>
      <c r="N18" s="97">
        <v>12</v>
      </c>
      <c r="O18" s="63">
        <v>14000</v>
      </c>
      <c r="P18" s="64">
        <f>Table22457891011234567891011[[#This Row],[PEMBULATAN]]*O18</f>
        <v>168000</v>
      </c>
      <c r="Q18" s="180"/>
    </row>
    <row r="19" spans="1:17" ht="22.5" customHeight="1" x14ac:dyDescent="0.2">
      <c r="A19" s="173" t="s">
        <v>30</v>
      </c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5"/>
      <c r="M19" s="99">
        <f>SUBTOTAL(109,Table22457891011234567891011[KG VOLUME])</f>
        <v>266.89850000000001</v>
      </c>
      <c r="N19" s="67">
        <f>SUM(N3:N18)</f>
        <v>316.51224999999999</v>
      </c>
      <c r="O19" s="176">
        <f>SUM(P3:P18)</f>
        <v>4431171.5</v>
      </c>
      <c r="P19" s="177"/>
    </row>
    <row r="20" spans="1:17" ht="18" customHeight="1" x14ac:dyDescent="0.2">
      <c r="A20" s="85"/>
      <c r="B20" s="56" t="s">
        <v>42</v>
      </c>
      <c r="C20" s="55"/>
      <c r="D20" s="57" t="s">
        <v>43</v>
      </c>
      <c r="E20" s="85"/>
      <c r="F20" s="85"/>
      <c r="G20" s="85"/>
      <c r="H20" s="85"/>
      <c r="I20" s="85"/>
      <c r="J20" s="85"/>
      <c r="K20" s="85"/>
      <c r="L20" s="85"/>
      <c r="M20" s="86"/>
      <c r="N20" s="87" t="s">
        <v>51</v>
      </c>
      <c r="O20" s="88"/>
      <c r="P20" s="88">
        <f>O19*10%</f>
        <v>443117.15</v>
      </c>
    </row>
    <row r="21" spans="1:17" ht="18" customHeight="1" thickBot="1" x14ac:dyDescent="0.25">
      <c r="A21" s="85"/>
      <c r="B21" s="56"/>
      <c r="C21" s="55"/>
      <c r="D21" s="57"/>
      <c r="E21" s="85"/>
      <c r="F21" s="85"/>
      <c r="G21" s="85"/>
      <c r="H21" s="85"/>
      <c r="I21" s="85"/>
      <c r="J21" s="85"/>
      <c r="K21" s="85"/>
      <c r="L21" s="85"/>
      <c r="M21" s="86"/>
      <c r="N21" s="89" t="s">
        <v>52</v>
      </c>
      <c r="O21" s="90"/>
      <c r="P21" s="90">
        <f>O19-P20</f>
        <v>3988054.35</v>
      </c>
    </row>
    <row r="22" spans="1:17" ht="18" customHeight="1" x14ac:dyDescent="0.2">
      <c r="A22" s="11"/>
      <c r="H22" s="62"/>
      <c r="N22" s="61" t="s">
        <v>31</v>
      </c>
      <c r="P22" s="68">
        <f>P21*1%</f>
        <v>39880.5435</v>
      </c>
    </row>
    <row r="23" spans="1:17" ht="18" customHeight="1" thickBot="1" x14ac:dyDescent="0.25">
      <c r="A23" s="11"/>
      <c r="H23" s="62"/>
      <c r="N23" s="61" t="s">
        <v>53</v>
      </c>
      <c r="P23" s="70">
        <f>P21*2%</f>
        <v>79761.087</v>
      </c>
    </row>
    <row r="24" spans="1:17" ht="18" customHeight="1" x14ac:dyDescent="0.2">
      <c r="A24" s="11"/>
      <c r="H24" s="62"/>
      <c r="N24" s="65" t="s">
        <v>32</v>
      </c>
      <c r="O24" s="66"/>
      <c r="P24" s="69">
        <f>P21+P22-P23</f>
        <v>3948173.8065000004</v>
      </c>
    </row>
    <row r="26" spans="1:17" x14ac:dyDescent="0.2">
      <c r="A26" s="11"/>
      <c r="H26" s="62"/>
      <c r="P26" s="70"/>
    </row>
    <row r="27" spans="1:17" x14ac:dyDescent="0.2">
      <c r="A27" s="11"/>
      <c r="H27" s="62"/>
      <c r="O27" s="58"/>
      <c r="P27" s="70"/>
    </row>
    <row r="28" spans="1:17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7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7" s="3" customFormat="1" x14ac:dyDescent="0.25">
      <c r="A30" s="11"/>
      <c r="B30" s="2"/>
      <c r="C30" s="2"/>
      <c r="E30" s="12"/>
      <c r="H30" s="62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2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2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2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2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2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2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2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2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2"/>
      <c r="N39" s="15"/>
      <c r="O39" s="15"/>
      <c r="P39" s="15"/>
    </row>
  </sheetData>
  <mergeCells count="3">
    <mergeCell ref="A19:L19"/>
    <mergeCell ref="O19:P19"/>
    <mergeCell ref="Q3:Q18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8">
    <cfRule type="duplicateValues" dxfId="15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88"/>
  <sheetViews>
    <sheetView zoomScale="110" zoomScaleNormal="110" workbookViewId="0">
      <pane xSplit="3" ySplit="2" topLeftCell="D66" activePane="bottomRight" state="frozen"/>
      <selection pane="topRight" activeCell="B1" sqref="B1"/>
      <selection pane="bottomLeft" activeCell="A3" sqref="A3"/>
      <selection pane="bottomRight" activeCell="N75" sqref="N75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405807</v>
      </c>
      <c r="B3" s="73" t="s">
        <v>58</v>
      </c>
      <c r="C3" s="9" t="s">
        <v>59</v>
      </c>
      <c r="D3" s="75" t="s">
        <v>66</v>
      </c>
      <c r="E3" s="13">
        <v>44533</v>
      </c>
      <c r="F3" s="75" t="s">
        <v>67</v>
      </c>
      <c r="G3" s="13">
        <v>44553</v>
      </c>
      <c r="H3" s="10" t="s">
        <v>68</v>
      </c>
      <c r="I3" s="1">
        <v>40</v>
      </c>
      <c r="J3" s="1">
        <v>47</v>
      </c>
      <c r="K3" s="1">
        <v>10</v>
      </c>
      <c r="L3" s="1">
        <v>15</v>
      </c>
      <c r="M3" s="96">
        <v>4.7</v>
      </c>
      <c r="N3" s="97">
        <v>15</v>
      </c>
      <c r="O3" s="63">
        <v>14000</v>
      </c>
      <c r="P3" s="64">
        <f t="shared" ref="P3:P9" si="0">N3*O3</f>
        <v>210000</v>
      </c>
      <c r="Q3" s="163">
        <v>7</v>
      </c>
    </row>
    <row r="4" spans="1:17" ht="26.25" customHeight="1" x14ac:dyDescent="0.2">
      <c r="A4" s="14"/>
      <c r="B4" s="74"/>
      <c r="C4" s="72" t="s">
        <v>60</v>
      </c>
      <c r="D4" s="77" t="s">
        <v>66</v>
      </c>
      <c r="E4" s="13">
        <v>44533</v>
      </c>
      <c r="F4" s="75" t="s">
        <v>67</v>
      </c>
      <c r="G4" s="13">
        <v>44553</v>
      </c>
      <c r="H4" s="76" t="s">
        <v>68</v>
      </c>
      <c r="I4" s="16">
        <v>55</v>
      </c>
      <c r="J4" s="16">
        <v>70</v>
      </c>
      <c r="K4" s="16">
        <v>57</v>
      </c>
      <c r="L4" s="16">
        <v>14</v>
      </c>
      <c r="M4" s="80">
        <v>54.862499999999997</v>
      </c>
      <c r="N4" s="97">
        <v>54.862499999999997</v>
      </c>
      <c r="O4" s="63">
        <v>14000</v>
      </c>
      <c r="P4" s="64">
        <f t="shared" si="0"/>
        <v>768075</v>
      </c>
      <c r="Q4" s="164"/>
    </row>
    <row r="5" spans="1:17" ht="26.25" customHeight="1" x14ac:dyDescent="0.2">
      <c r="A5" s="14"/>
      <c r="B5" s="74"/>
      <c r="C5" s="72" t="s">
        <v>61</v>
      </c>
      <c r="D5" s="77" t="s">
        <v>66</v>
      </c>
      <c r="E5" s="13">
        <v>44533</v>
      </c>
      <c r="F5" s="75" t="s">
        <v>67</v>
      </c>
      <c r="G5" s="13">
        <v>44553</v>
      </c>
      <c r="H5" s="76" t="s">
        <v>68</v>
      </c>
      <c r="I5" s="16">
        <v>47</v>
      </c>
      <c r="J5" s="16">
        <v>43</v>
      </c>
      <c r="K5" s="16">
        <v>52</v>
      </c>
      <c r="L5" s="16">
        <v>14</v>
      </c>
      <c r="M5" s="80">
        <v>26.273</v>
      </c>
      <c r="N5" s="97">
        <v>26.273</v>
      </c>
      <c r="O5" s="63">
        <v>14000</v>
      </c>
      <c r="P5" s="64">
        <f t="shared" si="0"/>
        <v>367822</v>
      </c>
      <c r="Q5" s="164"/>
    </row>
    <row r="6" spans="1:17" ht="26.25" customHeight="1" x14ac:dyDescent="0.2">
      <c r="A6" s="14"/>
      <c r="B6" s="74"/>
      <c r="C6" s="72" t="s">
        <v>62</v>
      </c>
      <c r="D6" s="77" t="s">
        <v>66</v>
      </c>
      <c r="E6" s="13">
        <v>44533</v>
      </c>
      <c r="F6" s="75" t="s">
        <v>67</v>
      </c>
      <c r="G6" s="13">
        <v>44553</v>
      </c>
      <c r="H6" s="76" t="s">
        <v>68</v>
      </c>
      <c r="I6" s="16">
        <v>47</v>
      </c>
      <c r="J6" s="16">
        <v>43</v>
      </c>
      <c r="K6" s="16">
        <v>52</v>
      </c>
      <c r="L6" s="16">
        <v>14</v>
      </c>
      <c r="M6" s="80">
        <v>26.273</v>
      </c>
      <c r="N6" s="97">
        <v>26.273</v>
      </c>
      <c r="O6" s="63">
        <v>14000</v>
      </c>
      <c r="P6" s="64">
        <f t="shared" si="0"/>
        <v>367822</v>
      </c>
      <c r="Q6" s="164"/>
    </row>
    <row r="7" spans="1:17" ht="26.25" customHeight="1" x14ac:dyDescent="0.2">
      <c r="A7" s="14"/>
      <c r="B7" s="74"/>
      <c r="C7" s="72" t="s">
        <v>63</v>
      </c>
      <c r="D7" s="77" t="s">
        <v>66</v>
      </c>
      <c r="E7" s="13">
        <v>44533</v>
      </c>
      <c r="F7" s="75" t="s">
        <v>67</v>
      </c>
      <c r="G7" s="13">
        <v>44553</v>
      </c>
      <c r="H7" s="76" t="s">
        <v>68</v>
      </c>
      <c r="I7" s="16">
        <v>47</v>
      </c>
      <c r="J7" s="16">
        <v>43</v>
      </c>
      <c r="K7" s="16">
        <v>52</v>
      </c>
      <c r="L7" s="16">
        <v>14</v>
      </c>
      <c r="M7" s="80">
        <v>26.273</v>
      </c>
      <c r="N7" s="97">
        <v>26.273</v>
      </c>
      <c r="O7" s="63">
        <v>14000</v>
      </c>
      <c r="P7" s="64">
        <f t="shared" si="0"/>
        <v>367822</v>
      </c>
      <c r="Q7" s="164"/>
    </row>
    <row r="8" spans="1:17" ht="26.25" customHeight="1" x14ac:dyDescent="0.2">
      <c r="A8" s="14"/>
      <c r="B8" s="74"/>
      <c r="C8" s="72" t="s">
        <v>64</v>
      </c>
      <c r="D8" s="77" t="s">
        <v>66</v>
      </c>
      <c r="E8" s="13">
        <v>44533</v>
      </c>
      <c r="F8" s="75" t="s">
        <v>67</v>
      </c>
      <c r="G8" s="13">
        <v>44553</v>
      </c>
      <c r="H8" s="76" t="s">
        <v>68</v>
      </c>
      <c r="I8" s="16">
        <v>47</v>
      </c>
      <c r="J8" s="16">
        <v>43</v>
      </c>
      <c r="K8" s="16">
        <v>52</v>
      </c>
      <c r="L8" s="16">
        <v>14</v>
      </c>
      <c r="M8" s="80">
        <v>26.273</v>
      </c>
      <c r="N8" s="97">
        <v>26.273</v>
      </c>
      <c r="O8" s="63">
        <v>14000</v>
      </c>
      <c r="P8" s="64">
        <f t="shared" si="0"/>
        <v>367822</v>
      </c>
      <c r="Q8" s="164"/>
    </row>
    <row r="9" spans="1:17" ht="26.25" customHeight="1" thickBot="1" x14ac:dyDescent="0.25">
      <c r="A9" s="106"/>
      <c r="B9" s="133"/>
      <c r="C9" s="107" t="s">
        <v>65</v>
      </c>
      <c r="D9" s="108" t="s">
        <v>66</v>
      </c>
      <c r="E9" s="109">
        <v>44533</v>
      </c>
      <c r="F9" s="110" t="s">
        <v>67</v>
      </c>
      <c r="G9" s="109">
        <v>44553</v>
      </c>
      <c r="H9" s="111" t="s">
        <v>68</v>
      </c>
      <c r="I9" s="112">
        <v>40</v>
      </c>
      <c r="J9" s="112">
        <v>47</v>
      </c>
      <c r="K9" s="112">
        <v>10</v>
      </c>
      <c r="L9" s="112">
        <v>15</v>
      </c>
      <c r="M9" s="113">
        <v>4.7</v>
      </c>
      <c r="N9" s="114">
        <v>15</v>
      </c>
      <c r="O9" s="115">
        <v>14000</v>
      </c>
      <c r="P9" s="116">
        <f t="shared" si="0"/>
        <v>210000</v>
      </c>
      <c r="Q9" s="165"/>
    </row>
    <row r="10" spans="1:17" ht="26.25" customHeight="1" thickBot="1" x14ac:dyDescent="0.25">
      <c r="A10" s="106">
        <v>405827</v>
      </c>
      <c r="B10" s="133" t="s">
        <v>69</v>
      </c>
      <c r="C10" s="134" t="s">
        <v>70</v>
      </c>
      <c r="D10" s="135" t="s">
        <v>66</v>
      </c>
      <c r="E10" s="136">
        <v>44536</v>
      </c>
      <c r="F10" s="135" t="s">
        <v>67</v>
      </c>
      <c r="G10" s="136">
        <v>44553</v>
      </c>
      <c r="H10" s="137" t="s">
        <v>71</v>
      </c>
      <c r="I10" s="138">
        <v>47</v>
      </c>
      <c r="J10" s="138">
        <v>42</v>
      </c>
      <c r="K10" s="138">
        <v>37</v>
      </c>
      <c r="L10" s="138">
        <v>8</v>
      </c>
      <c r="M10" s="139">
        <v>18.259499999999999</v>
      </c>
      <c r="N10" s="144">
        <v>18.259499999999999</v>
      </c>
      <c r="O10" s="141">
        <v>14000</v>
      </c>
      <c r="P10" s="142">
        <f>N10*O10</f>
        <v>255633</v>
      </c>
      <c r="Q10" s="145">
        <v>1</v>
      </c>
    </row>
    <row r="11" spans="1:17" ht="26.25" customHeight="1" thickBot="1" x14ac:dyDescent="0.25">
      <c r="A11" s="106">
        <v>402952</v>
      </c>
      <c r="B11" s="133" t="s">
        <v>145</v>
      </c>
      <c r="C11" s="134" t="s">
        <v>146</v>
      </c>
      <c r="D11" s="135" t="s">
        <v>66</v>
      </c>
      <c r="E11" s="136">
        <v>44539</v>
      </c>
      <c r="F11" s="135" t="s">
        <v>67</v>
      </c>
      <c r="G11" s="136">
        <v>44553</v>
      </c>
      <c r="H11" s="137" t="s">
        <v>71</v>
      </c>
      <c r="I11" s="138">
        <v>37</v>
      </c>
      <c r="J11" s="138">
        <v>43</v>
      </c>
      <c r="K11" s="138">
        <v>15</v>
      </c>
      <c r="L11" s="138">
        <v>14</v>
      </c>
      <c r="M11" s="139">
        <v>5.9662499999999996</v>
      </c>
      <c r="N11" s="140">
        <v>14</v>
      </c>
      <c r="O11" s="141">
        <v>14000</v>
      </c>
      <c r="P11" s="142">
        <f t="shared" ref="P11:P67" si="1">N11*O11</f>
        <v>196000</v>
      </c>
      <c r="Q11" s="143">
        <v>1</v>
      </c>
    </row>
    <row r="12" spans="1:17" ht="26.25" customHeight="1" x14ac:dyDescent="0.2">
      <c r="A12" s="14">
        <v>406455</v>
      </c>
      <c r="B12" s="74" t="s">
        <v>72</v>
      </c>
      <c r="C12" s="117" t="s">
        <v>73</v>
      </c>
      <c r="D12" s="118" t="s">
        <v>66</v>
      </c>
      <c r="E12" s="119">
        <v>44540</v>
      </c>
      <c r="F12" s="118" t="s">
        <v>76</v>
      </c>
      <c r="G12" s="119">
        <v>44545</v>
      </c>
      <c r="H12" s="120" t="s">
        <v>77</v>
      </c>
      <c r="I12" s="121">
        <v>76</v>
      </c>
      <c r="J12" s="121">
        <v>42</v>
      </c>
      <c r="K12" s="121">
        <v>62</v>
      </c>
      <c r="L12" s="121">
        <v>31</v>
      </c>
      <c r="M12" s="122">
        <v>49.475999999999999</v>
      </c>
      <c r="N12" s="126">
        <v>50</v>
      </c>
      <c r="O12" s="124">
        <v>14000</v>
      </c>
      <c r="P12" s="125">
        <f t="shared" si="1"/>
        <v>700000</v>
      </c>
      <c r="Q12" s="171">
        <v>3</v>
      </c>
    </row>
    <row r="13" spans="1:17" ht="26.25" customHeight="1" x14ac:dyDescent="0.2">
      <c r="A13" s="14"/>
      <c r="B13" s="74"/>
      <c r="C13" s="9" t="s">
        <v>74</v>
      </c>
      <c r="D13" s="75" t="s">
        <v>66</v>
      </c>
      <c r="E13" s="13">
        <v>44540</v>
      </c>
      <c r="F13" s="75" t="s">
        <v>76</v>
      </c>
      <c r="G13" s="13">
        <v>44545</v>
      </c>
      <c r="H13" s="10" t="s">
        <v>77</v>
      </c>
      <c r="I13" s="1">
        <v>76</v>
      </c>
      <c r="J13" s="1">
        <v>42</v>
      </c>
      <c r="K13" s="1">
        <v>62</v>
      </c>
      <c r="L13" s="1">
        <v>31</v>
      </c>
      <c r="M13" s="79">
        <v>49.475999999999999</v>
      </c>
      <c r="N13" s="8">
        <v>50</v>
      </c>
      <c r="O13" s="63">
        <v>14000</v>
      </c>
      <c r="P13" s="64">
        <f t="shared" si="1"/>
        <v>700000</v>
      </c>
      <c r="Q13" s="171"/>
    </row>
    <row r="14" spans="1:17" ht="26.25" customHeight="1" thickBot="1" x14ac:dyDescent="0.25">
      <c r="A14" s="106"/>
      <c r="B14" s="106"/>
      <c r="C14" s="128" t="s">
        <v>75</v>
      </c>
      <c r="D14" s="110" t="s">
        <v>66</v>
      </c>
      <c r="E14" s="109">
        <v>44540</v>
      </c>
      <c r="F14" s="110" t="s">
        <v>76</v>
      </c>
      <c r="G14" s="109">
        <v>44545</v>
      </c>
      <c r="H14" s="129" t="s">
        <v>78</v>
      </c>
      <c r="I14" s="130">
        <v>72</v>
      </c>
      <c r="J14" s="130">
        <v>55</v>
      </c>
      <c r="K14" s="130">
        <v>60</v>
      </c>
      <c r="L14" s="130">
        <v>18</v>
      </c>
      <c r="M14" s="131">
        <v>59.4</v>
      </c>
      <c r="N14" s="132">
        <v>60</v>
      </c>
      <c r="O14" s="115">
        <v>14000</v>
      </c>
      <c r="P14" s="116">
        <f t="shared" si="1"/>
        <v>840000</v>
      </c>
      <c r="Q14" s="172"/>
    </row>
    <row r="15" spans="1:17" ht="26.25" customHeight="1" x14ac:dyDescent="0.2">
      <c r="A15" s="127">
        <v>406464</v>
      </c>
      <c r="B15" s="74" t="s">
        <v>79</v>
      </c>
      <c r="C15" s="117" t="s">
        <v>80</v>
      </c>
      <c r="D15" s="118" t="s">
        <v>66</v>
      </c>
      <c r="E15" s="119">
        <v>44541</v>
      </c>
      <c r="F15" s="118" t="s">
        <v>86</v>
      </c>
      <c r="G15" s="119">
        <v>44556</v>
      </c>
      <c r="H15" s="120" t="s">
        <v>77</v>
      </c>
      <c r="I15" s="121">
        <v>36</v>
      </c>
      <c r="J15" s="121">
        <v>26</v>
      </c>
      <c r="K15" s="121">
        <v>15</v>
      </c>
      <c r="L15" s="121">
        <v>10</v>
      </c>
      <c r="M15" s="122">
        <v>3.51</v>
      </c>
      <c r="N15" s="123">
        <v>10</v>
      </c>
      <c r="O15" s="124">
        <v>14000</v>
      </c>
      <c r="P15" s="125">
        <f t="shared" si="1"/>
        <v>140000</v>
      </c>
      <c r="Q15" s="171">
        <v>6</v>
      </c>
    </row>
    <row r="16" spans="1:17" ht="26.25" customHeight="1" x14ac:dyDescent="0.2">
      <c r="A16" s="14"/>
      <c r="B16" s="74"/>
      <c r="C16" s="9" t="s">
        <v>81</v>
      </c>
      <c r="D16" s="75" t="s">
        <v>66</v>
      </c>
      <c r="E16" s="13">
        <v>44541</v>
      </c>
      <c r="F16" s="75" t="s">
        <v>86</v>
      </c>
      <c r="G16" s="13">
        <v>44556</v>
      </c>
      <c r="H16" s="10" t="s">
        <v>77</v>
      </c>
      <c r="I16" s="1">
        <v>35</v>
      </c>
      <c r="J16" s="1">
        <v>34</v>
      </c>
      <c r="K16" s="1">
        <v>18</v>
      </c>
      <c r="L16" s="1">
        <v>12</v>
      </c>
      <c r="M16" s="79">
        <v>5.3550000000000004</v>
      </c>
      <c r="N16" s="97">
        <v>12</v>
      </c>
      <c r="O16" s="63">
        <v>14000</v>
      </c>
      <c r="P16" s="64">
        <f t="shared" si="1"/>
        <v>168000</v>
      </c>
      <c r="Q16" s="171"/>
    </row>
    <row r="17" spans="1:17" ht="26.25" customHeight="1" x14ac:dyDescent="0.2">
      <c r="A17" s="14"/>
      <c r="B17" s="14"/>
      <c r="C17" s="9" t="s">
        <v>82</v>
      </c>
      <c r="D17" s="75" t="s">
        <v>66</v>
      </c>
      <c r="E17" s="13">
        <v>44541</v>
      </c>
      <c r="F17" s="75" t="s">
        <v>86</v>
      </c>
      <c r="G17" s="13">
        <v>44556</v>
      </c>
      <c r="H17" s="10" t="s">
        <v>77</v>
      </c>
      <c r="I17" s="1">
        <v>54</v>
      </c>
      <c r="J17" s="1">
        <v>36</v>
      </c>
      <c r="K17" s="1">
        <v>8</v>
      </c>
      <c r="L17" s="1">
        <v>10</v>
      </c>
      <c r="M17" s="79">
        <v>3.8879999999999999</v>
      </c>
      <c r="N17" s="97">
        <v>10</v>
      </c>
      <c r="O17" s="63">
        <v>14000</v>
      </c>
      <c r="P17" s="64">
        <f t="shared" si="1"/>
        <v>140000</v>
      </c>
      <c r="Q17" s="171"/>
    </row>
    <row r="18" spans="1:17" ht="26.25" customHeight="1" x14ac:dyDescent="0.2">
      <c r="A18" s="14"/>
      <c r="B18" s="14"/>
      <c r="C18" s="72" t="s">
        <v>83</v>
      </c>
      <c r="D18" s="77" t="s">
        <v>66</v>
      </c>
      <c r="E18" s="13">
        <v>44541</v>
      </c>
      <c r="F18" s="75" t="s">
        <v>86</v>
      </c>
      <c r="G18" s="13">
        <v>44556</v>
      </c>
      <c r="H18" s="76" t="s">
        <v>77</v>
      </c>
      <c r="I18" s="16">
        <v>40</v>
      </c>
      <c r="J18" s="16">
        <v>36</v>
      </c>
      <c r="K18" s="16">
        <v>15</v>
      </c>
      <c r="L18" s="16">
        <v>18</v>
      </c>
      <c r="M18" s="80">
        <v>5.4</v>
      </c>
      <c r="N18" s="97">
        <v>18</v>
      </c>
      <c r="O18" s="63">
        <v>14000</v>
      </c>
      <c r="P18" s="64">
        <f t="shared" si="1"/>
        <v>252000</v>
      </c>
      <c r="Q18" s="171"/>
    </row>
    <row r="19" spans="1:17" ht="26.25" customHeight="1" x14ac:dyDescent="0.2">
      <c r="A19" s="14"/>
      <c r="B19" s="14"/>
      <c r="C19" s="72" t="s">
        <v>84</v>
      </c>
      <c r="D19" s="77" t="s">
        <v>66</v>
      </c>
      <c r="E19" s="13">
        <v>44541</v>
      </c>
      <c r="F19" s="75" t="s">
        <v>86</v>
      </c>
      <c r="G19" s="13">
        <v>44556</v>
      </c>
      <c r="H19" s="76" t="s">
        <v>77</v>
      </c>
      <c r="I19" s="16">
        <v>61</v>
      </c>
      <c r="J19" s="16">
        <v>41</v>
      </c>
      <c r="K19" s="16">
        <v>75</v>
      </c>
      <c r="L19" s="16">
        <v>31</v>
      </c>
      <c r="M19" s="80">
        <v>46.893749999999997</v>
      </c>
      <c r="N19" s="97">
        <v>46.893749999999997</v>
      </c>
      <c r="O19" s="63">
        <v>14000</v>
      </c>
      <c r="P19" s="64">
        <f t="shared" si="1"/>
        <v>656512.5</v>
      </c>
      <c r="Q19" s="171"/>
    </row>
    <row r="20" spans="1:17" ht="26.25" customHeight="1" thickBot="1" x14ac:dyDescent="0.25">
      <c r="A20" s="106"/>
      <c r="B20" s="106"/>
      <c r="C20" s="107" t="s">
        <v>85</v>
      </c>
      <c r="D20" s="108" t="s">
        <v>66</v>
      </c>
      <c r="E20" s="109">
        <v>44541</v>
      </c>
      <c r="F20" s="110" t="s">
        <v>86</v>
      </c>
      <c r="G20" s="109">
        <v>44556</v>
      </c>
      <c r="H20" s="111" t="s">
        <v>77</v>
      </c>
      <c r="I20" s="112">
        <v>43</v>
      </c>
      <c r="J20" s="112">
        <v>29</v>
      </c>
      <c r="K20" s="112">
        <v>33</v>
      </c>
      <c r="L20" s="112">
        <v>8</v>
      </c>
      <c r="M20" s="113">
        <v>10.287750000000001</v>
      </c>
      <c r="N20" s="114">
        <v>10.287750000000001</v>
      </c>
      <c r="O20" s="115">
        <v>14000</v>
      </c>
      <c r="P20" s="116">
        <f t="shared" si="1"/>
        <v>144028.5</v>
      </c>
      <c r="Q20" s="172"/>
    </row>
    <row r="21" spans="1:17" ht="26.25" customHeight="1" x14ac:dyDescent="0.2">
      <c r="A21" s="14">
        <v>402671</v>
      </c>
      <c r="B21" s="74" t="s">
        <v>87</v>
      </c>
      <c r="C21" s="117" t="s">
        <v>88</v>
      </c>
      <c r="D21" s="118" t="s">
        <v>66</v>
      </c>
      <c r="E21" s="119">
        <v>44546</v>
      </c>
      <c r="F21" s="118" t="s">
        <v>98</v>
      </c>
      <c r="G21" s="119">
        <v>44561</v>
      </c>
      <c r="H21" s="120" t="s">
        <v>99</v>
      </c>
      <c r="I21" s="121">
        <v>62</v>
      </c>
      <c r="J21" s="121">
        <v>40</v>
      </c>
      <c r="K21" s="121">
        <v>75</v>
      </c>
      <c r="L21" s="121">
        <v>31</v>
      </c>
      <c r="M21" s="122">
        <v>46.5</v>
      </c>
      <c r="N21" s="126">
        <v>47</v>
      </c>
      <c r="O21" s="124">
        <v>14000</v>
      </c>
      <c r="P21" s="125">
        <f t="shared" si="1"/>
        <v>658000</v>
      </c>
      <c r="Q21" s="171">
        <v>10</v>
      </c>
    </row>
    <row r="22" spans="1:17" ht="26.25" customHeight="1" x14ac:dyDescent="0.2">
      <c r="A22" s="14"/>
      <c r="B22" s="74"/>
      <c r="C22" s="9" t="s">
        <v>89</v>
      </c>
      <c r="D22" s="75" t="s">
        <v>66</v>
      </c>
      <c r="E22" s="13">
        <v>44546</v>
      </c>
      <c r="F22" s="75" t="s">
        <v>98</v>
      </c>
      <c r="G22" s="13">
        <v>44561</v>
      </c>
      <c r="H22" s="10" t="s">
        <v>99</v>
      </c>
      <c r="I22" s="1">
        <v>62</v>
      </c>
      <c r="J22" s="1">
        <v>40</v>
      </c>
      <c r="K22" s="1">
        <v>75</v>
      </c>
      <c r="L22" s="1">
        <v>31</v>
      </c>
      <c r="M22" s="79">
        <v>46.5</v>
      </c>
      <c r="N22" s="8">
        <v>47</v>
      </c>
      <c r="O22" s="63">
        <v>14000</v>
      </c>
      <c r="P22" s="64">
        <f t="shared" si="1"/>
        <v>658000</v>
      </c>
      <c r="Q22" s="171"/>
    </row>
    <row r="23" spans="1:17" ht="26.25" customHeight="1" x14ac:dyDescent="0.2">
      <c r="A23" s="14"/>
      <c r="B23" s="14"/>
      <c r="C23" s="9" t="s">
        <v>90</v>
      </c>
      <c r="D23" s="75" t="s">
        <v>66</v>
      </c>
      <c r="E23" s="13">
        <v>44546</v>
      </c>
      <c r="F23" s="75" t="s">
        <v>98</v>
      </c>
      <c r="G23" s="13">
        <v>44561</v>
      </c>
      <c r="H23" s="10" t="s">
        <v>99</v>
      </c>
      <c r="I23" s="1">
        <v>62</v>
      </c>
      <c r="J23" s="1">
        <v>40</v>
      </c>
      <c r="K23" s="1">
        <v>75</v>
      </c>
      <c r="L23" s="1">
        <v>31</v>
      </c>
      <c r="M23" s="79">
        <v>46.5</v>
      </c>
      <c r="N23" s="8">
        <v>47</v>
      </c>
      <c r="O23" s="63">
        <v>14000</v>
      </c>
      <c r="P23" s="64">
        <f t="shared" si="1"/>
        <v>658000</v>
      </c>
      <c r="Q23" s="171"/>
    </row>
    <row r="24" spans="1:17" ht="26.25" customHeight="1" x14ac:dyDescent="0.2">
      <c r="A24" s="14"/>
      <c r="B24" s="14"/>
      <c r="C24" s="72" t="s">
        <v>91</v>
      </c>
      <c r="D24" s="77" t="s">
        <v>66</v>
      </c>
      <c r="E24" s="13">
        <v>44546</v>
      </c>
      <c r="F24" s="75" t="s">
        <v>98</v>
      </c>
      <c r="G24" s="13">
        <v>44561</v>
      </c>
      <c r="H24" s="76" t="s">
        <v>99</v>
      </c>
      <c r="I24" s="16">
        <v>62</v>
      </c>
      <c r="J24" s="16">
        <v>40</v>
      </c>
      <c r="K24" s="16">
        <v>75</v>
      </c>
      <c r="L24" s="16">
        <v>31</v>
      </c>
      <c r="M24" s="80">
        <v>46.5</v>
      </c>
      <c r="N24" s="71">
        <v>47</v>
      </c>
      <c r="O24" s="63">
        <v>14000</v>
      </c>
      <c r="P24" s="64">
        <f t="shared" si="1"/>
        <v>658000</v>
      </c>
      <c r="Q24" s="171"/>
    </row>
    <row r="25" spans="1:17" ht="26.25" customHeight="1" x14ac:dyDescent="0.2">
      <c r="A25" s="14"/>
      <c r="B25" s="14"/>
      <c r="C25" s="72" t="s">
        <v>92</v>
      </c>
      <c r="D25" s="77" t="s">
        <v>66</v>
      </c>
      <c r="E25" s="13">
        <v>44546</v>
      </c>
      <c r="F25" s="75" t="s">
        <v>98</v>
      </c>
      <c r="G25" s="13">
        <v>44561</v>
      </c>
      <c r="H25" s="76" t="s">
        <v>99</v>
      </c>
      <c r="I25" s="16">
        <v>62</v>
      </c>
      <c r="J25" s="16">
        <v>40</v>
      </c>
      <c r="K25" s="16">
        <v>75</v>
      </c>
      <c r="L25" s="16">
        <v>31</v>
      </c>
      <c r="M25" s="80">
        <v>46.5</v>
      </c>
      <c r="N25" s="71">
        <v>47</v>
      </c>
      <c r="O25" s="63">
        <v>14000</v>
      </c>
      <c r="P25" s="64">
        <f t="shared" si="1"/>
        <v>658000</v>
      </c>
      <c r="Q25" s="171"/>
    </row>
    <row r="26" spans="1:17" ht="26.25" customHeight="1" x14ac:dyDescent="0.2">
      <c r="A26" s="14"/>
      <c r="B26" s="14"/>
      <c r="C26" s="72" t="s">
        <v>93</v>
      </c>
      <c r="D26" s="77" t="s">
        <v>66</v>
      </c>
      <c r="E26" s="13">
        <v>44546</v>
      </c>
      <c r="F26" s="75" t="s">
        <v>98</v>
      </c>
      <c r="G26" s="13">
        <v>44561</v>
      </c>
      <c r="H26" s="76" t="s">
        <v>99</v>
      </c>
      <c r="I26" s="16">
        <v>62</v>
      </c>
      <c r="J26" s="16">
        <v>40</v>
      </c>
      <c r="K26" s="16">
        <v>75</v>
      </c>
      <c r="L26" s="16">
        <v>31</v>
      </c>
      <c r="M26" s="80">
        <v>46.5</v>
      </c>
      <c r="N26" s="71">
        <v>47</v>
      </c>
      <c r="O26" s="63">
        <v>14000</v>
      </c>
      <c r="P26" s="64">
        <f t="shared" si="1"/>
        <v>658000</v>
      </c>
      <c r="Q26" s="171"/>
    </row>
    <row r="27" spans="1:17" ht="26.25" customHeight="1" x14ac:dyDescent="0.2">
      <c r="A27" s="14"/>
      <c r="B27" s="14"/>
      <c r="C27" s="72" t="s">
        <v>94</v>
      </c>
      <c r="D27" s="77" t="s">
        <v>66</v>
      </c>
      <c r="E27" s="13">
        <v>44546</v>
      </c>
      <c r="F27" s="75" t="s">
        <v>98</v>
      </c>
      <c r="G27" s="13">
        <v>44561</v>
      </c>
      <c r="H27" s="76" t="s">
        <v>99</v>
      </c>
      <c r="I27" s="16">
        <v>62</v>
      </c>
      <c r="J27" s="16">
        <v>40</v>
      </c>
      <c r="K27" s="16">
        <v>75</v>
      </c>
      <c r="L27" s="16">
        <v>31</v>
      </c>
      <c r="M27" s="80">
        <v>46.5</v>
      </c>
      <c r="N27" s="71">
        <v>47</v>
      </c>
      <c r="O27" s="63">
        <v>14000</v>
      </c>
      <c r="P27" s="64">
        <f t="shared" si="1"/>
        <v>658000</v>
      </c>
      <c r="Q27" s="171"/>
    </row>
    <row r="28" spans="1:17" ht="26.25" customHeight="1" x14ac:dyDescent="0.2">
      <c r="A28" s="14"/>
      <c r="B28" s="14"/>
      <c r="C28" s="72" t="s">
        <v>95</v>
      </c>
      <c r="D28" s="77" t="s">
        <v>66</v>
      </c>
      <c r="E28" s="13">
        <v>44546</v>
      </c>
      <c r="F28" s="75" t="s">
        <v>98</v>
      </c>
      <c r="G28" s="13">
        <v>44561</v>
      </c>
      <c r="H28" s="76" t="s">
        <v>99</v>
      </c>
      <c r="I28" s="16">
        <v>60</v>
      </c>
      <c r="J28" s="16">
        <v>50</v>
      </c>
      <c r="K28" s="16">
        <v>100</v>
      </c>
      <c r="L28" s="16">
        <v>14</v>
      </c>
      <c r="M28" s="80">
        <v>75</v>
      </c>
      <c r="N28" s="71">
        <v>75</v>
      </c>
      <c r="O28" s="63">
        <v>14000</v>
      </c>
      <c r="P28" s="64">
        <f t="shared" si="1"/>
        <v>1050000</v>
      </c>
      <c r="Q28" s="171"/>
    </row>
    <row r="29" spans="1:17" ht="26.25" customHeight="1" x14ac:dyDescent="0.2">
      <c r="A29" s="14"/>
      <c r="B29" s="14"/>
      <c r="C29" s="72" t="s">
        <v>96</v>
      </c>
      <c r="D29" s="77" t="s">
        <v>66</v>
      </c>
      <c r="E29" s="13">
        <v>44546</v>
      </c>
      <c r="F29" s="75" t="s">
        <v>98</v>
      </c>
      <c r="G29" s="13">
        <v>44561</v>
      </c>
      <c r="H29" s="76" t="s">
        <v>99</v>
      </c>
      <c r="I29" s="16">
        <v>60</v>
      </c>
      <c r="J29" s="16">
        <v>50</v>
      </c>
      <c r="K29" s="16">
        <v>100</v>
      </c>
      <c r="L29" s="16">
        <v>14</v>
      </c>
      <c r="M29" s="80">
        <v>75</v>
      </c>
      <c r="N29" s="71">
        <v>75</v>
      </c>
      <c r="O29" s="63">
        <v>14000</v>
      </c>
      <c r="P29" s="64">
        <f t="shared" si="1"/>
        <v>1050000</v>
      </c>
      <c r="Q29" s="171"/>
    </row>
    <row r="30" spans="1:17" ht="26.25" customHeight="1" thickBot="1" x14ac:dyDescent="0.25">
      <c r="A30" s="106"/>
      <c r="B30" s="106"/>
      <c r="C30" s="107" t="s">
        <v>97</v>
      </c>
      <c r="D30" s="108" t="s">
        <v>66</v>
      </c>
      <c r="E30" s="109">
        <v>44546</v>
      </c>
      <c r="F30" s="110" t="s">
        <v>98</v>
      </c>
      <c r="G30" s="109">
        <v>44561</v>
      </c>
      <c r="H30" s="111" t="s">
        <v>99</v>
      </c>
      <c r="I30" s="112">
        <v>60</v>
      </c>
      <c r="J30" s="112">
        <v>50</v>
      </c>
      <c r="K30" s="112">
        <v>93</v>
      </c>
      <c r="L30" s="112">
        <v>14</v>
      </c>
      <c r="M30" s="113">
        <v>69.75</v>
      </c>
      <c r="N30" s="114">
        <v>69.75</v>
      </c>
      <c r="O30" s="115">
        <v>14000</v>
      </c>
      <c r="P30" s="116">
        <f t="shared" si="1"/>
        <v>976500</v>
      </c>
      <c r="Q30" s="172"/>
    </row>
    <row r="31" spans="1:17" ht="26.25" customHeight="1" x14ac:dyDescent="0.2">
      <c r="A31" s="14">
        <v>402681</v>
      </c>
      <c r="B31" s="74" t="s">
        <v>100</v>
      </c>
      <c r="C31" s="117" t="s">
        <v>101</v>
      </c>
      <c r="D31" s="118" t="s">
        <v>66</v>
      </c>
      <c r="E31" s="119">
        <v>44547</v>
      </c>
      <c r="F31" s="118" t="s">
        <v>98</v>
      </c>
      <c r="G31" s="119">
        <v>44561</v>
      </c>
      <c r="H31" s="120" t="s">
        <v>99</v>
      </c>
      <c r="I31" s="121">
        <v>52</v>
      </c>
      <c r="J31" s="121">
        <v>45</v>
      </c>
      <c r="K31" s="121">
        <v>12</v>
      </c>
      <c r="L31" s="121">
        <v>4</v>
      </c>
      <c r="M31" s="122">
        <v>7.02</v>
      </c>
      <c r="N31" s="123">
        <v>7.02</v>
      </c>
      <c r="O31" s="124">
        <v>14000</v>
      </c>
      <c r="P31" s="125">
        <f t="shared" si="1"/>
        <v>98280</v>
      </c>
      <c r="Q31" s="171">
        <v>8</v>
      </c>
    </row>
    <row r="32" spans="1:17" ht="26.25" customHeight="1" x14ac:dyDescent="0.2">
      <c r="A32" s="14"/>
      <c r="B32" s="74"/>
      <c r="C32" s="9" t="s">
        <v>102</v>
      </c>
      <c r="D32" s="75" t="s">
        <v>66</v>
      </c>
      <c r="E32" s="13">
        <v>44547</v>
      </c>
      <c r="F32" s="75" t="s">
        <v>98</v>
      </c>
      <c r="G32" s="13">
        <v>44561</v>
      </c>
      <c r="H32" s="10" t="s">
        <v>99</v>
      </c>
      <c r="I32" s="1">
        <v>52</v>
      </c>
      <c r="J32" s="1">
        <v>45</v>
      </c>
      <c r="K32" s="1">
        <v>12</v>
      </c>
      <c r="L32" s="1">
        <v>4</v>
      </c>
      <c r="M32" s="79">
        <v>7.02</v>
      </c>
      <c r="N32" s="97">
        <v>7.02</v>
      </c>
      <c r="O32" s="63">
        <v>14000</v>
      </c>
      <c r="P32" s="64">
        <f t="shared" si="1"/>
        <v>98280</v>
      </c>
      <c r="Q32" s="171"/>
    </row>
    <row r="33" spans="1:17" ht="26.25" customHeight="1" x14ac:dyDescent="0.2">
      <c r="A33" s="14"/>
      <c r="B33" s="14"/>
      <c r="C33" s="9" t="s">
        <v>103</v>
      </c>
      <c r="D33" s="75" t="s">
        <v>66</v>
      </c>
      <c r="E33" s="13">
        <v>44547</v>
      </c>
      <c r="F33" s="75" t="s">
        <v>98</v>
      </c>
      <c r="G33" s="13">
        <v>44561</v>
      </c>
      <c r="H33" s="10" t="s">
        <v>99</v>
      </c>
      <c r="I33" s="1">
        <v>60</v>
      </c>
      <c r="J33" s="1">
        <v>44</v>
      </c>
      <c r="K33" s="1">
        <v>48</v>
      </c>
      <c r="L33" s="1">
        <v>12</v>
      </c>
      <c r="M33" s="79">
        <v>31.68</v>
      </c>
      <c r="N33" s="97">
        <v>31.68</v>
      </c>
      <c r="O33" s="63">
        <v>14000</v>
      </c>
      <c r="P33" s="64">
        <f t="shared" si="1"/>
        <v>443520</v>
      </c>
      <c r="Q33" s="171"/>
    </row>
    <row r="34" spans="1:17" ht="26.25" customHeight="1" x14ac:dyDescent="0.2">
      <c r="A34" s="14"/>
      <c r="B34" s="14"/>
      <c r="C34" s="72" t="s">
        <v>104</v>
      </c>
      <c r="D34" s="77" t="s">
        <v>66</v>
      </c>
      <c r="E34" s="13">
        <v>44547</v>
      </c>
      <c r="F34" s="75" t="s">
        <v>98</v>
      </c>
      <c r="G34" s="13">
        <v>44561</v>
      </c>
      <c r="H34" s="76" t="s">
        <v>99</v>
      </c>
      <c r="I34" s="16">
        <v>60</v>
      </c>
      <c r="J34" s="16">
        <v>44</v>
      </c>
      <c r="K34" s="16">
        <v>48</v>
      </c>
      <c r="L34" s="16">
        <v>12</v>
      </c>
      <c r="M34" s="80">
        <v>31.68</v>
      </c>
      <c r="N34" s="97">
        <v>31.68</v>
      </c>
      <c r="O34" s="63">
        <v>14000</v>
      </c>
      <c r="P34" s="64">
        <f t="shared" si="1"/>
        <v>443520</v>
      </c>
      <c r="Q34" s="171"/>
    </row>
    <row r="35" spans="1:17" ht="26.25" customHeight="1" x14ac:dyDescent="0.2">
      <c r="A35" s="14"/>
      <c r="B35" s="14"/>
      <c r="C35" s="72" t="s">
        <v>105</v>
      </c>
      <c r="D35" s="77" t="s">
        <v>66</v>
      </c>
      <c r="E35" s="13">
        <v>44547</v>
      </c>
      <c r="F35" s="75" t="s">
        <v>98</v>
      </c>
      <c r="G35" s="13">
        <v>44561</v>
      </c>
      <c r="H35" s="76" t="s">
        <v>99</v>
      </c>
      <c r="I35" s="16">
        <v>48</v>
      </c>
      <c r="J35" s="16">
        <v>43</v>
      </c>
      <c r="K35" s="16">
        <v>37</v>
      </c>
      <c r="L35" s="16">
        <v>12</v>
      </c>
      <c r="M35" s="80">
        <v>19.091999999999999</v>
      </c>
      <c r="N35" s="97">
        <v>19.091999999999999</v>
      </c>
      <c r="O35" s="63">
        <v>14000</v>
      </c>
      <c r="P35" s="64">
        <f t="shared" si="1"/>
        <v>267288</v>
      </c>
      <c r="Q35" s="171"/>
    </row>
    <row r="36" spans="1:17" ht="26.25" customHeight="1" x14ac:dyDescent="0.2">
      <c r="A36" s="14"/>
      <c r="B36" s="14"/>
      <c r="C36" s="72" t="s">
        <v>106</v>
      </c>
      <c r="D36" s="77" t="s">
        <v>66</v>
      </c>
      <c r="E36" s="13">
        <v>44547</v>
      </c>
      <c r="F36" s="75" t="s">
        <v>98</v>
      </c>
      <c r="G36" s="13">
        <v>44561</v>
      </c>
      <c r="H36" s="76" t="s">
        <v>99</v>
      </c>
      <c r="I36" s="16">
        <v>149</v>
      </c>
      <c r="J36" s="16">
        <v>64</v>
      </c>
      <c r="K36" s="16">
        <v>9</v>
      </c>
      <c r="L36" s="16">
        <v>14</v>
      </c>
      <c r="M36" s="80">
        <v>21.456</v>
      </c>
      <c r="N36" s="97">
        <v>22</v>
      </c>
      <c r="O36" s="63">
        <v>14000</v>
      </c>
      <c r="P36" s="64">
        <f t="shared" si="1"/>
        <v>308000</v>
      </c>
      <c r="Q36" s="171"/>
    </row>
    <row r="37" spans="1:17" ht="26.25" customHeight="1" x14ac:dyDescent="0.2">
      <c r="A37" s="14"/>
      <c r="B37" s="14"/>
      <c r="C37" s="72" t="s">
        <v>107</v>
      </c>
      <c r="D37" s="77" t="s">
        <v>66</v>
      </c>
      <c r="E37" s="13">
        <v>44547</v>
      </c>
      <c r="F37" s="75" t="s">
        <v>98</v>
      </c>
      <c r="G37" s="13">
        <v>44561</v>
      </c>
      <c r="H37" s="76" t="s">
        <v>99</v>
      </c>
      <c r="I37" s="16">
        <v>149</v>
      </c>
      <c r="J37" s="16">
        <v>64</v>
      </c>
      <c r="K37" s="16">
        <v>9</v>
      </c>
      <c r="L37" s="16">
        <v>14</v>
      </c>
      <c r="M37" s="80">
        <v>21.456</v>
      </c>
      <c r="N37" s="97">
        <v>22</v>
      </c>
      <c r="O37" s="63">
        <v>14000</v>
      </c>
      <c r="P37" s="64">
        <f t="shared" si="1"/>
        <v>308000</v>
      </c>
      <c r="Q37" s="171"/>
    </row>
    <row r="38" spans="1:17" ht="26.25" customHeight="1" thickBot="1" x14ac:dyDescent="0.25">
      <c r="A38" s="106"/>
      <c r="B38" s="106"/>
      <c r="C38" s="107" t="s">
        <v>108</v>
      </c>
      <c r="D38" s="108" t="s">
        <v>66</v>
      </c>
      <c r="E38" s="109">
        <v>44547</v>
      </c>
      <c r="F38" s="110" t="s">
        <v>98</v>
      </c>
      <c r="G38" s="109">
        <v>44561</v>
      </c>
      <c r="H38" s="111" t="s">
        <v>99</v>
      </c>
      <c r="I38" s="112">
        <v>149</v>
      </c>
      <c r="J38" s="112">
        <v>64</v>
      </c>
      <c r="K38" s="112">
        <v>9</v>
      </c>
      <c r="L38" s="112">
        <v>14</v>
      </c>
      <c r="M38" s="113">
        <v>21.456</v>
      </c>
      <c r="N38" s="114">
        <v>22</v>
      </c>
      <c r="O38" s="115">
        <v>14000</v>
      </c>
      <c r="P38" s="116">
        <f t="shared" si="1"/>
        <v>308000</v>
      </c>
      <c r="Q38" s="172"/>
    </row>
    <row r="39" spans="1:17" ht="26.25" customHeight="1" x14ac:dyDescent="0.2">
      <c r="A39" s="14">
        <v>402692</v>
      </c>
      <c r="B39" s="74" t="s">
        <v>109</v>
      </c>
      <c r="C39" s="117" t="s">
        <v>110</v>
      </c>
      <c r="D39" s="118" t="s">
        <v>66</v>
      </c>
      <c r="E39" s="119">
        <v>44548</v>
      </c>
      <c r="F39" s="118" t="s">
        <v>98</v>
      </c>
      <c r="G39" s="119">
        <v>44561</v>
      </c>
      <c r="H39" s="120" t="s">
        <v>99</v>
      </c>
      <c r="I39" s="121">
        <v>148</v>
      </c>
      <c r="J39" s="121">
        <v>64</v>
      </c>
      <c r="K39" s="121">
        <v>10</v>
      </c>
      <c r="L39" s="121">
        <v>4</v>
      </c>
      <c r="M39" s="122">
        <v>23.68</v>
      </c>
      <c r="N39" s="123">
        <v>23.68</v>
      </c>
      <c r="O39" s="124">
        <v>14000</v>
      </c>
      <c r="P39" s="125">
        <f t="shared" si="1"/>
        <v>331520</v>
      </c>
      <c r="Q39" s="171">
        <v>8</v>
      </c>
    </row>
    <row r="40" spans="1:17" ht="26.25" customHeight="1" x14ac:dyDescent="0.2">
      <c r="A40" s="14"/>
      <c r="B40" s="74"/>
      <c r="C40" s="9" t="s">
        <v>111</v>
      </c>
      <c r="D40" s="75" t="s">
        <v>66</v>
      </c>
      <c r="E40" s="13">
        <v>44548</v>
      </c>
      <c r="F40" s="75" t="s">
        <v>98</v>
      </c>
      <c r="G40" s="13">
        <v>44561</v>
      </c>
      <c r="H40" s="10" t="s">
        <v>99</v>
      </c>
      <c r="I40" s="1">
        <v>148</v>
      </c>
      <c r="J40" s="1">
        <v>64</v>
      </c>
      <c r="K40" s="1">
        <v>10</v>
      </c>
      <c r="L40" s="1">
        <v>4</v>
      </c>
      <c r="M40" s="79">
        <v>23.68</v>
      </c>
      <c r="N40" s="97">
        <v>23.68</v>
      </c>
      <c r="O40" s="63">
        <v>14000</v>
      </c>
      <c r="P40" s="64">
        <f t="shared" si="1"/>
        <v>331520</v>
      </c>
      <c r="Q40" s="171"/>
    </row>
    <row r="41" spans="1:17" ht="26.25" customHeight="1" x14ac:dyDescent="0.2">
      <c r="A41" s="14"/>
      <c r="B41" s="14"/>
      <c r="C41" s="9" t="s">
        <v>112</v>
      </c>
      <c r="D41" s="75" t="s">
        <v>66</v>
      </c>
      <c r="E41" s="13">
        <v>44548</v>
      </c>
      <c r="F41" s="75" t="s">
        <v>98</v>
      </c>
      <c r="G41" s="13">
        <v>44561</v>
      </c>
      <c r="H41" s="10" t="s">
        <v>99</v>
      </c>
      <c r="I41" s="1">
        <v>148</v>
      </c>
      <c r="J41" s="1">
        <v>64</v>
      </c>
      <c r="K41" s="1">
        <v>10</v>
      </c>
      <c r="L41" s="1">
        <v>4</v>
      </c>
      <c r="M41" s="79">
        <v>23.68</v>
      </c>
      <c r="N41" s="97">
        <v>23.68</v>
      </c>
      <c r="O41" s="63">
        <v>14000</v>
      </c>
      <c r="P41" s="64">
        <f t="shared" si="1"/>
        <v>331520</v>
      </c>
      <c r="Q41" s="171"/>
    </row>
    <row r="42" spans="1:17" ht="26.25" customHeight="1" x14ac:dyDescent="0.2">
      <c r="A42" s="14"/>
      <c r="B42" s="14"/>
      <c r="C42" s="72" t="s">
        <v>113</v>
      </c>
      <c r="D42" s="77" t="s">
        <v>66</v>
      </c>
      <c r="E42" s="13">
        <v>44548</v>
      </c>
      <c r="F42" s="75" t="s">
        <v>98</v>
      </c>
      <c r="G42" s="13">
        <v>44561</v>
      </c>
      <c r="H42" s="76" t="s">
        <v>99</v>
      </c>
      <c r="I42" s="16">
        <v>148</v>
      </c>
      <c r="J42" s="16">
        <v>64</v>
      </c>
      <c r="K42" s="16">
        <v>10</v>
      </c>
      <c r="L42" s="16">
        <v>4</v>
      </c>
      <c r="M42" s="80">
        <v>23.68</v>
      </c>
      <c r="N42" s="97">
        <v>23.68</v>
      </c>
      <c r="O42" s="63">
        <v>14000</v>
      </c>
      <c r="P42" s="64">
        <f t="shared" si="1"/>
        <v>331520</v>
      </c>
      <c r="Q42" s="171"/>
    </row>
    <row r="43" spans="1:17" ht="26.25" customHeight="1" x14ac:dyDescent="0.2">
      <c r="A43" s="14"/>
      <c r="B43" s="14"/>
      <c r="C43" s="72" t="s">
        <v>114</v>
      </c>
      <c r="D43" s="77" t="s">
        <v>66</v>
      </c>
      <c r="E43" s="13">
        <v>44548</v>
      </c>
      <c r="F43" s="75" t="s">
        <v>98</v>
      </c>
      <c r="G43" s="13">
        <v>44561</v>
      </c>
      <c r="H43" s="76" t="s">
        <v>99</v>
      </c>
      <c r="I43" s="16">
        <v>53</v>
      </c>
      <c r="J43" s="16">
        <v>36</v>
      </c>
      <c r="K43" s="16">
        <v>11</v>
      </c>
      <c r="L43" s="16">
        <v>10</v>
      </c>
      <c r="M43" s="80">
        <v>5.2469999999999999</v>
      </c>
      <c r="N43" s="97">
        <v>10</v>
      </c>
      <c r="O43" s="63">
        <v>14000</v>
      </c>
      <c r="P43" s="64">
        <f t="shared" si="1"/>
        <v>140000</v>
      </c>
      <c r="Q43" s="171"/>
    </row>
    <row r="44" spans="1:17" ht="26.25" customHeight="1" x14ac:dyDescent="0.2">
      <c r="A44" s="14"/>
      <c r="B44" s="14"/>
      <c r="C44" s="72" t="s">
        <v>115</v>
      </c>
      <c r="D44" s="77" t="s">
        <v>66</v>
      </c>
      <c r="E44" s="13">
        <v>44548</v>
      </c>
      <c r="F44" s="75" t="s">
        <v>98</v>
      </c>
      <c r="G44" s="13">
        <v>44561</v>
      </c>
      <c r="H44" s="76" t="s">
        <v>99</v>
      </c>
      <c r="I44" s="16">
        <v>148</v>
      </c>
      <c r="J44" s="16">
        <v>64</v>
      </c>
      <c r="K44" s="16">
        <v>10</v>
      </c>
      <c r="L44" s="16">
        <v>4</v>
      </c>
      <c r="M44" s="80">
        <v>23.68</v>
      </c>
      <c r="N44" s="97">
        <v>23.68</v>
      </c>
      <c r="O44" s="63">
        <v>14000</v>
      </c>
      <c r="P44" s="64">
        <f t="shared" si="1"/>
        <v>331520</v>
      </c>
      <c r="Q44" s="171"/>
    </row>
    <row r="45" spans="1:17" ht="26.25" customHeight="1" x14ac:dyDescent="0.2">
      <c r="A45" s="14"/>
      <c r="B45" s="14"/>
      <c r="C45" s="72" t="s">
        <v>116</v>
      </c>
      <c r="D45" s="77" t="s">
        <v>66</v>
      </c>
      <c r="E45" s="13">
        <v>44548</v>
      </c>
      <c r="F45" s="75" t="s">
        <v>98</v>
      </c>
      <c r="G45" s="13">
        <v>44561</v>
      </c>
      <c r="H45" s="76" t="s">
        <v>99</v>
      </c>
      <c r="I45" s="16">
        <v>148</v>
      </c>
      <c r="J45" s="16">
        <v>64</v>
      </c>
      <c r="K45" s="16">
        <v>10</v>
      </c>
      <c r="L45" s="16">
        <v>4</v>
      </c>
      <c r="M45" s="80">
        <v>23.68</v>
      </c>
      <c r="N45" s="97">
        <v>23.68</v>
      </c>
      <c r="O45" s="63">
        <v>14000</v>
      </c>
      <c r="P45" s="64">
        <f t="shared" si="1"/>
        <v>331520</v>
      </c>
      <c r="Q45" s="171"/>
    </row>
    <row r="46" spans="1:17" ht="26.25" customHeight="1" thickBot="1" x14ac:dyDescent="0.25">
      <c r="A46" s="106"/>
      <c r="B46" s="106"/>
      <c r="C46" s="107" t="s">
        <v>117</v>
      </c>
      <c r="D46" s="108" t="s">
        <v>66</v>
      </c>
      <c r="E46" s="109">
        <v>44548</v>
      </c>
      <c r="F46" s="110" t="s">
        <v>98</v>
      </c>
      <c r="G46" s="109">
        <v>44561</v>
      </c>
      <c r="H46" s="111" t="s">
        <v>99</v>
      </c>
      <c r="I46" s="112">
        <v>148</v>
      </c>
      <c r="J46" s="112">
        <v>64</v>
      </c>
      <c r="K46" s="112">
        <v>10</v>
      </c>
      <c r="L46" s="112">
        <v>4</v>
      </c>
      <c r="M46" s="113">
        <v>23.68</v>
      </c>
      <c r="N46" s="114">
        <v>23.68</v>
      </c>
      <c r="O46" s="115">
        <v>14000</v>
      </c>
      <c r="P46" s="116">
        <f t="shared" si="1"/>
        <v>331520</v>
      </c>
      <c r="Q46" s="172"/>
    </row>
    <row r="47" spans="1:17" ht="26.25" customHeight="1" x14ac:dyDescent="0.2">
      <c r="A47" s="14">
        <v>402720</v>
      </c>
      <c r="B47" s="74" t="s">
        <v>118</v>
      </c>
      <c r="C47" s="117" t="s">
        <v>119</v>
      </c>
      <c r="D47" s="118" t="s">
        <v>66</v>
      </c>
      <c r="E47" s="119">
        <v>44553</v>
      </c>
      <c r="F47" s="118" t="s">
        <v>86</v>
      </c>
      <c r="G47" s="119">
        <v>44570</v>
      </c>
      <c r="H47" s="120" t="s">
        <v>124</v>
      </c>
      <c r="I47" s="121">
        <v>37</v>
      </c>
      <c r="J47" s="121">
        <v>37</v>
      </c>
      <c r="K47" s="121">
        <v>84</v>
      </c>
      <c r="L47" s="121">
        <v>15</v>
      </c>
      <c r="M47" s="122">
        <v>28.748999999999999</v>
      </c>
      <c r="N47" s="123">
        <v>28.748999999999999</v>
      </c>
      <c r="O47" s="124">
        <v>14000</v>
      </c>
      <c r="P47" s="125">
        <f t="shared" si="1"/>
        <v>402486</v>
      </c>
      <c r="Q47" s="171">
        <v>5</v>
      </c>
    </row>
    <row r="48" spans="1:17" ht="26.25" customHeight="1" x14ac:dyDescent="0.2">
      <c r="A48" s="14"/>
      <c r="B48" s="74"/>
      <c r="C48" s="9" t="s">
        <v>120</v>
      </c>
      <c r="D48" s="75" t="s">
        <v>66</v>
      </c>
      <c r="E48" s="13">
        <v>44553</v>
      </c>
      <c r="F48" s="75" t="s">
        <v>86</v>
      </c>
      <c r="G48" s="13">
        <v>44570</v>
      </c>
      <c r="H48" s="10" t="s">
        <v>124</v>
      </c>
      <c r="I48" s="1">
        <v>66</v>
      </c>
      <c r="J48" s="1">
        <v>58</v>
      </c>
      <c r="K48" s="1">
        <v>20</v>
      </c>
      <c r="L48" s="1">
        <v>12</v>
      </c>
      <c r="M48" s="79">
        <v>19.14</v>
      </c>
      <c r="N48" s="97">
        <v>19.14</v>
      </c>
      <c r="O48" s="63">
        <v>14000</v>
      </c>
      <c r="P48" s="64">
        <f t="shared" si="1"/>
        <v>267960</v>
      </c>
      <c r="Q48" s="171"/>
    </row>
    <row r="49" spans="1:17" ht="26.25" customHeight="1" x14ac:dyDescent="0.2">
      <c r="A49" s="14"/>
      <c r="B49" s="14"/>
      <c r="C49" s="9" t="s">
        <v>121</v>
      </c>
      <c r="D49" s="75" t="s">
        <v>66</v>
      </c>
      <c r="E49" s="13">
        <v>44553</v>
      </c>
      <c r="F49" s="75" t="s">
        <v>86</v>
      </c>
      <c r="G49" s="13">
        <v>44570</v>
      </c>
      <c r="H49" s="10" t="s">
        <v>124</v>
      </c>
      <c r="I49" s="1">
        <v>150</v>
      </c>
      <c r="J49" s="1">
        <v>67</v>
      </c>
      <c r="K49" s="1">
        <v>10</v>
      </c>
      <c r="L49" s="1">
        <v>15</v>
      </c>
      <c r="M49" s="79">
        <v>25.125</v>
      </c>
      <c r="N49" s="97">
        <v>25.125</v>
      </c>
      <c r="O49" s="63">
        <v>14000</v>
      </c>
      <c r="P49" s="64">
        <f t="shared" si="1"/>
        <v>351750</v>
      </c>
      <c r="Q49" s="171"/>
    </row>
    <row r="50" spans="1:17" ht="26.25" customHeight="1" x14ac:dyDescent="0.2">
      <c r="A50" s="14"/>
      <c r="B50" s="14"/>
      <c r="C50" s="72" t="s">
        <v>122</v>
      </c>
      <c r="D50" s="77" t="s">
        <v>66</v>
      </c>
      <c r="E50" s="13">
        <v>44553</v>
      </c>
      <c r="F50" s="75" t="s">
        <v>86</v>
      </c>
      <c r="G50" s="13">
        <v>44570</v>
      </c>
      <c r="H50" s="76" t="s">
        <v>124</v>
      </c>
      <c r="I50" s="16">
        <v>150</v>
      </c>
      <c r="J50" s="16">
        <v>67</v>
      </c>
      <c r="K50" s="16">
        <v>10</v>
      </c>
      <c r="L50" s="16">
        <v>15</v>
      </c>
      <c r="M50" s="80">
        <v>25.125</v>
      </c>
      <c r="N50" s="97">
        <v>25.125</v>
      </c>
      <c r="O50" s="63">
        <v>14000</v>
      </c>
      <c r="P50" s="64">
        <f t="shared" si="1"/>
        <v>351750</v>
      </c>
      <c r="Q50" s="171"/>
    </row>
    <row r="51" spans="1:17" ht="26.25" customHeight="1" thickBot="1" x14ac:dyDescent="0.25">
      <c r="A51" s="106"/>
      <c r="B51" s="106"/>
      <c r="C51" s="107" t="s">
        <v>123</v>
      </c>
      <c r="D51" s="108" t="s">
        <v>66</v>
      </c>
      <c r="E51" s="109">
        <v>44553</v>
      </c>
      <c r="F51" s="110" t="s">
        <v>86</v>
      </c>
      <c r="G51" s="109">
        <v>44570</v>
      </c>
      <c r="H51" s="111" t="s">
        <v>124</v>
      </c>
      <c r="I51" s="112">
        <v>150</v>
      </c>
      <c r="J51" s="112">
        <v>67</v>
      </c>
      <c r="K51" s="112">
        <v>10</v>
      </c>
      <c r="L51" s="112">
        <v>15</v>
      </c>
      <c r="M51" s="113">
        <v>25.125</v>
      </c>
      <c r="N51" s="114">
        <v>25.125</v>
      </c>
      <c r="O51" s="115">
        <v>14000</v>
      </c>
      <c r="P51" s="116">
        <f t="shared" si="1"/>
        <v>351750</v>
      </c>
      <c r="Q51" s="172"/>
    </row>
    <row r="52" spans="1:17" ht="26.25" customHeight="1" x14ac:dyDescent="0.2">
      <c r="A52" s="14">
        <v>402765</v>
      </c>
      <c r="B52" s="74" t="s">
        <v>125</v>
      </c>
      <c r="C52" s="117" t="s">
        <v>126</v>
      </c>
      <c r="D52" s="118" t="s">
        <v>66</v>
      </c>
      <c r="E52" s="119">
        <v>44561</v>
      </c>
      <c r="F52" s="118" t="s">
        <v>67</v>
      </c>
      <c r="G52" s="119">
        <v>44588</v>
      </c>
      <c r="H52" s="120" t="s">
        <v>143</v>
      </c>
      <c r="I52" s="121">
        <v>36</v>
      </c>
      <c r="J52" s="121">
        <v>36</v>
      </c>
      <c r="K52" s="121">
        <v>12</v>
      </c>
      <c r="L52" s="121">
        <v>10</v>
      </c>
      <c r="M52" s="122">
        <v>3.8879999999999999</v>
      </c>
      <c r="N52" s="123">
        <v>10</v>
      </c>
      <c r="O52" s="124">
        <v>14000</v>
      </c>
      <c r="P52" s="125">
        <f t="shared" si="1"/>
        <v>140000</v>
      </c>
      <c r="Q52" s="171">
        <v>16</v>
      </c>
    </row>
    <row r="53" spans="1:17" ht="26.25" customHeight="1" x14ac:dyDescent="0.2">
      <c r="A53" s="14"/>
      <c r="B53" s="74"/>
      <c r="C53" s="9" t="s">
        <v>127</v>
      </c>
      <c r="D53" s="75" t="s">
        <v>66</v>
      </c>
      <c r="E53" s="13">
        <v>44561</v>
      </c>
      <c r="F53" s="75" t="s">
        <v>67</v>
      </c>
      <c r="G53" s="13">
        <v>44588</v>
      </c>
      <c r="H53" s="10" t="s">
        <v>143</v>
      </c>
      <c r="I53" s="1">
        <v>36</v>
      </c>
      <c r="J53" s="1">
        <v>36</v>
      </c>
      <c r="K53" s="1">
        <v>12</v>
      </c>
      <c r="L53" s="1">
        <v>10</v>
      </c>
      <c r="M53" s="79">
        <v>3.8879999999999999</v>
      </c>
      <c r="N53" s="97">
        <v>10</v>
      </c>
      <c r="O53" s="63">
        <v>14000</v>
      </c>
      <c r="P53" s="64">
        <f t="shared" si="1"/>
        <v>140000</v>
      </c>
      <c r="Q53" s="171"/>
    </row>
    <row r="54" spans="1:17" ht="26.25" customHeight="1" x14ac:dyDescent="0.2">
      <c r="A54" s="14"/>
      <c r="B54" s="14"/>
      <c r="C54" s="9" t="s">
        <v>128</v>
      </c>
      <c r="D54" s="75" t="s">
        <v>66</v>
      </c>
      <c r="E54" s="13">
        <v>44561</v>
      </c>
      <c r="F54" s="75" t="s">
        <v>67</v>
      </c>
      <c r="G54" s="13">
        <v>44588</v>
      </c>
      <c r="H54" s="10" t="s">
        <v>143</v>
      </c>
      <c r="I54" s="1">
        <v>36</v>
      </c>
      <c r="J54" s="1">
        <v>36</v>
      </c>
      <c r="K54" s="1">
        <v>12</v>
      </c>
      <c r="L54" s="1">
        <v>10</v>
      </c>
      <c r="M54" s="79">
        <v>3.8879999999999999</v>
      </c>
      <c r="N54" s="97">
        <v>10</v>
      </c>
      <c r="O54" s="63">
        <v>14000</v>
      </c>
      <c r="P54" s="64">
        <f t="shared" si="1"/>
        <v>140000</v>
      </c>
      <c r="Q54" s="171"/>
    </row>
    <row r="55" spans="1:17" ht="26.25" customHeight="1" x14ac:dyDescent="0.2">
      <c r="A55" s="14"/>
      <c r="B55" s="14"/>
      <c r="C55" s="72" t="s">
        <v>129</v>
      </c>
      <c r="D55" s="77" t="s">
        <v>66</v>
      </c>
      <c r="E55" s="13">
        <v>44561</v>
      </c>
      <c r="F55" s="75" t="s">
        <v>67</v>
      </c>
      <c r="G55" s="13">
        <v>44588</v>
      </c>
      <c r="H55" s="76" t="s">
        <v>143</v>
      </c>
      <c r="I55" s="16">
        <v>55</v>
      </c>
      <c r="J55" s="16">
        <v>33</v>
      </c>
      <c r="K55" s="16">
        <v>7</v>
      </c>
      <c r="L55" s="16">
        <v>11</v>
      </c>
      <c r="M55" s="80">
        <v>3.17625</v>
      </c>
      <c r="N55" s="97">
        <v>11</v>
      </c>
      <c r="O55" s="63">
        <v>14000</v>
      </c>
      <c r="P55" s="64">
        <f t="shared" si="1"/>
        <v>154000</v>
      </c>
      <c r="Q55" s="171"/>
    </row>
    <row r="56" spans="1:17" ht="26.25" customHeight="1" x14ac:dyDescent="0.2">
      <c r="A56" s="14"/>
      <c r="B56" s="101"/>
      <c r="C56" s="72" t="s">
        <v>130</v>
      </c>
      <c r="D56" s="77" t="s">
        <v>66</v>
      </c>
      <c r="E56" s="13">
        <v>44561</v>
      </c>
      <c r="F56" s="75" t="s">
        <v>67</v>
      </c>
      <c r="G56" s="13">
        <v>44588</v>
      </c>
      <c r="H56" s="76" t="s">
        <v>143</v>
      </c>
      <c r="I56" s="16">
        <v>71</v>
      </c>
      <c r="J56" s="16">
        <v>39</v>
      </c>
      <c r="K56" s="16">
        <v>21</v>
      </c>
      <c r="L56" s="16">
        <v>10</v>
      </c>
      <c r="M56" s="80">
        <v>14.53725</v>
      </c>
      <c r="N56" s="97">
        <v>14.53725</v>
      </c>
      <c r="O56" s="63">
        <v>14000</v>
      </c>
      <c r="P56" s="64">
        <f t="shared" si="1"/>
        <v>203521.5</v>
      </c>
      <c r="Q56" s="171"/>
    </row>
    <row r="57" spans="1:17" ht="26.25" customHeight="1" x14ac:dyDescent="0.2">
      <c r="A57" s="14"/>
      <c r="B57" s="14" t="s">
        <v>131</v>
      </c>
      <c r="C57" s="72" t="s">
        <v>132</v>
      </c>
      <c r="D57" s="77" t="s">
        <v>66</v>
      </c>
      <c r="E57" s="13">
        <v>44561</v>
      </c>
      <c r="F57" s="75" t="s">
        <v>67</v>
      </c>
      <c r="G57" s="13">
        <v>44588</v>
      </c>
      <c r="H57" s="76" t="s">
        <v>143</v>
      </c>
      <c r="I57" s="16">
        <v>52</v>
      </c>
      <c r="J57" s="16">
        <v>45</v>
      </c>
      <c r="K57" s="16">
        <v>13</v>
      </c>
      <c r="L57" s="16">
        <v>10</v>
      </c>
      <c r="M57" s="80">
        <v>7.6050000000000004</v>
      </c>
      <c r="N57" s="97">
        <v>10</v>
      </c>
      <c r="O57" s="63">
        <v>14000</v>
      </c>
      <c r="P57" s="64">
        <f t="shared" si="1"/>
        <v>140000</v>
      </c>
      <c r="Q57" s="171"/>
    </row>
    <row r="58" spans="1:17" ht="26.25" customHeight="1" x14ac:dyDescent="0.2">
      <c r="A58" s="14"/>
      <c r="B58" s="14"/>
      <c r="C58" s="72" t="s">
        <v>133</v>
      </c>
      <c r="D58" s="77" t="s">
        <v>66</v>
      </c>
      <c r="E58" s="13">
        <v>44561</v>
      </c>
      <c r="F58" s="75" t="s">
        <v>67</v>
      </c>
      <c r="G58" s="13">
        <v>44588</v>
      </c>
      <c r="H58" s="76" t="s">
        <v>143</v>
      </c>
      <c r="I58" s="16">
        <v>52</v>
      </c>
      <c r="J58" s="16">
        <v>45</v>
      </c>
      <c r="K58" s="16">
        <v>13</v>
      </c>
      <c r="L58" s="16">
        <v>10</v>
      </c>
      <c r="M58" s="80">
        <v>7.6050000000000004</v>
      </c>
      <c r="N58" s="97">
        <v>10</v>
      </c>
      <c r="O58" s="63">
        <v>14000</v>
      </c>
      <c r="P58" s="64">
        <f t="shared" si="1"/>
        <v>140000</v>
      </c>
      <c r="Q58" s="171"/>
    </row>
    <row r="59" spans="1:17" ht="26.25" customHeight="1" x14ac:dyDescent="0.2">
      <c r="A59" s="14"/>
      <c r="B59" s="14"/>
      <c r="C59" s="72" t="s">
        <v>134</v>
      </c>
      <c r="D59" s="77" t="s">
        <v>66</v>
      </c>
      <c r="E59" s="13">
        <v>44561</v>
      </c>
      <c r="F59" s="75" t="s">
        <v>67</v>
      </c>
      <c r="G59" s="13">
        <v>44588</v>
      </c>
      <c r="H59" s="76" t="s">
        <v>143</v>
      </c>
      <c r="I59" s="16">
        <v>52</v>
      </c>
      <c r="J59" s="16">
        <v>45</v>
      </c>
      <c r="K59" s="16">
        <v>13</v>
      </c>
      <c r="L59" s="16">
        <v>10</v>
      </c>
      <c r="M59" s="80">
        <v>7.6050000000000004</v>
      </c>
      <c r="N59" s="97">
        <v>10</v>
      </c>
      <c r="O59" s="63">
        <v>14000</v>
      </c>
      <c r="P59" s="64">
        <f t="shared" si="1"/>
        <v>140000</v>
      </c>
      <c r="Q59" s="171"/>
    </row>
    <row r="60" spans="1:17" ht="26.25" customHeight="1" x14ac:dyDescent="0.2">
      <c r="A60" s="14"/>
      <c r="B60" s="14"/>
      <c r="C60" s="72" t="s">
        <v>135</v>
      </c>
      <c r="D60" s="77" t="s">
        <v>66</v>
      </c>
      <c r="E60" s="13">
        <v>44561</v>
      </c>
      <c r="F60" s="75" t="s">
        <v>67</v>
      </c>
      <c r="G60" s="13">
        <v>44588</v>
      </c>
      <c r="H60" s="76" t="s">
        <v>143</v>
      </c>
      <c r="I60" s="16">
        <v>52</v>
      </c>
      <c r="J60" s="16">
        <v>45</v>
      </c>
      <c r="K60" s="16">
        <v>13</v>
      </c>
      <c r="L60" s="16">
        <v>10</v>
      </c>
      <c r="M60" s="80">
        <v>7.6050000000000004</v>
      </c>
      <c r="N60" s="97">
        <v>10</v>
      </c>
      <c r="O60" s="63">
        <v>14000</v>
      </c>
      <c r="P60" s="64">
        <f t="shared" si="1"/>
        <v>140000</v>
      </c>
      <c r="Q60" s="171"/>
    </row>
    <row r="61" spans="1:17" ht="26.25" customHeight="1" x14ac:dyDescent="0.2">
      <c r="A61" s="14"/>
      <c r="B61" s="14"/>
      <c r="C61" s="72" t="s">
        <v>136</v>
      </c>
      <c r="D61" s="77" t="s">
        <v>66</v>
      </c>
      <c r="E61" s="13">
        <v>44561</v>
      </c>
      <c r="F61" s="75" t="s">
        <v>67</v>
      </c>
      <c r="G61" s="13">
        <v>44588</v>
      </c>
      <c r="H61" s="76" t="s">
        <v>143</v>
      </c>
      <c r="I61" s="16">
        <v>52</v>
      </c>
      <c r="J61" s="16">
        <v>45</v>
      </c>
      <c r="K61" s="16">
        <v>13</v>
      </c>
      <c r="L61" s="16">
        <v>10</v>
      </c>
      <c r="M61" s="80">
        <v>7.6050000000000004</v>
      </c>
      <c r="N61" s="97">
        <v>10</v>
      </c>
      <c r="O61" s="63">
        <v>14000</v>
      </c>
      <c r="P61" s="64">
        <f t="shared" si="1"/>
        <v>140000</v>
      </c>
      <c r="Q61" s="171"/>
    </row>
    <row r="62" spans="1:17" ht="26.25" customHeight="1" x14ac:dyDescent="0.2">
      <c r="A62" s="14"/>
      <c r="B62" s="14"/>
      <c r="C62" s="72" t="s">
        <v>137</v>
      </c>
      <c r="D62" s="77" t="s">
        <v>66</v>
      </c>
      <c r="E62" s="13">
        <v>44561</v>
      </c>
      <c r="F62" s="75" t="s">
        <v>67</v>
      </c>
      <c r="G62" s="13">
        <v>44588</v>
      </c>
      <c r="H62" s="76" t="s">
        <v>143</v>
      </c>
      <c r="I62" s="16">
        <v>52</v>
      </c>
      <c r="J62" s="16">
        <v>45</v>
      </c>
      <c r="K62" s="16">
        <v>13</v>
      </c>
      <c r="L62" s="16">
        <v>10</v>
      </c>
      <c r="M62" s="80">
        <v>7.6050000000000004</v>
      </c>
      <c r="N62" s="97">
        <v>10</v>
      </c>
      <c r="O62" s="63">
        <v>14000</v>
      </c>
      <c r="P62" s="64">
        <f t="shared" si="1"/>
        <v>140000</v>
      </c>
      <c r="Q62" s="171"/>
    </row>
    <row r="63" spans="1:17" ht="26.25" customHeight="1" x14ac:dyDescent="0.2">
      <c r="A63" s="14"/>
      <c r="B63" s="14"/>
      <c r="C63" s="72" t="s">
        <v>138</v>
      </c>
      <c r="D63" s="77" t="s">
        <v>66</v>
      </c>
      <c r="E63" s="13">
        <v>44561</v>
      </c>
      <c r="F63" s="75" t="s">
        <v>67</v>
      </c>
      <c r="G63" s="13">
        <v>44588</v>
      </c>
      <c r="H63" s="76" t="s">
        <v>143</v>
      </c>
      <c r="I63" s="16">
        <v>55</v>
      </c>
      <c r="J63" s="16">
        <v>55</v>
      </c>
      <c r="K63" s="16">
        <v>91</v>
      </c>
      <c r="L63" s="16">
        <v>7</v>
      </c>
      <c r="M63" s="80">
        <v>68.818749999999994</v>
      </c>
      <c r="N63" s="97">
        <v>68.818749999999994</v>
      </c>
      <c r="O63" s="63">
        <v>14000</v>
      </c>
      <c r="P63" s="64">
        <f t="shared" si="1"/>
        <v>963462.49999999988</v>
      </c>
      <c r="Q63" s="171"/>
    </row>
    <row r="64" spans="1:17" ht="26.25" customHeight="1" x14ac:dyDescent="0.2">
      <c r="A64" s="14"/>
      <c r="B64" s="14"/>
      <c r="C64" s="72" t="s">
        <v>139</v>
      </c>
      <c r="D64" s="77" t="s">
        <v>66</v>
      </c>
      <c r="E64" s="13">
        <v>44561</v>
      </c>
      <c r="F64" s="75" t="s">
        <v>67</v>
      </c>
      <c r="G64" s="13">
        <v>44588</v>
      </c>
      <c r="H64" s="76" t="s">
        <v>143</v>
      </c>
      <c r="I64" s="16">
        <v>55</v>
      </c>
      <c r="J64" s="16">
        <v>55</v>
      </c>
      <c r="K64" s="16">
        <v>91</v>
      </c>
      <c r="L64" s="16">
        <v>7</v>
      </c>
      <c r="M64" s="80">
        <v>68.818749999999994</v>
      </c>
      <c r="N64" s="97">
        <v>68.818749999999994</v>
      </c>
      <c r="O64" s="63">
        <v>14000</v>
      </c>
      <c r="P64" s="64">
        <f t="shared" si="1"/>
        <v>963462.49999999988</v>
      </c>
      <c r="Q64" s="171"/>
    </row>
    <row r="65" spans="1:17" ht="26.25" customHeight="1" x14ac:dyDescent="0.2">
      <c r="A65" s="14"/>
      <c r="B65" s="14"/>
      <c r="C65" s="72" t="s">
        <v>140</v>
      </c>
      <c r="D65" s="77" t="s">
        <v>66</v>
      </c>
      <c r="E65" s="13">
        <v>44561</v>
      </c>
      <c r="F65" s="75" t="s">
        <v>67</v>
      </c>
      <c r="G65" s="13">
        <v>44588</v>
      </c>
      <c r="H65" s="76" t="s">
        <v>143</v>
      </c>
      <c r="I65" s="16">
        <v>37</v>
      </c>
      <c r="J65" s="16">
        <v>37</v>
      </c>
      <c r="K65" s="16">
        <v>75</v>
      </c>
      <c r="L65" s="16">
        <v>7</v>
      </c>
      <c r="M65" s="80">
        <v>25.668749999999999</v>
      </c>
      <c r="N65" s="97">
        <v>25.668749999999999</v>
      </c>
      <c r="O65" s="63">
        <v>14000</v>
      </c>
      <c r="P65" s="64">
        <f t="shared" si="1"/>
        <v>359362.5</v>
      </c>
      <c r="Q65" s="171"/>
    </row>
    <row r="66" spans="1:17" ht="26.25" customHeight="1" x14ac:dyDescent="0.2">
      <c r="A66" s="14"/>
      <c r="B66" s="14"/>
      <c r="C66" s="72" t="s">
        <v>141</v>
      </c>
      <c r="D66" s="77" t="s">
        <v>66</v>
      </c>
      <c r="E66" s="13">
        <v>44561</v>
      </c>
      <c r="F66" s="75" t="s">
        <v>67</v>
      </c>
      <c r="G66" s="13">
        <v>44588</v>
      </c>
      <c r="H66" s="76" t="s">
        <v>143</v>
      </c>
      <c r="I66" s="16">
        <v>37</v>
      </c>
      <c r="J66" s="16">
        <v>37</v>
      </c>
      <c r="K66" s="16">
        <v>75</v>
      </c>
      <c r="L66" s="16">
        <v>7</v>
      </c>
      <c r="M66" s="80">
        <v>25.668749999999999</v>
      </c>
      <c r="N66" s="97">
        <v>25.668749999999999</v>
      </c>
      <c r="O66" s="63">
        <v>14000</v>
      </c>
      <c r="P66" s="64">
        <f t="shared" si="1"/>
        <v>359362.5</v>
      </c>
      <c r="Q66" s="171"/>
    </row>
    <row r="67" spans="1:17" ht="26.25" customHeight="1" thickBot="1" x14ac:dyDescent="0.25">
      <c r="A67" s="106"/>
      <c r="B67" s="106"/>
      <c r="C67" s="107" t="s">
        <v>142</v>
      </c>
      <c r="D67" s="108" t="s">
        <v>66</v>
      </c>
      <c r="E67" s="109">
        <v>44561</v>
      </c>
      <c r="F67" s="110" t="s">
        <v>67</v>
      </c>
      <c r="G67" s="109">
        <v>44588</v>
      </c>
      <c r="H67" s="111" t="s">
        <v>143</v>
      </c>
      <c r="I67" s="112">
        <v>27</v>
      </c>
      <c r="J67" s="112">
        <v>27</v>
      </c>
      <c r="K67" s="112">
        <v>16</v>
      </c>
      <c r="L67" s="112">
        <v>12</v>
      </c>
      <c r="M67" s="113">
        <v>2.9159999999999999</v>
      </c>
      <c r="N67" s="114">
        <v>12</v>
      </c>
      <c r="O67" s="115">
        <v>14000</v>
      </c>
      <c r="P67" s="116">
        <f t="shared" si="1"/>
        <v>168000</v>
      </c>
      <c r="Q67" s="172"/>
    </row>
    <row r="68" spans="1:17" ht="22.5" customHeight="1" x14ac:dyDescent="0.2">
      <c r="A68" s="166" t="s">
        <v>30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03">
        <f>SUM(M3:M67)</f>
        <v>1694.5462500000001</v>
      </c>
      <c r="N68" s="104">
        <f>SUM(N3:N67)</f>
        <v>1816.1737500000008</v>
      </c>
      <c r="O68" s="169">
        <f>SUM(P3:P67)</f>
        <v>25426432.5</v>
      </c>
      <c r="P68" s="170"/>
      <c r="Q68" s="105">
        <f>SUM(Q3:Q67)</f>
        <v>65</v>
      </c>
    </row>
    <row r="69" spans="1:17" ht="18" customHeight="1" x14ac:dyDescent="0.2">
      <c r="A69" s="85"/>
      <c r="B69" s="56" t="s">
        <v>42</v>
      </c>
      <c r="C69" s="55"/>
      <c r="D69" s="57" t="s">
        <v>43</v>
      </c>
      <c r="E69" s="85"/>
      <c r="F69" s="85"/>
      <c r="G69" s="85"/>
      <c r="H69" s="85"/>
      <c r="I69" s="85"/>
      <c r="J69" s="85"/>
      <c r="K69" s="85"/>
      <c r="L69" s="85"/>
      <c r="M69" s="86"/>
      <c r="N69" s="87" t="s">
        <v>51</v>
      </c>
      <c r="O69" s="88"/>
      <c r="P69" s="88">
        <f>O68*10%</f>
        <v>2542643.25</v>
      </c>
    </row>
    <row r="70" spans="1:17" ht="18" customHeight="1" thickBot="1" x14ac:dyDescent="0.25">
      <c r="A70" s="85"/>
      <c r="B70" s="56"/>
      <c r="C70" s="55"/>
      <c r="D70" s="57"/>
      <c r="E70" s="85"/>
      <c r="F70" s="85"/>
      <c r="G70" s="85"/>
      <c r="H70" s="85"/>
      <c r="I70" s="85"/>
      <c r="J70" s="85"/>
      <c r="K70" s="85"/>
      <c r="L70" s="85"/>
      <c r="M70" s="86"/>
      <c r="N70" s="89" t="s">
        <v>52</v>
      </c>
      <c r="O70" s="90"/>
      <c r="P70" s="90">
        <f>O68-P69</f>
        <v>22883789.25</v>
      </c>
    </row>
    <row r="71" spans="1:17" ht="18" customHeight="1" x14ac:dyDescent="0.2">
      <c r="A71" s="11"/>
      <c r="H71" s="62"/>
      <c r="N71" s="61" t="s">
        <v>31</v>
      </c>
      <c r="P71" s="68">
        <f>P70*1%</f>
        <v>228837.89250000002</v>
      </c>
    </row>
    <row r="72" spans="1:17" ht="18" customHeight="1" thickBot="1" x14ac:dyDescent="0.25">
      <c r="A72" s="11"/>
      <c r="H72" s="62"/>
      <c r="N72" s="61" t="s">
        <v>53</v>
      </c>
      <c r="P72" s="70">
        <f>P70*2%</f>
        <v>457675.78500000003</v>
      </c>
    </row>
    <row r="73" spans="1:17" ht="18" customHeight="1" x14ac:dyDescent="0.2">
      <c r="A73" s="11"/>
      <c r="H73" s="62"/>
      <c r="N73" s="65" t="s">
        <v>32</v>
      </c>
      <c r="O73" s="66"/>
      <c r="P73" s="69">
        <f>P70+P71-P72</f>
        <v>22654951.357499998</v>
      </c>
    </row>
    <row r="75" spans="1:17" x14ac:dyDescent="0.2">
      <c r="A75" s="11"/>
      <c r="H75" s="62"/>
      <c r="P75" s="70"/>
    </row>
    <row r="76" spans="1:17" x14ac:dyDescent="0.2">
      <c r="A76" s="11"/>
      <c r="H76" s="62"/>
      <c r="O76" s="58"/>
      <c r="P76" s="70"/>
    </row>
    <row r="77" spans="1:17" s="3" customFormat="1" x14ac:dyDescent="0.25">
      <c r="A77" s="11"/>
      <c r="B77" s="2"/>
      <c r="C77" s="2"/>
      <c r="E77" s="12"/>
      <c r="H77" s="62"/>
      <c r="N77" s="15"/>
      <c r="O77" s="15"/>
      <c r="P77" s="15"/>
    </row>
    <row r="78" spans="1:17" s="3" customFormat="1" x14ac:dyDescent="0.25">
      <c r="A78" s="11"/>
      <c r="B78" s="2"/>
      <c r="C78" s="2"/>
      <c r="E78" s="12"/>
      <c r="H78" s="62"/>
      <c r="N78" s="15"/>
      <c r="O78" s="15"/>
      <c r="P78" s="15"/>
    </row>
    <row r="79" spans="1:17" s="3" customFormat="1" x14ac:dyDescent="0.25">
      <c r="A79" s="11"/>
      <c r="B79" s="2"/>
      <c r="C79" s="2"/>
      <c r="E79" s="12"/>
      <c r="H79" s="62"/>
      <c r="N79" s="15"/>
      <c r="O79" s="15"/>
      <c r="P79" s="15"/>
    </row>
    <row r="80" spans="1:17" s="3" customFormat="1" x14ac:dyDescent="0.25">
      <c r="A80" s="11"/>
      <c r="B80" s="2"/>
      <c r="C80" s="2"/>
      <c r="E80" s="12"/>
      <c r="H80" s="62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2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2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2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2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2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2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2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2"/>
      <c r="N88" s="15"/>
      <c r="O88" s="15"/>
      <c r="P88" s="15"/>
    </row>
  </sheetData>
  <mergeCells count="10">
    <mergeCell ref="Q3:Q9"/>
    <mergeCell ref="A68:L68"/>
    <mergeCell ref="O68:P68"/>
    <mergeCell ref="Q12:Q14"/>
    <mergeCell ref="Q15:Q20"/>
    <mergeCell ref="Q21:Q30"/>
    <mergeCell ref="Q31:Q38"/>
    <mergeCell ref="Q39:Q46"/>
    <mergeCell ref="Q47:Q51"/>
    <mergeCell ref="Q52:Q67"/>
  </mergeCells>
  <conditionalFormatting sqref="B3:B9">
    <cfRule type="duplicateValues" dxfId="212" priority="24"/>
  </conditionalFormatting>
  <conditionalFormatting sqref="B10">
    <cfRule type="duplicateValues" dxfId="211" priority="23"/>
  </conditionalFormatting>
  <conditionalFormatting sqref="B11">
    <cfRule type="duplicateValues" dxfId="210" priority="22"/>
  </conditionalFormatting>
  <conditionalFormatting sqref="B12">
    <cfRule type="duplicateValues" dxfId="209" priority="20"/>
  </conditionalFormatting>
  <conditionalFormatting sqref="B13">
    <cfRule type="duplicateValues" dxfId="208" priority="19"/>
  </conditionalFormatting>
  <conditionalFormatting sqref="B14">
    <cfRule type="duplicateValues" dxfId="207" priority="21"/>
  </conditionalFormatting>
  <conditionalFormatting sqref="B15">
    <cfRule type="duplicateValues" dxfId="206" priority="17"/>
  </conditionalFormatting>
  <conditionalFormatting sqref="B16">
    <cfRule type="duplicateValues" dxfId="205" priority="16"/>
  </conditionalFormatting>
  <conditionalFormatting sqref="B17:B20">
    <cfRule type="duplicateValues" dxfId="204" priority="18"/>
  </conditionalFormatting>
  <conditionalFormatting sqref="B21">
    <cfRule type="duplicateValues" dxfId="203" priority="14"/>
  </conditionalFormatting>
  <conditionalFormatting sqref="B22">
    <cfRule type="duplicateValues" dxfId="202" priority="13"/>
  </conditionalFormatting>
  <conditionalFormatting sqref="B23:B30">
    <cfRule type="duplicateValues" dxfId="201" priority="15"/>
  </conditionalFormatting>
  <conditionalFormatting sqref="B31">
    <cfRule type="duplicateValues" dxfId="200" priority="11"/>
  </conditionalFormatting>
  <conditionalFormatting sqref="B32">
    <cfRule type="duplicateValues" dxfId="199" priority="10"/>
  </conditionalFormatting>
  <conditionalFormatting sqref="B33:B38">
    <cfRule type="duplicateValues" dxfId="198" priority="12"/>
  </conditionalFormatting>
  <conditionalFormatting sqref="B39">
    <cfRule type="duplicateValues" dxfId="197" priority="8"/>
  </conditionalFormatting>
  <conditionalFormatting sqref="B40">
    <cfRule type="duplicateValues" dxfId="196" priority="7"/>
  </conditionalFormatting>
  <conditionalFormatting sqref="B41:B46">
    <cfRule type="duplicateValues" dxfId="195" priority="9"/>
  </conditionalFormatting>
  <conditionalFormatting sqref="B47">
    <cfRule type="duplicateValues" dxfId="194" priority="5"/>
  </conditionalFormatting>
  <conditionalFormatting sqref="B48">
    <cfRule type="duplicateValues" dxfId="193" priority="4"/>
  </conditionalFormatting>
  <conditionalFormatting sqref="B49:B51">
    <cfRule type="duplicateValues" dxfId="192" priority="6"/>
  </conditionalFormatting>
  <conditionalFormatting sqref="B52">
    <cfRule type="duplicateValues" dxfId="191" priority="2"/>
  </conditionalFormatting>
  <conditionalFormatting sqref="B53">
    <cfRule type="duplicateValues" dxfId="190" priority="1"/>
  </conditionalFormatting>
  <conditionalFormatting sqref="B54:B67">
    <cfRule type="duplicateValues" dxfId="18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0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0" sqref="A10:L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405807</v>
      </c>
      <c r="B3" s="73" t="s">
        <v>58</v>
      </c>
      <c r="C3" s="9" t="s">
        <v>59</v>
      </c>
      <c r="D3" s="75" t="s">
        <v>66</v>
      </c>
      <c r="E3" s="13">
        <v>44533</v>
      </c>
      <c r="F3" s="75" t="s">
        <v>67</v>
      </c>
      <c r="G3" s="13">
        <v>44553</v>
      </c>
      <c r="H3" s="10" t="s">
        <v>68</v>
      </c>
      <c r="I3" s="1">
        <v>40</v>
      </c>
      <c r="J3" s="1">
        <v>47</v>
      </c>
      <c r="K3" s="1">
        <v>10</v>
      </c>
      <c r="L3" s="1">
        <v>15</v>
      </c>
      <c r="M3" s="96">
        <v>4.7</v>
      </c>
      <c r="N3" s="97">
        <v>15</v>
      </c>
      <c r="O3" s="63">
        <v>14000</v>
      </c>
      <c r="P3" s="64">
        <f>Table224578910112[[#This Row],[PEMBULATAN]]*O3</f>
        <v>210000</v>
      </c>
      <c r="Q3" s="163">
        <v>7</v>
      </c>
    </row>
    <row r="4" spans="1:17" ht="26.25" customHeight="1" x14ac:dyDescent="0.2">
      <c r="A4" s="14"/>
      <c r="B4" s="74"/>
      <c r="C4" s="72" t="s">
        <v>60</v>
      </c>
      <c r="D4" s="77" t="s">
        <v>66</v>
      </c>
      <c r="E4" s="13">
        <v>44533</v>
      </c>
      <c r="F4" s="75" t="s">
        <v>67</v>
      </c>
      <c r="G4" s="13">
        <v>44553</v>
      </c>
      <c r="H4" s="76" t="s">
        <v>68</v>
      </c>
      <c r="I4" s="16">
        <v>55</v>
      </c>
      <c r="J4" s="16">
        <v>70</v>
      </c>
      <c r="K4" s="16">
        <v>57</v>
      </c>
      <c r="L4" s="16">
        <v>14</v>
      </c>
      <c r="M4" s="80">
        <v>54.862499999999997</v>
      </c>
      <c r="N4" s="97">
        <v>54.862499999999997</v>
      </c>
      <c r="O4" s="63">
        <v>14000</v>
      </c>
      <c r="P4" s="64">
        <f>Table224578910112[[#This Row],[PEMBULATAN]]*O4</f>
        <v>768075</v>
      </c>
      <c r="Q4" s="164"/>
    </row>
    <row r="5" spans="1:17" ht="26.25" customHeight="1" x14ac:dyDescent="0.2">
      <c r="A5" s="14"/>
      <c r="B5" s="74"/>
      <c r="C5" s="72" t="s">
        <v>61</v>
      </c>
      <c r="D5" s="77" t="s">
        <v>66</v>
      </c>
      <c r="E5" s="13">
        <v>44533</v>
      </c>
      <c r="F5" s="75" t="s">
        <v>67</v>
      </c>
      <c r="G5" s="13">
        <v>44553</v>
      </c>
      <c r="H5" s="76" t="s">
        <v>68</v>
      </c>
      <c r="I5" s="16">
        <v>47</v>
      </c>
      <c r="J5" s="16">
        <v>43</v>
      </c>
      <c r="K5" s="16">
        <v>52</v>
      </c>
      <c r="L5" s="16">
        <v>14</v>
      </c>
      <c r="M5" s="80">
        <v>26.273</v>
      </c>
      <c r="N5" s="97">
        <v>26.273</v>
      </c>
      <c r="O5" s="63">
        <v>14000</v>
      </c>
      <c r="P5" s="64">
        <f>Table224578910112[[#This Row],[PEMBULATAN]]*O5</f>
        <v>367822</v>
      </c>
      <c r="Q5" s="164"/>
    </row>
    <row r="6" spans="1:17" ht="26.25" customHeight="1" x14ac:dyDescent="0.2">
      <c r="A6" s="14"/>
      <c r="B6" s="74"/>
      <c r="C6" s="72" t="s">
        <v>62</v>
      </c>
      <c r="D6" s="77" t="s">
        <v>66</v>
      </c>
      <c r="E6" s="13">
        <v>44533</v>
      </c>
      <c r="F6" s="75" t="s">
        <v>67</v>
      </c>
      <c r="G6" s="13">
        <v>44553</v>
      </c>
      <c r="H6" s="76" t="s">
        <v>68</v>
      </c>
      <c r="I6" s="16">
        <v>47</v>
      </c>
      <c r="J6" s="16">
        <v>43</v>
      </c>
      <c r="K6" s="16">
        <v>52</v>
      </c>
      <c r="L6" s="16">
        <v>14</v>
      </c>
      <c r="M6" s="80">
        <v>26.273</v>
      </c>
      <c r="N6" s="97">
        <v>26.273</v>
      </c>
      <c r="O6" s="63">
        <v>14000</v>
      </c>
      <c r="P6" s="64">
        <f>Table224578910112[[#This Row],[PEMBULATAN]]*O6</f>
        <v>367822</v>
      </c>
      <c r="Q6" s="164"/>
    </row>
    <row r="7" spans="1:17" ht="26.25" customHeight="1" x14ac:dyDescent="0.2">
      <c r="A7" s="14"/>
      <c r="B7" s="74"/>
      <c r="C7" s="72" t="s">
        <v>63</v>
      </c>
      <c r="D7" s="77" t="s">
        <v>66</v>
      </c>
      <c r="E7" s="13">
        <v>44533</v>
      </c>
      <c r="F7" s="75" t="s">
        <v>67</v>
      </c>
      <c r="G7" s="13">
        <v>44553</v>
      </c>
      <c r="H7" s="76" t="s">
        <v>68</v>
      </c>
      <c r="I7" s="16">
        <v>47</v>
      </c>
      <c r="J7" s="16">
        <v>43</v>
      </c>
      <c r="K7" s="16">
        <v>52</v>
      </c>
      <c r="L7" s="16">
        <v>14</v>
      </c>
      <c r="M7" s="80">
        <v>26.273</v>
      </c>
      <c r="N7" s="97">
        <v>26.273</v>
      </c>
      <c r="O7" s="63">
        <v>14000</v>
      </c>
      <c r="P7" s="64">
        <f>Table224578910112[[#This Row],[PEMBULATAN]]*O7</f>
        <v>367822</v>
      </c>
      <c r="Q7" s="164"/>
    </row>
    <row r="8" spans="1:17" ht="26.25" customHeight="1" x14ac:dyDescent="0.2">
      <c r="A8" s="14"/>
      <c r="B8" s="74"/>
      <c r="C8" s="72" t="s">
        <v>64</v>
      </c>
      <c r="D8" s="77" t="s">
        <v>66</v>
      </c>
      <c r="E8" s="13">
        <v>44533</v>
      </c>
      <c r="F8" s="75" t="s">
        <v>67</v>
      </c>
      <c r="G8" s="13">
        <v>44553</v>
      </c>
      <c r="H8" s="76" t="s">
        <v>68</v>
      </c>
      <c r="I8" s="16">
        <v>47</v>
      </c>
      <c r="J8" s="16">
        <v>43</v>
      </c>
      <c r="K8" s="16">
        <v>52</v>
      </c>
      <c r="L8" s="16">
        <v>14</v>
      </c>
      <c r="M8" s="80">
        <v>26.273</v>
      </c>
      <c r="N8" s="97">
        <v>26.273</v>
      </c>
      <c r="O8" s="63">
        <v>14000</v>
      </c>
      <c r="P8" s="64">
        <f>Table224578910112[[#This Row],[PEMBULATAN]]*O8</f>
        <v>367822</v>
      </c>
      <c r="Q8" s="164"/>
    </row>
    <row r="9" spans="1:17" ht="26.25" customHeight="1" x14ac:dyDescent="0.2">
      <c r="A9" s="14"/>
      <c r="B9" s="74"/>
      <c r="C9" s="72" t="s">
        <v>65</v>
      </c>
      <c r="D9" s="77" t="s">
        <v>66</v>
      </c>
      <c r="E9" s="13">
        <v>44533</v>
      </c>
      <c r="F9" s="75" t="s">
        <v>67</v>
      </c>
      <c r="G9" s="13">
        <v>44553</v>
      </c>
      <c r="H9" s="76" t="s">
        <v>68</v>
      </c>
      <c r="I9" s="16">
        <v>40</v>
      </c>
      <c r="J9" s="16">
        <v>47</v>
      </c>
      <c r="K9" s="16">
        <v>10</v>
      </c>
      <c r="L9" s="16">
        <v>15</v>
      </c>
      <c r="M9" s="80">
        <v>4.7</v>
      </c>
      <c r="N9" s="97">
        <v>15</v>
      </c>
      <c r="O9" s="63">
        <v>14000</v>
      </c>
      <c r="P9" s="64">
        <f>Table224578910112[[#This Row],[PEMBULATAN]]*O9</f>
        <v>210000</v>
      </c>
      <c r="Q9" s="178"/>
    </row>
    <row r="10" spans="1:17" ht="22.5" customHeight="1" x14ac:dyDescent="0.2">
      <c r="A10" s="173" t="s">
        <v>30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5"/>
      <c r="M10" s="78">
        <f>SUBTOTAL(109,Table224578910112[KG VOLUME])</f>
        <v>169.35449999999997</v>
      </c>
      <c r="N10" s="67">
        <f>SUM(N3:N9)</f>
        <v>189.9545</v>
      </c>
      <c r="O10" s="176">
        <f>SUM(P3:P9)</f>
        <v>2659363</v>
      </c>
      <c r="P10" s="177"/>
    </row>
    <row r="11" spans="1:17" ht="18" customHeight="1" x14ac:dyDescent="0.2">
      <c r="A11" s="85"/>
      <c r="B11" s="56" t="s">
        <v>42</v>
      </c>
      <c r="C11" s="55"/>
      <c r="D11" s="57" t="s">
        <v>43</v>
      </c>
      <c r="E11" s="85"/>
      <c r="F11" s="85"/>
      <c r="G11" s="85"/>
      <c r="H11" s="85"/>
      <c r="I11" s="85"/>
      <c r="J11" s="85"/>
      <c r="K11" s="85"/>
      <c r="L11" s="85"/>
      <c r="M11" s="86"/>
      <c r="N11" s="87" t="s">
        <v>51</v>
      </c>
      <c r="O11" s="88"/>
      <c r="P11" s="88">
        <f>O10*10%</f>
        <v>265936.3</v>
      </c>
    </row>
    <row r="12" spans="1:17" ht="18" customHeight="1" thickBot="1" x14ac:dyDescent="0.25">
      <c r="A12" s="85"/>
      <c r="B12" s="56"/>
      <c r="C12" s="55"/>
      <c r="D12" s="57"/>
      <c r="E12" s="85"/>
      <c r="F12" s="85"/>
      <c r="G12" s="85"/>
      <c r="H12" s="85"/>
      <c r="I12" s="85"/>
      <c r="J12" s="85"/>
      <c r="K12" s="85"/>
      <c r="L12" s="85"/>
      <c r="M12" s="86"/>
      <c r="N12" s="89" t="s">
        <v>52</v>
      </c>
      <c r="O12" s="90"/>
      <c r="P12" s="90">
        <f>O10-P11</f>
        <v>2393426.7000000002</v>
      </c>
    </row>
    <row r="13" spans="1:17" ht="18" customHeight="1" x14ac:dyDescent="0.2">
      <c r="A13" s="11"/>
      <c r="H13" s="62"/>
      <c r="N13" s="61" t="s">
        <v>31</v>
      </c>
      <c r="P13" s="68">
        <f>P12*1%</f>
        <v>23934.267000000003</v>
      </c>
    </row>
    <row r="14" spans="1:17" ht="18" customHeight="1" thickBot="1" x14ac:dyDescent="0.25">
      <c r="A14" s="11"/>
      <c r="H14" s="62"/>
      <c r="N14" s="61" t="s">
        <v>53</v>
      </c>
      <c r="P14" s="70">
        <f>P12*2%</f>
        <v>47868.534000000007</v>
      </c>
    </row>
    <row r="15" spans="1:17" ht="18" customHeight="1" x14ac:dyDescent="0.2">
      <c r="A15" s="11"/>
      <c r="H15" s="62"/>
      <c r="N15" s="65" t="s">
        <v>32</v>
      </c>
      <c r="O15" s="66"/>
      <c r="P15" s="69">
        <f>P12+P13-P14</f>
        <v>2369492.4330000002</v>
      </c>
    </row>
    <row r="17" spans="1:16" x14ac:dyDescent="0.2">
      <c r="A17" s="11"/>
      <c r="H17" s="62"/>
      <c r="P17" s="70"/>
    </row>
    <row r="18" spans="1:16" x14ac:dyDescent="0.2">
      <c r="A18" s="11"/>
      <c r="H18" s="62"/>
      <c r="O18" s="58"/>
      <c r="P18" s="70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</sheetData>
  <mergeCells count="3">
    <mergeCell ref="A10:L10"/>
    <mergeCell ref="O10:P10"/>
    <mergeCell ref="Q3:Q9"/>
  </mergeCells>
  <conditionalFormatting sqref="B3:B9">
    <cfRule type="duplicateValues" dxfId="17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405827</v>
      </c>
      <c r="B3" s="73" t="s">
        <v>69</v>
      </c>
      <c r="C3" s="9" t="s">
        <v>70</v>
      </c>
      <c r="D3" s="75" t="s">
        <v>66</v>
      </c>
      <c r="E3" s="13">
        <v>44536</v>
      </c>
      <c r="F3" s="75" t="s">
        <v>67</v>
      </c>
      <c r="G3" s="13">
        <v>44553</v>
      </c>
      <c r="H3" s="10" t="s">
        <v>71</v>
      </c>
      <c r="I3" s="1">
        <v>47</v>
      </c>
      <c r="J3" s="1">
        <v>42</v>
      </c>
      <c r="K3" s="1">
        <v>37</v>
      </c>
      <c r="L3" s="1">
        <v>8</v>
      </c>
      <c r="M3" s="79">
        <v>18.259499999999999</v>
      </c>
      <c r="N3" s="97">
        <v>18.259499999999999</v>
      </c>
      <c r="O3" s="63">
        <v>14000</v>
      </c>
      <c r="P3" s="64">
        <f>Table2245789101123[[#This Row],[PEMBULATAN]]*O3</f>
        <v>255633</v>
      </c>
      <c r="Q3" s="98">
        <v>1</v>
      </c>
    </row>
    <row r="4" spans="1:17" ht="22.5" customHeight="1" x14ac:dyDescent="0.2">
      <c r="A4" s="173" t="s">
        <v>30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5"/>
      <c r="M4" s="78">
        <f>SUBTOTAL(109,Table2245789101123[KG VOLUME])</f>
        <v>18.259499999999999</v>
      </c>
      <c r="N4" s="67">
        <f>SUM(N3:N3)</f>
        <v>18.259499999999999</v>
      </c>
      <c r="O4" s="176">
        <f>SUM(P3:P3)</f>
        <v>255633</v>
      </c>
      <c r="P4" s="177"/>
    </row>
    <row r="5" spans="1:17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51</v>
      </c>
      <c r="O5" s="88"/>
      <c r="P5" s="88">
        <f>O4*10%</f>
        <v>25563.300000000003</v>
      </c>
    </row>
    <row r="6" spans="1:17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52</v>
      </c>
      <c r="O6" s="90"/>
      <c r="P6" s="90">
        <f>O4-P5</f>
        <v>230069.7</v>
      </c>
    </row>
    <row r="7" spans="1:17" ht="18" customHeight="1" x14ac:dyDescent="0.2">
      <c r="A7" s="11"/>
      <c r="H7" s="62"/>
      <c r="N7" s="61" t="s">
        <v>31</v>
      </c>
      <c r="P7" s="68">
        <f>P6*1%</f>
        <v>2300.6970000000001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4601.3940000000002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227769.003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5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402952</v>
      </c>
      <c r="B3" s="73" t="s">
        <v>145</v>
      </c>
      <c r="C3" s="9" t="s">
        <v>146</v>
      </c>
      <c r="D3" s="75" t="s">
        <v>66</v>
      </c>
      <c r="E3" s="13">
        <v>44539</v>
      </c>
      <c r="F3" s="75" t="s">
        <v>67</v>
      </c>
      <c r="G3" s="13">
        <v>44553</v>
      </c>
      <c r="H3" s="10" t="s">
        <v>71</v>
      </c>
      <c r="I3" s="1">
        <v>37</v>
      </c>
      <c r="J3" s="1">
        <v>43</v>
      </c>
      <c r="K3" s="1">
        <v>15</v>
      </c>
      <c r="L3" s="1">
        <v>14</v>
      </c>
      <c r="M3" s="79">
        <v>5.9662499999999996</v>
      </c>
      <c r="N3" s="8">
        <v>14</v>
      </c>
      <c r="O3" s="63">
        <v>14000</v>
      </c>
      <c r="P3" s="64">
        <f>Table22457891011234[[#This Row],[PEMBULATAN]]*O3</f>
        <v>196000</v>
      </c>
      <c r="Q3" s="102">
        <v>1</v>
      </c>
    </row>
    <row r="4" spans="1:17" ht="22.5" customHeight="1" x14ac:dyDescent="0.2">
      <c r="A4" s="173" t="s">
        <v>30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5"/>
      <c r="M4" s="78">
        <f>SUBTOTAL(109,Table22457891011234[KG VOLUME])</f>
        <v>5.9662499999999996</v>
      </c>
      <c r="N4" s="67">
        <f>SUM(N3:N3)</f>
        <v>14</v>
      </c>
      <c r="O4" s="176">
        <f>SUM(P3:P3)</f>
        <v>196000</v>
      </c>
      <c r="P4" s="177"/>
    </row>
    <row r="5" spans="1:17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51</v>
      </c>
      <c r="O5" s="88"/>
      <c r="P5" s="88">
        <f>O4*10%</f>
        <v>19600</v>
      </c>
    </row>
    <row r="6" spans="1:17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52</v>
      </c>
      <c r="O6" s="90"/>
      <c r="P6" s="90">
        <f>O4-P5</f>
        <v>176400</v>
      </c>
    </row>
    <row r="7" spans="1:17" ht="18" customHeight="1" x14ac:dyDescent="0.2">
      <c r="A7" s="11"/>
      <c r="H7" s="62"/>
      <c r="N7" s="61" t="s">
        <v>31</v>
      </c>
      <c r="P7" s="68">
        <f>P6*1%</f>
        <v>1764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3528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174636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4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406455</v>
      </c>
      <c r="B3" s="73" t="s">
        <v>72</v>
      </c>
      <c r="C3" s="9" t="s">
        <v>73</v>
      </c>
      <c r="D3" s="75" t="s">
        <v>66</v>
      </c>
      <c r="E3" s="13">
        <v>44540</v>
      </c>
      <c r="F3" s="75" t="s">
        <v>76</v>
      </c>
      <c r="G3" s="13">
        <v>44545</v>
      </c>
      <c r="H3" s="10" t="s">
        <v>77</v>
      </c>
      <c r="I3" s="1">
        <v>76</v>
      </c>
      <c r="J3" s="1">
        <v>42</v>
      </c>
      <c r="K3" s="1">
        <v>62</v>
      </c>
      <c r="L3" s="1">
        <v>31</v>
      </c>
      <c r="M3" s="79">
        <v>49.475999999999999</v>
      </c>
      <c r="N3" s="8">
        <v>50</v>
      </c>
      <c r="O3" s="63">
        <v>14000</v>
      </c>
      <c r="P3" s="64">
        <f>Table224578910112345[[#This Row],[PEMBULATAN]]*O3</f>
        <v>700000</v>
      </c>
      <c r="Q3" s="179">
        <v>3</v>
      </c>
    </row>
    <row r="4" spans="1:17" ht="26.25" customHeight="1" x14ac:dyDescent="0.2">
      <c r="A4" s="14"/>
      <c r="B4" s="74"/>
      <c r="C4" s="9" t="s">
        <v>74</v>
      </c>
      <c r="D4" s="75" t="s">
        <v>66</v>
      </c>
      <c r="E4" s="13">
        <v>44540</v>
      </c>
      <c r="F4" s="75" t="s">
        <v>76</v>
      </c>
      <c r="G4" s="13">
        <v>44545</v>
      </c>
      <c r="H4" s="10" t="s">
        <v>77</v>
      </c>
      <c r="I4" s="1">
        <v>76</v>
      </c>
      <c r="J4" s="1">
        <v>42</v>
      </c>
      <c r="K4" s="1">
        <v>62</v>
      </c>
      <c r="L4" s="1">
        <v>31</v>
      </c>
      <c r="M4" s="79">
        <v>49.475999999999999</v>
      </c>
      <c r="N4" s="8">
        <v>50</v>
      </c>
      <c r="O4" s="63">
        <v>14000</v>
      </c>
      <c r="P4" s="64">
        <f>Table224578910112345[[#This Row],[PEMBULATAN]]*O4</f>
        <v>700000</v>
      </c>
      <c r="Q4" s="171"/>
    </row>
    <row r="5" spans="1:17" ht="26.25" customHeight="1" x14ac:dyDescent="0.2">
      <c r="A5" s="14"/>
      <c r="B5" s="14"/>
      <c r="C5" s="9" t="s">
        <v>75</v>
      </c>
      <c r="D5" s="75" t="s">
        <v>66</v>
      </c>
      <c r="E5" s="13">
        <v>44540</v>
      </c>
      <c r="F5" s="75" t="s">
        <v>76</v>
      </c>
      <c r="G5" s="13">
        <v>44545</v>
      </c>
      <c r="H5" s="10" t="s">
        <v>78</v>
      </c>
      <c r="I5" s="1">
        <v>72</v>
      </c>
      <c r="J5" s="1">
        <v>55</v>
      </c>
      <c r="K5" s="1">
        <v>60</v>
      </c>
      <c r="L5" s="1">
        <v>18</v>
      </c>
      <c r="M5" s="79">
        <v>59.4</v>
      </c>
      <c r="N5" s="8">
        <v>60</v>
      </c>
      <c r="O5" s="63">
        <v>14000</v>
      </c>
      <c r="P5" s="64">
        <f>Table224578910112345[[#This Row],[PEMBULATAN]]*O5</f>
        <v>840000</v>
      </c>
      <c r="Q5" s="180"/>
    </row>
    <row r="6" spans="1:17" ht="22.5" customHeight="1" x14ac:dyDescent="0.2">
      <c r="A6" s="173" t="s">
        <v>30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5"/>
      <c r="M6" s="99">
        <f>SUBTOTAL(109,Table224578910112345[KG VOLUME])</f>
        <v>158.352</v>
      </c>
      <c r="N6" s="67">
        <f>SUM(N3:N5)</f>
        <v>160</v>
      </c>
      <c r="O6" s="176">
        <f>SUM(P3:P5)</f>
        <v>2240000</v>
      </c>
      <c r="P6" s="177"/>
    </row>
    <row r="7" spans="1:17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51</v>
      </c>
      <c r="O7" s="88"/>
      <c r="P7" s="88">
        <f>O6*10%</f>
        <v>224000</v>
      </c>
    </row>
    <row r="8" spans="1:17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52</v>
      </c>
      <c r="O8" s="90"/>
      <c r="P8" s="90">
        <f>O6-P7</f>
        <v>2016000</v>
      </c>
    </row>
    <row r="9" spans="1:17" ht="18" customHeight="1" x14ac:dyDescent="0.2">
      <c r="A9" s="11"/>
      <c r="H9" s="62"/>
      <c r="N9" s="61" t="s">
        <v>31</v>
      </c>
      <c r="P9" s="68">
        <f>P8*1%</f>
        <v>20160</v>
      </c>
    </row>
    <row r="10" spans="1:17" ht="18" customHeight="1" thickBot="1" x14ac:dyDescent="0.25">
      <c r="A10" s="11"/>
      <c r="H10" s="62"/>
      <c r="N10" s="61" t="s">
        <v>53</v>
      </c>
      <c r="P10" s="70">
        <f>P8*2%</f>
        <v>40320</v>
      </c>
    </row>
    <row r="11" spans="1:17" ht="18" customHeight="1" x14ac:dyDescent="0.2">
      <c r="A11" s="11"/>
      <c r="H11" s="62"/>
      <c r="N11" s="65" t="s">
        <v>32</v>
      </c>
      <c r="O11" s="66"/>
      <c r="P11" s="69">
        <f>P8+P9-P10</f>
        <v>1995840</v>
      </c>
    </row>
    <row r="13" spans="1:17" x14ac:dyDescent="0.2">
      <c r="A13" s="11"/>
      <c r="H13" s="62"/>
      <c r="P13" s="70"/>
    </row>
    <row r="14" spans="1:17" x14ac:dyDescent="0.2">
      <c r="A14" s="11"/>
      <c r="H14" s="62"/>
      <c r="O14" s="58"/>
      <c r="P14" s="70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</sheetData>
  <mergeCells count="3">
    <mergeCell ref="A6:L6"/>
    <mergeCell ref="O6:P6"/>
    <mergeCell ref="Q3:Q5"/>
  </mergeCells>
  <conditionalFormatting sqref="B3">
    <cfRule type="duplicateValues" dxfId="125" priority="2"/>
  </conditionalFormatting>
  <conditionalFormatting sqref="B4">
    <cfRule type="duplicateValues" dxfId="124" priority="1"/>
  </conditionalFormatting>
  <conditionalFormatting sqref="B5">
    <cfRule type="duplicateValues" dxfId="123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1" sqref="L11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100">
        <v>406464</v>
      </c>
      <c r="B3" s="73" t="s">
        <v>79</v>
      </c>
      <c r="C3" s="9" t="s">
        <v>80</v>
      </c>
      <c r="D3" s="75" t="s">
        <v>66</v>
      </c>
      <c r="E3" s="13">
        <v>44541</v>
      </c>
      <c r="F3" s="75" t="s">
        <v>86</v>
      </c>
      <c r="G3" s="13">
        <v>44556</v>
      </c>
      <c r="H3" s="10" t="s">
        <v>77</v>
      </c>
      <c r="I3" s="1">
        <v>36</v>
      </c>
      <c r="J3" s="1">
        <v>26</v>
      </c>
      <c r="K3" s="1">
        <v>15</v>
      </c>
      <c r="L3" s="1">
        <v>10</v>
      </c>
      <c r="M3" s="79">
        <v>3.51</v>
      </c>
      <c r="N3" s="97">
        <v>10</v>
      </c>
      <c r="O3" s="63">
        <v>14000</v>
      </c>
      <c r="P3" s="64">
        <f>Table2245789101123456[[#This Row],[PEMBULATAN]]*O3</f>
        <v>140000</v>
      </c>
      <c r="Q3" s="179">
        <v>6</v>
      </c>
    </row>
    <row r="4" spans="1:17" ht="26.25" customHeight="1" x14ac:dyDescent="0.2">
      <c r="A4" s="14"/>
      <c r="B4" s="74"/>
      <c r="C4" s="9" t="s">
        <v>81</v>
      </c>
      <c r="D4" s="75" t="s">
        <v>66</v>
      </c>
      <c r="E4" s="13">
        <v>44541</v>
      </c>
      <c r="F4" s="75" t="s">
        <v>86</v>
      </c>
      <c r="G4" s="13">
        <v>44556</v>
      </c>
      <c r="H4" s="10" t="s">
        <v>77</v>
      </c>
      <c r="I4" s="1">
        <v>35</v>
      </c>
      <c r="J4" s="1">
        <v>34</v>
      </c>
      <c r="K4" s="1">
        <v>18</v>
      </c>
      <c r="L4" s="1">
        <v>12</v>
      </c>
      <c r="M4" s="79">
        <v>5.3550000000000004</v>
      </c>
      <c r="N4" s="97">
        <v>12</v>
      </c>
      <c r="O4" s="63">
        <v>14000</v>
      </c>
      <c r="P4" s="64">
        <f>Table2245789101123456[[#This Row],[PEMBULATAN]]*O4</f>
        <v>168000</v>
      </c>
      <c r="Q4" s="171"/>
    </row>
    <row r="5" spans="1:17" ht="26.25" customHeight="1" x14ac:dyDescent="0.2">
      <c r="A5" s="14"/>
      <c r="B5" s="14"/>
      <c r="C5" s="9" t="s">
        <v>82</v>
      </c>
      <c r="D5" s="75" t="s">
        <v>66</v>
      </c>
      <c r="E5" s="13">
        <v>44541</v>
      </c>
      <c r="F5" s="75" t="s">
        <v>86</v>
      </c>
      <c r="G5" s="13">
        <v>44556</v>
      </c>
      <c r="H5" s="10" t="s">
        <v>77</v>
      </c>
      <c r="I5" s="1">
        <v>54</v>
      </c>
      <c r="J5" s="1">
        <v>36</v>
      </c>
      <c r="K5" s="1">
        <v>8</v>
      </c>
      <c r="L5" s="1">
        <v>10</v>
      </c>
      <c r="M5" s="79">
        <v>3.8879999999999999</v>
      </c>
      <c r="N5" s="97">
        <v>10</v>
      </c>
      <c r="O5" s="63">
        <v>14000</v>
      </c>
      <c r="P5" s="64">
        <f>Table2245789101123456[[#This Row],[PEMBULATAN]]*O5</f>
        <v>140000</v>
      </c>
      <c r="Q5" s="171"/>
    </row>
    <row r="6" spans="1:17" ht="26.25" customHeight="1" x14ac:dyDescent="0.2">
      <c r="A6" s="14"/>
      <c r="B6" s="14"/>
      <c r="C6" s="72" t="s">
        <v>83</v>
      </c>
      <c r="D6" s="77" t="s">
        <v>66</v>
      </c>
      <c r="E6" s="13">
        <v>44541</v>
      </c>
      <c r="F6" s="75" t="s">
        <v>86</v>
      </c>
      <c r="G6" s="13">
        <v>44556</v>
      </c>
      <c r="H6" s="76" t="s">
        <v>77</v>
      </c>
      <c r="I6" s="16">
        <v>40</v>
      </c>
      <c r="J6" s="16">
        <v>36</v>
      </c>
      <c r="K6" s="16">
        <v>15</v>
      </c>
      <c r="L6" s="16">
        <v>18</v>
      </c>
      <c r="M6" s="80">
        <v>5.4</v>
      </c>
      <c r="N6" s="97">
        <v>18</v>
      </c>
      <c r="O6" s="63">
        <v>14000</v>
      </c>
      <c r="P6" s="64">
        <f>Table2245789101123456[[#This Row],[PEMBULATAN]]*O6</f>
        <v>252000</v>
      </c>
      <c r="Q6" s="171"/>
    </row>
    <row r="7" spans="1:17" ht="26.25" customHeight="1" x14ac:dyDescent="0.2">
      <c r="A7" s="14"/>
      <c r="B7" s="14"/>
      <c r="C7" s="72" t="s">
        <v>84</v>
      </c>
      <c r="D7" s="77" t="s">
        <v>66</v>
      </c>
      <c r="E7" s="13">
        <v>44541</v>
      </c>
      <c r="F7" s="75" t="s">
        <v>86</v>
      </c>
      <c r="G7" s="13">
        <v>44556</v>
      </c>
      <c r="H7" s="76" t="s">
        <v>77</v>
      </c>
      <c r="I7" s="16">
        <v>61</v>
      </c>
      <c r="J7" s="16">
        <v>41</v>
      </c>
      <c r="K7" s="16">
        <v>75</v>
      </c>
      <c r="L7" s="16">
        <v>31</v>
      </c>
      <c r="M7" s="80">
        <v>46.893749999999997</v>
      </c>
      <c r="N7" s="97">
        <v>46.893749999999997</v>
      </c>
      <c r="O7" s="63">
        <v>14000</v>
      </c>
      <c r="P7" s="64">
        <f>Table2245789101123456[[#This Row],[PEMBULATAN]]*O7</f>
        <v>656512.5</v>
      </c>
      <c r="Q7" s="171"/>
    </row>
    <row r="8" spans="1:17" ht="26.25" customHeight="1" x14ac:dyDescent="0.2">
      <c r="A8" s="14"/>
      <c r="B8" s="14"/>
      <c r="C8" s="72" t="s">
        <v>85</v>
      </c>
      <c r="D8" s="77" t="s">
        <v>66</v>
      </c>
      <c r="E8" s="13">
        <v>44541</v>
      </c>
      <c r="F8" s="75" t="s">
        <v>86</v>
      </c>
      <c r="G8" s="13">
        <v>44556</v>
      </c>
      <c r="H8" s="76" t="s">
        <v>77</v>
      </c>
      <c r="I8" s="16">
        <v>43</v>
      </c>
      <c r="J8" s="16">
        <v>29</v>
      </c>
      <c r="K8" s="16">
        <v>33</v>
      </c>
      <c r="L8" s="16">
        <v>8</v>
      </c>
      <c r="M8" s="80">
        <v>10.287750000000001</v>
      </c>
      <c r="N8" s="97">
        <v>10.287750000000001</v>
      </c>
      <c r="O8" s="63">
        <v>14000</v>
      </c>
      <c r="P8" s="64">
        <f>Table2245789101123456[[#This Row],[PEMBULATAN]]*O8</f>
        <v>144028.5</v>
      </c>
      <c r="Q8" s="180"/>
    </row>
    <row r="9" spans="1:17" ht="22.5" customHeight="1" x14ac:dyDescent="0.2">
      <c r="A9" s="173" t="s">
        <v>30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5"/>
      <c r="M9" s="99">
        <f>SUBTOTAL(109,Table2245789101123456[KG VOLUME])</f>
        <v>75.334500000000006</v>
      </c>
      <c r="N9" s="67">
        <f>SUM(N3:N8)</f>
        <v>107.1815</v>
      </c>
      <c r="O9" s="176">
        <f>SUM(P3:P8)</f>
        <v>1500541</v>
      </c>
      <c r="P9" s="177"/>
    </row>
    <row r="10" spans="1:17" ht="18" customHeight="1" x14ac:dyDescent="0.2">
      <c r="A10" s="85"/>
      <c r="B10" s="56" t="s">
        <v>42</v>
      </c>
      <c r="C10" s="55"/>
      <c r="D10" s="57" t="s">
        <v>43</v>
      </c>
      <c r="E10" s="85"/>
      <c r="F10" s="85"/>
      <c r="G10" s="85"/>
      <c r="H10" s="85"/>
      <c r="I10" s="85"/>
      <c r="J10" s="85"/>
      <c r="K10" s="85"/>
      <c r="L10" s="85"/>
      <c r="M10" s="86"/>
      <c r="N10" s="87" t="s">
        <v>51</v>
      </c>
      <c r="O10" s="88"/>
      <c r="P10" s="88">
        <f>O9*10%</f>
        <v>150054.1</v>
      </c>
    </row>
    <row r="11" spans="1:17" ht="18" customHeight="1" thickBot="1" x14ac:dyDescent="0.25">
      <c r="A11" s="85"/>
      <c r="B11" s="56"/>
      <c r="C11" s="55"/>
      <c r="D11" s="57"/>
      <c r="E11" s="85"/>
      <c r="F11" s="85"/>
      <c r="G11" s="85"/>
      <c r="H11" s="85"/>
      <c r="I11" s="85"/>
      <c r="J11" s="85"/>
      <c r="K11" s="85"/>
      <c r="L11" s="85"/>
      <c r="M11" s="86"/>
      <c r="N11" s="89" t="s">
        <v>52</v>
      </c>
      <c r="O11" s="90"/>
      <c r="P11" s="90">
        <f>O9-P10</f>
        <v>1350486.9</v>
      </c>
    </row>
    <row r="12" spans="1:17" ht="18" customHeight="1" x14ac:dyDescent="0.2">
      <c r="A12" s="11"/>
      <c r="H12" s="62"/>
      <c r="N12" s="61" t="s">
        <v>31</v>
      </c>
      <c r="P12" s="68">
        <f>P11*1%</f>
        <v>13504.868999999999</v>
      </c>
    </row>
    <row r="13" spans="1:17" ht="18" customHeight="1" thickBot="1" x14ac:dyDescent="0.25">
      <c r="A13" s="11"/>
      <c r="H13" s="62"/>
      <c r="N13" s="61" t="s">
        <v>53</v>
      </c>
      <c r="P13" s="70">
        <f>P11*2%</f>
        <v>27009.737999999998</v>
      </c>
    </row>
    <row r="14" spans="1:17" ht="18" customHeight="1" x14ac:dyDescent="0.2">
      <c r="A14" s="11"/>
      <c r="H14" s="62"/>
      <c r="N14" s="65" t="s">
        <v>32</v>
      </c>
      <c r="O14" s="66"/>
      <c r="P14" s="69">
        <f>P11+P12-P13</f>
        <v>1336982.031</v>
      </c>
    </row>
    <row r="16" spans="1:17" x14ac:dyDescent="0.2">
      <c r="A16" s="11"/>
      <c r="H16" s="62"/>
      <c r="P16" s="70"/>
    </row>
    <row r="17" spans="1:16" x14ac:dyDescent="0.2">
      <c r="A17" s="11"/>
      <c r="H17" s="62"/>
      <c r="O17" s="58"/>
      <c r="P17" s="70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</sheetData>
  <mergeCells count="3">
    <mergeCell ref="A9:L9"/>
    <mergeCell ref="O9:P9"/>
    <mergeCell ref="Q3:Q8"/>
  </mergeCells>
  <conditionalFormatting sqref="B3">
    <cfRule type="duplicateValues" dxfId="107" priority="2"/>
  </conditionalFormatting>
  <conditionalFormatting sqref="B4">
    <cfRule type="duplicateValues" dxfId="106" priority="1"/>
  </conditionalFormatting>
  <conditionalFormatting sqref="B5:B8">
    <cfRule type="duplicateValues" dxfId="105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3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G20" sqref="G20"/>
    </sheetView>
  </sheetViews>
  <sheetFormatPr defaultRowHeight="15" x14ac:dyDescent="0.2"/>
  <cols>
    <col min="1" max="1" width="6.85546875" style="4" customWidth="1"/>
    <col min="2" max="2" width="18.710937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402671</v>
      </c>
      <c r="B3" s="73" t="s">
        <v>87</v>
      </c>
      <c r="C3" s="9" t="s">
        <v>88</v>
      </c>
      <c r="D3" s="75" t="s">
        <v>66</v>
      </c>
      <c r="E3" s="13">
        <v>44546</v>
      </c>
      <c r="F3" s="75" t="s">
        <v>98</v>
      </c>
      <c r="G3" s="13">
        <v>44561</v>
      </c>
      <c r="H3" s="10" t="s">
        <v>99</v>
      </c>
      <c r="I3" s="1">
        <v>62</v>
      </c>
      <c r="J3" s="1">
        <v>40</v>
      </c>
      <c r="K3" s="1">
        <v>75</v>
      </c>
      <c r="L3" s="1">
        <v>31</v>
      </c>
      <c r="M3" s="79">
        <v>46.5</v>
      </c>
      <c r="N3" s="8">
        <v>47</v>
      </c>
      <c r="O3" s="63">
        <v>14000</v>
      </c>
      <c r="P3" s="64">
        <f>Table22457891011234567[[#This Row],[PEMBULATAN]]*O3</f>
        <v>658000</v>
      </c>
      <c r="Q3" s="179">
        <v>10</v>
      </c>
    </row>
    <row r="4" spans="1:17" ht="26.25" customHeight="1" x14ac:dyDescent="0.2">
      <c r="A4" s="14"/>
      <c r="B4" s="74"/>
      <c r="C4" s="9" t="s">
        <v>89</v>
      </c>
      <c r="D4" s="75" t="s">
        <v>66</v>
      </c>
      <c r="E4" s="13">
        <v>44546</v>
      </c>
      <c r="F4" s="75" t="s">
        <v>98</v>
      </c>
      <c r="G4" s="13">
        <v>44561</v>
      </c>
      <c r="H4" s="10" t="s">
        <v>99</v>
      </c>
      <c r="I4" s="1">
        <v>62</v>
      </c>
      <c r="J4" s="1">
        <v>40</v>
      </c>
      <c r="K4" s="1">
        <v>75</v>
      </c>
      <c r="L4" s="1">
        <v>31</v>
      </c>
      <c r="M4" s="79">
        <v>46.5</v>
      </c>
      <c r="N4" s="8">
        <v>47</v>
      </c>
      <c r="O4" s="63">
        <v>14000</v>
      </c>
      <c r="P4" s="64">
        <f>Table22457891011234567[[#This Row],[PEMBULATAN]]*O4</f>
        <v>658000</v>
      </c>
      <c r="Q4" s="171"/>
    </row>
    <row r="5" spans="1:17" ht="26.25" customHeight="1" x14ac:dyDescent="0.2">
      <c r="A5" s="14"/>
      <c r="B5" s="14"/>
      <c r="C5" s="9" t="s">
        <v>90</v>
      </c>
      <c r="D5" s="75" t="s">
        <v>66</v>
      </c>
      <c r="E5" s="13">
        <v>44546</v>
      </c>
      <c r="F5" s="75" t="s">
        <v>98</v>
      </c>
      <c r="G5" s="13">
        <v>44561</v>
      </c>
      <c r="H5" s="10" t="s">
        <v>99</v>
      </c>
      <c r="I5" s="1">
        <v>62</v>
      </c>
      <c r="J5" s="1">
        <v>40</v>
      </c>
      <c r="K5" s="1">
        <v>75</v>
      </c>
      <c r="L5" s="1">
        <v>31</v>
      </c>
      <c r="M5" s="79">
        <v>46.5</v>
      </c>
      <c r="N5" s="8">
        <v>47</v>
      </c>
      <c r="O5" s="63">
        <v>14000</v>
      </c>
      <c r="P5" s="64">
        <f>Table22457891011234567[[#This Row],[PEMBULATAN]]*O5</f>
        <v>658000</v>
      </c>
      <c r="Q5" s="171"/>
    </row>
    <row r="6" spans="1:17" ht="26.25" customHeight="1" x14ac:dyDescent="0.2">
      <c r="A6" s="14"/>
      <c r="B6" s="14"/>
      <c r="C6" s="72" t="s">
        <v>91</v>
      </c>
      <c r="D6" s="77" t="s">
        <v>66</v>
      </c>
      <c r="E6" s="13">
        <v>44546</v>
      </c>
      <c r="F6" s="75" t="s">
        <v>98</v>
      </c>
      <c r="G6" s="13">
        <v>44561</v>
      </c>
      <c r="H6" s="76" t="s">
        <v>99</v>
      </c>
      <c r="I6" s="16">
        <v>62</v>
      </c>
      <c r="J6" s="16">
        <v>40</v>
      </c>
      <c r="K6" s="16">
        <v>75</v>
      </c>
      <c r="L6" s="16">
        <v>31</v>
      </c>
      <c r="M6" s="80">
        <v>46.5</v>
      </c>
      <c r="N6" s="71">
        <v>47</v>
      </c>
      <c r="O6" s="63">
        <v>14000</v>
      </c>
      <c r="P6" s="64">
        <f>Table22457891011234567[[#This Row],[PEMBULATAN]]*O6</f>
        <v>658000</v>
      </c>
      <c r="Q6" s="171"/>
    </row>
    <row r="7" spans="1:17" ht="26.25" customHeight="1" x14ac:dyDescent="0.2">
      <c r="A7" s="14"/>
      <c r="B7" s="14"/>
      <c r="C7" s="72" t="s">
        <v>92</v>
      </c>
      <c r="D7" s="77" t="s">
        <v>66</v>
      </c>
      <c r="E7" s="13">
        <v>44546</v>
      </c>
      <c r="F7" s="75" t="s">
        <v>98</v>
      </c>
      <c r="G7" s="13">
        <v>44561</v>
      </c>
      <c r="H7" s="76" t="s">
        <v>99</v>
      </c>
      <c r="I7" s="16">
        <v>62</v>
      </c>
      <c r="J7" s="16">
        <v>40</v>
      </c>
      <c r="K7" s="16">
        <v>75</v>
      </c>
      <c r="L7" s="16">
        <v>31</v>
      </c>
      <c r="M7" s="80">
        <v>46.5</v>
      </c>
      <c r="N7" s="71">
        <v>47</v>
      </c>
      <c r="O7" s="63">
        <v>14000</v>
      </c>
      <c r="P7" s="64">
        <f>Table22457891011234567[[#This Row],[PEMBULATAN]]*O7</f>
        <v>658000</v>
      </c>
      <c r="Q7" s="171"/>
    </row>
    <row r="8" spans="1:17" ht="26.25" customHeight="1" x14ac:dyDescent="0.2">
      <c r="A8" s="14"/>
      <c r="B8" s="14"/>
      <c r="C8" s="72" t="s">
        <v>93</v>
      </c>
      <c r="D8" s="77" t="s">
        <v>66</v>
      </c>
      <c r="E8" s="13">
        <v>44546</v>
      </c>
      <c r="F8" s="75" t="s">
        <v>98</v>
      </c>
      <c r="G8" s="13">
        <v>44561</v>
      </c>
      <c r="H8" s="76" t="s">
        <v>99</v>
      </c>
      <c r="I8" s="16">
        <v>62</v>
      </c>
      <c r="J8" s="16">
        <v>40</v>
      </c>
      <c r="K8" s="16">
        <v>75</v>
      </c>
      <c r="L8" s="16">
        <v>31</v>
      </c>
      <c r="M8" s="80">
        <v>46.5</v>
      </c>
      <c r="N8" s="71">
        <v>47</v>
      </c>
      <c r="O8" s="63">
        <v>14000</v>
      </c>
      <c r="P8" s="64">
        <f>Table22457891011234567[[#This Row],[PEMBULATAN]]*O8</f>
        <v>658000</v>
      </c>
      <c r="Q8" s="171"/>
    </row>
    <row r="9" spans="1:17" ht="26.25" customHeight="1" x14ac:dyDescent="0.2">
      <c r="A9" s="14"/>
      <c r="B9" s="14"/>
      <c r="C9" s="72" t="s">
        <v>94</v>
      </c>
      <c r="D9" s="77" t="s">
        <v>66</v>
      </c>
      <c r="E9" s="13">
        <v>44546</v>
      </c>
      <c r="F9" s="75" t="s">
        <v>98</v>
      </c>
      <c r="G9" s="13">
        <v>44561</v>
      </c>
      <c r="H9" s="76" t="s">
        <v>99</v>
      </c>
      <c r="I9" s="16">
        <v>62</v>
      </c>
      <c r="J9" s="16">
        <v>40</v>
      </c>
      <c r="K9" s="16">
        <v>75</v>
      </c>
      <c r="L9" s="16">
        <v>31</v>
      </c>
      <c r="M9" s="80">
        <v>46.5</v>
      </c>
      <c r="N9" s="71">
        <v>47</v>
      </c>
      <c r="O9" s="63">
        <v>14000</v>
      </c>
      <c r="P9" s="64">
        <f>Table22457891011234567[[#This Row],[PEMBULATAN]]*O9</f>
        <v>658000</v>
      </c>
      <c r="Q9" s="171"/>
    </row>
    <row r="10" spans="1:17" ht="26.25" customHeight="1" x14ac:dyDescent="0.2">
      <c r="A10" s="14"/>
      <c r="B10" s="14"/>
      <c r="C10" s="72" t="s">
        <v>95</v>
      </c>
      <c r="D10" s="77" t="s">
        <v>66</v>
      </c>
      <c r="E10" s="13">
        <v>44546</v>
      </c>
      <c r="F10" s="75" t="s">
        <v>98</v>
      </c>
      <c r="G10" s="13">
        <v>44561</v>
      </c>
      <c r="H10" s="76" t="s">
        <v>99</v>
      </c>
      <c r="I10" s="16">
        <v>60</v>
      </c>
      <c r="J10" s="16">
        <v>50</v>
      </c>
      <c r="K10" s="16">
        <v>100</v>
      </c>
      <c r="L10" s="16">
        <v>14</v>
      </c>
      <c r="M10" s="80">
        <v>75</v>
      </c>
      <c r="N10" s="71">
        <v>75</v>
      </c>
      <c r="O10" s="63">
        <v>14000</v>
      </c>
      <c r="P10" s="64">
        <f>Table22457891011234567[[#This Row],[PEMBULATAN]]*O10</f>
        <v>1050000</v>
      </c>
      <c r="Q10" s="171"/>
    </row>
    <row r="11" spans="1:17" ht="26.25" customHeight="1" x14ac:dyDescent="0.2">
      <c r="A11" s="14"/>
      <c r="B11" s="14"/>
      <c r="C11" s="72" t="s">
        <v>96</v>
      </c>
      <c r="D11" s="77" t="s">
        <v>66</v>
      </c>
      <c r="E11" s="13">
        <v>44546</v>
      </c>
      <c r="F11" s="75" t="s">
        <v>98</v>
      </c>
      <c r="G11" s="13">
        <v>44561</v>
      </c>
      <c r="H11" s="76" t="s">
        <v>99</v>
      </c>
      <c r="I11" s="16">
        <v>60</v>
      </c>
      <c r="J11" s="16">
        <v>50</v>
      </c>
      <c r="K11" s="16">
        <v>100</v>
      </c>
      <c r="L11" s="16">
        <v>14</v>
      </c>
      <c r="M11" s="80">
        <v>75</v>
      </c>
      <c r="N11" s="71">
        <v>75</v>
      </c>
      <c r="O11" s="63">
        <v>14000</v>
      </c>
      <c r="P11" s="64">
        <f>Table22457891011234567[[#This Row],[PEMBULATAN]]*O11</f>
        <v>1050000</v>
      </c>
      <c r="Q11" s="171"/>
    </row>
    <row r="12" spans="1:17" ht="26.25" customHeight="1" x14ac:dyDescent="0.2">
      <c r="A12" s="14"/>
      <c r="B12" s="14"/>
      <c r="C12" s="72" t="s">
        <v>97</v>
      </c>
      <c r="D12" s="77" t="s">
        <v>66</v>
      </c>
      <c r="E12" s="13">
        <v>44546</v>
      </c>
      <c r="F12" s="75" t="s">
        <v>98</v>
      </c>
      <c r="G12" s="13">
        <v>44561</v>
      </c>
      <c r="H12" s="76" t="s">
        <v>99</v>
      </c>
      <c r="I12" s="16">
        <v>60</v>
      </c>
      <c r="J12" s="16">
        <v>50</v>
      </c>
      <c r="K12" s="16">
        <v>93</v>
      </c>
      <c r="L12" s="16">
        <v>14</v>
      </c>
      <c r="M12" s="80">
        <v>69.75</v>
      </c>
      <c r="N12" s="97">
        <v>69.75</v>
      </c>
      <c r="O12" s="63">
        <v>14000</v>
      </c>
      <c r="P12" s="64">
        <f>Table22457891011234567[[#This Row],[PEMBULATAN]]*O12</f>
        <v>976500</v>
      </c>
      <c r="Q12" s="180"/>
    </row>
    <row r="13" spans="1:17" ht="22.5" customHeight="1" x14ac:dyDescent="0.2">
      <c r="A13" s="173" t="s">
        <v>30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5"/>
      <c r="M13" s="78">
        <f>SUBTOTAL(109,Table22457891011234567[KG VOLUME])</f>
        <v>545.25</v>
      </c>
      <c r="N13" s="67">
        <f>SUM(N3:N12)</f>
        <v>548.75</v>
      </c>
      <c r="O13" s="176">
        <f>SUM(P3:P12)</f>
        <v>7682500</v>
      </c>
      <c r="P13" s="177"/>
    </row>
    <row r="14" spans="1:17" ht="18" customHeight="1" x14ac:dyDescent="0.2">
      <c r="A14" s="85"/>
      <c r="B14" s="56" t="s">
        <v>42</v>
      </c>
      <c r="C14" s="55"/>
      <c r="D14" s="57" t="s">
        <v>43</v>
      </c>
      <c r="E14" s="85"/>
      <c r="F14" s="85"/>
      <c r="G14" s="85"/>
      <c r="H14" s="85"/>
      <c r="I14" s="85"/>
      <c r="J14" s="85"/>
      <c r="K14" s="85"/>
      <c r="L14" s="85"/>
      <c r="M14" s="86"/>
      <c r="N14" s="87" t="s">
        <v>51</v>
      </c>
      <c r="O14" s="88"/>
      <c r="P14" s="88">
        <f>O13*10%</f>
        <v>768250</v>
      </c>
    </row>
    <row r="15" spans="1:17" ht="18" customHeight="1" thickBot="1" x14ac:dyDescent="0.25">
      <c r="A15" s="85"/>
      <c r="B15" s="56"/>
      <c r="C15" s="55"/>
      <c r="D15" s="57"/>
      <c r="E15" s="85"/>
      <c r="F15" s="85"/>
      <c r="G15" s="85"/>
      <c r="H15" s="85"/>
      <c r="I15" s="85"/>
      <c r="J15" s="85"/>
      <c r="K15" s="85"/>
      <c r="L15" s="85"/>
      <c r="M15" s="86"/>
      <c r="N15" s="89" t="s">
        <v>52</v>
      </c>
      <c r="O15" s="90"/>
      <c r="P15" s="90">
        <f>O13-P14</f>
        <v>6914250</v>
      </c>
    </row>
    <row r="16" spans="1:17" ht="18" customHeight="1" x14ac:dyDescent="0.2">
      <c r="A16" s="11"/>
      <c r="H16" s="62"/>
      <c r="N16" s="61" t="s">
        <v>31</v>
      </c>
      <c r="P16" s="68">
        <f>P15*1%</f>
        <v>69142.5</v>
      </c>
    </row>
    <row r="17" spans="1:16" ht="18" customHeight="1" thickBot="1" x14ac:dyDescent="0.25">
      <c r="A17" s="11"/>
      <c r="H17" s="62"/>
      <c r="N17" s="61" t="s">
        <v>53</v>
      </c>
      <c r="P17" s="70">
        <f>P15*2%</f>
        <v>138285</v>
      </c>
    </row>
    <row r="18" spans="1:16" ht="18" customHeight="1" x14ac:dyDescent="0.2">
      <c r="A18" s="11"/>
      <c r="H18" s="62"/>
      <c r="N18" s="65" t="s">
        <v>32</v>
      </c>
      <c r="O18" s="66"/>
      <c r="P18" s="69">
        <f>P15+P16-P17</f>
        <v>6845107.5</v>
      </c>
    </row>
    <row r="20" spans="1:16" x14ac:dyDescent="0.2">
      <c r="A20" s="11"/>
      <c r="H20" s="62"/>
      <c r="P20" s="70"/>
    </row>
    <row r="21" spans="1:16" x14ac:dyDescent="0.2">
      <c r="A21" s="11"/>
      <c r="H21" s="62"/>
      <c r="O21" s="58"/>
      <c r="P21" s="70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2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2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2"/>
      <c r="N33" s="15"/>
      <c r="O33" s="15"/>
      <c r="P33" s="15"/>
    </row>
  </sheetData>
  <mergeCells count="3">
    <mergeCell ref="A13:L13"/>
    <mergeCell ref="O13:P13"/>
    <mergeCell ref="Q3:Q12"/>
  </mergeCells>
  <conditionalFormatting sqref="B3">
    <cfRule type="duplicateValues" dxfId="89" priority="2"/>
  </conditionalFormatting>
  <conditionalFormatting sqref="B4">
    <cfRule type="duplicateValues" dxfId="88" priority="1"/>
  </conditionalFormatting>
  <conditionalFormatting sqref="B5:B12">
    <cfRule type="duplicateValues" dxfId="87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402681</v>
      </c>
      <c r="B3" s="73" t="s">
        <v>100</v>
      </c>
      <c r="C3" s="9" t="s">
        <v>101</v>
      </c>
      <c r="D3" s="75" t="s">
        <v>66</v>
      </c>
      <c r="E3" s="13">
        <v>44547</v>
      </c>
      <c r="F3" s="75" t="s">
        <v>98</v>
      </c>
      <c r="G3" s="13">
        <v>44561</v>
      </c>
      <c r="H3" s="10" t="s">
        <v>99</v>
      </c>
      <c r="I3" s="1">
        <v>52</v>
      </c>
      <c r="J3" s="1">
        <v>45</v>
      </c>
      <c r="K3" s="1">
        <v>12</v>
      </c>
      <c r="L3" s="1">
        <v>4</v>
      </c>
      <c r="M3" s="79">
        <v>7.02</v>
      </c>
      <c r="N3" s="97">
        <v>7.02</v>
      </c>
      <c r="O3" s="63">
        <v>14000</v>
      </c>
      <c r="P3" s="64">
        <f>Table224578910112345678[[#This Row],[PEMBULATAN]]*O3</f>
        <v>98280</v>
      </c>
      <c r="Q3" s="179">
        <v>8</v>
      </c>
    </row>
    <row r="4" spans="1:17" ht="26.25" customHeight="1" x14ac:dyDescent="0.2">
      <c r="A4" s="14"/>
      <c r="B4" s="74"/>
      <c r="C4" s="9" t="s">
        <v>102</v>
      </c>
      <c r="D4" s="75" t="s">
        <v>66</v>
      </c>
      <c r="E4" s="13">
        <v>44547</v>
      </c>
      <c r="F4" s="75" t="s">
        <v>98</v>
      </c>
      <c r="G4" s="13">
        <v>44561</v>
      </c>
      <c r="H4" s="10" t="s">
        <v>99</v>
      </c>
      <c r="I4" s="1">
        <v>52</v>
      </c>
      <c r="J4" s="1">
        <v>45</v>
      </c>
      <c r="K4" s="1">
        <v>12</v>
      </c>
      <c r="L4" s="1">
        <v>4</v>
      </c>
      <c r="M4" s="79">
        <v>7.02</v>
      </c>
      <c r="N4" s="97">
        <v>7.02</v>
      </c>
      <c r="O4" s="63">
        <v>14000</v>
      </c>
      <c r="P4" s="64">
        <f>Table224578910112345678[[#This Row],[PEMBULATAN]]*O4</f>
        <v>98280</v>
      </c>
      <c r="Q4" s="171"/>
    </row>
    <row r="5" spans="1:17" ht="26.25" customHeight="1" x14ac:dyDescent="0.2">
      <c r="A5" s="14"/>
      <c r="B5" s="14"/>
      <c r="C5" s="9" t="s">
        <v>103</v>
      </c>
      <c r="D5" s="75" t="s">
        <v>66</v>
      </c>
      <c r="E5" s="13">
        <v>44547</v>
      </c>
      <c r="F5" s="75" t="s">
        <v>98</v>
      </c>
      <c r="G5" s="13">
        <v>44561</v>
      </c>
      <c r="H5" s="10" t="s">
        <v>99</v>
      </c>
      <c r="I5" s="1">
        <v>60</v>
      </c>
      <c r="J5" s="1">
        <v>44</v>
      </c>
      <c r="K5" s="1">
        <v>48</v>
      </c>
      <c r="L5" s="1">
        <v>12</v>
      </c>
      <c r="M5" s="79">
        <v>31.68</v>
      </c>
      <c r="N5" s="97">
        <v>31.68</v>
      </c>
      <c r="O5" s="63">
        <v>14000</v>
      </c>
      <c r="P5" s="64">
        <f>Table224578910112345678[[#This Row],[PEMBULATAN]]*O5</f>
        <v>443520</v>
      </c>
      <c r="Q5" s="171"/>
    </row>
    <row r="6" spans="1:17" ht="26.25" customHeight="1" x14ac:dyDescent="0.2">
      <c r="A6" s="14"/>
      <c r="B6" s="14"/>
      <c r="C6" s="72" t="s">
        <v>104</v>
      </c>
      <c r="D6" s="77" t="s">
        <v>66</v>
      </c>
      <c r="E6" s="13">
        <v>44547</v>
      </c>
      <c r="F6" s="75" t="s">
        <v>98</v>
      </c>
      <c r="G6" s="13">
        <v>44561</v>
      </c>
      <c r="H6" s="76" t="s">
        <v>99</v>
      </c>
      <c r="I6" s="16">
        <v>60</v>
      </c>
      <c r="J6" s="16">
        <v>44</v>
      </c>
      <c r="K6" s="16">
        <v>48</v>
      </c>
      <c r="L6" s="16">
        <v>12</v>
      </c>
      <c r="M6" s="80">
        <v>31.68</v>
      </c>
      <c r="N6" s="97">
        <v>31.68</v>
      </c>
      <c r="O6" s="63">
        <v>14000</v>
      </c>
      <c r="P6" s="64">
        <f>Table224578910112345678[[#This Row],[PEMBULATAN]]*O6</f>
        <v>443520</v>
      </c>
      <c r="Q6" s="171"/>
    </row>
    <row r="7" spans="1:17" ht="26.25" customHeight="1" x14ac:dyDescent="0.2">
      <c r="A7" s="14"/>
      <c r="B7" s="14"/>
      <c r="C7" s="72" t="s">
        <v>105</v>
      </c>
      <c r="D7" s="77" t="s">
        <v>66</v>
      </c>
      <c r="E7" s="13">
        <v>44547</v>
      </c>
      <c r="F7" s="75" t="s">
        <v>98</v>
      </c>
      <c r="G7" s="13">
        <v>44561</v>
      </c>
      <c r="H7" s="76" t="s">
        <v>99</v>
      </c>
      <c r="I7" s="16">
        <v>48</v>
      </c>
      <c r="J7" s="16">
        <v>43</v>
      </c>
      <c r="K7" s="16">
        <v>37</v>
      </c>
      <c r="L7" s="16">
        <v>12</v>
      </c>
      <c r="M7" s="80">
        <v>19.091999999999999</v>
      </c>
      <c r="N7" s="97">
        <v>19.091999999999999</v>
      </c>
      <c r="O7" s="63">
        <v>14000</v>
      </c>
      <c r="P7" s="64">
        <f>Table224578910112345678[[#This Row],[PEMBULATAN]]*O7</f>
        <v>267288</v>
      </c>
      <c r="Q7" s="171"/>
    </row>
    <row r="8" spans="1:17" ht="26.25" customHeight="1" x14ac:dyDescent="0.2">
      <c r="A8" s="14"/>
      <c r="B8" s="14"/>
      <c r="C8" s="72" t="s">
        <v>106</v>
      </c>
      <c r="D8" s="77" t="s">
        <v>66</v>
      </c>
      <c r="E8" s="13">
        <v>44547</v>
      </c>
      <c r="F8" s="75" t="s">
        <v>98</v>
      </c>
      <c r="G8" s="13">
        <v>44561</v>
      </c>
      <c r="H8" s="76" t="s">
        <v>99</v>
      </c>
      <c r="I8" s="16">
        <v>149</v>
      </c>
      <c r="J8" s="16">
        <v>64</v>
      </c>
      <c r="K8" s="16">
        <v>9</v>
      </c>
      <c r="L8" s="16">
        <v>14</v>
      </c>
      <c r="M8" s="80">
        <v>21.456</v>
      </c>
      <c r="N8" s="97">
        <v>22</v>
      </c>
      <c r="O8" s="63">
        <v>14000</v>
      </c>
      <c r="P8" s="64">
        <f>Table224578910112345678[[#This Row],[PEMBULATAN]]*O8</f>
        <v>308000</v>
      </c>
      <c r="Q8" s="171"/>
    </row>
    <row r="9" spans="1:17" ht="26.25" customHeight="1" x14ac:dyDescent="0.2">
      <c r="A9" s="14"/>
      <c r="B9" s="14"/>
      <c r="C9" s="72" t="s">
        <v>107</v>
      </c>
      <c r="D9" s="77" t="s">
        <v>66</v>
      </c>
      <c r="E9" s="13">
        <v>44547</v>
      </c>
      <c r="F9" s="75" t="s">
        <v>98</v>
      </c>
      <c r="G9" s="13">
        <v>44561</v>
      </c>
      <c r="H9" s="76" t="s">
        <v>99</v>
      </c>
      <c r="I9" s="16">
        <v>149</v>
      </c>
      <c r="J9" s="16">
        <v>64</v>
      </c>
      <c r="K9" s="16">
        <v>9</v>
      </c>
      <c r="L9" s="16">
        <v>14</v>
      </c>
      <c r="M9" s="80">
        <v>21.456</v>
      </c>
      <c r="N9" s="97">
        <v>22</v>
      </c>
      <c r="O9" s="63">
        <v>14000</v>
      </c>
      <c r="P9" s="64">
        <f>Table224578910112345678[[#This Row],[PEMBULATAN]]*O9</f>
        <v>308000</v>
      </c>
      <c r="Q9" s="171"/>
    </row>
    <row r="10" spans="1:17" ht="26.25" customHeight="1" x14ac:dyDescent="0.2">
      <c r="A10" s="14"/>
      <c r="B10" s="14"/>
      <c r="C10" s="72" t="s">
        <v>108</v>
      </c>
      <c r="D10" s="77" t="s">
        <v>66</v>
      </c>
      <c r="E10" s="13">
        <v>44547</v>
      </c>
      <c r="F10" s="75" t="s">
        <v>98</v>
      </c>
      <c r="G10" s="13">
        <v>44561</v>
      </c>
      <c r="H10" s="76" t="s">
        <v>99</v>
      </c>
      <c r="I10" s="16">
        <v>149</v>
      </c>
      <c r="J10" s="16">
        <v>64</v>
      </c>
      <c r="K10" s="16">
        <v>9</v>
      </c>
      <c r="L10" s="16">
        <v>14</v>
      </c>
      <c r="M10" s="80">
        <v>21.456</v>
      </c>
      <c r="N10" s="97">
        <v>22</v>
      </c>
      <c r="O10" s="63">
        <v>14000</v>
      </c>
      <c r="P10" s="64">
        <f>Table224578910112345678[[#This Row],[PEMBULATAN]]*O10</f>
        <v>308000</v>
      </c>
      <c r="Q10" s="180"/>
    </row>
    <row r="11" spans="1:17" ht="22.5" customHeight="1" x14ac:dyDescent="0.2">
      <c r="A11" s="173" t="s">
        <v>30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5"/>
      <c r="M11" s="78">
        <f>SUBTOTAL(109,Table224578910112345678[KG VOLUME])</f>
        <v>160.85999999999999</v>
      </c>
      <c r="N11" s="67">
        <f>SUM(N3:N10)</f>
        <v>162.49200000000002</v>
      </c>
      <c r="O11" s="176">
        <f>SUM(P3:P10)</f>
        <v>2274888</v>
      </c>
      <c r="P11" s="177"/>
    </row>
    <row r="12" spans="1:17" ht="18" customHeight="1" x14ac:dyDescent="0.2">
      <c r="A12" s="85"/>
      <c r="B12" s="56" t="s">
        <v>42</v>
      </c>
      <c r="C12" s="55"/>
      <c r="D12" s="57" t="s">
        <v>43</v>
      </c>
      <c r="E12" s="85"/>
      <c r="F12" s="85"/>
      <c r="G12" s="85"/>
      <c r="H12" s="85"/>
      <c r="I12" s="85"/>
      <c r="J12" s="85"/>
      <c r="K12" s="85"/>
      <c r="L12" s="85"/>
      <c r="M12" s="86"/>
      <c r="N12" s="87" t="s">
        <v>51</v>
      </c>
      <c r="O12" s="88"/>
      <c r="P12" s="88">
        <v>0</v>
      </c>
    </row>
    <row r="13" spans="1:17" ht="18" customHeight="1" thickBot="1" x14ac:dyDescent="0.25">
      <c r="A13" s="85"/>
      <c r="B13" s="56"/>
      <c r="C13" s="55"/>
      <c r="D13" s="57"/>
      <c r="E13" s="85"/>
      <c r="F13" s="85"/>
      <c r="G13" s="85"/>
      <c r="H13" s="85"/>
      <c r="I13" s="85"/>
      <c r="J13" s="85"/>
      <c r="K13" s="85"/>
      <c r="L13" s="85"/>
      <c r="M13" s="86"/>
      <c r="N13" s="89" t="s">
        <v>52</v>
      </c>
      <c r="O13" s="90"/>
      <c r="P13" s="90">
        <f>O11-P12</f>
        <v>2274888</v>
      </c>
    </row>
    <row r="14" spans="1:17" ht="18" customHeight="1" x14ac:dyDescent="0.2">
      <c r="A14" s="11"/>
      <c r="H14" s="62"/>
      <c r="N14" s="61" t="s">
        <v>31</v>
      </c>
      <c r="P14" s="68">
        <f>P13*1%</f>
        <v>22748.880000000001</v>
      </c>
    </row>
    <row r="15" spans="1:17" ht="18" customHeight="1" thickBot="1" x14ac:dyDescent="0.25">
      <c r="A15" s="11"/>
      <c r="H15" s="62"/>
      <c r="N15" s="61" t="s">
        <v>53</v>
      </c>
      <c r="P15" s="70">
        <f>P13*2%</f>
        <v>45497.760000000002</v>
      </c>
    </row>
    <row r="16" spans="1:17" ht="18" customHeight="1" x14ac:dyDescent="0.2">
      <c r="A16" s="11"/>
      <c r="H16" s="62"/>
      <c r="N16" s="65" t="s">
        <v>32</v>
      </c>
      <c r="O16" s="66"/>
      <c r="P16" s="69">
        <f>P13+P14-P15</f>
        <v>2252139.12</v>
      </c>
    </row>
    <row r="18" spans="1:16" x14ac:dyDescent="0.2">
      <c r="A18" s="11"/>
      <c r="H18" s="62"/>
      <c r="P18" s="70"/>
    </row>
    <row r="19" spans="1:16" x14ac:dyDescent="0.2">
      <c r="A19" s="11"/>
      <c r="H19" s="62"/>
      <c r="O19" s="58"/>
      <c r="P19" s="70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2"/>
      <c r="N31" s="15"/>
      <c r="O31" s="15"/>
      <c r="P31" s="15"/>
    </row>
  </sheetData>
  <mergeCells count="3">
    <mergeCell ref="A11:L11"/>
    <mergeCell ref="O11:P11"/>
    <mergeCell ref="Q3:Q10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10">
    <cfRule type="duplicateValues" dxfId="69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Sicepat_AMBON Des 2021</vt:lpstr>
      <vt:lpstr>ALL</vt:lpstr>
      <vt:lpstr>405807</vt:lpstr>
      <vt:lpstr>405827</vt:lpstr>
      <vt:lpstr>402952</vt:lpstr>
      <vt:lpstr>406455</vt:lpstr>
      <vt:lpstr>406464</vt:lpstr>
      <vt:lpstr>402671</vt:lpstr>
      <vt:lpstr>402681</vt:lpstr>
      <vt:lpstr>402692</vt:lpstr>
      <vt:lpstr>402720</vt:lpstr>
      <vt:lpstr>402765</vt:lpstr>
      <vt:lpstr>'402671'!Print_Titles</vt:lpstr>
      <vt:lpstr>'402681'!Print_Titles</vt:lpstr>
      <vt:lpstr>'402692'!Print_Titles</vt:lpstr>
      <vt:lpstr>'402720'!Print_Titles</vt:lpstr>
      <vt:lpstr>'402765'!Print_Titles</vt:lpstr>
      <vt:lpstr>'402952'!Print_Titles</vt:lpstr>
      <vt:lpstr>'405807'!Print_Titles</vt:lpstr>
      <vt:lpstr>'405827'!Print_Titles</vt:lpstr>
      <vt:lpstr>'406455'!Print_Titles</vt:lpstr>
      <vt:lpstr>'406464'!Print_Titles</vt:lpstr>
      <vt:lpstr>ALL!Print_Titles</vt:lpstr>
      <vt:lpstr>'Sicepat_AMBON 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2022-02-03T10:19:28Z</cp:lastPrinted>
  <dcterms:created xsi:type="dcterms:W3CDTF">2021-07-02T11:08:00Z</dcterms:created>
  <dcterms:modified xsi:type="dcterms:W3CDTF">2022-02-04T10:09:57Z</dcterms:modified>
</cp:coreProperties>
</file>