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Performa\2021\Sicepat\Performa yang sudah ter invoice\"/>
    </mc:Choice>
  </mc:AlternateContent>
  <bookViews>
    <workbookView xWindow="0" yWindow="0" windowWidth="20490" windowHeight="7320" tabRatio="842"/>
  </bookViews>
  <sheets>
    <sheet name="Sicepat_Gorontalo Des 21" sheetId="2" r:id="rId1"/>
    <sheet name="ALL" sheetId="90" r:id="rId2"/>
    <sheet name="405808" sheetId="26" r:id="rId3"/>
    <sheet name="406457" sheetId="57" r:id="rId4"/>
    <sheet name="402677" sheetId="58" r:id="rId5"/>
    <sheet name="402690" sheetId="59" r:id="rId6"/>
    <sheet name="402721" sheetId="60" r:id="rId7"/>
    <sheet name="402724" sheetId="61" r:id="rId8"/>
    <sheet name="402733" sheetId="62" r:id="rId9"/>
    <sheet name="402754" sheetId="63" r:id="rId10"/>
    <sheet name="402763" sheetId="64" r:id="rId11"/>
  </sheets>
  <definedNames>
    <definedName name="_xlnm.Print_Titles" localSheetId="4">'402677'!$2:$2</definedName>
    <definedName name="_xlnm.Print_Titles" localSheetId="5">'402690'!$2:$2</definedName>
    <definedName name="_xlnm.Print_Titles" localSheetId="6">'402721'!$2:$2</definedName>
    <definedName name="_xlnm.Print_Titles" localSheetId="7">'402724'!$2:$2</definedName>
    <definedName name="_xlnm.Print_Titles" localSheetId="8">'402733'!$2:$2</definedName>
    <definedName name="_xlnm.Print_Titles" localSheetId="9">'402754'!$2:$2</definedName>
    <definedName name="_xlnm.Print_Titles" localSheetId="10">'402763'!$2:$2</definedName>
    <definedName name="_xlnm.Print_Titles" localSheetId="2">'405808'!$2:$2</definedName>
    <definedName name="_xlnm.Print_Titles" localSheetId="3">'406457'!$2:$2</definedName>
    <definedName name="_xlnm.Print_Titles" localSheetId="1">ALL!$2:$2</definedName>
    <definedName name="_xlnm.Print_Titles" localSheetId="0">'Sicepat_Gorontalo Des 21'!$2:$17</definedName>
  </definedNames>
  <calcPr calcId="162913"/>
</workbook>
</file>

<file path=xl/calcChain.xml><?xml version="1.0" encoding="utf-8"?>
<calcChain xmlns="http://schemas.openxmlformats.org/spreadsheetml/2006/main">
  <c r="C26" i="2" l="1"/>
  <c r="C25" i="2"/>
  <c r="C24" i="2"/>
  <c r="C23" i="2"/>
  <c r="C22" i="2"/>
  <c r="C21" i="2"/>
  <c r="C20" i="2"/>
  <c r="C19" i="2"/>
  <c r="C18" i="2"/>
  <c r="O11" i="63" l="1"/>
  <c r="N11" i="63"/>
  <c r="O5" i="61"/>
  <c r="N5" i="61"/>
  <c r="O5" i="58"/>
  <c r="N5" i="58"/>
  <c r="N6" i="57"/>
  <c r="O11" i="26"/>
  <c r="N11" i="26"/>
  <c r="N4" i="64" l="1"/>
  <c r="M4" i="64"/>
  <c r="M11" i="63"/>
  <c r="M5" i="61"/>
  <c r="N7" i="60"/>
  <c r="M7" i="60"/>
  <c r="O6" i="59"/>
  <c r="N6" i="59"/>
  <c r="O35" i="90"/>
  <c r="Q35" i="90"/>
  <c r="N35" i="90"/>
  <c r="M35" i="90"/>
  <c r="P6" i="61" l="1"/>
  <c r="P8" i="60"/>
  <c r="P14" i="90" l="1"/>
  <c r="P15" i="90"/>
  <c r="P16" i="90"/>
  <c r="P17" i="90"/>
  <c r="P18" i="90"/>
  <c r="P19" i="90"/>
  <c r="P20" i="90"/>
  <c r="P21" i="90"/>
  <c r="P22" i="90"/>
  <c r="P23" i="90"/>
  <c r="P24" i="90"/>
  <c r="P25" i="90"/>
  <c r="P26" i="90"/>
  <c r="P27" i="90"/>
  <c r="P28" i="90"/>
  <c r="P29" i="90"/>
  <c r="P30" i="90"/>
  <c r="P31" i="90"/>
  <c r="P32" i="90"/>
  <c r="P33" i="90"/>
  <c r="P34" i="90"/>
  <c r="P12" i="90"/>
  <c r="P13" i="90"/>
  <c r="P11" i="90"/>
  <c r="P10" i="90"/>
  <c r="P9" i="90"/>
  <c r="P8" i="90"/>
  <c r="P7" i="90"/>
  <c r="P6" i="90"/>
  <c r="P5" i="90"/>
  <c r="P4" i="90"/>
  <c r="P3" i="90"/>
  <c r="P5" i="64"/>
  <c r="P3" i="64"/>
  <c r="P12" i="63"/>
  <c r="P4" i="63"/>
  <c r="P5" i="63"/>
  <c r="P6" i="63"/>
  <c r="P7" i="63"/>
  <c r="P8" i="63"/>
  <c r="P9" i="63"/>
  <c r="P10" i="63"/>
  <c r="P3" i="63"/>
  <c r="P5" i="62"/>
  <c r="P36" i="90" l="1"/>
  <c r="P37" i="90" s="1"/>
  <c r="P7" i="59"/>
  <c r="P6" i="58"/>
  <c r="P7" i="57"/>
  <c r="P12" i="26"/>
  <c r="P39" i="90" l="1"/>
  <c r="P38" i="90"/>
  <c r="B26" i="2"/>
  <c r="B25" i="2"/>
  <c r="B24" i="2"/>
  <c r="B23" i="2"/>
  <c r="B22" i="2"/>
  <c r="B21" i="2"/>
  <c r="B20" i="2"/>
  <c r="B19" i="2"/>
  <c r="B18" i="2"/>
  <c r="P40" i="90" l="1"/>
  <c r="O4" i="64"/>
  <c r="P6" i="64" s="1"/>
  <c r="G25" i="2"/>
  <c r="N4" i="62"/>
  <c r="M4" i="62"/>
  <c r="P3" i="62"/>
  <c r="O4" i="62" s="1"/>
  <c r="P6" i="62" s="1"/>
  <c r="P4" i="61"/>
  <c r="P3" i="61"/>
  <c r="G22" i="2"/>
  <c r="P6" i="60"/>
  <c r="P5" i="60"/>
  <c r="P4" i="60"/>
  <c r="P3" i="60"/>
  <c r="M6" i="59"/>
  <c r="P5" i="59"/>
  <c r="P4" i="59"/>
  <c r="P3" i="59"/>
  <c r="P8" i="59" s="1"/>
  <c r="M5" i="58"/>
  <c r="P4" i="58"/>
  <c r="P3" i="58"/>
  <c r="M6" i="57"/>
  <c r="P5" i="57"/>
  <c r="P4" i="57"/>
  <c r="P3" i="57"/>
  <c r="P10" i="26"/>
  <c r="P9" i="26"/>
  <c r="P8" i="26"/>
  <c r="P13" i="63" l="1"/>
  <c r="P14" i="63" s="1"/>
  <c r="P7" i="61"/>
  <c r="P9" i="61" s="1"/>
  <c r="O7" i="60"/>
  <c r="P9" i="60" s="1"/>
  <c r="P10" i="60" s="1"/>
  <c r="P7" i="58"/>
  <c r="P9" i="58" s="1"/>
  <c r="O6" i="57"/>
  <c r="P8" i="57" s="1"/>
  <c r="P9" i="57" s="1"/>
  <c r="P8" i="64"/>
  <c r="P7" i="64"/>
  <c r="P9" i="64" s="1"/>
  <c r="P8" i="62"/>
  <c r="P7" i="62"/>
  <c r="P9" i="62" s="1"/>
  <c r="P10" i="59"/>
  <c r="P9" i="59"/>
  <c r="P11" i="59" s="1"/>
  <c r="P8" i="58" l="1"/>
  <c r="P11" i="60"/>
  <c r="P15" i="63"/>
  <c r="P16" i="63" s="1"/>
  <c r="P8" i="61"/>
  <c r="P10" i="61" s="1"/>
  <c r="P12" i="60"/>
  <c r="P10" i="58"/>
  <c r="P10" i="57"/>
  <c r="P11" i="57" s="1"/>
  <c r="I32" i="2"/>
  <c r="I31" i="2"/>
  <c r="I33" i="2" s="1"/>
  <c r="P4" i="26"/>
  <c r="P5" i="26"/>
  <c r="P6" i="26"/>
  <c r="P7" i="26"/>
  <c r="G18" i="2" l="1"/>
  <c r="M11" i="26"/>
  <c r="P3" i="26"/>
  <c r="P13" i="26" l="1"/>
  <c r="J26" i="2"/>
  <c r="J25" i="2"/>
  <c r="P14" i="26" l="1"/>
  <c r="P15" i="26"/>
  <c r="J24" i="2"/>
  <c r="P16" i="26" l="1"/>
  <c r="A19" i="2"/>
  <c r="A20" i="2" s="1"/>
  <c r="A21" i="2" s="1"/>
  <c r="A22" i="2" s="1"/>
  <c r="A23" i="2" s="1"/>
  <c r="A24" i="2" s="1"/>
  <c r="A25" i="2" s="1"/>
  <c r="A26" i="2" s="1"/>
  <c r="J23" i="2"/>
  <c r="J21" i="2"/>
  <c r="J22" i="2"/>
  <c r="J20" i="2"/>
  <c r="J19" i="2"/>
  <c r="I44" i="2" l="1"/>
  <c r="J18" i="2"/>
  <c r="J27" i="2" l="1"/>
  <c r="J29" i="2" l="1"/>
  <c r="J30" i="2" s="1"/>
  <c r="J32" i="2" l="1"/>
  <c r="J31" i="2"/>
  <c r="J33" i="2" l="1"/>
</calcChain>
</file>

<file path=xl/sharedStrings.xml><?xml version="1.0" encoding="utf-8"?>
<sst xmlns="http://schemas.openxmlformats.org/spreadsheetml/2006/main" count="587" uniqueCount="108">
  <si>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</si>
  <si>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</si>
  <si>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</si>
  <si>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</si>
  <si>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</si>
  <si>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</si>
  <si>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</si>
  <si>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</si>
  <si>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</si>
  <si>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</si>
  <si>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</si>
  <si>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</si>
  <si>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</si>
  <si>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</si>
  <si>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</si>
  <si>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</si>
  <si>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</si>
  <si>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:</t>
  </si>
  <si>
    <t>Invoice Date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</si>
  <si>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</si>
  <si>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</si>
  <si>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</si>
  <si>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</si>
  <si>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</si>
  <si>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</si>
  <si>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</si>
  <si>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</si>
  <si>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</si>
  <si>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</si>
  <si>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</si>
  <si>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</si>
  <si>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PPN 1%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</si>
  <si>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</si>
  <si>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</si>
  <si>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</si>
  <si>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</si>
  <si>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</si>
  <si>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</si>
  <si>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</si>
  <si>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</si>
  <si>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</si>
  <si>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</si>
  <si>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</si>
  <si>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</si>
  <si>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</si>
  <si>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</si>
  <si>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</si>
  <si>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</si>
  <si>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</si>
  <si>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Invoice Performa</t>
  </si>
  <si>
    <t>Periode</t>
  </si>
  <si>
    <t>Discount 10%</t>
  </si>
  <si>
    <t>Total Setelah Discount</t>
  </si>
  <si>
    <t>PPh 23  2%</t>
  </si>
  <si>
    <t>PPh 23 2%</t>
  </si>
  <si>
    <t>TOTAL</t>
  </si>
  <si>
    <t>GORONTALO</t>
  </si>
  <si>
    <t xml:space="preserve"> DESEMBER 2021</t>
  </si>
  <si>
    <t>DMD/2112/03/RPLA8609</t>
  </si>
  <si>
    <t>GSK211203IGK521</t>
  </si>
  <si>
    <t>GSK211130RTZ207</t>
  </si>
  <si>
    <t>GSK211203WZK190</t>
  </si>
  <si>
    <t>GSK211203GLT309</t>
  </si>
  <si>
    <t>GSK211203IVJ139</t>
  </si>
  <si>
    <t>GSK211202BWN359</t>
  </si>
  <si>
    <t>GSK211201GZF439</t>
  </si>
  <si>
    <t>GSK211130LCV986</t>
  </si>
  <si>
    <t>DMP GTO (GORONTALO)</t>
  </si>
  <si>
    <t>12/21/2021 YUSRIL</t>
  </si>
  <si>
    <t>KM DUTA II</t>
  </si>
  <si>
    <t>DMD/2112/10/EOSI4301</t>
  </si>
  <si>
    <t>GSK211210JTL468</t>
  </si>
  <si>
    <t>GSK211210IPT721</t>
  </si>
  <si>
    <t>GSK211210OVL391</t>
  </si>
  <si>
    <t>DMD/2112/17/VGXO7504</t>
  </si>
  <si>
    <t>GSK211217KWI059</t>
  </si>
  <si>
    <t>GSK211216SML376</t>
  </si>
  <si>
    <t>01/01/2022 VENCE</t>
  </si>
  <si>
    <t>DMD/2112/18/OUXA9073</t>
  </si>
  <si>
    <t>GSK211218JIF726</t>
  </si>
  <si>
    <t>GSK211218BKN406</t>
  </si>
  <si>
    <t>GSK211218XJI601</t>
  </si>
  <si>
    <t>DMD/2112/23/MFAR3190</t>
  </si>
  <si>
    <t>GSK211223UHR250</t>
  </si>
  <si>
    <t>GSK211223HJM548</t>
  </si>
  <si>
    <t>GSK211223KJV815</t>
  </si>
  <si>
    <t>GSK211223IHX346</t>
  </si>
  <si>
    <t>DMD/2112/24/NKGL7042</t>
  </si>
  <si>
    <t>GSK211224XME205</t>
  </si>
  <si>
    <t>GSK211224YRA765</t>
  </si>
  <si>
    <t>DMD/2112/25/QOMK4023</t>
  </si>
  <si>
    <t>GSK211225OKB078</t>
  </si>
  <si>
    <t>DMD/2112/30/BJDF3426</t>
  </si>
  <si>
    <t>GSK211230TPC837</t>
  </si>
  <si>
    <t>GSK211230PGD719</t>
  </si>
  <si>
    <t>GSK211230LGP784</t>
  </si>
  <si>
    <t>GSK211230MNB930</t>
  </si>
  <si>
    <t>GSK211230LFR206</t>
  </si>
  <si>
    <t>GSK211230HQB849</t>
  </si>
  <si>
    <t>GSK211230WZA643</t>
  </si>
  <si>
    <t>DMD/2112/31/VMAH6174</t>
  </si>
  <si>
    <t>GSK211230UBQ869</t>
  </si>
  <si>
    <t>01/15/2022 VENCE</t>
  </si>
  <si>
    <t>DMD/2112/31/MAFT6043</t>
  </si>
  <si>
    <t>GSK211230QAZ204</t>
  </si>
  <si>
    <t>PENGIRIMAN BARANG TUJUAN GORONTALO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</si>
  <si>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Lima Juta Enam Ratus Lima Ribu Empat Ratus Sembilan Puluh Sembilan Rupiah.</t>
    </r>
  </si>
  <si>
    <t xml:space="preserve"> 29 Januari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</si>
</sst>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0" fontId="9" fillId="4" borderId="4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7" fontId="9" fillId="0" borderId="0" xfId="1" applyNumberFormat="1" applyFont="1"/>
    <xf numFmtId="0" fontId="1" fillId="0" borderId="2" xfId="0" applyFont="1" applyBorder="1" applyAlignment="1">
      <alignment vertical="center" wrapText="1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left" vertical="center"/>
    </xf>
    <xf numFmtId="167" fontId="5" fillId="0" borderId="5" xfId="1" applyNumberFormat="1" applyFont="1" applyBorder="1" applyAlignment="1">
      <alignment horizontal="center" vertical="center"/>
    </xf>
    <xf numFmtId="167" fontId="17" fillId="0" borderId="0" xfId="3" applyNumberFormat="1" applyFont="1" applyBorder="1" applyAlignment="1">
      <alignment horizontal="left" vertical="center"/>
    </xf>
    <xf numFmtId="167" fontId="9" fillId="0" borderId="0" xfId="3" applyNumberFormat="1" applyFont="1" applyBorder="1" applyAlignment="1">
      <alignment horizontal="center" vertical="center"/>
    </xf>
    <xf numFmtId="167" fontId="8" fillId="0" borderId="5" xfId="3" applyNumberFormat="1" applyFont="1" applyBorder="1" applyAlignment="1">
      <alignment horizontal="left" vertical="center"/>
    </xf>
    <xf numFmtId="169" fontId="8" fillId="0" borderId="0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1" fontId="9" fillId="4" borderId="1" xfId="3" applyNumberFormat="1" applyFont="1" applyFill="1" applyBorder="1" applyAlignment="1">
      <alignment horizontal="center" vertical="center" wrapText="1"/>
    </xf>
    <xf numFmtId="1" fontId="9" fillId="4" borderId="4" xfId="3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4" fontId="3" fillId="0" borderId="4" xfId="2" applyFont="1" applyBorder="1" applyAlignment="1">
      <alignment horizontal="center" vertical="center"/>
    </xf>
    <xf numFmtId="167" fontId="3" fillId="0" borderId="4" xfId="1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 wrapText="1"/>
    </xf>
    <xf numFmtId="0" fontId="2" fillId="0" borderId="25" xfId="0" applyFont="1" applyFill="1" applyBorder="1" applyAlignment="1">
      <alignment vertical="center"/>
    </xf>
    <xf numFmtId="0" fontId="2" fillId="0" borderId="25" xfId="0" applyFont="1" applyFill="1" applyBorder="1" applyAlignment="1">
      <alignment horizontal="center" vertical="center" wrapText="1"/>
    </xf>
    <xf numFmtId="166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166" fontId="2" fillId="0" borderId="25" xfId="0" applyNumberFormat="1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/>
    </xf>
    <xf numFmtId="2" fontId="2" fillId="0" borderId="25" xfId="0" applyNumberFormat="1" applyFont="1" applyFill="1" applyBorder="1" applyAlignment="1">
      <alignment horizontal="center" vertical="center"/>
    </xf>
    <xf numFmtId="164" fontId="3" fillId="0" borderId="25" xfId="2" applyFont="1" applyBorder="1" applyAlignment="1">
      <alignment horizontal="center" vertical="center"/>
    </xf>
    <xf numFmtId="167" fontId="3" fillId="0" borderId="25" xfId="1" applyNumberFormat="1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166" fontId="2" fillId="0" borderId="25" xfId="0" applyNumberFormat="1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center" vertical="center" wrapText="1"/>
    </xf>
    <xf numFmtId="166" fontId="2" fillId="0" borderId="26" xfId="0" applyNumberFormat="1" applyFont="1" applyBorder="1" applyAlignment="1">
      <alignment horizontal="center" vertical="center"/>
    </xf>
    <xf numFmtId="166" fontId="2" fillId="0" borderId="26" xfId="0" applyNumberFormat="1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164" fontId="3" fillId="0" borderId="26" xfId="2" applyFont="1" applyBorder="1" applyAlignment="1">
      <alignment horizontal="center" vertical="center"/>
    </xf>
    <xf numFmtId="167" fontId="3" fillId="0" borderId="24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64" fontId="3" fillId="0" borderId="2" xfId="2" applyFont="1" applyBorder="1" applyAlignment="1">
      <alignment horizontal="center" vertical="center"/>
    </xf>
    <xf numFmtId="167" fontId="3" fillId="0" borderId="2" xfId="1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6" fontId="2" fillId="0" borderId="27" xfId="0" applyNumberFormat="1" applyFont="1" applyBorder="1" applyAlignment="1">
      <alignment horizontal="center" vertical="center"/>
    </xf>
    <xf numFmtId="166" fontId="2" fillId="0" borderId="27" xfId="0" applyNumberFormat="1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2" fontId="2" fillId="0" borderId="27" xfId="0" applyNumberFormat="1" applyFont="1" applyBorder="1" applyAlignment="1">
      <alignment horizontal="center" vertical="center"/>
    </xf>
    <xf numFmtId="164" fontId="3" fillId="0" borderId="27" xfId="2" applyFont="1" applyBorder="1" applyAlignment="1">
      <alignment horizontal="center" vertical="center"/>
    </xf>
    <xf numFmtId="167" fontId="3" fillId="0" borderId="27" xfId="1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167" fontId="5" fillId="0" borderId="26" xfId="1" applyNumberFormat="1" applyFont="1" applyBorder="1" applyAlignment="1">
      <alignment vertical="center"/>
    </xf>
    <xf numFmtId="0" fontId="5" fillId="0" borderId="0" xfId="0" applyFont="1"/>
    <xf numFmtId="0" fontId="5" fillId="0" borderId="8" xfId="0" applyFont="1" applyBorder="1" applyAlignment="1">
      <alignment horizontal="center"/>
    </xf>
    <xf numFmtId="1" fontId="19" fillId="0" borderId="25" xfId="0" applyNumberFormat="1" applyFont="1" applyBorder="1" applyAlignment="1">
      <alignment horizontal="center" vertical="center"/>
    </xf>
    <xf numFmtId="1" fontId="19" fillId="0" borderId="4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1" fontId="19" fillId="0" borderId="2" xfId="0" applyNumberFormat="1" applyFont="1" applyBorder="1" applyAlignment="1">
      <alignment horizontal="center" vertical="center"/>
    </xf>
    <xf numFmtId="1" fontId="19" fillId="0" borderId="27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0" fontId="1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7" fontId="9" fillId="0" borderId="0" xfId="3" applyNumberFormat="1" applyFont="1" applyAlignment="1">
      <alignment horizontal="left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167" fontId="5" fillId="0" borderId="29" xfId="1" applyNumberFormat="1" applyFont="1" applyBorder="1" applyAlignment="1">
      <alignment horizontal="center" vertical="center"/>
    </xf>
    <xf numFmtId="167" fontId="5" fillId="0" borderId="28" xfId="1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19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108138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08163"/>
          <a:ext cx="2460768" cy="122536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0" name="Table22457891011211" displayName="Table22457891011211" ref="C2:N10" totalsRowShown="0" headerRowDxfId="170" dataDxfId="168" headerRowBorderDxfId="169">
  <tableColumns count="12">
    <tableColumn id="1" name="NOMOR" dataDxfId="167" dataCellStyle="Normal"/>
    <tableColumn id="3" name="TUJUAN" dataDxfId="166" dataCellStyle="Normal"/>
    <tableColumn id="16" name="Pick Up" dataDxfId="165"/>
    <tableColumn id="14" name="KAPAL" dataDxfId="164"/>
    <tableColumn id="15" name="ETD Kapal" dataDxfId="163"/>
    <tableColumn id="10" name="KETERANGAN" dataDxfId="162" dataCellStyle="Normal"/>
    <tableColumn id="5" name="P" dataDxfId="161" dataCellStyle="Normal"/>
    <tableColumn id="6" name="L" dataDxfId="160" dataCellStyle="Normal"/>
    <tableColumn id="7" name="T" dataDxfId="159" dataCellStyle="Normal"/>
    <tableColumn id="4" name="ACT KG" dataDxfId="158" dataCellStyle="Normal"/>
    <tableColumn id="8" name="KG VOLUME" dataDxfId="157" dataCellStyle="Normal"/>
    <tableColumn id="19" name="PEMBULATAN" dataDxfId="15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" name="Table224578910112" displayName="Table224578910112" ref="C2:N10" totalsRowShown="0" headerRowDxfId="152" dataDxfId="150" headerRowBorderDxfId="151">
  <tableColumns count="12">
    <tableColumn id="1" name="NOMOR" dataDxfId="149" dataCellStyle="Normal"/>
    <tableColumn id="3" name="TUJUAN" dataDxfId="148" dataCellStyle="Normal"/>
    <tableColumn id="16" name="Pick Up" dataDxfId="147"/>
    <tableColumn id="14" name="KAPAL" dataDxfId="146"/>
    <tableColumn id="15" name="ETD Kapal" dataDxfId="145"/>
    <tableColumn id="10" name="KETERANGAN" dataDxfId="144" dataCellStyle="Normal"/>
    <tableColumn id="5" name="P" dataDxfId="143" dataCellStyle="Normal"/>
    <tableColumn id="6" name="L" dataDxfId="142" dataCellStyle="Normal"/>
    <tableColumn id="7" name="T" dataDxfId="141" dataCellStyle="Normal"/>
    <tableColumn id="4" name="ACT KG" dataDxfId="140" dataCellStyle="Normal"/>
    <tableColumn id="8" name="KG VOLUME" dataDxfId="139" dataCellStyle="Normal"/>
    <tableColumn id="19" name="PEMBULATAN" dataDxfId="13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2" name="Table2245789101123" displayName="Table2245789101123" ref="C2:N5" totalsRowShown="0" headerRowDxfId="134" dataDxfId="132" headerRowBorderDxfId="133">
  <tableColumns count="12">
    <tableColumn id="1" name="NOMOR" dataDxfId="131" dataCellStyle="Normal"/>
    <tableColumn id="3" name="TUJUAN" dataDxfId="130" dataCellStyle="Normal"/>
    <tableColumn id="16" name="Pick Up" dataDxfId="129"/>
    <tableColumn id="14" name="KAPAL" dataDxfId="128"/>
    <tableColumn id="15" name="ETD Kapal" dataDxfId="127"/>
    <tableColumn id="10" name="KETERANGAN" dataDxfId="126" dataCellStyle="Normal"/>
    <tableColumn id="5" name="P" dataDxfId="125" dataCellStyle="Normal"/>
    <tableColumn id="6" name="L" dataDxfId="124" dataCellStyle="Normal"/>
    <tableColumn id="7" name="T" dataDxfId="123" dataCellStyle="Normal"/>
    <tableColumn id="4" name="ACT KG" dataDxfId="122" dataCellStyle="Normal"/>
    <tableColumn id="8" name="KG VOLUME" dataDxfId="121" dataCellStyle="Normal"/>
    <tableColumn id="19" name="PEMBULATAN" dataDxfId="12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3" name="Table22457891011234" displayName="Table22457891011234" ref="C2:N4" totalsRowShown="0" headerRowDxfId="117" dataDxfId="115" headerRowBorderDxfId="116">
  <tableColumns count="12">
    <tableColumn id="1" name="NOMOR" dataDxfId="114" dataCellStyle="Normal"/>
    <tableColumn id="3" name="TUJUAN" dataDxfId="113" dataCellStyle="Normal"/>
    <tableColumn id="16" name="Pick Up" dataDxfId="112"/>
    <tableColumn id="14" name="KAPAL" dataDxfId="111"/>
    <tableColumn id="15" name="ETD Kapal" dataDxfId="110"/>
    <tableColumn id="10" name="KETERANGAN" dataDxfId="109" dataCellStyle="Normal"/>
    <tableColumn id="5" name="P" dataDxfId="108" dataCellStyle="Normal"/>
    <tableColumn id="6" name="L" dataDxfId="107" dataCellStyle="Normal"/>
    <tableColumn id="7" name="T" dataDxfId="106" dataCellStyle="Normal"/>
    <tableColumn id="4" name="ACT KG" dataDxfId="105" dataCellStyle="Normal"/>
    <tableColumn id="8" name="KG VOLUME" dataDxfId="104" dataCellStyle="Normal"/>
    <tableColumn id="19" name="PEMBULATAN" dataDxfId="10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4" name="Table224578910112345" displayName="Table224578910112345" ref="C2:N5" totalsRowShown="0" headerRowDxfId="99" dataDxfId="97" headerRowBorderDxfId="98">
  <tableColumns count="12">
    <tableColumn id="1" name="NOMOR" dataDxfId="96" dataCellStyle="Normal"/>
    <tableColumn id="3" name="TUJUAN" dataDxfId="95" dataCellStyle="Normal"/>
    <tableColumn id="16" name="Pick Up" dataDxfId="94"/>
    <tableColumn id="14" name="KAPAL" dataDxfId="93"/>
    <tableColumn id="15" name="ETD Kapal" dataDxfId="92"/>
    <tableColumn id="10" name="KETERANGAN" dataDxfId="91" dataCellStyle="Normal"/>
    <tableColumn id="5" name="P" dataDxfId="90" dataCellStyle="Normal"/>
    <tableColumn id="6" name="L" dataDxfId="89" dataCellStyle="Normal"/>
    <tableColumn id="7" name="T" dataDxfId="88" dataCellStyle="Normal"/>
    <tableColumn id="4" name="ACT KG" dataDxfId="87" dataCellStyle="Normal"/>
    <tableColumn id="8" name="KG VOLUME" dataDxfId="86" dataCellStyle="Normal"/>
    <tableColumn id="19" name="PEMBULATAN" dataDxfId="8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5" name="Table2245789101123456" displayName="Table2245789101123456" ref="C2:N6" totalsRowShown="0" headerRowDxfId="81" dataDxfId="79" headerRowBorderDxfId="80">
  <tableColumns count="12">
    <tableColumn id="1" name="NOMOR" dataDxfId="78" dataCellStyle="Normal"/>
    <tableColumn id="3" name="TUJUAN" dataDxfId="77" dataCellStyle="Normal"/>
    <tableColumn id="16" name="Pick Up" dataDxfId="76"/>
    <tableColumn id="14" name="KAPAL" dataDxfId="75"/>
    <tableColumn id="15" name="ETD Kapal" dataDxfId="74"/>
    <tableColumn id="10" name="KETERANGAN" dataDxfId="73" dataCellStyle="Normal"/>
    <tableColumn id="5" name="P" dataDxfId="72" dataCellStyle="Normal"/>
    <tableColumn id="6" name="L" dataDxfId="71" dataCellStyle="Normal"/>
    <tableColumn id="7" name="T" dataDxfId="70" dataCellStyle="Normal"/>
    <tableColumn id="4" name="ACT KG" dataDxfId="69" dataCellStyle="Normal"/>
    <tableColumn id="8" name="KG VOLUME" dataDxfId="68" dataCellStyle="Normal"/>
    <tableColumn id="19" name="PEMBULATAN" dataDxfId="67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6" name="Table22457891011234567" displayName="Table22457891011234567" ref="C2:N4" totalsRowShown="0" headerRowDxfId="64" dataDxfId="62" headerRowBorderDxfId="63">
  <tableColumns count="12">
    <tableColumn id="1" name="NOMOR" dataDxfId="61" dataCellStyle="Normal"/>
    <tableColumn id="3" name="TUJUAN" dataDxfId="60" dataCellStyle="Normal"/>
    <tableColumn id="16" name="Pick Up" dataDxfId="59"/>
    <tableColumn id="14" name="KAPAL" dataDxfId="58"/>
    <tableColumn id="15" name="ETD Kapal" dataDxfId="57"/>
    <tableColumn id="10" name="KETERANGAN" dataDxfId="56" dataCellStyle="Normal"/>
    <tableColumn id="5" name="P" dataDxfId="55" dataCellStyle="Normal"/>
    <tableColumn id="6" name="L" dataDxfId="54" dataCellStyle="Normal"/>
    <tableColumn id="7" name="T" dataDxfId="53" dataCellStyle="Normal"/>
    <tableColumn id="4" name="ACT KG" dataDxfId="52" dataCellStyle="Normal"/>
    <tableColumn id="8" name="KG VOLUME" dataDxfId="51" dataCellStyle="Normal"/>
    <tableColumn id="19" name="PEMBULATAN" dataDxfId="5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7" name="Table224578910112345678" displayName="Table224578910112345678" ref="C2:N3" totalsRowShown="0" headerRowDxfId="48" dataDxfId="46" headerRowBorderDxfId="47">
  <tableColumns count="12">
    <tableColumn id="1" name="NOMOR" dataDxfId="45" dataCellStyle="Normal"/>
    <tableColumn id="3" name="TUJUAN" dataDxfId="44" dataCellStyle="Normal"/>
    <tableColumn id="16" name="Pick Up" dataDxfId="43"/>
    <tableColumn id="14" name="KAPAL" dataDxfId="42"/>
    <tableColumn id="15" name="ETD Kapal" dataDxfId="41"/>
    <tableColumn id="10" name="KETERANGAN" dataDxfId="40" dataCellStyle="Normal"/>
    <tableColumn id="5" name="P" dataDxfId="39" dataCellStyle="Normal"/>
    <tableColumn id="6" name="L" dataDxfId="38" dataCellStyle="Normal"/>
    <tableColumn id="7" name="T" dataDxfId="37" dataCellStyle="Normal"/>
    <tableColumn id="4" name="ACT KG" dataDxfId="36" dataCellStyle="Normal"/>
    <tableColumn id="8" name="KG VOLUME" dataDxfId="35" dataCellStyle="Normal"/>
    <tableColumn id="19" name="PEMBULATAN" dataDxfId="34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8" name="Table2245789101123456789" displayName="Table2245789101123456789" ref="C2:N10" totalsRowShown="0" headerRowDxfId="30" dataDxfId="28" headerRowBorderDxfId="29">
  <tableColumns count="12">
    <tableColumn id="1" name="NOMOR" dataDxfId="27" dataCellStyle="Normal"/>
    <tableColumn id="3" name="TUJUAN" dataDxfId="26" dataCellStyle="Normal"/>
    <tableColumn id="16" name="Pick Up" dataDxfId="25"/>
    <tableColumn id="14" name="KAPAL" dataDxfId="24"/>
    <tableColumn id="15" name="ETD Kapal" dataDxfId="23"/>
    <tableColumn id="10" name="KETERANGAN" dataDxfId="22" dataCellStyle="Normal"/>
    <tableColumn id="5" name="P" dataDxfId="21" dataCellStyle="Normal"/>
    <tableColumn id="6" name="L" dataDxfId="20" dataCellStyle="Normal"/>
    <tableColumn id="7" name="T" dataDxfId="19" dataCellStyle="Normal"/>
    <tableColumn id="4" name="ACT KG" dataDxfId="18" dataCellStyle="Normal"/>
    <tableColumn id="8" name="KG VOLUME" dataDxfId="17" dataCellStyle="Normal"/>
    <tableColumn id="19" name="PEMBULATAN" dataDxfId="16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9" name="Table224578910112345678910" displayName="Table224578910112345678910" ref="C2:N3" totalsRowShown="0" headerRowDxfId="14" dataDxfId="12" headerRowBorderDxfId="13">
  <tableColumns count="12">
    <tableColumn id="1" name="NOMOR" dataDxfId="11" dataCellStyle="Normal"/>
    <tableColumn id="3" name="TUJUAN" dataDxfId="10" dataCellStyle="Normal"/>
    <tableColumn id="16" name="Pick Up" dataDxfId="9"/>
    <tableColumn id="14" name="KAPAL" dataDxfId="8"/>
    <tableColumn id="15" name="ETD Kapal" dataDxfId="7"/>
    <tableColumn id="10" name="KETERANGAN" dataDxfId="6" dataCellStyle="Normal"/>
    <tableColumn id="5" name="P" dataDxfId="5" dataCellStyle="Normal"/>
    <tableColumn id="6" name="L" dataDxfId="4" dataCellStyle="Normal"/>
    <tableColumn id="7" name="T" dataDxfId="3" dataCellStyle="Normal"/>
    <tableColumn id="4" name="ACT KG" dataDxfId="2" dataCellStyle="Normal"/>
    <tableColumn id="8" name="KG VOLUME" dataDxfId="1" dataCellStyle="Normal"/>
    <tableColumn id="19" name="PEMBULATA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51"/>
  <sheetViews>
    <sheetView tabSelected="1" topLeftCell="A24" workbookViewId="0">
      <selection activeCell="L33" sqref="L33"/>
    </sheetView>
  </sheetViews>
  <sheetFormatPr defaultRowHeight="15.75" x14ac:dyDescent="0.25"/>
  <cols>
    <col min="1" max="1" width="6.42578125" style="18" customWidth="1"/>
    <col min="2" max="2" width="11.5703125" style="18" customWidth="1"/>
    <col min="3" max="3" width="10" style="18" customWidth="1"/>
    <col min="4" max="4" width="26.42578125" style="18" customWidth="1"/>
    <col min="5" max="5" width="14.42578125" style="18" customWidth="1"/>
    <col min="6" max="6" width="6.85546875" style="18" bestFit="1" customWidth="1"/>
    <col min="7" max="7" width="6.42578125" style="18" customWidth="1"/>
    <col min="8" max="8" width="14.140625" style="19" bestFit="1" customWidth="1"/>
    <col min="9" max="9" width="1.5703125" style="19" customWidth="1"/>
    <col min="10" max="10" width="19.5703125" style="18" customWidth="1"/>
    <col min="11" max="11" width="9.140625" style="18"/>
    <col min="12" max="12" width="15.7109375" style="18" bestFit="1" customWidth="1"/>
    <col min="13" max="16384" width="9.140625" style="18"/>
  </cols>
  <sheetData>
    <row r="2" spans="1:10" x14ac:dyDescent="0.25">
      <c r="A2" s="17" t="s">
        <v>8</v>
      </c>
    </row>
    <row r="3" spans="1:10" x14ac:dyDescent="0.25">
      <c r="A3" s="20" t="s">
        <v>9</v>
      </c>
    </row>
    <row r="4" spans="1:10" x14ac:dyDescent="0.25">
      <c r="A4" s="20" t="s">
        <v>10</v>
      </c>
    </row>
    <row r="5" spans="1:10" x14ac:dyDescent="0.25">
      <c r="A5" s="20" t="s">
        <v>11</v>
      </c>
    </row>
    <row r="6" spans="1:10" x14ac:dyDescent="0.25">
      <c r="A6" s="20" t="s">
        <v>12</v>
      </c>
    </row>
    <row r="7" spans="1:10" x14ac:dyDescent="0.25">
      <c r="A7" s="20" t="s">
        <v>13</v>
      </c>
    </row>
    <row r="9" spans="1:10" ht="16.5" thickBot="1" x14ac:dyDescent="0.3">
      <c r="A9" s="21"/>
      <c r="B9" s="21"/>
      <c r="C9" s="21"/>
      <c r="D9" s="21"/>
      <c r="E9" s="21"/>
      <c r="F9" s="21"/>
      <c r="G9" s="21"/>
      <c r="H9" s="22"/>
      <c r="I9" s="22"/>
      <c r="J9" s="21"/>
    </row>
    <row r="10" spans="1:10" ht="23.25" customHeight="1" thickBot="1" x14ac:dyDescent="0.3">
      <c r="A10" s="178" t="s">
        <v>14</v>
      </c>
      <c r="B10" s="179"/>
      <c r="C10" s="179"/>
      <c r="D10" s="179"/>
      <c r="E10" s="179"/>
      <c r="F10" s="179"/>
      <c r="G10" s="179"/>
      <c r="H10" s="179"/>
      <c r="I10" s="179"/>
      <c r="J10" s="180"/>
    </row>
    <row r="12" spans="1:10" x14ac:dyDescent="0.25">
      <c r="A12" s="18" t="s">
        <v>15</v>
      </c>
      <c r="B12" s="18" t="s">
        <v>16</v>
      </c>
      <c r="G12" s="175" t="s">
        <v>49</v>
      </c>
      <c r="H12" s="175"/>
      <c r="I12" s="23" t="s">
        <v>17</v>
      </c>
      <c r="J12" s="24"/>
    </row>
    <row r="13" spans="1:10" x14ac:dyDescent="0.25">
      <c r="G13" s="175" t="s">
        <v>18</v>
      </c>
      <c r="H13" s="175"/>
      <c r="I13" s="23" t="s">
        <v>17</v>
      </c>
      <c r="J13" s="25" t="s">
        <v>107</v>
      </c>
    </row>
    <row r="14" spans="1:10" x14ac:dyDescent="0.25">
      <c r="G14" s="175" t="s">
        <v>50</v>
      </c>
      <c r="H14" s="175"/>
      <c r="I14" s="23" t="s">
        <v>17</v>
      </c>
      <c r="J14" s="18" t="s">
        <v>56</v>
      </c>
    </row>
    <row r="15" spans="1:10" x14ac:dyDescent="0.25">
      <c r="A15" s="18" t="s">
        <v>19</v>
      </c>
      <c r="B15" s="24" t="s">
        <v>20</v>
      </c>
      <c r="C15" s="24"/>
      <c r="I15" s="23"/>
      <c r="J15" s="18" t="s">
        <v>57</v>
      </c>
    </row>
    <row r="16" spans="1:10" ht="16.5" thickBot="1" x14ac:dyDescent="0.3"/>
    <row r="17" spans="1:12" ht="26.25" customHeight="1" x14ac:dyDescent="0.25">
      <c r="A17" s="26" t="s">
        <v>21</v>
      </c>
      <c r="B17" s="27" t="s">
        <v>22</v>
      </c>
      <c r="C17" s="27" t="s">
        <v>23</v>
      </c>
      <c r="D17" s="27" t="s">
        <v>24</v>
      </c>
      <c r="E17" s="27" t="s">
        <v>25</v>
      </c>
      <c r="F17" s="28" t="s">
        <v>26</v>
      </c>
      <c r="G17" s="28" t="s">
        <v>27</v>
      </c>
      <c r="H17" s="181" t="s">
        <v>28</v>
      </c>
      <c r="I17" s="182"/>
      <c r="J17" s="29" t="s">
        <v>29</v>
      </c>
    </row>
    <row r="18" spans="1:12" ht="48" customHeight="1" x14ac:dyDescent="0.25">
      <c r="A18" s="30">
        <v>1</v>
      </c>
      <c r="B18" s="31">
        <f>'405808'!E3</f>
        <v>44533</v>
      </c>
      <c r="C18" s="83">
        <f>'405808'!A3</f>
        <v>405808</v>
      </c>
      <c r="D18" s="32" t="s">
        <v>105</v>
      </c>
      <c r="E18" s="32" t="s">
        <v>67</v>
      </c>
      <c r="F18" s="33">
        <v>8</v>
      </c>
      <c r="G18" s="97">
        <f>'405808'!N11</f>
        <v>109.72149999999999</v>
      </c>
      <c r="H18" s="176">
        <v>6000</v>
      </c>
      <c r="I18" s="177"/>
      <c r="J18" s="34">
        <f>G18*H18</f>
        <v>658329</v>
      </c>
      <c r="L18"/>
    </row>
    <row r="19" spans="1:12" ht="48" customHeight="1" x14ac:dyDescent="0.25">
      <c r="A19" s="30">
        <f>A18+1</f>
        <v>2</v>
      </c>
      <c r="B19" s="31">
        <f>'406457'!E3</f>
        <v>44540</v>
      </c>
      <c r="C19" s="83">
        <f>'406457'!A3</f>
        <v>406457</v>
      </c>
      <c r="D19" s="32" t="s">
        <v>105</v>
      </c>
      <c r="E19" s="32" t="s">
        <v>67</v>
      </c>
      <c r="F19" s="33">
        <v>3</v>
      </c>
      <c r="G19" s="98">
        <v>100</v>
      </c>
      <c r="H19" s="176">
        <v>6000</v>
      </c>
      <c r="I19" s="177"/>
      <c r="J19" s="34">
        <f t="shared" ref="J19:J26" si="0">G19*H19</f>
        <v>600000</v>
      </c>
      <c r="L19"/>
    </row>
    <row r="20" spans="1:12" ht="48" customHeight="1" x14ac:dyDescent="0.25">
      <c r="A20" s="30">
        <f t="shared" ref="A20:A26" si="1">A19+1</f>
        <v>3</v>
      </c>
      <c r="B20" s="31">
        <f>'402677'!E3</f>
        <v>44547</v>
      </c>
      <c r="C20" s="83">
        <f>'402677'!A3</f>
        <v>402677</v>
      </c>
      <c r="D20" s="32" t="s">
        <v>105</v>
      </c>
      <c r="E20" s="32" t="s">
        <v>67</v>
      </c>
      <c r="F20" s="33">
        <v>2</v>
      </c>
      <c r="G20" s="98">
        <v>100</v>
      </c>
      <c r="H20" s="176">
        <v>6000</v>
      </c>
      <c r="I20" s="177"/>
      <c r="J20" s="34">
        <f t="shared" si="0"/>
        <v>600000</v>
      </c>
      <c r="L20"/>
    </row>
    <row r="21" spans="1:12" ht="48" customHeight="1" x14ac:dyDescent="0.25">
      <c r="A21" s="30">
        <f t="shared" si="1"/>
        <v>4</v>
      </c>
      <c r="B21" s="31">
        <f>'402690'!E3</f>
        <v>44548</v>
      </c>
      <c r="C21" s="83">
        <f>'402690'!A3</f>
        <v>402690</v>
      </c>
      <c r="D21" s="32" t="s">
        <v>105</v>
      </c>
      <c r="E21" s="32" t="s">
        <v>67</v>
      </c>
      <c r="F21" s="33">
        <v>3</v>
      </c>
      <c r="G21" s="98">
        <v>100</v>
      </c>
      <c r="H21" s="176">
        <v>6000</v>
      </c>
      <c r="I21" s="177"/>
      <c r="J21" s="34">
        <f>G21*H21</f>
        <v>600000</v>
      </c>
      <c r="L21"/>
    </row>
    <row r="22" spans="1:12" ht="48" customHeight="1" x14ac:dyDescent="0.25">
      <c r="A22" s="30">
        <f t="shared" si="1"/>
        <v>5</v>
      </c>
      <c r="B22" s="31">
        <f>'402721'!E3</f>
        <v>44553</v>
      </c>
      <c r="C22" s="83">
        <f>'402721'!A3</f>
        <v>402721</v>
      </c>
      <c r="D22" s="32" t="s">
        <v>105</v>
      </c>
      <c r="E22" s="32" t="s">
        <v>67</v>
      </c>
      <c r="F22" s="33">
        <v>4</v>
      </c>
      <c r="G22" s="98">
        <f>'402721'!N7</f>
        <v>142.41925000000001</v>
      </c>
      <c r="H22" s="176">
        <v>6000</v>
      </c>
      <c r="I22" s="177"/>
      <c r="J22" s="34">
        <f>G22*H22</f>
        <v>854515.5</v>
      </c>
      <c r="L22"/>
    </row>
    <row r="23" spans="1:12" ht="48" customHeight="1" x14ac:dyDescent="0.25">
      <c r="A23" s="30">
        <f t="shared" si="1"/>
        <v>6</v>
      </c>
      <c r="B23" s="31">
        <f>'402724'!E3</f>
        <v>44554</v>
      </c>
      <c r="C23" s="83">
        <f>'402724'!A3</f>
        <v>402724</v>
      </c>
      <c r="D23" s="32" t="s">
        <v>105</v>
      </c>
      <c r="E23" s="32" t="s">
        <v>67</v>
      </c>
      <c r="F23" s="33">
        <v>2</v>
      </c>
      <c r="G23" s="98">
        <v>100</v>
      </c>
      <c r="H23" s="176">
        <v>6000</v>
      </c>
      <c r="I23" s="177"/>
      <c r="J23" s="34">
        <f>G23*H23</f>
        <v>600000</v>
      </c>
      <c r="L23"/>
    </row>
    <row r="24" spans="1:12" ht="48" customHeight="1" x14ac:dyDescent="0.25">
      <c r="A24" s="30">
        <f t="shared" si="1"/>
        <v>7</v>
      </c>
      <c r="B24" s="31">
        <f>'402733'!E3</f>
        <v>44555</v>
      </c>
      <c r="C24" s="83">
        <f>'402733'!A3</f>
        <v>402733</v>
      </c>
      <c r="D24" s="32" t="s">
        <v>105</v>
      </c>
      <c r="E24" s="32" t="s">
        <v>67</v>
      </c>
      <c r="F24" s="33">
        <v>1</v>
      </c>
      <c r="G24" s="98">
        <v>100</v>
      </c>
      <c r="H24" s="176">
        <v>6000</v>
      </c>
      <c r="I24" s="177"/>
      <c r="J24" s="34">
        <f t="shared" si="0"/>
        <v>600000</v>
      </c>
      <c r="L24"/>
    </row>
    <row r="25" spans="1:12" ht="48" customHeight="1" x14ac:dyDescent="0.25">
      <c r="A25" s="30">
        <f t="shared" si="1"/>
        <v>8</v>
      </c>
      <c r="B25" s="31">
        <f>'402754'!E3</f>
        <v>44560</v>
      </c>
      <c r="C25" s="83">
        <f>'402754'!A3</f>
        <v>402754</v>
      </c>
      <c r="D25" s="32" t="s">
        <v>105</v>
      </c>
      <c r="E25" s="32" t="s">
        <v>67</v>
      </c>
      <c r="F25" s="33">
        <v>8</v>
      </c>
      <c r="G25" s="98">
        <f>'402754'!N11</f>
        <v>196.39999999999998</v>
      </c>
      <c r="H25" s="176">
        <v>6000</v>
      </c>
      <c r="I25" s="177"/>
      <c r="J25" s="34">
        <f t="shared" si="0"/>
        <v>1178399.9999999998</v>
      </c>
      <c r="L25"/>
    </row>
    <row r="26" spans="1:12" ht="48" customHeight="1" x14ac:dyDescent="0.25">
      <c r="A26" s="30">
        <f t="shared" si="1"/>
        <v>9</v>
      </c>
      <c r="B26" s="31">
        <f>'402763'!E3</f>
        <v>44561</v>
      </c>
      <c r="C26" s="83">
        <f>'402763'!A3</f>
        <v>402763</v>
      </c>
      <c r="D26" s="32" t="s">
        <v>105</v>
      </c>
      <c r="E26" s="32" t="s">
        <v>67</v>
      </c>
      <c r="F26" s="33">
        <v>1</v>
      </c>
      <c r="G26" s="98">
        <v>100</v>
      </c>
      <c r="H26" s="176">
        <v>6000</v>
      </c>
      <c r="I26" s="177"/>
      <c r="J26" s="34">
        <f t="shared" si="0"/>
        <v>600000</v>
      </c>
      <c r="L26"/>
    </row>
    <row r="27" spans="1:12" ht="32.25" customHeight="1" thickBot="1" x14ac:dyDescent="0.3">
      <c r="A27" s="183" t="s">
        <v>30</v>
      </c>
      <c r="B27" s="184"/>
      <c r="C27" s="184"/>
      <c r="D27" s="184"/>
      <c r="E27" s="184"/>
      <c r="F27" s="184"/>
      <c r="G27" s="184"/>
      <c r="H27" s="184"/>
      <c r="I27" s="185"/>
      <c r="J27" s="35">
        <f>SUM(J18:J26)</f>
        <v>6291244.5</v>
      </c>
      <c r="L27" s="81"/>
    </row>
    <row r="28" spans="1:12" x14ac:dyDescent="0.25">
      <c r="A28" s="186"/>
      <c r="B28" s="186"/>
      <c r="C28" s="36"/>
      <c r="D28" s="36"/>
      <c r="E28" s="36"/>
      <c r="F28" s="36"/>
      <c r="G28" s="36"/>
      <c r="H28" s="37"/>
      <c r="I28" s="37"/>
      <c r="J28" s="38"/>
    </row>
    <row r="29" spans="1:12" x14ac:dyDescent="0.25">
      <c r="A29" s="84"/>
      <c r="B29" s="84"/>
      <c r="C29" s="84"/>
      <c r="D29" s="84"/>
      <c r="E29" s="84"/>
      <c r="F29" s="84"/>
      <c r="G29" s="39" t="s">
        <v>51</v>
      </c>
      <c r="H29" s="39"/>
      <c r="I29" s="37"/>
      <c r="J29" s="38">
        <f>J27*10%</f>
        <v>629124.45000000007</v>
      </c>
      <c r="L29" s="40"/>
    </row>
    <row r="30" spans="1:12" x14ac:dyDescent="0.25">
      <c r="A30" s="84"/>
      <c r="B30" s="84"/>
      <c r="C30" s="84"/>
      <c r="D30" s="84"/>
      <c r="E30" s="84"/>
      <c r="F30" s="84"/>
      <c r="G30" s="91" t="s">
        <v>52</v>
      </c>
      <c r="H30" s="91"/>
      <c r="I30" s="92"/>
      <c r="J30" s="94">
        <f>J27-J29</f>
        <v>5662120.0499999998</v>
      </c>
      <c r="L30" s="40"/>
    </row>
    <row r="31" spans="1:12" x14ac:dyDescent="0.25">
      <c r="A31" s="84"/>
      <c r="B31" s="84"/>
      <c r="C31" s="84"/>
      <c r="D31" s="84"/>
      <c r="E31" s="84"/>
      <c r="F31" s="84"/>
      <c r="G31" s="39" t="s">
        <v>31</v>
      </c>
      <c r="H31" s="39"/>
      <c r="I31" s="40" t="e">
        <f>#REF!*1%</f>
        <v>#REF!</v>
      </c>
      <c r="J31" s="38">
        <f>J30*1%</f>
        <v>56621.200499999999</v>
      </c>
    </row>
    <row r="32" spans="1:12" ht="16.5" thickBot="1" x14ac:dyDescent="0.3">
      <c r="A32" s="84"/>
      <c r="B32" s="84"/>
      <c r="C32" s="84"/>
      <c r="D32" s="84"/>
      <c r="E32" s="84"/>
      <c r="F32" s="84"/>
      <c r="G32" s="93" t="s">
        <v>54</v>
      </c>
      <c r="H32" s="93"/>
      <c r="I32" s="41">
        <f>I28*10%</f>
        <v>0</v>
      </c>
      <c r="J32" s="41">
        <f>J30*2%</f>
        <v>113242.401</v>
      </c>
    </row>
    <row r="33" spans="1:10" x14ac:dyDescent="0.25">
      <c r="E33" s="17"/>
      <c r="F33" s="17"/>
      <c r="G33" s="42" t="s">
        <v>55</v>
      </c>
      <c r="H33" s="42"/>
      <c r="I33" s="43" t="e">
        <f>I27+I31</f>
        <v>#REF!</v>
      </c>
      <c r="J33" s="43">
        <f>J30+J31-J32</f>
        <v>5605498.8495000005</v>
      </c>
    </row>
    <row r="34" spans="1:10" x14ac:dyDescent="0.25">
      <c r="E34" s="17"/>
      <c r="F34" s="17"/>
      <c r="G34" s="42"/>
      <c r="H34" s="42"/>
      <c r="I34" s="43"/>
      <c r="J34" s="43"/>
    </row>
    <row r="35" spans="1:10" x14ac:dyDescent="0.25">
      <c r="A35" s="17" t="s">
        <v>106</v>
      </c>
      <c r="D35" s="17"/>
      <c r="E35" s="17"/>
      <c r="F35" s="17"/>
      <c r="G35" s="17"/>
      <c r="H35" s="42"/>
      <c r="I35" s="42"/>
      <c r="J35" s="43"/>
    </row>
    <row r="36" spans="1:10" x14ac:dyDescent="0.25">
      <c r="A36" s="44"/>
      <c r="D36" s="17"/>
      <c r="E36" s="17"/>
      <c r="F36" s="17"/>
      <c r="G36" s="17"/>
      <c r="H36" s="42"/>
      <c r="I36" s="42"/>
      <c r="J36" s="43"/>
    </row>
    <row r="37" spans="1:10" x14ac:dyDescent="0.25">
      <c r="D37" s="17"/>
      <c r="E37" s="17"/>
      <c r="F37" s="17"/>
      <c r="G37" s="17"/>
      <c r="H37" s="42"/>
      <c r="I37" s="42"/>
      <c r="J37" s="43"/>
    </row>
    <row r="38" spans="1:10" x14ac:dyDescent="0.25">
      <c r="A38" s="45" t="s">
        <v>33</v>
      </c>
    </row>
    <row r="39" spans="1:10" x14ac:dyDescent="0.25">
      <c r="A39" s="46" t="s">
        <v>34</v>
      </c>
      <c r="B39" s="47"/>
      <c r="C39" s="47"/>
      <c r="D39" s="48"/>
      <c r="E39" s="48"/>
      <c r="F39" s="48"/>
      <c r="G39" s="48"/>
    </row>
    <row r="40" spans="1:10" x14ac:dyDescent="0.25">
      <c r="A40" s="46" t="s">
        <v>35</v>
      </c>
      <c r="B40" s="47"/>
      <c r="C40" s="47"/>
      <c r="D40" s="48"/>
      <c r="E40" s="48"/>
      <c r="F40" s="48"/>
      <c r="G40" s="48"/>
    </row>
    <row r="41" spans="1:10" x14ac:dyDescent="0.25">
      <c r="A41" s="49" t="s">
        <v>36</v>
      </c>
      <c r="B41" s="50"/>
      <c r="C41" s="50"/>
      <c r="D41" s="48"/>
      <c r="E41" s="48"/>
      <c r="F41" s="48"/>
      <c r="G41" s="48"/>
    </row>
    <row r="42" spans="1:10" x14ac:dyDescent="0.25">
      <c r="A42" s="51" t="s">
        <v>8</v>
      </c>
      <c r="B42" s="52"/>
      <c r="C42" s="52"/>
      <c r="D42" s="48"/>
      <c r="E42" s="48"/>
      <c r="F42" s="48"/>
      <c r="G42" s="48"/>
    </row>
    <row r="43" spans="1:10" x14ac:dyDescent="0.25">
      <c r="A43" s="53"/>
      <c r="B43" s="53"/>
      <c r="C43" s="53"/>
    </row>
    <row r="44" spans="1:10" x14ac:dyDescent="0.25">
      <c r="H44" s="54" t="s">
        <v>37</v>
      </c>
      <c r="I44" s="172" t="str">
        <f>+J13</f>
        <v xml:space="preserve"> 29 Januari 2022</v>
      </c>
      <c r="J44" s="173"/>
    </row>
    <row r="48" spans="1:10" ht="18" customHeight="1" x14ac:dyDescent="0.25"/>
    <row r="49" spans="8:10" ht="17.25" customHeight="1" x14ac:dyDescent="0.25"/>
    <row r="51" spans="8:10" x14ac:dyDescent="0.25">
      <c r="H51" s="174" t="s">
        <v>38</v>
      </c>
      <c r="I51" s="174"/>
      <c r="J51" s="174"/>
    </row>
  </sheetData>
  <mergeCells count="18">
    <mergeCell ref="A10:J10"/>
    <mergeCell ref="H17:I17"/>
    <mergeCell ref="H18:I18"/>
    <mergeCell ref="A27:I27"/>
    <mergeCell ref="A28:B28"/>
    <mergeCell ref="H19:I19"/>
    <mergeCell ref="H20:I20"/>
    <mergeCell ref="H24:I24"/>
    <mergeCell ref="H22:I22"/>
    <mergeCell ref="H21:I21"/>
    <mergeCell ref="H25:I25"/>
    <mergeCell ref="H23:I23"/>
    <mergeCell ref="I44:J44"/>
    <mergeCell ref="H51:J51"/>
    <mergeCell ref="G14:H14"/>
    <mergeCell ref="G13:H13"/>
    <mergeCell ref="G12:H12"/>
    <mergeCell ref="H26:I26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55"/>
  <sheetViews>
    <sheetView zoomScale="110" zoomScaleNormal="110" workbookViewId="0">
      <pane xSplit="3" ySplit="2" topLeftCell="D30" activePane="bottomRight" state="frozen"/>
      <selection pane="topRight" activeCell="B1" sqref="B1"/>
      <selection pane="bottomLeft" activeCell="A3" sqref="A3"/>
      <selection pane="bottomRight" activeCell="C33" sqref="C33"/>
    </sheetView>
  </sheetViews>
  <sheetFormatPr defaultRowHeight="15" x14ac:dyDescent="0.2"/>
  <cols>
    <col min="1" max="1" width="8" style="4" customWidth="1"/>
    <col min="2" max="2" width="20.42578125" style="2" customWidth="1"/>
    <col min="3" max="3" width="14.5703125" style="2" customWidth="1"/>
    <col min="4" max="4" width="10.5703125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1406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59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405808</v>
      </c>
      <c r="B3" s="73" t="s">
        <v>58</v>
      </c>
      <c r="C3" s="9" t="s">
        <v>59</v>
      </c>
      <c r="D3" s="75" t="s">
        <v>67</v>
      </c>
      <c r="E3" s="13">
        <v>44533</v>
      </c>
      <c r="F3" s="75" t="s">
        <v>69</v>
      </c>
      <c r="G3" s="13">
        <v>44556</v>
      </c>
      <c r="H3" s="10" t="s">
        <v>68</v>
      </c>
      <c r="I3" s="1">
        <v>50</v>
      </c>
      <c r="J3" s="1">
        <v>45</v>
      </c>
      <c r="K3" s="1">
        <v>13</v>
      </c>
      <c r="L3" s="1">
        <v>5</v>
      </c>
      <c r="M3" s="79">
        <v>7.3125</v>
      </c>
      <c r="N3" s="161">
        <v>8</v>
      </c>
      <c r="O3" s="64">
        <v>6000</v>
      </c>
      <c r="P3" s="65">
        <f>Table22457891011211[[#This Row],[PEMBULATAN]]*O3</f>
        <v>48000</v>
      </c>
      <c r="Q3" s="192">
        <v>8</v>
      </c>
    </row>
    <row r="4" spans="1:17" ht="26.25" customHeight="1" x14ac:dyDescent="0.2">
      <c r="A4" s="14"/>
      <c r="B4" s="74"/>
      <c r="C4" s="9" t="s">
        <v>60</v>
      </c>
      <c r="D4" s="75" t="s">
        <v>67</v>
      </c>
      <c r="E4" s="13">
        <v>44533</v>
      </c>
      <c r="F4" s="75" t="s">
        <v>69</v>
      </c>
      <c r="G4" s="13">
        <v>44556</v>
      </c>
      <c r="H4" s="10" t="s">
        <v>68</v>
      </c>
      <c r="I4" s="1">
        <v>46</v>
      </c>
      <c r="J4" s="1">
        <v>46</v>
      </c>
      <c r="K4" s="1">
        <v>44</v>
      </c>
      <c r="L4" s="1">
        <v>15</v>
      </c>
      <c r="M4" s="79">
        <v>23.276</v>
      </c>
      <c r="N4" s="161">
        <v>23.276</v>
      </c>
      <c r="O4" s="64">
        <v>6000</v>
      </c>
      <c r="P4" s="65">
        <f>Table22457891011211[[#This Row],[PEMBULATAN]]*O4</f>
        <v>139656</v>
      </c>
      <c r="Q4" s="193"/>
    </row>
    <row r="5" spans="1:17" ht="26.25" customHeight="1" x14ac:dyDescent="0.2">
      <c r="A5" s="14"/>
      <c r="B5" s="14"/>
      <c r="C5" s="9" t="s">
        <v>61</v>
      </c>
      <c r="D5" s="75" t="s">
        <v>67</v>
      </c>
      <c r="E5" s="13">
        <v>44533</v>
      </c>
      <c r="F5" s="75" t="s">
        <v>69</v>
      </c>
      <c r="G5" s="13">
        <v>44556</v>
      </c>
      <c r="H5" s="10" t="s">
        <v>68</v>
      </c>
      <c r="I5" s="1">
        <v>50</v>
      </c>
      <c r="J5" s="1">
        <v>45</v>
      </c>
      <c r="K5" s="1">
        <v>13</v>
      </c>
      <c r="L5" s="1">
        <v>5</v>
      </c>
      <c r="M5" s="79">
        <v>7.3125</v>
      </c>
      <c r="N5" s="161">
        <v>8</v>
      </c>
      <c r="O5" s="64">
        <v>6000</v>
      </c>
      <c r="P5" s="65">
        <f>Table22457891011211[[#This Row],[PEMBULATAN]]*O5</f>
        <v>48000</v>
      </c>
      <c r="Q5" s="193"/>
    </row>
    <row r="6" spans="1:17" ht="26.25" customHeight="1" x14ac:dyDescent="0.2">
      <c r="A6" s="14"/>
      <c r="B6" s="14"/>
      <c r="C6" s="72" t="s">
        <v>62</v>
      </c>
      <c r="D6" s="77" t="s">
        <v>67</v>
      </c>
      <c r="E6" s="13">
        <v>44533</v>
      </c>
      <c r="F6" s="75" t="s">
        <v>69</v>
      </c>
      <c r="G6" s="13">
        <v>44556</v>
      </c>
      <c r="H6" s="76" t="s">
        <v>68</v>
      </c>
      <c r="I6" s="16">
        <v>46</v>
      </c>
      <c r="J6" s="16">
        <v>46</v>
      </c>
      <c r="K6" s="16">
        <v>44</v>
      </c>
      <c r="L6" s="16">
        <v>15</v>
      </c>
      <c r="M6" s="80">
        <v>23.276</v>
      </c>
      <c r="N6" s="161">
        <v>23.276</v>
      </c>
      <c r="O6" s="64">
        <v>6000</v>
      </c>
      <c r="P6" s="65">
        <f>Table22457891011211[[#This Row],[PEMBULATAN]]*O6</f>
        <v>139656</v>
      </c>
      <c r="Q6" s="193"/>
    </row>
    <row r="7" spans="1:17" ht="26.25" customHeight="1" x14ac:dyDescent="0.2">
      <c r="A7" s="14"/>
      <c r="B7" s="14"/>
      <c r="C7" s="72" t="s">
        <v>63</v>
      </c>
      <c r="D7" s="77" t="s">
        <v>67</v>
      </c>
      <c r="E7" s="13">
        <v>44533</v>
      </c>
      <c r="F7" s="75" t="s">
        <v>69</v>
      </c>
      <c r="G7" s="13">
        <v>44556</v>
      </c>
      <c r="H7" s="76" t="s">
        <v>68</v>
      </c>
      <c r="I7" s="16">
        <v>50</v>
      </c>
      <c r="J7" s="16">
        <v>45</v>
      </c>
      <c r="K7" s="16">
        <v>13</v>
      </c>
      <c r="L7" s="16">
        <v>5</v>
      </c>
      <c r="M7" s="80">
        <v>7.3125</v>
      </c>
      <c r="N7" s="161">
        <v>8</v>
      </c>
      <c r="O7" s="64">
        <v>6000</v>
      </c>
      <c r="P7" s="65">
        <f>Table22457891011211[[#This Row],[PEMBULATAN]]*O7</f>
        <v>48000</v>
      </c>
      <c r="Q7" s="193"/>
    </row>
    <row r="8" spans="1:17" ht="26.25" customHeight="1" x14ac:dyDescent="0.2">
      <c r="A8" s="14"/>
      <c r="B8" s="14"/>
      <c r="C8" s="72" t="s">
        <v>64</v>
      </c>
      <c r="D8" s="77" t="s">
        <v>67</v>
      </c>
      <c r="E8" s="13">
        <v>44533</v>
      </c>
      <c r="F8" s="75" t="s">
        <v>69</v>
      </c>
      <c r="G8" s="13">
        <v>44556</v>
      </c>
      <c r="H8" s="76" t="s">
        <v>68</v>
      </c>
      <c r="I8" s="16">
        <v>56</v>
      </c>
      <c r="J8" s="16">
        <v>46</v>
      </c>
      <c r="K8" s="16">
        <v>36</v>
      </c>
      <c r="L8" s="16">
        <v>10</v>
      </c>
      <c r="M8" s="80">
        <v>23.184000000000001</v>
      </c>
      <c r="N8" s="161">
        <v>23.184000000000001</v>
      </c>
      <c r="O8" s="64">
        <v>6000</v>
      </c>
      <c r="P8" s="65">
        <f>Table22457891011211[[#This Row],[PEMBULATAN]]*O8</f>
        <v>139104</v>
      </c>
      <c r="Q8" s="193"/>
    </row>
    <row r="9" spans="1:17" ht="26.25" customHeight="1" x14ac:dyDescent="0.2">
      <c r="A9" s="14"/>
      <c r="B9" s="14"/>
      <c r="C9" s="72" t="s">
        <v>65</v>
      </c>
      <c r="D9" s="77" t="s">
        <v>67</v>
      </c>
      <c r="E9" s="13">
        <v>44533</v>
      </c>
      <c r="F9" s="75" t="s">
        <v>69</v>
      </c>
      <c r="G9" s="13">
        <v>44556</v>
      </c>
      <c r="H9" s="76" t="s">
        <v>68</v>
      </c>
      <c r="I9" s="16">
        <v>58</v>
      </c>
      <c r="J9" s="16">
        <v>18</v>
      </c>
      <c r="K9" s="16">
        <v>18</v>
      </c>
      <c r="L9" s="16">
        <v>4</v>
      </c>
      <c r="M9" s="80">
        <v>4.6980000000000004</v>
      </c>
      <c r="N9" s="161">
        <v>4.6980000000000004</v>
      </c>
      <c r="O9" s="64">
        <v>6000</v>
      </c>
      <c r="P9" s="65">
        <f>Table22457891011211[[#This Row],[PEMBULATAN]]*O9</f>
        <v>28188.000000000004</v>
      </c>
      <c r="Q9" s="193"/>
    </row>
    <row r="10" spans="1:17" ht="26.25" customHeight="1" thickBot="1" x14ac:dyDescent="0.25">
      <c r="A10" s="107"/>
      <c r="B10" s="107"/>
      <c r="C10" s="108" t="s">
        <v>66</v>
      </c>
      <c r="D10" s="109" t="s">
        <v>67</v>
      </c>
      <c r="E10" s="110">
        <v>44533</v>
      </c>
      <c r="F10" s="111" t="s">
        <v>69</v>
      </c>
      <c r="G10" s="110">
        <v>44556</v>
      </c>
      <c r="H10" s="112" t="s">
        <v>68</v>
      </c>
      <c r="I10" s="113">
        <v>43</v>
      </c>
      <c r="J10" s="113">
        <v>35</v>
      </c>
      <c r="K10" s="113">
        <v>30</v>
      </c>
      <c r="L10" s="113">
        <v>4</v>
      </c>
      <c r="M10" s="114">
        <v>11.2875</v>
      </c>
      <c r="N10" s="159">
        <v>11.2875</v>
      </c>
      <c r="O10" s="115">
        <v>6000</v>
      </c>
      <c r="P10" s="116">
        <f>Table22457891011211[[#This Row],[PEMBULATAN]]*O10</f>
        <v>67725</v>
      </c>
      <c r="Q10" s="194"/>
    </row>
    <row r="11" spans="1:17" ht="26.25" customHeight="1" x14ac:dyDescent="0.2">
      <c r="A11" s="14">
        <v>406457</v>
      </c>
      <c r="B11" s="74" t="s">
        <v>70</v>
      </c>
      <c r="C11" s="99" t="s">
        <v>71</v>
      </c>
      <c r="D11" s="100" t="s">
        <v>67</v>
      </c>
      <c r="E11" s="101">
        <v>44540</v>
      </c>
      <c r="F11" s="100" t="s">
        <v>69</v>
      </c>
      <c r="G11" s="101">
        <v>44558</v>
      </c>
      <c r="H11" s="102" t="s">
        <v>68</v>
      </c>
      <c r="I11" s="103">
        <v>76</v>
      </c>
      <c r="J11" s="103">
        <v>42</v>
      </c>
      <c r="K11" s="103">
        <v>40</v>
      </c>
      <c r="L11" s="103">
        <v>14</v>
      </c>
      <c r="M11" s="104">
        <v>31.92</v>
      </c>
      <c r="N11" s="160">
        <v>31.92</v>
      </c>
      <c r="O11" s="105">
        <v>6000</v>
      </c>
      <c r="P11" s="106">
        <f>N11*O11</f>
        <v>191520</v>
      </c>
      <c r="Q11" s="193">
        <v>3</v>
      </c>
    </row>
    <row r="12" spans="1:17" ht="26.25" customHeight="1" x14ac:dyDescent="0.2">
      <c r="A12" s="14"/>
      <c r="B12" s="74"/>
      <c r="C12" s="9" t="s">
        <v>72</v>
      </c>
      <c r="D12" s="75" t="s">
        <v>67</v>
      </c>
      <c r="E12" s="13">
        <v>44540</v>
      </c>
      <c r="F12" s="75" t="s">
        <v>69</v>
      </c>
      <c r="G12" s="13">
        <v>44558</v>
      </c>
      <c r="H12" s="10" t="s">
        <v>68</v>
      </c>
      <c r="I12" s="1">
        <v>23</v>
      </c>
      <c r="J12" s="1">
        <v>19</v>
      </c>
      <c r="K12" s="1">
        <v>10</v>
      </c>
      <c r="L12" s="1">
        <v>2</v>
      </c>
      <c r="M12" s="79">
        <v>1.0925</v>
      </c>
      <c r="N12" s="161">
        <v>2</v>
      </c>
      <c r="O12" s="64">
        <v>6000</v>
      </c>
      <c r="P12" s="65">
        <f t="shared" ref="P12:P34" si="0">N12*O12</f>
        <v>12000</v>
      </c>
      <c r="Q12" s="193"/>
    </row>
    <row r="13" spans="1:17" ht="26.25" customHeight="1" thickBot="1" x14ac:dyDescent="0.25">
      <c r="A13" s="107"/>
      <c r="B13" s="107"/>
      <c r="C13" s="117" t="s">
        <v>73</v>
      </c>
      <c r="D13" s="111" t="s">
        <v>67</v>
      </c>
      <c r="E13" s="110">
        <v>44540</v>
      </c>
      <c r="F13" s="111" t="s">
        <v>69</v>
      </c>
      <c r="G13" s="110">
        <v>44558</v>
      </c>
      <c r="H13" s="118" t="s">
        <v>68</v>
      </c>
      <c r="I13" s="119">
        <v>76</v>
      </c>
      <c r="J13" s="119">
        <v>42</v>
      </c>
      <c r="K13" s="119">
        <v>40</v>
      </c>
      <c r="L13" s="119">
        <v>14</v>
      </c>
      <c r="M13" s="120">
        <v>31.92</v>
      </c>
      <c r="N13" s="159">
        <v>31.92</v>
      </c>
      <c r="O13" s="115">
        <v>6000</v>
      </c>
      <c r="P13" s="116">
        <f t="shared" si="0"/>
        <v>191520</v>
      </c>
      <c r="Q13" s="194"/>
    </row>
    <row r="14" spans="1:17" ht="26.25" customHeight="1" x14ac:dyDescent="0.2">
      <c r="A14" s="14">
        <v>402677</v>
      </c>
      <c r="B14" s="74" t="s">
        <v>74</v>
      </c>
      <c r="C14" s="99" t="s">
        <v>75</v>
      </c>
      <c r="D14" s="100" t="s">
        <v>67</v>
      </c>
      <c r="E14" s="101">
        <v>44547</v>
      </c>
      <c r="F14" s="100" t="s">
        <v>69</v>
      </c>
      <c r="G14" s="101">
        <v>44569</v>
      </c>
      <c r="H14" s="102" t="s">
        <v>77</v>
      </c>
      <c r="I14" s="103">
        <v>64</v>
      </c>
      <c r="J14" s="103">
        <v>41</v>
      </c>
      <c r="K14" s="103">
        <v>68</v>
      </c>
      <c r="L14" s="103">
        <v>10</v>
      </c>
      <c r="M14" s="104">
        <v>44.607999999999997</v>
      </c>
      <c r="N14" s="160">
        <v>44.607999999999997</v>
      </c>
      <c r="O14" s="105">
        <v>6000</v>
      </c>
      <c r="P14" s="106">
        <f t="shared" si="0"/>
        <v>267648</v>
      </c>
      <c r="Q14" s="195">
        <v>2</v>
      </c>
    </row>
    <row r="15" spans="1:17" ht="26.25" customHeight="1" thickBot="1" x14ac:dyDescent="0.25">
      <c r="A15" s="107"/>
      <c r="B15" s="121"/>
      <c r="C15" s="117" t="s">
        <v>76</v>
      </c>
      <c r="D15" s="111" t="s">
        <v>67</v>
      </c>
      <c r="E15" s="110">
        <v>44547</v>
      </c>
      <c r="F15" s="111" t="s">
        <v>69</v>
      </c>
      <c r="G15" s="110">
        <v>44569</v>
      </c>
      <c r="H15" s="118" t="s">
        <v>77</v>
      </c>
      <c r="I15" s="119">
        <v>33</v>
      </c>
      <c r="J15" s="119">
        <v>33</v>
      </c>
      <c r="K15" s="119">
        <v>41</v>
      </c>
      <c r="L15" s="119">
        <v>14</v>
      </c>
      <c r="M15" s="120">
        <v>11.16225</v>
      </c>
      <c r="N15" s="159">
        <v>14</v>
      </c>
      <c r="O15" s="115">
        <v>6000</v>
      </c>
      <c r="P15" s="116">
        <f t="shared" si="0"/>
        <v>84000</v>
      </c>
      <c r="Q15" s="196"/>
    </row>
    <row r="16" spans="1:17" ht="26.25" customHeight="1" x14ac:dyDescent="0.2">
      <c r="A16" s="14">
        <v>402690</v>
      </c>
      <c r="B16" s="74" t="s">
        <v>78</v>
      </c>
      <c r="C16" s="99" t="s">
        <v>79</v>
      </c>
      <c r="D16" s="100" t="s">
        <v>67</v>
      </c>
      <c r="E16" s="101">
        <v>44548</v>
      </c>
      <c r="F16" s="100" t="s">
        <v>69</v>
      </c>
      <c r="G16" s="101">
        <v>44569</v>
      </c>
      <c r="H16" s="102" t="s">
        <v>77</v>
      </c>
      <c r="I16" s="103">
        <v>52</v>
      </c>
      <c r="J16" s="103">
        <v>8</v>
      </c>
      <c r="K16" s="103">
        <v>8</v>
      </c>
      <c r="L16" s="103">
        <v>4</v>
      </c>
      <c r="M16" s="104">
        <v>0.83199999999999996</v>
      </c>
      <c r="N16" s="162">
        <v>4</v>
      </c>
      <c r="O16" s="105">
        <v>6000</v>
      </c>
      <c r="P16" s="106">
        <f t="shared" si="0"/>
        <v>24000</v>
      </c>
      <c r="Q16" s="195">
        <v>3</v>
      </c>
    </row>
    <row r="17" spans="1:17" ht="26.25" customHeight="1" x14ac:dyDescent="0.2">
      <c r="A17" s="14"/>
      <c r="B17" s="74"/>
      <c r="C17" s="9" t="s">
        <v>80</v>
      </c>
      <c r="D17" s="75" t="s">
        <v>67</v>
      </c>
      <c r="E17" s="13">
        <v>44548</v>
      </c>
      <c r="F17" s="75" t="s">
        <v>69</v>
      </c>
      <c r="G17" s="13">
        <v>44569</v>
      </c>
      <c r="H17" s="10" t="s">
        <v>77</v>
      </c>
      <c r="I17" s="1">
        <v>148</v>
      </c>
      <c r="J17" s="1">
        <v>64</v>
      </c>
      <c r="K17" s="1">
        <v>12</v>
      </c>
      <c r="L17" s="1">
        <v>7</v>
      </c>
      <c r="M17" s="79">
        <v>28.416</v>
      </c>
      <c r="N17" s="163">
        <v>29</v>
      </c>
      <c r="O17" s="64">
        <v>6000</v>
      </c>
      <c r="P17" s="65">
        <f t="shared" si="0"/>
        <v>174000</v>
      </c>
      <c r="Q17" s="197"/>
    </row>
    <row r="18" spans="1:17" ht="26.25" customHeight="1" thickBot="1" x14ac:dyDescent="0.25">
      <c r="A18" s="107"/>
      <c r="B18" s="107"/>
      <c r="C18" s="117" t="s">
        <v>81</v>
      </c>
      <c r="D18" s="111" t="s">
        <v>67</v>
      </c>
      <c r="E18" s="110">
        <v>44548</v>
      </c>
      <c r="F18" s="111" t="s">
        <v>69</v>
      </c>
      <c r="G18" s="110">
        <v>44569</v>
      </c>
      <c r="H18" s="118" t="s">
        <v>77</v>
      </c>
      <c r="I18" s="119">
        <v>148</v>
      </c>
      <c r="J18" s="119">
        <v>64</v>
      </c>
      <c r="K18" s="119">
        <v>12</v>
      </c>
      <c r="L18" s="119">
        <v>7</v>
      </c>
      <c r="M18" s="120">
        <v>28.416</v>
      </c>
      <c r="N18" s="164">
        <v>29</v>
      </c>
      <c r="O18" s="115">
        <v>6000</v>
      </c>
      <c r="P18" s="116">
        <f t="shared" si="0"/>
        <v>174000</v>
      </c>
      <c r="Q18" s="192"/>
    </row>
    <row r="19" spans="1:17" ht="26.25" customHeight="1" x14ac:dyDescent="0.2">
      <c r="A19" s="14">
        <v>402721</v>
      </c>
      <c r="B19" s="74" t="s">
        <v>82</v>
      </c>
      <c r="C19" s="99" t="s">
        <v>83</v>
      </c>
      <c r="D19" s="100" t="s">
        <v>67</v>
      </c>
      <c r="E19" s="101">
        <v>44553</v>
      </c>
      <c r="F19" s="100" t="s">
        <v>69</v>
      </c>
      <c r="G19" s="101">
        <v>44569</v>
      </c>
      <c r="H19" s="102" t="s">
        <v>77</v>
      </c>
      <c r="I19" s="103">
        <v>74</v>
      </c>
      <c r="J19" s="103">
        <v>55</v>
      </c>
      <c r="K19" s="103">
        <v>84</v>
      </c>
      <c r="L19" s="103">
        <v>11</v>
      </c>
      <c r="M19" s="104">
        <v>85.47</v>
      </c>
      <c r="N19" s="160">
        <v>86</v>
      </c>
      <c r="O19" s="105">
        <v>6000</v>
      </c>
      <c r="P19" s="106">
        <f t="shared" si="0"/>
        <v>516000</v>
      </c>
      <c r="Q19" s="198">
        <v>4</v>
      </c>
    </row>
    <row r="20" spans="1:17" ht="26.25" customHeight="1" x14ac:dyDescent="0.2">
      <c r="A20" s="14"/>
      <c r="B20" s="74"/>
      <c r="C20" s="9" t="s">
        <v>84</v>
      </c>
      <c r="D20" s="75" t="s">
        <v>67</v>
      </c>
      <c r="E20" s="13">
        <v>44553</v>
      </c>
      <c r="F20" s="75" t="s">
        <v>69</v>
      </c>
      <c r="G20" s="13">
        <v>44569</v>
      </c>
      <c r="H20" s="10" t="s">
        <v>77</v>
      </c>
      <c r="I20" s="1">
        <v>37</v>
      </c>
      <c r="J20" s="1">
        <v>37</v>
      </c>
      <c r="K20" s="1">
        <v>53</v>
      </c>
      <c r="L20" s="1">
        <v>15</v>
      </c>
      <c r="M20" s="79">
        <v>18.139250000000001</v>
      </c>
      <c r="N20" s="161">
        <v>18.139250000000001</v>
      </c>
      <c r="O20" s="64">
        <v>6000</v>
      </c>
      <c r="P20" s="65">
        <f t="shared" si="0"/>
        <v>108835.5</v>
      </c>
      <c r="Q20" s="197"/>
    </row>
    <row r="21" spans="1:17" ht="26.25" customHeight="1" x14ac:dyDescent="0.2">
      <c r="A21" s="14"/>
      <c r="B21" s="14"/>
      <c r="C21" s="9" t="s">
        <v>85</v>
      </c>
      <c r="D21" s="75" t="s">
        <v>67</v>
      </c>
      <c r="E21" s="13">
        <v>44553</v>
      </c>
      <c r="F21" s="75" t="s">
        <v>69</v>
      </c>
      <c r="G21" s="13">
        <v>44569</v>
      </c>
      <c r="H21" s="10" t="s">
        <v>77</v>
      </c>
      <c r="I21" s="1">
        <v>66</v>
      </c>
      <c r="J21" s="1">
        <v>58</v>
      </c>
      <c r="K21" s="1">
        <v>20</v>
      </c>
      <c r="L21" s="1">
        <v>15</v>
      </c>
      <c r="M21" s="79">
        <v>19.14</v>
      </c>
      <c r="N21" s="161">
        <v>19.14</v>
      </c>
      <c r="O21" s="64">
        <v>6000</v>
      </c>
      <c r="P21" s="65">
        <f t="shared" si="0"/>
        <v>114840</v>
      </c>
      <c r="Q21" s="197"/>
    </row>
    <row r="22" spans="1:17" ht="26.25" customHeight="1" thickBot="1" x14ac:dyDescent="0.25">
      <c r="A22" s="107"/>
      <c r="B22" s="107"/>
      <c r="C22" s="108" t="s">
        <v>86</v>
      </c>
      <c r="D22" s="109" t="s">
        <v>67</v>
      </c>
      <c r="E22" s="110">
        <v>44553</v>
      </c>
      <c r="F22" s="111" t="s">
        <v>69</v>
      </c>
      <c r="G22" s="110">
        <v>44569</v>
      </c>
      <c r="H22" s="112" t="s">
        <v>77</v>
      </c>
      <c r="I22" s="113">
        <v>66</v>
      </c>
      <c r="J22" s="113">
        <v>58</v>
      </c>
      <c r="K22" s="113">
        <v>20</v>
      </c>
      <c r="L22" s="113">
        <v>15</v>
      </c>
      <c r="M22" s="114">
        <v>19.14</v>
      </c>
      <c r="N22" s="159">
        <v>19.14</v>
      </c>
      <c r="O22" s="115">
        <v>6000</v>
      </c>
      <c r="P22" s="116">
        <f t="shared" si="0"/>
        <v>114840</v>
      </c>
      <c r="Q22" s="196"/>
    </row>
    <row r="23" spans="1:17" ht="26.25" customHeight="1" x14ac:dyDescent="0.2">
      <c r="A23" s="14">
        <v>402724</v>
      </c>
      <c r="B23" s="74" t="s">
        <v>87</v>
      </c>
      <c r="C23" s="99" t="s">
        <v>88</v>
      </c>
      <c r="D23" s="100" t="s">
        <v>67</v>
      </c>
      <c r="E23" s="101">
        <v>44554</v>
      </c>
      <c r="F23" s="100" t="s">
        <v>69</v>
      </c>
      <c r="G23" s="101">
        <v>44569</v>
      </c>
      <c r="H23" s="102" t="s">
        <v>77</v>
      </c>
      <c r="I23" s="103">
        <v>51</v>
      </c>
      <c r="J23" s="103">
        <v>45</v>
      </c>
      <c r="K23" s="103">
        <v>14</v>
      </c>
      <c r="L23" s="103">
        <v>14</v>
      </c>
      <c r="M23" s="104">
        <v>8.0325000000000006</v>
      </c>
      <c r="N23" s="162">
        <v>14</v>
      </c>
      <c r="O23" s="105">
        <v>6000</v>
      </c>
      <c r="P23" s="106">
        <f t="shared" si="0"/>
        <v>84000</v>
      </c>
      <c r="Q23" s="195">
        <v>2</v>
      </c>
    </row>
    <row r="24" spans="1:17" ht="26.25" customHeight="1" thickBot="1" x14ac:dyDescent="0.25">
      <c r="A24" s="107"/>
      <c r="B24" s="121"/>
      <c r="C24" s="117" t="s">
        <v>89</v>
      </c>
      <c r="D24" s="111" t="s">
        <v>67</v>
      </c>
      <c r="E24" s="110">
        <v>44554</v>
      </c>
      <c r="F24" s="111" t="s">
        <v>69</v>
      </c>
      <c r="G24" s="110">
        <v>44569</v>
      </c>
      <c r="H24" s="118" t="s">
        <v>77</v>
      </c>
      <c r="I24" s="119">
        <v>51</v>
      </c>
      <c r="J24" s="119">
        <v>45</v>
      </c>
      <c r="K24" s="119">
        <v>14</v>
      </c>
      <c r="L24" s="119">
        <v>14</v>
      </c>
      <c r="M24" s="120">
        <v>8.0325000000000006</v>
      </c>
      <c r="N24" s="164">
        <v>14</v>
      </c>
      <c r="O24" s="115">
        <v>6000</v>
      </c>
      <c r="P24" s="116">
        <f t="shared" si="0"/>
        <v>84000</v>
      </c>
      <c r="Q24" s="192"/>
    </row>
    <row r="25" spans="1:17" ht="26.25" customHeight="1" thickBot="1" x14ac:dyDescent="0.25">
      <c r="A25" s="122">
        <v>402733</v>
      </c>
      <c r="B25" s="123" t="s">
        <v>90</v>
      </c>
      <c r="C25" s="124" t="s">
        <v>91</v>
      </c>
      <c r="D25" s="125" t="s">
        <v>67</v>
      </c>
      <c r="E25" s="126">
        <v>44555</v>
      </c>
      <c r="F25" s="125" t="s">
        <v>69</v>
      </c>
      <c r="G25" s="126">
        <v>44569</v>
      </c>
      <c r="H25" s="127" t="s">
        <v>77</v>
      </c>
      <c r="I25" s="128">
        <v>47</v>
      </c>
      <c r="J25" s="128">
        <v>47</v>
      </c>
      <c r="K25" s="128">
        <v>75</v>
      </c>
      <c r="L25" s="128">
        <v>14</v>
      </c>
      <c r="M25" s="129">
        <v>41.418750000000003</v>
      </c>
      <c r="N25" s="165">
        <v>42</v>
      </c>
      <c r="O25" s="130">
        <v>6000</v>
      </c>
      <c r="P25" s="131">
        <f t="shared" si="0"/>
        <v>252000</v>
      </c>
      <c r="Q25" s="144">
        <v>1</v>
      </c>
    </row>
    <row r="26" spans="1:17" ht="26.25" customHeight="1" x14ac:dyDescent="0.2">
      <c r="A26" s="14">
        <v>402754</v>
      </c>
      <c r="B26" s="74" t="s">
        <v>92</v>
      </c>
      <c r="C26" s="99" t="s">
        <v>93</v>
      </c>
      <c r="D26" s="100" t="s">
        <v>67</v>
      </c>
      <c r="E26" s="101">
        <v>44560</v>
      </c>
      <c r="F26" s="100" t="s">
        <v>69</v>
      </c>
      <c r="G26" s="101">
        <v>44579</v>
      </c>
      <c r="H26" s="102" t="s">
        <v>102</v>
      </c>
      <c r="I26" s="103">
        <v>90</v>
      </c>
      <c r="J26" s="103">
        <v>68</v>
      </c>
      <c r="K26" s="103">
        <v>24</v>
      </c>
      <c r="L26" s="103">
        <v>9</v>
      </c>
      <c r="M26" s="104">
        <v>36.72</v>
      </c>
      <c r="N26" s="160">
        <v>36.72</v>
      </c>
      <c r="O26" s="105">
        <v>6000</v>
      </c>
      <c r="P26" s="106">
        <f t="shared" si="0"/>
        <v>220320</v>
      </c>
      <c r="Q26" s="193">
        <v>8</v>
      </c>
    </row>
    <row r="27" spans="1:17" ht="26.25" customHeight="1" x14ac:dyDescent="0.2">
      <c r="A27" s="14"/>
      <c r="B27" s="74"/>
      <c r="C27" s="9" t="s">
        <v>94</v>
      </c>
      <c r="D27" s="75" t="s">
        <v>67</v>
      </c>
      <c r="E27" s="13">
        <v>44560</v>
      </c>
      <c r="F27" s="75" t="s">
        <v>69</v>
      </c>
      <c r="G27" s="13">
        <v>44579</v>
      </c>
      <c r="H27" s="10" t="s">
        <v>102</v>
      </c>
      <c r="I27" s="1">
        <v>90</v>
      </c>
      <c r="J27" s="1">
        <v>68</v>
      </c>
      <c r="K27" s="1">
        <v>24</v>
      </c>
      <c r="L27" s="1">
        <v>11</v>
      </c>
      <c r="M27" s="79">
        <v>36.72</v>
      </c>
      <c r="N27" s="161">
        <v>36.72</v>
      </c>
      <c r="O27" s="64">
        <v>6000</v>
      </c>
      <c r="P27" s="65">
        <f t="shared" si="0"/>
        <v>220320</v>
      </c>
      <c r="Q27" s="193"/>
    </row>
    <row r="28" spans="1:17" ht="26.25" customHeight="1" x14ac:dyDescent="0.2">
      <c r="A28" s="14"/>
      <c r="B28" s="14"/>
      <c r="C28" s="9" t="s">
        <v>95</v>
      </c>
      <c r="D28" s="75" t="s">
        <v>67</v>
      </c>
      <c r="E28" s="13">
        <v>44560</v>
      </c>
      <c r="F28" s="75" t="s">
        <v>69</v>
      </c>
      <c r="G28" s="13">
        <v>44579</v>
      </c>
      <c r="H28" s="10" t="s">
        <v>102</v>
      </c>
      <c r="I28" s="1">
        <v>90</v>
      </c>
      <c r="J28" s="1">
        <v>68</v>
      </c>
      <c r="K28" s="1">
        <v>24</v>
      </c>
      <c r="L28" s="1">
        <v>9</v>
      </c>
      <c r="M28" s="79">
        <v>36.72</v>
      </c>
      <c r="N28" s="161">
        <v>36.72</v>
      </c>
      <c r="O28" s="64">
        <v>6000</v>
      </c>
      <c r="P28" s="65">
        <f t="shared" si="0"/>
        <v>220320</v>
      </c>
      <c r="Q28" s="193"/>
    </row>
    <row r="29" spans="1:17" ht="26.25" customHeight="1" x14ac:dyDescent="0.2">
      <c r="A29" s="14"/>
      <c r="B29" s="14"/>
      <c r="C29" s="72" t="s">
        <v>96</v>
      </c>
      <c r="D29" s="77" t="s">
        <v>67</v>
      </c>
      <c r="E29" s="13">
        <v>44560</v>
      </c>
      <c r="F29" s="75" t="s">
        <v>69</v>
      </c>
      <c r="G29" s="13">
        <v>44579</v>
      </c>
      <c r="H29" s="76" t="s">
        <v>102</v>
      </c>
      <c r="I29" s="16">
        <v>56</v>
      </c>
      <c r="J29" s="16">
        <v>44</v>
      </c>
      <c r="K29" s="16">
        <v>28</v>
      </c>
      <c r="L29" s="16">
        <v>12</v>
      </c>
      <c r="M29" s="80">
        <v>17.248000000000001</v>
      </c>
      <c r="N29" s="161">
        <v>17.248000000000001</v>
      </c>
      <c r="O29" s="64">
        <v>6000</v>
      </c>
      <c r="P29" s="65">
        <f t="shared" si="0"/>
        <v>103488</v>
      </c>
      <c r="Q29" s="193"/>
    </row>
    <row r="30" spans="1:17" ht="26.25" customHeight="1" x14ac:dyDescent="0.2">
      <c r="A30" s="14"/>
      <c r="B30" s="14"/>
      <c r="C30" s="72" t="s">
        <v>97</v>
      </c>
      <c r="D30" s="77" t="s">
        <v>67</v>
      </c>
      <c r="E30" s="13">
        <v>44560</v>
      </c>
      <c r="F30" s="75" t="s">
        <v>69</v>
      </c>
      <c r="G30" s="13">
        <v>44579</v>
      </c>
      <c r="H30" s="76" t="s">
        <v>102</v>
      </c>
      <c r="I30" s="16">
        <v>56</v>
      </c>
      <c r="J30" s="16">
        <v>44</v>
      </c>
      <c r="K30" s="16">
        <v>28</v>
      </c>
      <c r="L30" s="16">
        <v>12</v>
      </c>
      <c r="M30" s="80">
        <v>17.248000000000001</v>
      </c>
      <c r="N30" s="161">
        <v>17.248000000000001</v>
      </c>
      <c r="O30" s="64">
        <v>6000</v>
      </c>
      <c r="P30" s="65">
        <f t="shared" si="0"/>
        <v>103488</v>
      </c>
      <c r="Q30" s="193"/>
    </row>
    <row r="31" spans="1:17" ht="26.25" customHeight="1" x14ac:dyDescent="0.2">
      <c r="A31" s="14"/>
      <c r="B31" s="14"/>
      <c r="C31" s="72" t="s">
        <v>98</v>
      </c>
      <c r="D31" s="77" t="s">
        <v>67</v>
      </c>
      <c r="E31" s="13">
        <v>44560</v>
      </c>
      <c r="F31" s="75" t="s">
        <v>69</v>
      </c>
      <c r="G31" s="13">
        <v>44579</v>
      </c>
      <c r="H31" s="76" t="s">
        <v>102</v>
      </c>
      <c r="I31" s="16">
        <v>56</v>
      </c>
      <c r="J31" s="16">
        <v>44</v>
      </c>
      <c r="K31" s="16">
        <v>28</v>
      </c>
      <c r="L31" s="16">
        <v>12</v>
      </c>
      <c r="M31" s="80">
        <v>17.248000000000001</v>
      </c>
      <c r="N31" s="161">
        <v>17.248000000000001</v>
      </c>
      <c r="O31" s="64">
        <v>6000</v>
      </c>
      <c r="P31" s="65">
        <f t="shared" si="0"/>
        <v>103488</v>
      </c>
      <c r="Q31" s="193"/>
    </row>
    <row r="32" spans="1:17" ht="26.25" customHeight="1" x14ac:dyDescent="0.2">
      <c r="A32" s="14"/>
      <c r="B32" s="96"/>
      <c r="C32" s="72" t="s">
        <v>99</v>
      </c>
      <c r="D32" s="77" t="s">
        <v>67</v>
      </c>
      <c r="E32" s="13">
        <v>44560</v>
      </c>
      <c r="F32" s="75" t="s">
        <v>69</v>
      </c>
      <c r="G32" s="13">
        <v>44579</v>
      </c>
      <c r="H32" s="76" t="s">
        <v>102</v>
      </c>
      <c r="I32" s="16">
        <v>56</v>
      </c>
      <c r="J32" s="16">
        <v>44</v>
      </c>
      <c r="K32" s="16">
        <v>28</v>
      </c>
      <c r="L32" s="16">
        <v>12</v>
      </c>
      <c r="M32" s="80">
        <v>17.248000000000001</v>
      </c>
      <c r="N32" s="161">
        <v>17.248000000000001</v>
      </c>
      <c r="O32" s="64">
        <v>6000</v>
      </c>
      <c r="P32" s="65">
        <f t="shared" si="0"/>
        <v>103488</v>
      </c>
      <c r="Q32" s="193"/>
    </row>
    <row r="33" spans="1:18" ht="26.25" customHeight="1" thickBot="1" x14ac:dyDescent="0.25">
      <c r="A33" s="14"/>
      <c r="B33" s="14" t="s">
        <v>100</v>
      </c>
      <c r="C33" s="135" t="s">
        <v>101</v>
      </c>
      <c r="D33" s="136" t="s">
        <v>67</v>
      </c>
      <c r="E33" s="137">
        <v>44560</v>
      </c>
      <c r="F33" s="138" t="s">
        <v>69</v>
      </c>
      <c r="G33" s="137">
        <v>44579</v>
      </c>
      <c r="H33" s="139" t="s">
        <v>102</v>
      </c>
      <c r="I33" s="140">
        <v>56</v>
      </c>
      <c r="J33" s="140">
        <v>44</v>
      </c>
      <c r="K33" s="140">
        <v>28</v>
      </c>
      <c r="L33" s="140">
        <v>12</v>
      </c>
      <c r="M33" s="141">
        <v>17.248000000000001</v>
      </c>
      <c r="N33" s="166">
        <v>17.248000000000001</v>
      </c>
      <c r="O33" s="142">
        <v>6000</v>
      </c>
      <c r="P33" s="143">
        <f t="shared" si="0"/>
        <v>103488</v>
      </c>
      <c r="Q33" s="193"/>
    </row>
    <row r="34" spans="1:18" ht="26.25" customHeight="1" thickBot="1" x14ac:dyDescent="0.25">
      <c r="A34" s="145">
        <v>402763</v>
      </c>
      <c r="B34" s="146" t="s">
        <v>103</v>
      </c>
      <c r="C34" s="147" t="s">
        <v>104</v>
      </c>
      <c r="D34" s="148" t="s">
        <v>67</v>
      </c>
      <c r="E34" s="149">
        <v>44561</v>
      </c>
      <c r="F34" s="148" t="s">
        <v>69</v>
      </c>
      <c r="G34" s="149">
        <v>44579</v>
      </c>
      <c r="H34" s="150" t="s">
        <v>102</v>
      </c>
      <c r="I34" s="151">
        <v>37</v>
      </c>
      <c r="J34" s="151">
        <v>37</v>
      </c>
      <c r="K34" s="151">
        <v>75</v>
      </c>
      <c r="L34" s="151">
        <v>9</v>
      </c>
      <c r="M34" s="152">
        <v>25.668749999999999</v>
      </c>
      <c r="N34" s="167">
        <v>25.668749999999999</v>
      </c>
      <c r="O34" s="153">
        <v>6000</v>
      </c>
      <c r="P34" s="154">
        <f t="shared" si="0"/>
        <v>154012.5</v>
      </c>
      <c r="Q34" s="155">
        <v>1</v>
      </c>
    </row>
    <row r="35" spans="1:18" ht="22.5" customHeight="1" thickBot="1" x14ac:dyDescent="0.3">
      <c r="A35" s="187" t="s">
        <v>30</v>
      </c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9"/>
      <c r="M35" s="168">
        <f>SUM(M3:M34)</f>
        <v>707.46750000000043</v>
      </c>
      <c r="N35" s="156">
        <f>SUM(N3:N34)</f>
        <v>730.65750000000037</v>
      </c>
      <c r="O35" s="190">
        <f>SUM(P3:P34)</f>
        <v>4383945</v>
      </c>
      <c r="P35" s="191"/>
      <c r="Q35" s="158">
        <f>SUM(Q3:Q34)</f>
        <v>32</v>
      </c>
    </row>
    <row r="36" spans="1:18" ht="18" customHeight="1" x14ac:dyDescent="0.25">
      <c r="A36" s="85"/>
      <c r="B36" s="56" t="s">
        <v>42</v>
      </c>
      <c r="C36" s="55"/>
      <c r="D36" s="57" t="s">
        <v>43</v>
      </c>
      <c r="E36" s="85"/>
      <c r="F36" s="85"/>
      <c r="G36" s="85"/>
      <c r="H36" s="85"/>
      <c r="I36" s="85"/>
      <c r="J36" s="85"/>
      <c r="K36" s="85"/>
      <c r="L36" s="85"/>
      <c r="M36" s="86"/>
      <c r="N36" s="87" t="s">
        <v>51</v>
      </c>
      <c r="O36" s="88"/>
      <c r="P36" s="88">
        <f>O35*10%</f>
        <v>438394.5</v>
      </c>
      <c r="R36" s="157"/>
    </row>
    <row r="37" spans="1:18" ht="18" customHeight="1" thickBot="1" x14ac:dyDescent="0.25">
      <c r="A37" s="85"/>
      <c r="B37" s="56"/>
      <c r="C37" s="55"/>
      <c r="D37" s="57"/>
      <c r="E37" s="85"/>
      <c r="F37" s="85"/>
      <c r="G37" s="85"/>
      <c r="H37" s="85"/>
      <c r="I37" s="85"/>
      <c r="J37" s="85"/>
      <c r="K37" s="85"/>
      <c r="L37" s="85"/>
      <c r="M37" s="86"/>
      <c r="N37" s="89" t="s">
        <v>52</v>
      </c>
      <c r="O37" s="90"/>
      <c r="P37" s="90">
        <f>O35-P36</f>
        <v>3945550.5</v>
      </c>
    </row>
    <row r="38" spans="1:18" ht="18" customHeight="1" x14ac:dyDescent="0.2">
      <c r="A38" s="11"/>
      <c r="H38" s="63"/>
      <c r="N38" s="62" t="s">
        <v>31</v>
      </c>
      <c r="P38" s="69">
        <f>P37*1%</f>
        <v>39455.504999999997</v>
      </c>
    </row>
    <row r="39" spans="1:18" ht="18" customHeight="1" thickBot="1" x14ac:dyDescent="0.25">
      <c r="A39" s="11"/>
      <c r="H39" s="63"/>
      <c r="N39" s="62" t="s">
        <v>53</v>
      </c>
      <c r="P39" s="71">
        <f>P37*2%</f>
        <v>78911.009999999995</v>
      </c>
    </row>
    <row r="40" spans="1:18" ht="18" customHeight="1" x14ac:dyDescent="0.2">
      <c r="A40" s="11"/>
      <c r="H40" s="63"/>
      <c r="N40" s="66" t="s">
        <v>32</v>
      </c>
      <c r="O40" s="67"/>
      <c r="P40" s="70">
        <f>P37+P38-P39</f>
        <v>3906094.9950000001</v>
      </c>
    </row>
    <row r="42" spans="1:18" x14ac:dyDescent="0.2">
      <c r="A42" s="11"/>
      <c r="H42" s="63"/>
      <c r="P42" s="71"/>
    </row>
    <row r="43" spans="1:18" x14ac:dyDescent="0.2">
      <c r="A43" s="11"/>
      <c r="H43" s="63"/>
      <c r="O43" s="58"/>
      <c r="P43" s="71"/>
    </row>
    <row r="44" spans="1:18" s="3" customFormat="1" x14ac:dyDescent="0.2">
      <c r="A44" s="11"/>
      <c r="B44" s="2"/>
      <c r="C44" s="2"/>
      <c r="E44" s="12"/>
      <c r="H44" s="63"/>
      <c r="N44" s="15"/>
      <c r="O44" s="15"/>
      <c r="P44" s="15"/>
      <c r="Q44" s="4"/>
    </row>
    <row r="45" spans="1:18" s="3" customFormat="1" x14ac:dyDescent="0.2">
      <c r="A45" s="11"/>
      <c r="B45" s="2"/>
      <c r="C45" s="2"/>
      <c r="E45" s="12"/>
      <c r="H45" s="63"/>
      <c r="N45" s="15"/>
      <c r="O45" s="15"/>
      <c r="P45" s="15"/>
      <c r="Q45" s="4"/>
    </row>
    <row r="46" spans="1:18" s="3" customFormat="1" x14ac:dyDescent="0.2">
      <c r="A46" s="11"/>
      <c r="B46" s="2"/>
      <c r="C46" s="2"/>
      <c r="E46" s="12"/>
      <c r="H46" s="63"/>
      <c r="N46" s="15"/>
      <c r="O46" s="15"/>
      <c r="P46" s="15"/>
      <c r="Q46" s="4"/>
    </row>
    <row r="47" spans="1:18" s="3" customFormat="1" x14ac:dyDescent="0.2">
      <c r="A47" s="11"/>
      <c r="B47" s="2"/>
      <c r="C47" s="2"/>
      <c r="E47" s="12"/>
      <c r="H47" s="63"/>
      <c r="N47" s="15"/>
      <c r="O47" s="15"/>
      <c r="P47" s="15"/>
      <c r="Q47" s="4"/>
    </row>
    <row r="48" spans="1:18" s="3" customFormat="1" x14ac:dyDescent="0.2">
      <c r="A48" s="11"/>
      <c r="B48" s="2"/>
      <c r="C48" s="2"/>
      <c r="E48" s="12"/>
      <c r="H48" s="63"/>
      <c r="N48" s="15"/>
      <c r="O48" s="15"/>
      <c r="P48" s="15"/>
      <c r="Q48" s="4"/>
    </row>
    <row r="49" spans="1:17" s="3" customFormat="1" x14ac:dyDescent="0.2">
      <c r="A49" s="11"/>
      <c r="B49" s="2"/>
      <c r="C49" s="2"/>
      <c r="E49" s="12"/>
      <c r="H49" s="63"/>
      <c r="N49" s="15"/>
      <c r="O49" s="15"/>
      <c r="P49" s="15"/>
      <c r="Q49" s="4"/>
    </row>
    <row r="50" spans="1:17" s="3" customFormat="1" x14ac:dyDescent="0.2">
      <c r="A50" s="11"/>
      <c r="B50" s="2"/>
      <c r="C50" s="2"/>
      <c r="E50" s="12"/>
      <c r="H50" s="63"/>
      <c r="N50" s="15"/>
      <c r="O50" s="15"/>
      <c r="P50" s="15"/>
      <c r="Q50" s="4"/>
    </row>
    <row r="51" spans="1:17" s="3" customFormat="1" x14ac:dyDescent="0.2">
      <c r="A51" s="11"/>
      <c r="B51" s="2"/>
      <c r="C51" s="2"/>
      <c r="E51" s="12"/>
      <c r="H51" s="63"/>
      <c r="N51" s="15"/>
      <c r="O51" s="15"/>
      <c r="P51" s="15"/>
      <c r="Q51" s="4"/>
    </row>
    <row r="52" spans="1:17" s="3" customFormat="1" x14ac:dyDescent="0.2">
      <c r="A52" s="11"/>
      <c r="B52" s="2"/>
      <c r="C52" s="2"/>
      <c r="E52" s="12"/>
      <c r="H52" s="63"/>
      <c r="N52" s="15"/>
      <c r="O52" s="15"/>
      <c r="P52" s="15"/>
      <c r="Q52" s="4"/>
    </row>
    <row r="53" spans="1:17" s="3" customFormat="1" x14ac:dyDescent="0.2">
      <c r="A53" s="11"/>
      <c r="B53" s="2"/>
      <c r="C53" s="2"/>
      <c r="E53" s="12"/>
      <c r="H53" s="63"/>
      <c r="N53" s="15"/>
      <c r="O53" s="15"/>
      <c r="P53" s="15"/>
      <c r="Q53" s="4"/>
    </row>
    <row r="54" spans="1:17" s="3" customFormat="1" x14ac:dyDescent="0.2">
      <c r="A54" s="11"/>
      <c r="B54" s="2"/>
      <c r="C54" s="2"/>
      <c r="E54" s="12"/>
      <c r="H54" s="63"/>
      <c r="N54" s="15"/>
      <c r="O54" s="15"/>
      <c r="P54" s="15"/>
      <c r="Q54" s="4"/>
    </row>
    <row r="55" spans="1:17" s="3" customFormat="1" x14ac:dyDescent="0.2">
      <c r="A55" s="11"/>
      <c r="B55" s="2"/>
      <c r="C55" s="2"/>
      <c r="E55" s="12"/>
      <c r="H55" s="63"/>
      <c r="N55" s="15"/>
      <c r="O55" s="15"/>
      <c r="P55" s="15"/>
      <c r="Q55" s="4"/>
    </row>
  </sheetData>
  <mergeCells count="9">
    <mergeCell ref="A35:L35"/>
    <mergeCell ref="O35:P35"/>
    <mergeCell ref="Q3:Q10"/>
    <mergeCell ref="Q11:Q13"/>
    <mergeCell ref="Q14:Q15"/>
    <mergeCell ref="Q16:Q18"/>
    <mergeCell ref="Q19:Q22"/>
    <mergeCell ref="Q23:Q24"/>
    <mergeCell ref="Q26:Q33"/>
  </mergeCells>
  <conditionalFormatting sqref="B3">
    <cfRule type="duplicateValues" dxfId="191" priority="20"/>
  </conditionalFormatting>
  <conditionalFormatting sqref="B4">
    <cfRule type="duplicateValues" dxfId="190" priority="19"/>
  </conditionalFormatting>
  <conditionalFormatting sqref="B5:B10">
    <cfRule type="duplicateValues" dxfId="189" priority="21"/>
  </conditionalFormatting>
  <conditionalFormatting sqref="B11">
    <cfRule type="duplicateValues" dxfId="188" priority="17"/>
  </conditionalFormatting>
  <conditionalFormatting sqref="B12">
    <cfRule type="duplicateValues" dxfId="187" priority="16"/>
  </conditionalFormatting>
  <conditionalFormatting sqref="B13">
    <cfRule type="duplicateValues" dxfId="186" priority="18"/>
  </conditionalFormatting>
  <conditionalFormatting sqref="B14">
    <cfRule type="duplicateValues" dxfId="185" priority="15"/>
  </conditionalFormatting>
  <conditionalFormatting sqref="B15">
    <cfRule type="duplicateValues" dxfId="184" priority="14"/>
  </conditionalFormatting>
  <conditionalFormatting sqref="B16">
    <cfRule type="duplicateValues" dxfId="183" priority="12"/>
  </conditionalFormatting>
  <conditionalFormatting sqref="B17">
    <cfRule type="duplicateValues" dxfId="182" priority="11"/>
  </conditionalFormatting>
  <conditionalFormatting sqref="B18">
    <cfRule type="duplicateValues" dxfId="181" priority="13"/>
  </conditionalFormatting>
  <conditionalFormatting sqref="B19">
    <cfRule type="duplicateValues" dxfId="180" priority="9"/>
  </conditionalFormatting>
  <conditionalFormatting sqref="B20">
    <cfRule type="duplicateValues" dxfId="179" priority="8"/>
  </conditionalFormatting>
  <conditionalFormatting sqref="B21:B22">
    <cfRule type="duplicateValues" dxfId="178" priority="10"/>
  </conditionalFormatting>
  <conditionalFormatting sqref="B23">
    <cfRule type="duplicateValues" dxfId="177" priority="7"/>
  </conditionalFormatting>
  <conditionalFormatting sqref="B24">
    <cfRule type="duplicateValues" dxfId="176" priority="6"/>
  </conditionalFormatting>
  <conditionalFormatting sqref="B25">
    <cfRule type="duplicateValues" dxfId="175" priority="5"/>
  </conditionalFormatting>
  <conditionalFormatting sqref="B26">
    <cfRule type="duplicateValues" dxfId="174" priority="3"/>
  </conditionalFormatting>
  <conditionalFormatting sqref="B27">
    <cfRule type="duplicateValues" dxfId="173" priority="2"/>
  </conditionalFormatting>
  <conditionalFormatting sqref="B28:B33">
    <cfRule type="duplicateValues" dxfId="172" priority="4"/>
  </conditionalFormatting>
  <conditionalFormatting sqref="B34">
    <cfRule type="duplicateValues" dxfId="171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31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Q13" sqref="Q13"/>
    </sheetView>
  </sheetViews>
  <sheetFormatPr defaultRowHeight="15" x14ac:dyDescent="0.2"/>
  <cols>
    <col min="1" max="1" width="7" style="4" customWidth="1"/>
    <col min="2" max="2" width="18.5703125" style="2" customWidth="1"/>
    <col min="3" max="3" width="14.5703125" style="2" customWidth="1"/>
    <col min="4" max="4" width="10.5703125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132">
        <v>405808</v>
      </c>
      <c r="B3" s="73" t="s">
        <v>58</v>
      </c>
      <c r="C3" s="9" t="s">
        <v>59</v>
      </c>
      <c r="D3" s="75" t="s">
        <v>67</v>
      </c>
      <c r="E3" s="13">
        <v>44533</v>
      </c>
      <c r="F3" s="75" t="s">
        <v>69</v>
      </c>
      <c r="G3" s="13">
        <v>44556</v>
      </c>
      <c r="H3" s="10" t="s">
        <v>68</v>
      </c>
      <c r="I3" s="1">
        <v>50</v>
      </c>
      <c r="J3" s="1">
        <v>45</v>
      </c>
      <c r="K3" s="1">
        <v>13</v>
      </c>
      <c r="L3" s="1">
        <v>5</v>
      </c>
      <c r="M3" s="79">
        <v>7.3125</v>
      </c>
      <c r="N3" s="95">
        <v>8</v>
      </c>
      <c r="O3" s="64">
        <v>6000</v>
      </c>
      <c r="P3" s="65">
        <f>Table224578910112[[#This Row],[PEMBULATAN]]*O3</f>
        <v>48000</v>
      </c>
      <c r="Q3" s="192">
        <v>8</v>
      </c>
    </row>
    <row r="4" spans="1:17" ht="26.25" customHeight="1" x14ac:dyDescent="0.2">
      <c r="A4" s="14"/>
      <c r="B4" s="74"/>
      <c r="C4" s="9" t="s">
        <v>60</v>
      </c>
      <c r="D4" s="75" t="s">
        <v>67</v>
      </c>
      <c r="E4" s="13">
        <v>44533</v>
      </c>
      <c r="F4" s="75" t="s">
        <v>69</v>
      </c>
      <c r="G4" s="13">
        <v>44556</v>
      </c>
      <c r="H4" s="10" t="s">
        <v>68</v>
      </c>
      <c r="I4" s="1">
        <v>46</v>
      </c>
      <c r="J4" s="1">
        <v>46</v>
      </c>
      <c r="K4" s="1">
        <v>44</v>
      </c>
      <c r="L4" s="1">
        <v>15</v>
      </c>
      <c r="M4" s="79">
        <v>23.276</v>
      </c>
      <c r="N4" s="95">
        <v>23.276</v>
      </c>
      <c r="O4" s="64">
        <v>6000</v>
      </c>
      <c r="P4" s="65">
        <f>Table224578910112[[#This Row],[PEMBULATAN]]*O4</f>
        <v>139656</v>
      </c>
      <c r="Q4" s="193"/>
    </row>
    <row r="5" spans="1:17" ht="26.25" customHeight="1" x14ac:dyDescent="0.2">
      <c r="A5" s="14"/>
      <c r="B5" s="14"/>
      <c r="C5" s="9" t="s">
        <v>61</v>
      </c>
      <c r="D5" s="75" t="s">
        <v>67</v>
      </c>
      <c r="E5" s="13">
        <v>44533</v>
      </c>
      <c r="F5" s="75" t="s">
        <v>69</v>
      </c>
      <c r="G5" s="13">
        <v>44556</v>
      </c>
      <c r="H5" s="10" t="s">
        <v>68</v>
      </c>
      <c r="I5" s="1">
        <v>50</v>
      </c>
      <c r="J5" s="1">
        <v>45</v>
      </c>
      <c r="K5" s="1">
        <v>13</v>
      </c>
      <c r="L5" s="1">
        <v>5</v>
      </c>
      <c r="M5" s="79">
        <v>7.3125</v>
      </c>
      <c r="N5" s="95">
        <v>8</v>
      </c>
      <c r="O5" s="64">
        <v>6000</v>
      </c>
      <c r="P5" s="65">
        <f>Table224578910112[[#This Row],[PEMBULATAN]]*O5</f>
        <v>48000</v>
      </c>
      <c r="Q5" s="193"/>
    </row>
    <row r="6" spans="1:17" ht="26.25" customHeight="1" x14ac:dyDescent="0.2">
      <c r="A6" s="14"/>
      <c r="B6" s="14"/>
      <c r="C6" s="72" t="s">
        <v>62</v>
      </c>
      <c r="D6" s="77" t="s">
        <v>67</v>
      </c>
      <c r="E6" s="13">
        <v>44533</v>
      </c>
      <c r="F6" s="75" t="s">
        <v>69</v>
      </c>
      <c r="G6" s="13">
        <v>44556</v>
      </c>
      <c r="H6" s="76" t="s">
        <v>68</v>
      </c>
      <c r="I6" s="16">
        <v>46</v>
      </c>
      <c r="J6" s="16">
        <v>46</v>
      </c>
      <c r="K6" s="16">
        <v>44</v>
      </c>
      <c r="L6" s="16">
        <v>15</v>
      </c>
      <c r="M6" s="80">
        <v>23.276</v>
      </c>
      <c r="N6" s="95">
        <v>23.276</v>
      </c>
      <c r="O6" s="64">
        <v>6000</v>
      </c>
      <c r="P6" s="65">
        <f>Table224578910112[[#This Row],[PEMBULATAN]]*O6</f>
        <v>139656</v>
      </c>
      <c r="Q6" s="193"/>
    </row>
    <row r="7" spans="1:17" ht="26.25" customHeight="1" x14ac:dyDescent="0.2">
      <c r="A7" s="14"/>
      <c r="B7" s="14"/>
      <c r="C7" s="72" t="s">
        <v>63</v>
      </c>
      <c r="D7" s="77" t="s">
        <v>67</v>
      </c>
      <c r="E7" s="13">
        <v>44533</v>
      </c>
      <c r="F7" s="75" t="s">
        <v>69</v>
      </c>
      <c r="G7" s="13">
        <v>44556</v>
      </c>
      <c r="H7" s="76" t="s">
        <v>68</v>
      </c>
      <c r="I7" s="16">
        <v>50</v>
      </c>
      <c r="J7" s="16">
        <v>45</v>
      </c>
      <c r="K7" s="16">
        <v>13</v>
      </c>
      <c r="L7" s="16">
        <v>5</v>
      </c>
      <c r="M7" s="80">
        <v>7.3125</v>
      </c>
      <c r="N7" s="95">
        <v>8</v>
      </c>
      <c r="O7" s="64">
        <v>6000</v>
      </c>
      <c r="P7" s="65">
        <f>Table224578910112[[#This Row],[PEMBULATAN]]*O7</f>
        <v>48000</v>
      </c>
      <c r="Q7" s="193"/>
    </row>
    <row r="8" spans="1:17" ht="26.25" customHeight="1" x14ac:dyDescent="0.2">
      <c r="A8" s="14"/>
      <c r="B8" s="14"/>
      <c r="C8" s="72" t="s">
        <v>64</v>
      </c>
      <c r="D8" s="77" t="s">
        <v>67</v>
      </c>
      <c r="E8" s="13">
        <v>44533</v>
      </c>
      <c r="F8" s="75" t="s">
        <v>69</v>
      </c>
      <c r="G8" s="13">
        <v>44556</v>
      </c>
      <c r="H8" s="76" t="s">
        <v>68</v>
      </c>
      <c r="I8" s="16">
        <v>56</v>
      </c>
      <c r="J8" s="16">
        <v>46</v>
      </c>
      <c r="K8" s="16">
        <v>36</v>
      </c>
      <c r="L8" s="16">
        <v>10</v>
      </c>
      <c r="M8" s="80">
        <v>23.184000000000001</v>
      </c>
      <c r="N8" s="95">
        <v>23.184000000000001</v>
      </c>
      <c r="O8" s="64">
        <v>6000</v>
      </c>
      <c r="P8" s="65">
        <f>Table224578910112[[#This Row],[PEMBULATAN]]*O8</f>
        <v>139104</v>
      </c>
      <c r="Q8" s="193"/>
    </row>
    <row r="9" spans="1:17" ht="26.25" customHeight="1" x14ac:dyDescent="0.2">
      <c r="A9" s="14"/>
      <c r="B9" s="14"/>
      <c r="C9" s="72" t="s">
        <v>65</v>
      </c>
      <c r="D9" s="77" t="s">
        <v>67</v>
      </c>
      <c r="E9" s="13">
        <v>44533</v>
      </c>
      <c r="F9" s="75" t="s">
        <v>69</v>
      </c>
      <c r="G9" s="13">
        <v>44556</v>
      </c>
      <c r="H9" s="76" t="s">
        <v>68</v>
      </c>
      <c r="I9" s="16">
        <v>58</v>
      </c>
      <c r="J9" s="16">
        <v>18</v>
      </c>
      <c r="K9" s="16">
        <v>18</v>
      </c>
      <c r="L9" s="16">
        <v>4</v>
      </c>
      <c r="M9" s="80">
        <v>4.6980000000000004</v>
      </c>
      <c r="N9" s="95">
        <v>4.6980000000000004</v>
      </c>
      <c r="O9" s="64">
        <v>6000</v>
      </c>
      <c r="P9" s="65">
        <f>Table224578910112[[#This Row],[PEMBULATAN]]*O9</f>
        <v>28188.000000000004</v>
      </c>
      <c r="Q9" s="193"/>
    </row>
    <row r="10" spans="1:17" ht="26.25" customHeight="1" x14ac:dyDescent="0.2">
      <c r="A10" s="14"/>
      <c r="B10" s="14"/>
      <c r="C10" s="72" t="s">
        <v>66</v>
      </c>
      <c r="D10" s="77" t="s">
        <v>67</v>
      </c>
      <c r="E10" s="13">
        <v>44533</v>
      </c>
      <c r="F10" s="75" t="s">
        <v>69</v>
      </c>
      <c r="G10" s="13">
        <v>44556</v>
      </c>
      <c r="H10" s="76" t="s">
        <v>68</v>
      </c>
      <c r="I10" s="16">
        <v>43</v>
      </c>
      <c r="J10" s="16">
        <v>35</v>
      </c>
      <c r="K10" s="16">
        <v>30</v>
      </c>
      <c r="L10" s="16">
        <v>4</v>
      </c>
      <c r="M10" s="80">
        <v>11.2875</v>
      </c>
      <c r="N10" s="95">
        <v>11.2875</v>
      </c>
      <c r="O10" s="64">
        <v>6000</v>
      </c>
      <c r="P10" s="65">
        <f>Table224578910112[[#This Row],[PEMBULATAN]]*O10</f>
        <v>67725</v>
      </c>
      <c r="Q10" s="195"/>
    </row>
    <row r="11" spans="1:17" ht="22.5" customHeight="1" x14ac:dyDescent="0.2">
      <c r="A11" s="199" t="s">
        <v>30</v>
      </c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1"/>
      <c r="M11" s="78">
        <f>SUBTOTAL(109,Table224578910112[KG VOLUME])</f>
        <v>107.65899999999999</v>
      </c>
      <c r="N11" s="68">
        <f>SUM(N3:N10)</f>
        <v>109.72149999999999</v>
      </c>
      <c r="O11" s="202">
        <f>SUM(P3:P10)</f>
        <v>658329</v>
      </c>
      <c r="P11" s="203"/>
    </row>
    <row r="12" spans="1:17" ht="18" customHeight="1" x14ac:dyDescent="0.2">
      <c r="A12" s="85"/>
      <c r="B12" s="56" t="s">
        <v>42</v>
      </c>
      <c r="C12" s="55"/>
      <c r="D12" s="57" t="s">
        <v>43</v>
      </c>
      <c r="E12" s="85"/>
      <c r="F12" s="85"/>
      <c r="G12" s="85"/>
      <c r="H12" s="85"/>
      <c r="I12" s="85"/>
      <c r="J12" s="85"/>
      <c r="K12" s="85"/>
      <c r="L12" s="85"/>
      <c r="M12" s="86"/>
      <c r="N12" s="87" t="s">
        <v>51</v>
      </c>
      <c r="O12" s="88"/>
      <c r="P12" s="88">
        <f>O11*10%</f>
        <v>65832.900000000009</v>
      </c>
    </row>
    <row r="13" spans="1:17" ht="18" customHeight="1" thickBot="1" x14ac:dyDescent="0.25">
      <c r="A13" s="85"/>
      <c r="B13" s="56"/>
      <c r="C13" s="55"/>
      <c r="D13" s="57"/>
      <c r="E13" s="85"/>
      <c r="F13" s="85"/>
      <c r="G13" s="85"/>
      <c r="H13" s="85"/>
      <c r="I13" s="85"/>
      <c r="J13" s="85"/>
      <c r="K13" s="85"/>
      <c r="L13" s="85"/>
      <c r="M13" s="86"/>
      <c r="N13" s="89" t="s">
        <v>52</v>
      </c>
      <c r="O13" s="90"/>
      <c r="P13" s="90">
        <f>O11-P12</f>
        <v>592496.1</v>
      </c>
    </row>
    <row r="14" spans="1:17" ht="18" customHeight="1" x14ac:dyDescent="0.2">
      <c r="A14" s="11"/>
      <c r="H14" s="63"/>
      <c r="N14" s="62" t="s">
        <v>31</v>
      </c>
      <c r="P14" s="69">
        <f>P13*1%</f>
        <v>5924.9610000000002</v>
      </c>
    </row>
    <row r="15" spans="1:17" ht="18" customHeight="1" thickBot="1" x14ac:dyDescent="0.25">
      <c r="A15" s="11"/>
      <c r="H15" s="63"/>
      <c r="N15" s="62" t="s">
        <v>53</v>
      </c>
      <c r="P15" s="71">
        <f>P13*2%</f>
        <v>11849.922</v>
      </c>
    </row>
    <row r="16" spans="1:17" ht="18" customHeight="1" x14ac:dyDescent="0.2">
      <c r="A16" s="11"/>
      <c r="H16" s="63"/>
      <c r="N16" s="66" t="s">
        <v>32</v>
      </c>
      <c r="O16" s="67"/>
      <c r="P16" s="70">
        <f>P13+P14-P15</f>
        <v>586571.13899999997</v>
      </c>
    </row>
    <row r="18" spans="1:16" x14ac:dyDescent="0.2">
      <c r="A18" s="11"/>
      <c r="H18" s="63"/>
      <c r="P18" s="71"/>
    </row>
    <row r="19" spans="1:16" x14ac:dyDescent="0.2">
      <c r="A19" s="11"/>
      <c r="H19" s="63"/>
      <c r="O19" s="58"/>
      <c r="P19" s="71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3"/>
      <c r="N26" s="15"/>
      <c r="O26" s="15"/>
      <c r="P26" s="15"/>
    </row>
    <row r="27" spans="1:16" s="3" customFormat="1" x14ac:dyDescent="0.25">
      <c r="A27" s="11"/>
      <c r="B27" s="2"/>
      <c r="C27" s="2"/>
      <c r="E27" s="12"/>
      <c r="H27" s="63"/>
      <c r="N27" s="15"/>
      <c r="O27" s="15"/>
      <c r="P27" s="15"/>
    </row>
    <row r="28" spans="1:16" s="3" customFormat="1" x14ac:dyDescent="0.25">
      <c r="A28" s="11"/>
      <c r="B28" s="2"/>
      <c r="C28" s="2"/>
      <c r="E28" s="12"/>
      <c r="H28" s="63"/>
      <c r="N28" s="15"/>
      <c r="O28" s="15"/>
      <c r="P28" s="15"/>
    </row>
    <row r="29" spans="1:16" s="3" customFormat="1" x14ac:dyDescent="0.25">
      <c r="A29" s="11"/>
      <c r="B29" s="2"/>
      <c r="C29" s="2"/>
      <c r="E29" s="12"/>
      <c r="H29" s="63"/>
      <c r="N29" s="15"/>
      <c r="O29" s="15"/>
      <c r="P29" s="15"/>
    </row>
    <row r="30" spans="1:16" s="3" customFormat="1" x14ac:dyDescent="0.25">
      <c r="A30" s="11"/>
      <c r="B30" s="2"/>
      <c r="C30" s="2"/>
      <c r="E30" s="12"/>
      <c r="H30" s="63"/>
      <c r="N30" s="15"/>
      <c r="O30" s="15"/>
      <c r="P30" s="15"/>
    </row>
    <row r="31" spans="1:16" s="3" customFormat="1" x14ac:dyDescent="0.25">
      <c r="A31" s="11"/>
      <c r="B31" s="2"/>
      <c r="C31" s="2"/>
      <c r="E31" s="12"/>
      <c r="H31" s="63"/>
      <c r="N31" s="15"/>
      <c r="O31" s="15"/>
      <c r="P31" s="15"/>
    </row>
  </sheetData>
  <mergeCells count="3">
    <mergeCell ref="A11:L11"/>
    <mergeCell ref="O11:P11"/>
    <mergeCell ref="Q3:Q10"/>
  </mergeCells>
  <conditionalFormatting sqref="B3">
    <cfRule type="duplicateValues" dxfId="155" priority="2"/>
  </conditionalFormatting>
  <conditionalFormatting sqref="B4">
    <cfRule type="duplicateValues" dxfId="154" priority="1"/>
  </conditionalFormatting>
  <conditionalFormatting sqref="B5:B10">
    <cfRule type="duplicateValues" dxfId="153" priority="28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6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G14" sqref="G14"/>
    </sheetView>
  </sheetViews>
  <sheetFormatPr defaultRowHeight="15" x14ac:dyDescent="0.2"/>
  <cols>
    <col min="1" max="1" width="6.7109375" style="4" customWidth="1"/>
    <col min="2" max="2" width="18.8554687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406457</v>
      </c>
      <c r="B3" s="73" t="s">
        <v>70</v>
      </c>
      <c r="C3" s="9" t="s">
        <v>71</v>
      </c>
      <c r="D3" s="75" t="s">
        <v>67</v>
      </c>
      <c r="E3" s="13">
        <v>44540</v>
      </c>
      <c r="F3" s="75" t="s">
        <v>69</v>
      </c>
      <c r="G3" s="13">
        <v>44558</v>
      </c>
      <c r="H3" s="10" t="s">
        <v>68</v>
      </c>
      <c r="I3" s="1">
        <v>76</v>
      </c>
      <c r="J3" s="1">
        <v>42</v>
      </c>
      <c r="K3" s="1">
        <v>40</v>
      </c>
      <c r="L3" s="1">
        <v>14</v>
      </c>
      <c r="M3" s="79">
        <v>31.92</v>
      </c>
      <c r="N3" s="95">
        <v>31.92</v>
      </c>
      <c r="O3" s="64">
        <v>6000</v>
      </c>
      <c r="P3" s="65">
        <f>Table2245789101123[[#This Row],[PEMBULATAN]]*O3</f>
        <v>191520</v>
      </c>
      <c r="Q3" s="192">
        <v>3</v>
      </c>
    </row>
    <row r="4" spans="1:17" ht="26.25" customHeight="1" x14ac:dyDescent="0.2">
      <c r="A4" s="14"/>
      <c r="B4" s="74"/>
      <c r="C4" s="9" t="s">
        <v>72</v>
      </c>
      <c r="D4" s="75" t="s">
        <v>67</v>
      </c>
      <c r="E4" s="13">
        <v>44540</v>
      </c>
      <c r="F4" s="75" t="s">
        <v>69</v>
      </c>
      <c r="G4" s="13">
        <v>44558</v>
      </c>
      <c r="H4" s="10" t="s">
        <v>68</v>
      </c>
      <c r="I4" s="1">
        <v>23</v>
      </c>
      <c r="J4" s="1">
        <v>19</v>
      </c>
      <c r="K4" s="1">
        <v>10</v>
      </c>
      <c r="L4" s="1">
        <v>2</v>
      </c>
      <c r="M4" s="79">
        <v>1.0925</v>
      </c>
      <c r="N4" s="95">
        <v>2</v>
      </c>
      <c r="O4" s="64">
        <v>6000</v>
      </c>
      <c r="P4" s="65">
        <f>Table2245789101123[[#This Row],[PEMBULATAN]]*O4</f>
        <v>12000</v>
      </c>
      <c r="Q4" s="193"/>
    </row>
    <row r="5" spans="1:17" ht="26.25" customHeight="1" x14ac:dyDescent="0.2">
      <c r="A5" s="14"/>
      <c r="B5" s="14"/>
      <c r="C5" s="9" t="s">
        <v>73</v>
      </c>
      <c r="D5" s="75" t="s">
        <v>67</v>
      </c>
      <c r="E5" s="13">
        <v>44540</v>
      </c>
      <c r="F5" s="75" t="s">
        <v>69</v>
      </c>
      <c r="G5" s="13">
        <v>44558</v>
      </c>
      <c r="H5" s="10" t="s">
        <v>68</v>
      </c>
      <c r="I5" s="1">
        <v>76</v>
      </c>
      <c r="J5" s="1">
        <v>42</v>
      </c>
      <c r="K5" s="1">
        <v>40</v>
      </c>
      <c r="L5" s="1">
        <v>14</v>
      </c>
      <c r="M5" s="79">
        <v>31.92</v>
      </c>
      <c r="N5" s="95">
        <v>31.92</v>
      </c>
      <c r="O5" s="64">
        <v>6000</v>
      </c>
      <c r="P5" s="65">
        <f>Table2245789101123[[#This Row],[PEMBULATAN]]*O5</f>
        <v>191520</v>
      </c>
      <c r="Q5" s="195"/>
    </row>
    <row r="6" spans="1:17" ht="22.5" customHeight="1" x14ac:dyDescent="0.2">
      <c r="A6" s="199" t="s">
        <v>30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1"/>
      <c r="M6" s="78">
        <f>SUBTOTAL(109,Table2245789101123[KG VOLUME])</f>
        <v>64.932500000000005</v>
      </c>
      <c r="N6" s="68">
        <f>SUM(N3:N5)</f>
        <v>65.84</v>
      </c>
      <c r="O6" s="202">
        <f>SUM(P3:P5)</f>
        <v>395040</v>
      </c>
      <c r="P6" s="203"/>
    </row>
    <row r="7" spans="1:17" ht="18" customHeight="1" x14ac:dyDescent="0.2">
      <c r="A7" s="85"/>
      <c r="B7" s="56" t="s">
        <v>42</v>
      </c>
      <c r="C7" s="55"/>
      <c r="D7" s="57" t="s">
        <v>43</v>
      </c>
      <c r="E7" s="85"/>
      <c r="F7" s="85"/>
      <c r="G7" s="85"/>
      <c r="H7" s="85"/>
      <c r="I7" s="85"/>
      <c r="J7" s="85"/>
      <c r="K7" s="85"/>
      <c r="L7" s="85"/>
      <c r="M7" s="86"/>
      <c r="N7" s="87" t="s">
        <v>51</v>
      </c>
      <c r="O7" s="88"/>
      <c r="P7" s="88">
        <f>O6*10%</f>
        <v>39504</v>
      </c>
    </row>
    <row r="8" spans="1:17" ht="18" customHeight="1" thickBot="1" x14ac:dyDescent="0.25">
      <c r="A8" s="85"/>
      <c r="B8" s="56"/>
      <c r="C8" s="55"/>
      <c r="D8" s="57"/>
      <c r="E8" s="85"/>
      <c r="F8" s="85"/>
      <c r="G8" s="85"/>
      <c r="H8" s="85"/>
      <c r="I8" s="85"/>
      <c r="J8" s="85"/>
      <c r="K8" s="85"/>
      <c r="L8" s="85"/>
      <c r="M8" s="86"/>
      <c r="N8" s="89" t="s">
        <v>52</v>
      </c>
      <c r="O8" s="90"/>
      <c r="P8" s="90">
        <f>O6-P7</f>
        <v>355536</v>
      </c>
    </row>
    <row r="9" spans="1:17" ht="18" customHeight="1" x14ac:dyDescent="0.2">
      <c r="A9" s="11"/>
      <c r="H9" s="63"/>
      <c r="N9" s="62" t="s">
        <v>31</v>
      </c>
      <c r="P9" s="69">
        <f>P8*1%</f>
        <v>3555.36</v>
      </c>
    </row>
    <row r="10" spans="1:17" ht="18" customHeight="1" thickBot="1" x14ac:dyDescent="0.25">
      <c r="A10" s="11"/>
      <c r="H10" s="63"/>
      <c r="N10" s="62" t="s">
        <v>53</v>
      </c>
      <c r="P10" s="71">
        <f>P8*2%</f>
        <v>7110.72</v>
      </c>
    </row>
    <row r="11" spans="1:17" ht="18" customHeight="1" x14ac:dyDescent="0.2">
      <c r="A11" s="11"/>
      <c r="H11" s="63"/>
      <c r="N11" s="66" t="s">
        <v>32</v>
      </c>
      <c r="O11" s="67"/>
      <c r="P11" s="70">
        <f>P8+P9-P10</f>
        <v>351980.64</v>
      </c>
    </row>
    <row r="13" spans="1:17" x14ac:dyDescent="0.2">
      <c r="A13" s="11"/>
      <c r="H13" s="63"/>
      <c r="P13" s="71"/>
    </row>
    <row r="14" spans="1:17" x14ac:dyDescent="0.2">
      <c r="A14" s="11"/>
      <c r="H14" s="63"/>
      <c r="O14" s="58"/>
      <c r="P14" s="71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3"/>
      <c r="N26" s="15"/>
      <c r="O26" s="15"/>
      <c r="P26" s="15"/>
    </row>
  </sheetData>
  <mergeCells count="3">
    <mergeCell ref="A6:L6"/>
    <mergeCell ref="O6:P6"/>
    <mergeCell ref="Q3:Q5"/>
  </mergeCells>
  <conditionalFormatting sqref="B3">
    <cfRule type="duplicateValues" dxfId="137" priority="2"/>
  </conditionalFormatting>
  <conditionalFormatting sqref="B4">
    <cfRule type="duplicateValues" dxfId="136" priority="1"/>
  </conditionalFormatting>
  <conditionalFormatting sqref="B5">
    <cfRule type="duplicateValues" dxfId="135" priority="29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5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D7" sqref="D7"/>
    </sheetView>
  </sheetViews>
  <sheetFormatPr defaultRowHeight="15" x14ac:dyDescent="0.2"/>
  <cols>
    <col min="1" max="1" width="6.7109375" style="4" customWidth="1"/>
    <col min="2" max="2" width="19.14062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402677</v>
      </c>
      <c r="B3" s="73" t="s">
        <v>74</v>
      </c>
      <c r="C3" s="9" t="s">
        <v>75</v>
      </c>
      <c r="D3" s="75" t="s">
        <v>67</v>
      </c>
      <c r="E3" s="13">
        <v>44547</v>
      </c>
      <c r="F3" s="75" t="s">
        <v>69</v>
      </c>
      <c r="G3" s="13">
        <v>44569</v>
      </c>
      <c r="H3" s="10" t="s">
        <v>77</v>
      </c>
      <c r="I3" s="1">
        <v>64</v>
      </c>
      <c r="J3" s="1">
        <v>41</v>
      </c>
      <c r="K3" s="1">
        <v>68</v>
      </c>
      <c r="L3" s="1">
        <v>10</v>
      </c>
      <c r="M3" s="79">
        <v>44.607999999999997</v>
      </c>
      <c r="N3" s="95">
        <v>44.607999999999997</v>
      </c>
      <c r="O3" s="64">
        <v>6000</v>
      </c>
      <c r="P3" s="65">
        <f>Table22457891011234[[#This Row],[PEMBULATAN]]*O3</f>
        <v>267648</v>
      </c>
      <c r="Q3" s="197">
        <v>2</v>
      </c>
    </row>
    <row r="4" spans="1:17" ht="26.25" customHeight="1" x14ac:dyDescent="0.2">
      <c r="A4" s="14"/>
      <c r="B4" s="74"/>
      <c r="C4" s="9" t="s">
        <v>76</v>
      </c>
      <c r="D4" s="75" t="s">
        <v>67</v>
      </c>
      <c r="E4" s="13">
        <v>44547</v>
      </c>
      <c r="F4" s="75" t="s">
        <v>69</v>
      </c>
      <c r="G4" s="13">
        <v>44569</v>
      </c>
      <c r="H4" s="10" t="s">
        <v>77</v>
      </c>
      <c r="I4" s="1">
        <v>33</v>
      </c>
      <c r="J4" s="1">
        <v>33</v>
      </c>
      <c r="K4" s="1">
        <v>41</v>
      </c>
      <c r="L4" s="1">
        <v>14</v>
      </c>
      <c r="M4" s="79">
        <v>11.16225</v>
      </c>
      <c r="N4" s="95">
        <v>14</v>
      </c>
      <c r="O4" s="64">
        <v>6000</v>
      </c>
      <c r="P4" s="65">
        <f>Table22457891011234[[#This Row],[PEMBULATAN]]*O4</f>
        <v>84000</v>
      </c>
      <c r="Q4" s="197"/>
    </row>
    <row r="5" spans="1:17" ht="22.5" customHeight="1" x14ac:dyDescent="0.2">
      <c r="A5" s="199" t="s">
        <v>30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1"/>
      <c r="M5" s="78">
        <f>SUBTOTAL(109,Table22457891011234[KG VOLUME])</f>
        <v>55.770249999999997</v>
      </c>
      <c r="N5" s="68">
        <f>SUM(N3:N4)</f>
        <v>58.607999999999997</v>
      </c>
      <c r="O5" s="202">
        <f>SUM(P3:P4)</f>
        <v>351648</v>
      </c>
      <c r="P5" s="203"/>
    </row>
    <row r="6" spans="1:17" ht="18" customHeight="1" x14ac:dyDescent="0.2">
      <c r="A6" s="85"/>
      <c r="B6" s="56" t="s">
        <v>42</v>
      </c>
      <c r="C6" s="55"/>
      <c r="D6" s="57" t="s">
        <v>43</v>
      </c>
      <c r="E6" s="85"/>
      <c r="F6" s="85"/>
      <c r="G6" s="85"/>
      <c r="H6" s="85"/>
      <c r="I6" s="85"/>
      <c r="J6" s="85"/>
      <c r="K6" s="85"/>
      <c r="L6" s="85"/>
      <c r="M6" s="86"/>
      <c r="N6" s="87" t="s">
        <v>51</v>
      </c>
      <c r="O6" s="88"/>
      <c r="P6" s="88">
        <f>O5*10%</f>
        <v>35164.800000000003</v>
      </c>
    </row>
    <row r="7" spans="1:17" ht="18" customHeight="1" thickBot="1" x14ac:dyDescent="0.25">
      <c r="A7" s="85"/>
      <c r="B7" s="56"/>
      <c r="C7" s="55"/>
      <c r="D7" s="57"/>
      <c r="E7" s="85"/>
      <c r="F7" s="85"/>
      <c r="G7" s="85"/>
      <c r="H7" s="85"/>
      <c r="I7" s="85"/>
      <c r="J7" s="85"/>
      <c r="K7" s="85"/>
      <c r="L7" s="85"/>
      <c r="M7" s="86"/>
      <c r="N7" s="89" t="s">
        <v>52</v>
      </c>
      <c r="O7" s="90"/>
      <c r="P7" s="90">
        <f>O5-P6</f>
        <v>316483.20000000001</v>
      </c>
    </row>
    <row r="8" spans="1:17" ht="18" customHeight="1" x14ac:dyDescent="0.2">
      <c r="A8" s="11"/>
      <c r="H8" s="63"/>
      <c r="N8" s="62" t="s">
        <v>31</v>
      </c>
      <c r="P8" s="69">
        <f>P7*1%</f>
        <v>3164.8320000000003</v>
      </c>
    </row>
    <row r="9" spans="1:17" ht="18" customHeight="1" thickBot="1" x14ac:dyDescent="0.25">
      <c r="A9" s="11"/>
      <c r="H9" s="63"/>
      <c r="N9" s="62" t="s">
        <v>53</v>
      </c>
      <c r="P9" s="71">
        <f>P7*2%</f>
        <v>6329.6640000000007</v>
      </c>
    </row>
    <row r="10" spans="1:17" ht="18" customHeight="1" x14ac:dyDescent="0.2">
      <c r="A10" s="11"/>
      <c r="H10" s="63"/>
      <c r="N10" s="66" t="s">
        <v>32</v>
      </c>
      <c r="O10" s="67"/>
      <c r="P10" s="70">
        <f>P7+P8-P9</f>
        <v>313318.36800000002</v>
      </c>
    </row>
    <row r="12" spans="1:17" x14ac:dyDescent="0.2">
      <c r="A12" s="11"/>
      <c r="H12" s="63"/>
      <c r="P12" s="71"/>
    </row>
    <row r="13" spans="1:17" x14ac:dyDescent="0.2">
      <c r="A13" s="11"/>
      <c r="H13" s="63"/>
      <c r="O13" s="58"/>
      <c r="P13" s="71"/>
    </row>
    <row r="14" spans="1:17" s="3" customFormat="1" x14ac:dyDescent="0.25">
      <c r="A14" s="1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</sheetData>
  <mergeCells count="3">
    <mergeCell ref="A5:L5"/>
    <mergeCell ref="O5:P5"/>
    <mergeCell ref="Q3:Q4"/>
  </mergeCells>
  <conditionalFormatting sqref="B3">
    <cfRule type="duplicateValues" dxfId="119" priority="2"/>
  </conditionalFormatting>
  <conditionalFormatting sqref="B4">
    <cfRule type="duplicateValues" dxfId="118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6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J10" sqref="J10"/>
    </sheetView>
  </sheetViews>
  <sheetFormatPr defaultRowHeight="15" x14ac:dyDescent="0.2"/>
  <cols>
    <col min="1" max="1" width="6.7109375" style="169" customWidth="1"/>
    <col min="2" max="2" width="19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402690</v>
      </c>
      <c r="B3" s="73" t="s">
        <v>78</v>
      </c>
      <c r="C3" s="9" t="s">
        <v>79</v>
      </c>
      <c r="D3" s="75" t="s">
        <v>67</v>
      </c>
      <c r="E3" s="13">
        <v>44548</v>
      </c>
      <c r="F3" s="75" t="s">
        <v>69</v>
      </c>
      <c r="G3" s="13">
        <v>44569</v>
      </c>
      <c r="H3" s="10" t="s">
        <v>77</v>
      </c>
      <c r="I3" s="1">
        <v>52</v>
      </c>
      <c r="J3" s="1">
        <v>8</v>
      </c>
      <c r="K3" s="1">
        <v>8</v>
      </c>
      <c r="L3" s="1">
        <v>4</v>
      </c>
      <c r="M3" s="79">
        <v>0.83199999999999996</v>
      </c>
      <c r="N3" s="8">
        <v>4</v>
      </c>
      <c r="O3" s="64">
        <v>6000</v>
      </c>
      <c r="P3" s="65">
        <f>Table224578910112345[[#This Row],[PEMBULATAN]]*O3</f>
        <v>24000</v>
      </c>
      <c r="Q3" s="197">
        <v>3</v>
      </c>
    </row>
    <row r="4" spans="1:17" ht="26.25" customHeight="1" x14ac:dyDescent="0.2">
      <c r="A4" s="14"/>
      <c r="B4" s="74"/>
      <c r="C4" s="9" t="s">
        <v>80</v>
      </c>
      <c r="D4" s="75" t="s">
        <v>67</v>
      </c>
      <c r="E4" s="13">
        <v>44548</v>
      </c>
      <c r="F4" s="75" t="s">
        <v>69</v>
      </c>
      <c r="G4" s="13">
        <v>44569</v>
      </c>
      <c r="H4" s="10" t="s">
        <v>77</v>
      </c>
      <c r="I4" s="1">
        <v>148</v>
      </c>
      <c r="J4" s="1">
        <v>64</v>
      </c>
      <c r="K4" s="1">
        <v>12</v>
      </c>
      <c r="L4" s="1">
        <v>7</v>
      </c>
      <c r="M4" s="79">
        <v>28.416</v>
      </c>
      <c r="N4" s="8">
        <v>29</v>
      </c>
      <c r="O4" s="64">
        <v>6000</v>
      </c>
      <c r="P4" s="65">
        <f>Table224578910112345[[#This Row],[PEMBULATAN]]*O4</f>
        <v>174000</v>
      </c>
      <c r="Q4" s="197"/>
    </row>
    <row r="5" spans="1:17" ht="26.25" customHeight="1" x14ac:dyDescent="0.2">
      <c r="A5" s="14"/>
      <c r="B5" s="14"/>
      <c r="C5" s="9" t="s">
        <v>81</v>
      </c>
      <c r="D5" s="75" t="s">
        <v>67</v>
      </c>
      <c r="E5" s="13">
        <v>44548</v>
      </c>
      <c r="F5" s="75" t="s">
        <v>69</v>
      </c>
      <c r="G5" s="13">
        <v>44569</v>
      </c>
      <c r="H5" s="10" t="s">
        <v>77</v>
      </c>
      <c r="I5" s="1">
        <v>148</v>
      </c>
      <c r="J5" s="1">
        <v>64</v>
      </c>
      <c r="K5" s="1">
        <v>12</v>
      </c>
      <c r="L5" s="1">
        <v>7</v>
      </c>
      <c r="M5" s="79">
        <v>28.416</v>
      </c>
      <c r="N5" s="8">
        <v>29</v>
      </c>
      <c r="O5" s="64">
        <v>6000</v>
      </c>
      <c r="P5" s="65">
        <f>Table224578910112345[[#This Row],[PEMBULATAN]]*O5</f>
        <v>174000</v>
      </c>
      <c r="Q5" s="197"/>
    </row>
    <row r="6" spans="1:17" ht="22.5" customHeight="1" x14ac:dyDescent="0.2">
      <c r="A6" s="199" t="s">
        <v>30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1"/>
      <c r="M6" s="78">
        <f>SUBTOTAL(109,Table224578910112345[KG VOLUME])</f>
        <v>57.664000000000001</v>
      </c>
      <c r="N6" s="68">
        <f>SUM(N3:N5)</f>
        <v>62</v>
      </c>
      <c r="O6" s="202">
        <f>SUM(P3:P5)</f>
        <v>372000</v>
      </c>
      <c r="P6" s="203"/>
    </row>
    <row r="7" spans="1:17" ht="18" customHeight="1" x14ac:dyDescent="0.2">
      <c r="A7" s="170"/>
      <c r="B7" s="56" t="s">
        <v>42</v>
      </c>
      <c r="C7" s="55"/>
      <c r="D7" s="57" t="s">
        <v>43</v>
      </c>
      <c r="E7" s="85"/>
      <c r="F7" s="85"/>
      <c r="G7" s="85"/>
      <c r="H7" s="85"/>
      <c r="I7" s="85"/>
      <c r="J7" s="85"/>
      <c r="K7" s="85"/>
      <c r="L7" s="85"/>
      <c r="M7" s="86"/>
      <c r="N7" s="87" t="s">
        <v>51</v>
      </c>
      <c r="O7" s="88"/>
      <c r="P7" s="88">
        <f>O6*10%</f>
        <v>37200</v>
      </c>
    </row>
    <row r="8" spans="1:17" ht="18" customHeight="1" thickBot="1" x14ac:dyDescent="0.25">
      <c r="A8" s="170"/>
      <c r="B8" s="56"/>
      <c r="C8" s="55"/>
      <c r="D8" s="57"/>
      <c r="E8" s="85"/>
      <c r="F8" s="85"/>
      <c r="G8" s="85"/>
      <c r="H8" s="85"/>
      <c r="I8" s="85"/>
      <c r="J8" s="85"/>
      <c r="K8" s="85"/>
      <c r="L8" s="85"/>
      <c r="M8" s="86"/>
      <c r="N8" s="89" t="s">
        <v>52</v>
      </c>
      <c r="O8" s="90"/>
      <c r="P8" s="90">
        <f>O6-P7</f>
        <v>334800</v>
      </c>
    </row>
    <row r="9" spans="1:17" ht="18" customHeight="1" x14ac:dyDescent="0.2">
      <c r="A9" s="171"/>
      <c r="H9" s="63"/>
      <c r="N9" s="62" t="s">
        <v>31</v>
      </c>
      <c r="P9" s="69">
        <f>P8*1%</f>
        <v>3348</v>
      </c>
    </row>
    <row r="10" spans="1:17" ht="18" customHeight="1" thickBot="1" x14ac:dyDescent="0.25">
      <c r="A10" s="171"/>
      <c r="H10" s="63"/>
      <c r="N10" s="62" t="s">
        <v>53</v>
      </c>
      <c r="P10" s="71">
        <f>P8*2%</f>
        <v>6696</v>
      </c>
    </row>
    <row r="11" spans="1:17" ht="18" customHeight="1" x14ac:dyDescent="0.2">
      <c r="A11" s="171"/>
      <c r="H11" s="63"/>
      <c r="N11" s="66" t="s">
        <v>32</v>
      </c>
      <c r="O11" s="67"/>
      <c r="P11" s="70">
        <f>P8+P9-P10</f>
        <v>331452</v>
      </c>
    </row>
    <row r="13" spans="1:17" x14ac:dyDescent="0.2">
      <c r="A13" s="171"/>
      <c r="H13" s="63"/>
      <c r="P13" s="71"/>
    </row>
    <row r="14" spans="1:17" x14ac:dyDescent="0.2">
      <c r="A14" s="171"/>
      <c r="H14" s="63"/>
      <c r="O14" s="58"/>
      <c r="P14" s="71"/>
    </row>
    <row r="15" spans="1:17" s="3" customFormat="1" x14ac:dyDescent="0.25">
      <c r="A15" s="17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7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7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7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7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7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7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7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7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7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7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71"/>
      <c r="B26" s="2"/>
      <c r="C26" s="2"/>
      <c r="E26" s="12"/>
      <c r="H26" s="63"/>
      <c r="N26" s="15"/>
      <c r="O26" s="15"/>
      <c r="P26" s="15"/>
    </row>
  </sheetData>
  <mergeCells count="3">
    <mergeCell ref="A6:L6"/>
    <mergeCell ref="O6:P6"/>
    <mergeCell ref="Q3:Q5"/>
  </mergeCells>
  <conditionalFormatting sqref="B3">
    <cfRule type="duplicateValues" dxfId="102" priority="2"/>
  </conditionalFormatting>
  <conditionalFormatting sqref="B4">
    <cfRule type="duplicateValues" dxfId="101" priority="1"/>
  </conditionalFormatting>
  <conditionalFormatting sqref="B5">
    <cfRule type="duplicateValues" dxfId="100" priority="30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7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Q10" sqref="Q10"/>
    </sheetView>
  </sheetViews>
  <sheetFormatPr defaultRowHeight="15" x14ac:dyDescent="0.2"/>
  <cols>
    <col min="1" max="1" width="6.7109375" style="169" customWidth="1"/>
    <col min="2" max="2" width="19.570312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402721</v>
      </c>
      <c r="B3" s="73" t="s">
        <v>82</v>
      </c>
      <c r="C3" s="9" t="s">
        <v>83</v>
      </c>
      <c r="D3" s="75" t="s">
        <v>67</v>
      </c>
      <c r="E3" s="13">
        <v>44553</v>
      </c>
      <c r="F3" s="75" t="s">
        <v>69</v>
      </c>
      <c r="G3" s="13">
        <v>44569</v>
      </c>
      <c r="H3" s="10" t="s">
        <v>77</v>
      </c>
      <c r="I3" s="1">
        <v>74</v>
      </c>
      <c r="J3" s="1">
        <v>55</v>
      </c>
      <c r="K3" s="1">
        <v>84</v>
      </c>
      <c r="L3" s="1">
        <v>11</v>
      </c>
      <c r="M3" s="79">
        <v>85.47</v>
      </c>
      <c r="N3" s="95">
        <v>86</v>
      </c>
      <c r="O3" s="64">
        <v>6000</v>
      </c>
      <c r="P3" s="65">
        <f>Table2245789101123456[[#This Row],[PEMBULATAN]]*O3</f>
        <v>516000</v>
      </c>
      <c r="Q3" s="197">
        <v>4</v>
      </c>
    </row>
    <row r="4" spans="1:17" ht="26.25" customHeight="1" x14ac:dyDescent="0.2">
      <c r="A4" s="14"/>
      <c r="B4" s="74"/>
      <c r="C4" s="9" t="s">
        <v>84</v>
      </c>
      <c r="D4" s="75" t="s">
        <v>67</v>
      </c>
      <c r="E4" s="13">
        <v>44553</v>
      </c>
      <c r="F4" s="75" t="s">
        <v>69</v>
      </c>
      <c r="G4" s="13">
        <v>44569</v>
      </c>
      <c r="H4" s="10" t="s">
        <v>77</v>
      </c>
      <c r="I4" s="1">
        <v>37</v>
      </c>
      <c r="J4" s="1">
        <v>37</v>
      </c>
      <c r="K4" s="1">
        <v>53</v>
      </c>
      <c r="L4" s="1">
        <v>15</v>
      </c>
      <c r="M4" s="79">
        <v>18.139250000000001</v>
      </c>
      <c r="N4" s="95">
        <v>18.139250000000001</v>
      </c>
      <c r="O4" s="64">
        <v>6000</v>
      </c>
      <c r="P4" s="65">
        <f>Table2245789101123456[[#This Row],[PEMBULATAN]]*O4</f>
        <v>108835.5</v>
      </c>
      <c r="Q4" s="197"/>
    </row>
    <row r="5" spans="1:17" ht="26.25" customHeight="1" x14ac:dyDescent="0.2">
      <c r="A5" s="14"/>
      <c r="B5" s="14"/>
      <c r="C5" s="9" t="s">
        <v>85</v>
      </c>
      <c r="D5" s="75" t="s">
        <v>67</v>
      </c>
      <c r="E5" s="13">
        <v>44553</v>
      </c>
      <c r="F5" s="75" t="s">
        <v>69</v>
      </c>
      <c r="G5" s="13">
        <v>44569</v>
      </c>
      <c r="H5" s="10" t="s">
        <v>77</v>
      </c>
      <c r="I5" s="1">
        <v>66</v>
      </c>
      <c r="J5" s="1">
        <v>58</v>
      </c>
      <c r="K5" s="1">
        <v>20</v>
      </c>
      <c r="L5" s="1">
        <v>15</v>
      </c>
      <c r="M5" s="79">
        <v>19.14</v>
      </c>
      <c r="N5" s="95">
        <v>19.14</v>
      </c>
      <c r="O5" s="64">
        <v>6000</v>
      </c>
      <c r="P5" s="65">
        <f>Table2245789101123456[[#This Row],[PEMBULATAN]]*O5</f>
        <v>114840</v>
      </c>
      <c r="Q5" s="197"/>
    </row>
    <row r="6" spans="1:17" ht="26.25" customHeight="1" x14ac:dyDescent="0.2">
      <c r="A6" s="14"/>
      <c r="B6" s="14"/>
      <c r="C6" s="72" t="s">
        <v>86</v>
      </c>
      <c r="D6" s="77" t="s">
        <v>67</v>
      </c>
      <c r="E6" s="13">
        <v>44553</v>
      </c>
      <c r="F6" s="75" t="s">
        <v>69</v>
      </c>
      <c r="G6" s="13">
        <v>44569</v>
      </c>
      <c r="H6" s="76" t="s">
        <v>77</v>
      </c>
      <c r="I6" s="16">
        <v>66</v>
      </c>
      <c r="J6" s="16">
        <v>58</v>
      </c>
      <c r="K6" s="16">
        <v>20</v>
      </c>
      <c r="L6" s="16">
        <v>15</v>
      </c>
      <c r="M6" s="80">
        <v>19.14</v>
      </c>
      <c r="N6" s="95">
        <v>19.14</v>
      </c>
      <c r="O6" s="64">
        <v>6000</v>
      </c>
      <c r="P6" s="65">
        <f>Table2245789101123456[[#This Row],[PEMBULATAN]]*O6</f>
        <v>114840</v>
      </c>
      <c r="Q6" s="197"/>
    </row>
    <row r="7" spans="1:17" ht="22.5" customHeight="1" x14ac:dyDescent="0.2">
      <c r="A7" s="199" t="s">
        <v>30</v>
      </c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8">
        <f>SUBTOTAL(109,Table2245789101123456[KG VOLUME])</f>
        <v>141.88925</v>
      </c>
      <c r="N7" s="68">
        <f>SUM(N3:N6)</f>
        <v>142.41925000000001</v>
      </c>
      <c r="O7" s="202">
        <f>SUM(P3:P6)</f>
        <v>854515.5</v>
      </c>
      <c r="P7" s="203"/>
    </row>
    <row r="8" spans="1:17" ht="18" customHeight="1" x14ac:dyDescent="0.2">
      <c r="A8" s="170"/>
      <c r="B8" s="56" t="s">
        <v>42</v>
      </c>
      <c r="C8" s="55"/>
      <c r="D8" s="57" t="s">
        <v>43</v>
      </c>
      <c r="E8" s="85"/>
      <c r="F8" s="85"/>
      <c r="G8" s="85"/>
      <c r="H8" s="85"/>
      <c r="I8" s="85"/>
      <c r="J8" s="85"/>
      <c r="K8" s="85"/>
      <c r="L8" s="85"/>
      <c r="M8" s="86"/>
      <c r="N8" s="87" t="s">
        <v>51</v>
      </c>
      <c r="O8" s="88"/>
      <c r="P8" s="88">
        <f>O7*10%</f>
        <v>85451.55</v>
      </c>
    </row>
    <row r="9" spans="1:17" ht="18" customHeight="1" thickBot="1" x14ac:dyDescent="0.25">
      <c r="A9" s="170"/>
      <c r="B9" s="56"/>
      <c r="C9" s="55"/>
      <c r="D9" s="57"/>
      <c r="E9" s="85"/>
      <c r="F9" s="85"/>
      <c r="G9" s="85"/>
      <c r="H9" s="85"/>
      <c r="I9" s="85"/>
      <c r="J9" s="85"/>
      <c r="K9" s="85"/>
      <c r="L9" s="85"/>
      <c r="M9" s="86"/>
      <c r="N9" s="89" t="s">
        <v>52</v>
      </c>
      <c r="O9" s="90"/>
      <c r="P9" s="90">
        <f>O7-P8</f>
        <v>769063.95</v>
      </c>
    </row>
    <row r="10" spans="1:17" ht="18" customHeight="1" x14ac:dyDescent="0.2">
      <c r="A10" s="171"/>
      <c r="H10" s="63"/>
      <c r="N10" s="62" t="s">
        <v>31</v>
      </c>
      <c r="P10" s="69">
        <f>P9*1%</f>
        <v>7690.6394999999993</v>
      </c>
    </row>
    <row r="11" spans="1:17" ht="18" customHeight="1" thickBot="1" x14ac:dyDescent="0.25">
      <c r="A11" s="171"/>
      <c r="H11" s="63"/>
      <c r="N11" s="62" t="s">
        <v>53</v>
      </c>
      <c r="P11" s="71">
        <f>P9*2%</f>
        <v>15381.278999999999</v>
      </c>
    </row>
    <row r="12" spans="1:17" ht="18" customHeight="1" x14ac:dyDescent="0.2">
      <c r="A12" s="171"/>
      <c r="H12" s="63"/>
      <c r="N12" s="66" t="s">
        <v>32</v>
      </c>
      <c r="O12" s="67"/>
      <c r="P12" s="70">
        <f>P9+P10-P11</f>
        <v>761373.31050000002</v>
      </c>
    </row>
    <row r="14" spans="1:17" x14ac:dyDescent="0.2">
      <c r="A14" s="171"/>
      <c r="H14" s="63"/>
      <c r="P14" s="71"/>
    </row>
    <row r="15" spans="1:17" x14ac:dyDescent="0.2">
      <c r="A15" s="171"/>
      <c r="H15" s="63"/>
      <c r="O15" s="58"/>
      <c r="P15" s="71"/>
    </row>
    <row r="16" spans="1:17" s="3" customFormat="1" x14ac:dyDescent="0.25">
      <c r="A16" s="17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7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7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7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7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7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7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7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7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7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71"/>
      <c r="B26" s="2"/>
      <c r="C26" s="2"/>
      <c r="E26" s="12"/>
      <c r="H26" s="63"/>
      <c r="N26" s="15"/>
      <c r="O26" s="15"/>
      <c r="P26" s="15"/>
    </row>
    <row r="27" spans="1:16" s="3" customFormat="1" x14ac:dyDescent="0.25">
      <c r="A27" s="171"/>
      <c r="B27" s="2"/>
      <c r="C27" s="2"/>
      <c r="E27" s="12"/>
      <c r="H27" s="63"/>
      <c r="N27" s="15"/>
      <c r="O27" s="15"/>
      <c r="P27" s="15"/>
    </row>
  </sheetData>
  <mergeCells count="3">
    <mergeCell ref="A7:L7"/>
    <mergeCell ref="O7:P7"/>
    <mergeCell ref="Q3:Q6"/>
  </mergeCells>
  <conditionalFormatting sqref="B3">
    <cfRule type="duplicateValues" dxfId="84" priority="2"/>
  </conditionalFormatting>
  <conditionalFormatting sqref="B4">
    <cfRule type="duplicateValues" dxfId="83" priority="1"/>
  </conditionalFormatting>
  <conditionalFormatting sqref="B5:B6">
    <cfRule type="duplicateValues" dxfId="82" priority="3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5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Q8" sqref="Q8"/>
    </sheetView>
  </sheetViews>
  <sheetFormatPr defaultRowHeight="15" x14ac:dyDescent="0.2"/>
  <cols>
    <col min="1" max="1" width="6.7109375" style="169" customWidth="1"/>
    <col min="2" max="2" width="19.570312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402724</v>
      </c>
      <c r="B3" s="73" t="s">
        <v>87</v>
      </c>
      <c r="C3" s="9" t="s">
        <v>88</v>
      </c>
      <c r="D3" s="75" t="s">
        <v>67</v>
      </c>
      <c r="E3" s="13">
        <v>44554</v>
      </c>
      <c r="F3" s="75" t="s">
        <v>69</v>
      </c>
      <c r="G3" s="13">
        <v>44569</v>
      </c>
      <c r="H3" s="10" t="s">
        <v>77</v>
      </c>
      <c r="I3" s="1">
        <v>51</v>
      </c>
      <c r="J3" s="1">
        <v>45</v>
      </c>
      <c r="K3" s="1">
        <v>14</v>
      </c>
      <c r="L3" s="1">
        <v>14</v>
      </c>
      <c r="M3" s="79">
        <v>8.0325000000000006</v>
      </c>
      <c r="N3" s="8">
        <v>14</v>
      </c>
      <c r="O3" s="64">
        <v>6000</v>
      </c>
      <c r="P3" s="65">
        <f>Table22457891011234567[[#This Row],[PEMBULATAN]]*O3</f>
        <v>84000</v>
      </c>
      <c r="Q3" s="197">
        <v>2</v>
      </c>
    </row>
    <row r="4" spans="1:17" ht="26.25" customHeight="1" x14ac:dyDescent="0.2">
      <c r="A4" s="14"/>
      <c r="B4" s="74"/>
      <c r="C4" s="9" t="s">
        <v>89</v>
      </c>
      <c r="D4" s="75" t="s">
        <v>67</v>
      </c>
      <c r="E4" s="13">
        <v>44554</v>
      </c>
      <c r="F4" s="75" t="s">
        <v>69</v>
      </c>
      <c r="G4" s="13">
        <v>44569</v>
      </c>
      <c r="H4" s="10" t="s">
        <v>77</v>
      </c>
      <c r="I4" s="1">
        <v>51</v>
      </c>
      <c r="J4" s="1">
        <v>45</v>
      </c>
      <c r="K4" s="1">
        <v>14</v>
      </c>
      <c r="L4" s="1">
        <v>14</v>
      </c>
      <c r="M4" s="79">
        <v>8.0325000000000006</v>
      </c>
      <c r="N4" s="8">
        <v>14</v>
      </c>
      <c r="O4" s="64">
        <v>6000</v>
      </c>
      <c r="P4" s="65">
        <f>Table22457891011234567[[#This Row],[PEMBULATAN]]*O4</f>
        <v>84000</v>
      </c>
      <c r="Q4" s="197"/>
    </row>
    <row r="5" spans="1:17" ht="22.5" customHeight="1" x14ac:dyDescent="0.2">
      <c r="A5" s="199" t="s">
        <v>30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1"/>
      <c r="M5" s="78">
        <f>SUBTOTAL(109,Table22457891011234567[KG VOLUME])</f>
        <v>16.065000000000001</v>
      </c>
      <c r="N5" s="68">
        <f>SUM(N3:N4)</f>
        <v>28</v>
      </c>
      <c r="O5" s="202">
        <f>SUM(P3:P4)</f>
        <v>168000</v>
      </c>
      <c r="P5" s="203"/>
    </row>
    <row r="6" spans="1:17" ht="18" customHeight="1" x14ac:dyDescent="0.2">
      <c r="A6" s="170"/>
      <c r="B6" s="56" t="s">
        <v>42</v>
      </c>
      <c r="C6" s="55"/>
      <c r="D6" s="57" t="s">
        <v>43</v>
      </c>
      <c r="E6" s="85"/>
      <c r="F6" s="85"/>
      <c r="G6" s="85"/>
      <c r="H6" s="85"/>
      <c r="I6" s="85"/>
      <c r="J6" s="85"/>
      <c r="K6" s="85"/>
      <c r="L6" s="85"/>
      <c r="M6" s="86"/>
      <c r="N6" s="87" t="s">
        <v>51</v>
      </c>
      <c r="O6" s="88"/>
      <c r="P6" s="88">
        <f>O5*10%</f>
        <v>16800</v>
      </c>
    </row>
    <row r="7" spans="1:17" ht="18" customHeight="1" thickBot="1" x14ac:dyDescent="0.25">
      <c r="A7" s="170"/>
      <c r="B7" s="56"/>
      <c r="C7" s="55"/>
      <c r="D7" s="57"/>
      <c r="E7" s="85"/>
      <c r="F7" s="85"/>
      <c r="G7" s="85"/>
      <c r="H7" s="85"/>
      <c r="I7" s="85"/>
      <c r="J7" s="85"/>
      <c r="K7" s="85"/>
      <c r="L7" s="85"/>
      <c r="M7" s="86"/>
      <c r="N7" s="89" t="s">
        <v>52</v>
      </c>
      <c r="O7" s="90"/>
      <c r="P7" s="90">
        <f>O5-P6</f>
        <v>151200</v>
      </c>
    </row>
    <row r="8" spans="1:17" ht="18" customHeight="1" x14ac:dyDescent="0.2">
      <c r="A8" s="171"/>
      <c r="H8" s="63"/>
      <c r="N8" s="62" t="s">
        <v>31</v>
      </c>
      <c r="P8" s="69">
        <f>P7*1%</f>
        <v>1512</v>
      </c>
    </row>
    <row r="9" spans="1:17" ht="18" customHeight="1" thickBot="1" x14ac:dyDescent="0.25">
      <c r="A9" s="171"/>
      <c r="H9" s="63"/>
      <c r="N9" s="62" t="s">
        <v>53</v>
      </c>
      <c r="P9" s="71">
        <f>P7*2%</f>
        <v>3024</v>
      </c>
    </row>
    <row r="10" spans="1:17" ht="18" customHeight="1" x14ac:dyDescent="0.2">
      <c r="A10" s="171"/>
      <c r="H10" s="63"/>
      <c r="N10" s="66" t="s">
        <v>32</v>
      </c>
      <c r="O10" s="67"/>
      <c r="P10" s="70">
        <f>P7+P8-P9</f>
        <v>149688</v>
      </c>
    </row>
    <row r="12" spans="1:17" x14ac:dyDescent="0.2">
      <c r="A12" s="171"/>
      <c r="H12" s="63"/>
      <c r="P12" s="71"/>
    </row>
    <row r="13" spans="1:17" x14ac:dyDescent="0.2">
      <c r="A13" s="171"/>
      <c r="H13" s="63"/>
      <c r="O13" s="58"/>
      <c r="P13" s="71"/>
    </row>
    <row r="14" spans="1:17" s="3" customFormat="1" x14ac:dyDescent="0.25">
      <c r="A14" s="17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7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7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7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7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7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7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7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7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7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7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71"/>
      <c r="B25" s="2"/>
      <c r="C25" s="2"/>
      <c r="E25" s="12"/>
      <c r="H25" s="63"/>
      <c r="N25" s="15"/>
      <c r="O25" s="15"/>
      <c r="P25" s="15"/>
    </row>
  </sheetData>
  <mergeCells count="3">
    <mergeCell ref="A5:L5"/>
    <mergeCell ref="O5:P5"/>
    <mergeCell ref="Q3:Q4"/>
  </mergeCells>
  <conditionalFormatting sqref="B3">
    <cfRule type="duplicateValues" dxfId="66" priority="2"/>
  </conditionalFormatting>
  <conditionalFormatting sqref="B4">
    <cfRule type="duplicateValues" dxfId="65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4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N9" sqref="N9"/>
    </sheetView>
  </sheetViews>
  <sheetFormatPr defaultRowHeight="15" x14ac:dyDescent="0.2"/>
  <cols>
    <col min="1" max="1" width="6.7109375" style="169" customWidth="1"/>
    <col min="2" max="2" width="20.14062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402733</v>
      </c>
      <c r="B3" s="73" t="s">
        <v>90</v>
      </c>
      <c r="C3" s="9" t="s">
        <v>91</v>
      </c>
      <c r="D3" s="75" t="s">
        <v>67</v>
      </c>
      <c r="E3" s="13">
        <v>44555</v>
      </c>
      <c r="F3" s="75" t="s">
        <v>69</v>
      </c>
      <c r="G3" s="13">
        <v>44569</v>
      </c>
      <c r="H3" s="10" t="s">
        <v>77</v>
      </c>
      <c r="I3" s="1">
        <v>47</v>
      </c>
      <c r="J3" s="1">
        <v>47</v>
      </c>
      <c r="K3" s="1">
        <v>75</v>
      </c>
      <c r="L3" s="1">
        <v>14</v>
      </c>
      <c r="M3" s="79">
        <v>41.418750000000003</v>
      </c>
      <c r="N3" s="8">
        <v>42</v>
      </c>
      <c r="O3" s="64">
        <v>6000</v>
      </c>
      <c r="P3" s="65">
        <f>Table224578910112345678[[#This Row],[PEMBULATAN]]*O3</f>
        <v>252000</v>
      </c>
      <c r="Q3" s="134">
        <v>1</v>
      </c>
    </row>
    <row r="4" spans="1:17" ht="22.5" customHeight="1" x14ac:dyDescent="0.2">
      <c r="A4" s="199" t="s">
        <v>30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1"/>
      <c r="M4" s="78">
        <f>SUBTOTAL(109,Table224578910112345678[KG VOLUME])</f>
        <v>41.418750000000003</v>
      </c>
      <c r="N4" s="68">
        <f>SUM(N3:N3)</f>
        <v>42</v>
      </c>
      <c r="O4" s="202">
        <f>SUM(P3:P3)</f>
        <v>252000</v>
      </c>
      <c r="P4" s="203"/>
    </row>
    <row r="5" spans="1:17" ht="18" customHeight="1" x14ac:dyDescent="0.2">
      <c r="A5" s="170"/>
      <c r="B5" s="56" t="s">
        <v>42</v>
      </c>
      <c r="C5" s="55"/>
      <c r="D5" s="57" t="s">
        <v>43</v>
      </c>
      <c r="E5" s="85"/>
      <c r="F5" s="85"/>
      <c r="G5" s="85"/>
      <c r="H5" s="85"/>
      <c r="I5" s="85"/>
      <c r="J5" s="85"/>
      <c r="K5" s="85"/>
      <c r="L5" s="85"/>
      <c r="M5" s="86"/>
      <c r="N5" s="87" t="s">
        <v>51</v>
      </c>
      <c r="O5" s="88"/>
      <c r="P5" s="88">
        <f>O4*10%</f>
        <v>25200</v>
      </c>
    </row>
    <row r="6" spans="1:17" ht="18" customHeight="1" thickBot="1" x14ac:dyDescent="0.25">
      <c r="A6" s="170"/>
      <c r="B6" s="56"/>
      <c r="C6" s="55"/>
      <c r="D6" s="57"/>
      <c r="E6" s="85"/>
      <c r="F6" s="85"/>
      <c r="G6" s="85"/>
      <c r="H6" s="85"/>
      <c r="I6" s="85"/>
      <c r="J6" s="85"/>
      <c r="K6" s="85"/>
      <c r="L6" s="85"/>
      <c r="M6" s="86"/>
      <c r="N6" s="89" t="s">
        <v>52</v>
      </c>
      <c r="O6" s="90"/>
      <c r="P6" s="90">
        <f>O4-P5</f>
        <v>226800</v>
      </c>
    </row>
    <row r="7" spans="1:17" ht="18" customHeight="1" x14ac:dyDescent="0.2">
      <c r="A7" s="171"/>
      <c r="H7" s="63"/>
      <c r="N7" s="62" t="s">
        <v>31</v>
      </c>
      <c r="P7" s="69">
        <f>P6*1%</f>
        <v>2268</v>
      </c>
    </row>
    <row r="8" spans="1:17" ht="18" customHeight="1" thickBot="1" x14ac:dyDescent="0.25">
      <c r="A8" s="171"/>
      <c r="H8" s="63"/>
      <c r="N8" s="62" t="s">
        <v>53</v>
      </c>
      <c r="P8" s="71">
        <f>P6*2%</f>
        <v>4536</v>
      </c>
    </row>
    <row r="9" spans="1:17" ht="18" customHeight="1" x14ac:dyDescent="0.2">
      <c r="A9" s="171"/>
      <c r="H9" s="63"/>
      <c r="N9" s="66" t="s">
        <v>32</v>
      </c>
      <c r="O9" s="67"/>
      <c r="P9" s="70">
        <f>P6+P7-P8</f>
        <v>224532</v>
      </c>
    </row>
    <row r="11" spans="1:17" x14ac:dyDescent="0.2">
      <c r="A11" s="171"/>
      <c r="H11" s="63"/>
      <c r="P11" s="71"/>
    </row>
    <row r="12" spans="1:17" x14ac:dyDescent="0.2">
      <c r="A12" s="171"/>
      <c r="H12" s="63"/>
      <c r="O12" s="58"/>
      <c r="P12" s="71"/>
    </row>
    <row r="13" spans="1:17" s="3" customFormat="1" x14ac:dyDescent="0.25">
      <c r="A13" s="171"/>
      <c r="B13" s="2"/>
      <c r="C13" s="2"/>
      <c r="E13" s="12"/>
      <c r="H13" s="63"/>
      <c r="N13" s="15"/>
      <c r="O13" s="15"/>
      <c r="P13" s="15"/>
    </row>
    <row r="14" spans="1:17" s="3" customFormat="1" x14ac:dyDescent="0.25">
      <c r="A14" s="17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7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7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7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7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7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7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7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7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7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71"/>
      <c r="B24" s="2"/>
      <c r="C24" s="2"/>
      <c r="E24" s="12"/>
      <c r="H24" s="63"/>
      <c r="N24" s="15"/>
      <c r="O24" s="15"/>
      <c r="P24" s="15"/>
    </row>
  </sheetData>
  <mergeCells count="2">
    <mergeCell ref="A4:L4"/>
    <mergeCell ref="O4:P4"/>
  </mergeCells>
  <conditionalFormatting sqref="B3">
    <cfRule type="duplicateValues" dxfId="49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31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N9" sqref="N9"/>
    </sheetView>
  </sheetViews>
  <sheetFormatPr defaultRowHeight="15" x14ac:dyDescent="0.2"/>
  <cols>
    <col min="1" max="1" width="6.28515625" style="4" customWidth="1"/>
    <col min="2" max="2" width="19.570312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71093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402754</v>
      </c>
      <c r="B3" s="73" t="s">
        <v>92</v>
      </c>
      <c r="C3" s="9" t="s">
        <v>93</v>
      </c>
      <c r="D3" s="75" t="s">
        <v>67</v>
      </c>
      <c r="E3" s="13">
        <v>44560</v>
      </c>
      <c r="F3" s="75" t="s">
        <v>69</v>
      </c>
      <c r="G3" s="13">
        <v>44579</v>
      </c>
      <c r="H3" s="10" t="s">
        <v>102</v>
      </c>
      <c r="I3" s="1">
        <v>90</v>
      </c>
      <c r="J3" s="1">
        <v>68</v>
      </c>
      <c r="K3" s="1">
        <v>24</v>
      </c>
      <c r="L3" s="1">
        <v>9</v>
      </c>
      <c r="M3" s="79">
        <v>36.72</v>
      </c>
      <c r="N3" s="95">
        <v>36.72</v>
      </c>
      <c r="O3" s="64">
        <v>6000</v>
      </c>
      <c r="P3" s="65">
        <f>Table2245789101123456789[[#This Row],[PEMBULATAN]]*O3</f>
        <v>220320</v>
      </c>
      <c r="Q3" s="204">
        <v>8</v>
      </c>
    </row>
    <row r="4" spans="1:17" ht="26.25" customHeight="1" x14ac:dyDescent="0.2">
      <c r="A4" s="14"/>
      <c r="B4" s="74"/>
      <c r="C4" s="9" t="s">
        <v>94</v>
      </c>
      <c r="D4" s="75" t="s">
        <v>67</v>
      </c>
      <c r="E4" s="13">
        <v>44560</v>
      </c>
      <c r="F4" s="75" t="s">
        <v>69</v>
      </c>
      <c r="G4" s="13">
        <v>44579</v>
      </c>
      <c r="H4" s="10" t="s">
        <v>102</v>
      </c>
      <c r="I4" s="1">
        <v>90</v>
      </c>
      <c r="J4" s="1">
        <v>68</v>
      </c>
      <c r="K4" s="1">
        <v>24</v>
      </c>
      <c r="L4" s="1">
        <v>11</v>
      </c>
      <c r="M4" s="79">
        <v>36.72</v>
      </c>
      <c r="N4" s="95">
        <v>36.72</v>
      </c>
      <c r="O4" s="64">
        <v>6000</v>
      </c>
      <c r="P4" s="65">
        <f>Table2245789101123456789[[#This Row],[PEMBULATAN]]*O4</f>
        <v>220320</v>
      </c>
      <c r="Q4" s="205"/>
    </row>
    <row r="5" spans="1:17" ht="26.25" customHeight="1" x14ac:dyDescent="0.2">
      <c r="A5" s="14"/>
      <c r="B5" s="14"/>
      <c r="C5" s="9" t="s">
        <v>95</v>
      </c>
      <c r="D5" s="75" t="s">
        <v>67</v>
      </c>
      <c r="E5" s="13">
        <v>44560</v>
      </c>
      <c r="F5" s="75" t="s">
        <v>69</v>
      </c>
      <c r="G5" s="13">
        <v>44579</v>
      </c>
      <c r="H5" s="10" t="s">
        <v>102</v>
      </c>
      <c r="I5" s="1">
        <v>90</v>
      </c>
      <c r="J5" s="1">
        <v>68</v>
      </c>
      <c r="K5" s="1">
        <v>24</v>
      </c>
      <c r="L5" s="1">
        <v>9</v>
      </c>
      <c r="M5" s="79">
        <v>36.72</v>
      </c>
      <c r="N5" s="95">
        <v>36.72</v>
      </c>
      <c r="O5" s="64">
        <v>6000</v>
      </c>
      <c r="P5" s="65">
        <f>Table2245789101123456789[[#This Row],[PEMBULATAN]]*O5</f>
        <v>220320</v>
      </c>
      <c r="Q5" s="205"/>
    </row>
    <row r="6" spans="1:17" ht="26.25" customHeight="1" x14ac:dyDescent="0.2">
      <c r="A6" s="14"/>
      <c r="B6" s="14"/>
      <c r="C6" s="72" t="s">
        <v>96</v>
      </c>
      <c r="D6" s="77" t="s">
        <v>67</v>
      </c>
      <c r="E6" s="13">
        <v>44560</v>
      </c>
      <c r="F6" s="75" t="s">
        <v>69</v>
      </c>
      <c r="G6" s="13">
        <v>44579</v>
      </c>
      <c r="H6" s="76" t="s">
        <v>102</v>
      </c>
      <c r="I6" s="16">
        <v>56</v>
      </c>
      <c r="J6" s="16">
        <v>44</v>
      </c>
      <c r="K6" s="16">
        <v>28</v>
      </c>
      <c r="L6" s="16">
        <v>12</v>
      </c>
      <c r="M6" s="80">
        <v>17.248000000000001</v>
      </c>
      <c r="N6" s="95">
        <v>17.248000000000001</v>
      </c>
      <c r="O6" s="64">
        <v>6000</v>
      </c>
      <c r="P6" s="65">
        <f>Table2245789101123456789[[#This Row],[PEMBULATAN]]*O6</f>
        <v>103488</v>
      </c>
      <c r="Q6" s="205"/>
    </row>
    <row r="7" spans="1:17" ht="26.25" customHeight="1" x14ac:dyDescent="0.2">
      <c r="A7" s="14"/>
      <c r="B7" s="14"/>
      <c r="C7" s="72" t="s">
        <v>97</v>
      </c>
      <c r="D7" s="77" t="s">
        <v>67</v>
      </c>
      <c r="E7" s="13">
        <v>44560</v>
      </c>
      <c r="F7" s="75" t="s">
        <v>69</v>
      </c>
      <c r="G7" s="13">
        <v>44579</v>
      </c>
      <c r="H7" s="76" t="s">
        <v>102</v>
      </c>
      <c r="I7" s="16">
        <v>56</v>
      </c>
      <c r="J7" s="16">
        <v>44</v>
      </c>
      <c r="K7" s="16">
        <v>28</v>
      </c>
      <c r="L7" s="16">
        <v>12</v>
      </c>
      <c r="M7" s="80">
        <v>17.248000000000001</v>
      </c>
      <c r="N7" s="95">
        <v>17.248000000000001</v>
      </c>
      <c r="O7" s="64">
        <v>6000</v>
      </c>
      <c r="P7" s="65">
        <f>Table2245789101123456789[[#This Row],[PEMBULATAN]]*O7</f>
        <v>103488</v>
      </c>
      <c r="Q7" s="205"/>
    </row>
    <row r="8" spans="1:17" ht="26.25" customHeight="1" x14ac:dyDescent="0.2">
      <c r="A8" s="14"/>
      <c r="B8" s="14"/>
      <c r="C8" s="72" t="s">
        <v>98</v>
      </c>
      <c r="D8" s="77" t="s">
        <v>67</v>
      </c>
      <c r="E8" s="13">
        <v>44560</v>
      </c>
      <c r="F8" s="75" t="s">
        <v>69</v>
      </c>
      <c r="G8" s="13">
        <v>44579</v>
      </c>
      <c r="H8" s="76" t="s">
        <v>102</v>
      </c>
      <c r="I8" s="16">
        <v>56</v>
      </c>
      <c r="J8" s="16">
        <v>44</v>
      </c>
      <c r="K8" s="16">
        <v>28</v>
      </c>
      <c r="L8" s="16">
        <v>12</v>
      </c>
      <c r="M8" s="80">
        <v>17.248000000000001</v>
      </c>
      <c r="N8" s="95">
        <v>17.248000000000001</v>
      </c>
      <c r="O8" s="64">
        <v>6000</v>
      </c>
      <c r="P8" s="65">
        <f>Table2245789101123456789[[#This Row],[PEMBULATAN]]*O8</f>
        <v>103488</v>
      </c>
      <c r="Q8" s="205"/>
    </row>
    <row r="9" spans="1:17" ht="26.25" customHeight="1" x14ac:dyDescent="0.2">
      <c r="A9" s="14"/>
      <c r="B9" s="96"/>
      <c r="C9" s="72" t="s">
        <v>99</v>
      </c>
      <c r="D9" s="77" t="s">
        <v>67</v>
      </c>
      <c r="E9" s="13">
        <v>44560</v>
      </c>
      <c r="F9" s="75" t="s">
        <v>69</v>
      </c>
      <c r="G9" s="13">
        <v>44579</v>
      </c>
      <c r="H9" s="76" t="s">
        <v>102</v>
      </c>
      <c r="I9" s="16">
        <v>56</v>
      </c>
      <c r="J9" s="16">
        <v>44</v>
      </c>
      <c r="K9" s="16">
        <v>28</v>
      </c>
      <c r="L9" s="16">
        <v>12</v>
      </c>
      <c r="M9" s="80">
        <v>17.248000000000001</v>
      </c>
      <c r="N9" s="95">
        <v>17.248000000000001</v>
      </c>
      <c r="O9" s="64">
        <v>6000</v>
      </c>
      <c r="P9" s="65">
        <f>Table2245789101123456789[[#This Row],[PEMBULATAN]]*O9</f>
        <v>103488</v>
      </c>
      <c r="Q9" s="205"/>
    </row>
    <row r="10" spans="1:17" ht="26.25" customHeight="1" x14ac:dyDescent="0.2">
      <c r="A10" s="14"/>
      <c r="B10" s="14" t="s">
        <v>100</v>
      </c>
      <c r="C10" s="72" t="s">
        <v>101</v>
      </c>
      <c r="D10" s="77" t="s">
        <v>67</v>
      </c>
      <c r="E10" s="13">
        <v>44560</v>
      </c>
      <c r="F10" s="75" t="s">
        <v>69</v>
      </c>
      <c r="G10" s="13">
        <v>44579</v>
      </c>
      <c r="H10" s="76" t="s">
        <v>102</v>
      </c>
      <c r="I10" s="16">
        <v>56</v>
      </c>
      <c r="J10" s="16">
        <v>44</v>
      </c>
      <c r="K10" s="16">
        <v>28</v>
      </c>
      <c r="L10" s="16">
        <v>12</v>
      </c>
      <c r="M10" s="80">
        <v>17.248000000000001</v>
      </c>
      <c r="N10" s="95">
        <v>17.248000000000001</v>
      </c>
      <c r="O10" s="64">
        <v>6000</v>
      </c>
      <c r="P10" s="65">
        <f>Table2245789101123456789[[#This Row],[PEMBULATAN]]*O10</f>
        <v>103488</v>
      </c>
      <c r="Q10" s="206"/>
    </row>
    <row r="11" spans="1:17" ht="22.5" customHeight="1" x14ac:dyDescent="0.2">
      <c r="A11" s="199" t="s">
        <v>30</v>
      </c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1"/>
      <c r="M11" s="78">
        <f>SUBTOTAL(109,Table2245789101123456789[KG VOLUME])</f>
        <v>196.39999999999998</v>
      </c>
      <c r="N11" s="68">
        <f>SUM(N3:N10)</f>
        <v>196.39999999999998</v>
      </c>
      <c r="O11" s="202">
        <f>SUM(P3:P10)</f>
        <v>1178400</v>
      </c>
      <c r="P11" s="203"/>
    </row>
    <row r="12" spans="1:17" ht="18" customHeight="1" x14ac:dyDescent="0.2">
      <c r="A12" s="85"/>
      <c r="B12" s="56" t="s">
        <v>42</v>
      </c>
      <c r="C12" s="55"/>
      <c r="D12" s="57" t="s">
        <v>43</v>
      </c>
      <c r="E12" s="85"/>
      <c r="F12" s="85"/>
      <c r="G12" s="85"/>
      <c r="H12" s="85"/>
      <c r="I12" s="85"/>
      <c r="J12" s="85"/>
      <c r="K12" s="85"/>
      <c r="L12" s="85"/>
      <c r="M12" s="86"/>
      <c r="N12" s="87" t="s">
        <v>51</v>
      </c>
      <c r="O12" s="88"/>
      <c r="P12" s="88">
        <f>O11*10%</f>
        <v>117840</v>
      </c>
    </row>
    <row r="13" spans="1:17" ht="18" customHeight="1" thickBot="1" x14ac:dyDescent="0.25">
      <c r="A13" s="85"/>
      <c r="B13" s="56"/>
      <c r="C13" s="55"/>
      <c r="D13" s="57"/>
      <c r="E13" s="85"/>
      <c r="F13" s="85"/>
      <c r="G13" s="85"/>
      <c r="H13" s="85"/>
      <c r="I13" s="85"/>
      <c r="J13" s="85"/>
      <c r="K13" s="85"/>
      <c r="L13" s="85"/>
      <c r="M13" s="86"/>
      <c r="N13" s="89" t="s">
        <v>52</v>
      </c>
      <c r="O13" s="90"/>
      <c r="P13" s="90">
        <f>O11-P12</f>
        <v>1060560</v>
      </c>
    </row>
    <row r="14" spans="1:17" ht="18" customHeight="1" x14ac:dyDescent="0.2">
      <c r="A14" s="11"/>
      <c r="H14" s="63"/>
      <c r="N14" s="62" t="s">
        <v>31</v>
      </c>
      <c r="P14" s="69">
        <f>P13*1%</f>
        <v>10605.6</v>
      </c>
    </row>
    <row r="15" spans="1:17" ht="18" customHeight="1" thickBot="1" x14ac:dyDescent="0.25">
      <c r="A15" s="11"/>
      <c r="H15" s="63"/>
      <c r="N15" s="62" t="s">
        <v>53</v>
      </c>
      <c r="P15" s="71">
        <f>P13*2%</f>
        <v>21211.200000000001</v>
      </c>
    </row>
    <row r="16" spans="1:17" ht="18" customHeight="1" x14ac:dyDescent="0.2">
      <c r="A16" s="11"/>
      <c r="H16" s="63"/>
      <c r="N16" s="66" t="s">
        <v>32</v>
      </c>
      <c r="O16" s="67"/>
      <c r="P16" s="70">
        <f>P13+P14-P15</f>
        <v>1049954.4000000001</v>
      </c>
    </row>
    <row r="18" spans="1:16" x14ac:dyDescent="0.2">
      <c r="A18" s="11"/>
      <c r="H18" s="63"/>
      <c r="P18" s="71"/>
    </row>
    <row r="19" spans="1:16" x14ac:dyDescent="0.2">
      <c r="A19" s="11"/>
      <c r="H19" s="63"/>
      <c r="O19" s="58"/>
      <c r="P19" s="71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3"/>
      <c r="N26" s="15"/>
      <c r="O26" s="15"/>
      <c r="P26" s="15"/>
    </row>
    <row r="27" spans="1:16" s="3" customFormat="1" x14ac:dyDescent="0.25">
      <c r="A27" s="11"/>
      <c r="B27" s="2"/>
      <c r="C27" s="2"/>
      <c r="E27" s="12"/>
      <c r="H27" s="63"/>
      <c r="N27" s="15"/>
      <c r="O27" s="15"/>
      <c r="P27" s="15"/>
    </row>
    <row r="28" spans="1:16" s="3" customFormat="1" x14ac:dyDescent="0.25">
      <c r="A28" s="11"/>
      <c r="B28" s="2"/>
      <c r="C28" s="2"/>
      <c r="E28" s="12"/>
      <c r="H28" s="63"/>
      <c r="N28" s="15"/>
      <c r="O28" s="15"/>
      <c r="P28" s="15"/>
    </row>
    <row r="29" spans="1:16" s="3" customFormat="1" x14ac:dyDescent="0.25">
      <c r="A29" s="11"/>
      <c r="B29" s="2"/>
      <c r="C29" s="2"/>
      <c r="E29" s="12"/>
      <c r="H29" s="63"/>
      <c r="N29" s="15"/>
      <c r="O29" s="15"/>
      <c r="P29" s="15"/>
    </row>
    <row r="30" spans="1:16" s="3" customFormat="1" x14ac:dyDescent="0.25">
      <c r="A30" s="11"/>
      <c r="B30" s="2"/>
      <c r="C30" s="2"/>
      <c r="E30" s="12"/>
      <c r="H30" s="63"/>
      <c r="N30" s="15"/>
      <c r="O30" s="15"/>
      <c r="P30" s="15"/>
    </row>
    <row r="31" spans="1:16" s="3" customFormat="1" x14ac:dyDescent="0.25">
      <c r="A31" s="11"/>
      <c r="B31" s="2"/>
      <c r="C31" s="2"/>
      <c r="E31" s="12"/>
      <c r="H31" s="63"/>
      <c r="N31" s="15"/>
      <c r="O31" s="15"/>
      <c r="P31" s="15"/>
    </row>
  </sheetData>
  <mergeCells count="3">
    <mergeCell ref="A11:L11"/>
    <mergeCell ref="O11:P11"/>
    <mergeCell ref="Q3:Q10"/>
  </mergeCells>
  <conditionalFormatting sqref="B3">
    <cfRule type="duplicateValues" dxfId="33" priority="2"/>
  </conditionalFormatting>
  <conditionalFormatting sqref="B4">
    <cfRule type="duplicateValues" dxfId="32" priority="1"/>
  </conditionalFormatting>
  <conditionalFormatting sqref="B5:B10">
    <cfRule type="duplicateValues" dxfId="31" priority="3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4"/>
  <sheetViews>
    <sheetView zoomScale="110" zoomScaleNormal="11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M16" sqref="M16"/>
    </sheetView>
  </sheetViews>
  <sheetFormatPr defaultRowHeight="15" x14ac:dyDescent="0.2"/>
  <cols>
    <col min="1" max="1" width="7.140625" style="4" customWidth="1"/>
    <col min="2" max="2" width="19.28515625" style="2" customWidth="1"/>
    <col min="3" max="3" width="14.5703125" style="2" customWidth="1"/>
    <col min="4" max="4" width="11.42578125" style="3" bestFit="1" customWidth="1"/>
    <col min="5" max="5" width="8" style="12" customWidth="1"/>
    <col min="6" max="6" width="11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71093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133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2">
        <v>402763</v>
      </c>
      <c r="B3" s="73" t="s">
        <v>103</v>
      </c>
      <c r="C3" s="9" t="s">
        <v>104</v>
      </c>
      <c r="D3" s="75" t="s">
        <v>67</v>
      </c>
      <c r="E3" s="13">
        <v>44561</v>
      </c>
      <c r="F3" s="75" t="s">
        <v>69</v>
      </c>
      <c r="G3" s="13">
        <v>44579</v>
      </c>
      <c r="H3" s="10" t="s">
        <v>102</v>
      </c>
      <c r="I3" s="1">
        <v>37</v>
      </c>
      <c r="J3" s="1">
        <v>37</v>
      </c>
      <c r="K3" s="1">
        <v>75</v>
      </c>
      <c r="L3" s="1">
        <v>9</v>
      </c>
      <c r="M3" s="79">
        <v>25.668749999999999</v>
      </c>
      <c r="N3" s="95">
        <v>25.668749999999999</v>
      </c>
      <c r="O3" s="64">
        <v>6000</v>
      </c>
      <c r="P3" s="65">
        <f>Table224578910112345678910[[#This Row],[PEMBULATAN]]*O3</f>
        <v>154012.5</v>
      </c>
      <c r="Q3" s="134">
        <v>1</v>
      </c>
    </row>
    <row r="4" spans="1:17" ht="22.5" customHeight="1" x14ac:dyDescent="0.2">
      <c r="A4" s="199" t="s">
        <v>30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1"/>
      <c r="M4" s="78">
        <f>SUBTOTAL(109,Table224578910112345678910[KG VOLUME])</f>
        <v>25.668749999999999</v>
      </c>
      <c r="N4" s="68">
        <f>SUM(N3:N3)</f>
        <v>25.668749999999999</v>
      </c>
      <c r="O4" s="202">
        <f>SUM(P3:P3)</f>
        <v>154012.5</v>
      </c>
      <c r="P4" s="203"/>
    </row>
    <row r="5" spans="1:17" ht="18" customHeight="1" x14ac:dyDescent="0.2">
      <c r="A5" s="85"/>
      <c r="B5" s="56" t="s">
        <v>42</v>
      </c>
      <c r="C5" s="55"/>
      <c r="D5" s="57" t="s">
        <v>43</v>
      </c>
      <c r="E5" s="85"/>
      <c r="F5" s="85"/>
      <c r="G5" s="85"/>
      <c r="H5" s="85"/>
      <c r="I5" s="85"/>
      <c r="J5" s="85"/>
      <c r="K5" s="85"/>
      <c r="L5" s="85"/>
      <c r="M5" s="86"/>
      <c r="N5" s="87" t="s">
        <v>51</v>
      </c>
      <c r="O5" s="88"/>
      <c r="P5" s="88">
        <f>O4*10%</f>
        <v>15401.25</v>
      </c>
    </row>
    <row r="6" spans="1:17" ht="18" customHeight="1" thickBot="1" x14ac:dyDescent="0.25">
      <c r="A6" s="85"/>
      <c r="B6" s="56"/>
      <c r="C6" s="55"/>
      <c r="D6" s="57"/>
      <c r="E6" s="85"/>
      <c r="F6" s="85"/>
      <c r="G6" s="85"/>
      <c r="H6" s="85"/>
      <c r="I6" s="85"/>
      <c r="J6" s="85"/>
      <c r="K6" s="85"/>
      <c r="L6" s="85"/>
      <c r="M6" s="86"/>
      <c r="N6" s="89" t="s">
        <v>52</v>
      </c>
      <c r="O6" s="90"/>
      <c r="P6" s="90">
        <f>O4-P5</f>
        <v>138611.25</v>
      </c>
    </row>
    <row r="7" spans="1:17" ht="18" customHeight="1" x14ac:dyDescent="0.2">
      <c r="A7" s="11"/>
      <c r="H7" s="63"/>
      <c r="N7" s="62" t="s">
        <v>31</v>
      </c>
      <c r="P7" s="69">
        <f>P6*1%</f>
        <v>1386.1125</v>
      </c>
    </row>
    <row r="8" spans="1:17" ht="18" customHeight="1" thickBot="1" x14ac:dyDescent="0.25">
      <c r="A8" s="11"/>
      <c r="H8" s="63"/>
      <c r="N8" s="62" t="s">
        <v>53</v>
      </c>
      <c r="P8" s="71">
        <f>P6*2%</f>
        <v>2772.2249999999999</v>
      </c>
    </row>
    <row r="9" spans="1:17" ht="18" customHeight="1" x14ac:dyDescent="0.2">
      <c r="A9" s="11"/>
      <c r="H9" s="63"/>
      <c r="N9" s="66" t="s">
        <v>32</v>
      </c>
      <c r="O9" s="67"/>
      <c r="P9" s="70">
        <f>P6+P7-P8</f>
        <v>137225.13749999998</v>
      </c>
    </row>
    <row r="11" spans="1:17" x14ac:dyDescent="0.2">
      <c r="A11" s="11"/>
      <c r="H11" s="63"/>
      <c r="P11" s="71"/>
    </row>
    <row r="12" spans="1:17" x14ac:dyDescent="0.2">
      <c r="A12" s="11"/>
      <c r="H12" s="63"/>
      <c r="O12" s="58"/>
      <c r="P12" s="71"/>
    </row>
    <row r="13" spans="1:17" s="3" customFormat="1" x14ac:dyDescent="0.25">
      <c r="A13" s="11"/>
      <c r="B13" s="2"/>
      <c r="C13" s="2"/>
      <c r="E13" s="12"/>
      <c r="H13" s="63"/>
      <c r="N13" s="15"/>
      <c r="O13" s="15"/>
      <c r="P13" s="15"/>
    </row>
    <row r="14" spans="1:17" s="3" customFormat="1" x14ac:dyDescent="0.25">
      <c r="A14" s="1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</sheetData>
  <mergeCells count="2">
    <mergeCell ref="A4:L4"/>
    <mergeCell ref="O4:P4"/>
  </mergeCells>
  <conditionalFormatting sqref="B3">
    <cfRule type="duplicateValues" dxfId="15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Sicepat_Gorontalo Des 21</vt:lpstr>
      <vt:lpstr>ALL</vt:lpstr>
      <vt:lpstr>405808</vt:lpstr>
      <vt:lpstr>406457</vt:lpstr>
      <vt:lpstr>402677</vt:lpstr>
      <vt:lpstr>402690</vt:lpstr>
      <vt:lpstr>402721</vt:lpstr>
      <vt:lpstr>402724</vt:lpstr>
      <vt:lpstr>402733</vt:lpstr>
      <vt:lpstr>402754</vt:lpstr>
      <vt:lpstr>402763</vt:lpstr>
      <vt:lpstr>'402677'!Print_Titles</vt:lpstr>
      <vt:lpstr>'402690'!Print_Titles</vt:lpstr>
      <vt:lpstr>'402721'!Print_Titles</vt:lpstr>
      <vt:lpstr>'402724'!Print_Titles</vt:lpstr>
      <vt:lpstr>'402733'!Print_Titles</vt:lpstr>
      <vt:lpstr>'402754'!Print_Titles</vt:lpstr>
      <vt:lpstr>'402763'!Print_Titles</vt:lpstr>
      <vt:lpstr>'405808'!Print_Titles</vt:lpstr>
      <vt:lpstr>'406457'!Print_Titles</vt:lpstr>
      <vt:lpstr>ALL!Print_Titles</vt:lpstr>
      <vt:lpstr>'Sicepat_Gorontalo Des 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2022-02-04T02:37:07Z</cp:lastPrinted>
  <dcterms:created xsi:type="dcterms:W3CDTF">2021-07-02T11:08:00Z</dcterms:created>
  <dcterms:modified xsi:type="dcterms:W3CDTF">2022-02-09T03:02:27Z</dcterms:modified>
</cp:coreProperties>
</file>