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Performa yang sudah ter invoice\"/>
    </mc:Choice>
  </mc:AlternateContent>
  <bookViews>
    <workbookView xWindow="0" yWindow="0" windowWidth="20490" windowHeight="7320" tabRatio="842" firstSheet="3"/>
  </bookViews>
  <sheets>
    <sheet name="Sicepat_Jayapura Des 2021" sheetId="2" r:id="rId1"/>
    <sheet name="ALL" sheetId="89" r:id="rId2"/>
    <sheet name="405806" sheetId="26" r:id="rId3"/>
    <sheet name="405823" sheetId="57" r:id="rId4"/>
    <sheet name="405835" sheetId="58" r:id="rId5"/>
    <sheet name="405845" sheetId="59" r:id="rId6"/>
    <sheet name="406461" sheetId="60" r:id="rId7"/>
    <sheet name="406470" sheetId="61" r:id="rId8"/>
    <sheet name="402672" sheetId="62" r:id="rId9"/>
    <sheet name="402679" sheetId="63" r:id="rId10"/>
    <sheet name="402691" sheetId="64" r:id="rId11"/>
    <sheet name="402702" sheetId="65" r:id="rId12"/>
    <sheet name="402707" sheetId="66" r:id="rId13"/>
    <sheet name="402718" sheetId="67" r:id="rId14"/>
    <sheet name="402726" sheetId="68" r:id="rId15"/>
    <sheet name="402751" sheetId="69" r:id="rId16"/>
    <sheet name="403009" sheetId="70" r:id="rId17"/>
  </sheets>
  <definedNames>
    <definedName name="_xlnm.Print_Titles" localSheetId="8">'402672'!$2:$2</definedName>
    <definedName name="_xlnm.Print_Titles" localSheetId="9">'402679'!$2:$2</definedName>
    <definedName name="_xlnm.Print_Titles" localSheetId="10">'402691'!$2:$2</definedName>
    <definedName name="_xlnm.Print_Titles" localSheetId="11">'402702'!$2:$2</definedName>
    <definedName name="_xlnm.Print_Titles" localSheetId="12">'402707'!$2:$2</definedName>
    <definedName name="_xlnm.Print_Titles" localSheetId="13">'402718'!$2:$2</definedName>
    <definedName name="_xlnm.Print_Titles" localSheetId="14">'402726'!$2:$2</definedName>
    <definedName name="_xlnm.Print_Titles" localSheetId="15">'402751'!$2:$2</definedName>
    <definedName name="_xlnm.Print_Titles" localSheetId="16">'403009'!$2:$2</definedName>
    <definedName name="_xlnm.Print_Titles" localSheetId="2">'405806'!$2:$2</definedName>
    <definedName name="_xlnm.Print_Titles" localSheetId="3">'405823'!$2:$2</definedName>
    <definedName name="_xlnm.Print_Titles" localSheetId="4">'405835'!$2:$2</definedName>
    <definedName name="_xlnm.Print_Titles" localSheetId="5">'405845'!$2:$2</definedName>
    <definedName name="_xlnm.Print_Titles" localSheetId="6">'406461'!$2:$2</definedName>
    <definedName name="_xlnm.Print_Titles" localSheetId="7">'406470'!$2:$2</definedName>
    <definedName name="_xlnm.Print_Titles" localSheetId="1">ALL!$2:$2</definedName>
    <definedName name="_xlnm.Print_Titles" localSheetId="0">'Sicepat_Jayapura Des 2021'!$2:$17</definedName>
  </definedNames>
  <calcPr calcId="162913"/>
</workbook>
</file>

<file path=xl/calcChain.xml><?xml version="1.0" encoding="utf-8"?>
<calcChain xmlns="http://schemas.openxmlformats.org/spreadsheetml/2006/main">
  <c r="C26" i="2" l="1"/>
  <c r="C23" i="2"/>
  <c r="P6" i="70" l="1"/>
  <c r="P5" i="69"/>
  <c r="O4" i="69"/>
  <c r="N4" i="69"/>
  <c r="O7" i="68"/>
  <c r="N7" i="68"/>
  <c r="O10" i="67"/>
  <c r="N10" i="67"/>
  <c r="O6" i="66"/>
  <c r="N6" i="66"/>
  <c r="O5" i="65"/>
  <c r="N5" i="65"/>
  <c r="O17" i="64"/>
  <c r="N17" i="64"/>
  <c r="O8" i="63"/>
  <c r="N8" i="63"/>
  <c r="O36" i="62"/>
  <c r="N36" i="62"/>
  <c r="O6" i="59"/>
  <c r="N6" i="59"/>
  <c r="O10" i="58"/>
  <c r="N10" i="58"/>
  <c r="Q121" i="89" l="1"/>
  <c r="O121" i="89"/>
  <c r="M121" i="89"/>
  <c r="N121" i="89"/>
  <c r="M7" i="68"/>
  <c r="M10" i="67"/>
  <c r="M6" i="66"/>
  <c r="M5" i="65"/>
  <c r="M17" i="64"/>
  <c r="M8" i="63"/>
  <c r="M36" i="62"/>
  <c r="N4" i="61"/>
  <c r="M4" i="61"/>
  <c r="O33" i="60"/>
  <c r="M33" i="60"/>
  <c r="N33" i="60"/>
  <c r="M6" i="59"/>
  <c r="M10" i="58"/>
  <c r="O6" i="57"/>
  <c r="N6" i="57"/>
  <c r="M6" i="57"/>
  <c r="P4" i="89" l="1"/>
  <c r="P5" i="89"/>
  <c r="P6" i="89"/>
  <c r="P7" i="89"/>
  <c r="P8" i="89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23" i="89"/>
  <c r="P24" i="89"/>
  <c r="P25" i="89"/>
  <c r="P26" i="89"/>
  <c r="P27" i="89"/>
  <c r="P28" i="89"/>
  <c r="P29" i="89"/>
  <c r="P30" i="89"/>
  <c r="P31" i="89"/>
  <c r="P32" i="89"/>
  <c r="P33" i="89"/>
  <c r="P34" i="89"/>
  <c r="P35" i="89"/>
  <c r="P36" i="89"/>
  <c r="P37" i="89"/>
  <c r="P38" i="89"/>
  <c r="P39" i="89"/>
  <c r="P40" i="89"/>
  <c r="P41" i="89"/>
  <c r="P42" i="89"/>
  <c r="P43" i="89"/>
  <c r="P44" i="89"/>
  <c r="P45" i="89"/>
  <c r="P46" i="89"/>
  <c r="P47" i="89"/>
  <c r="P48" i="89"/>
  <c r="P49" i="89"/>
  <c r="P50" i="89"/>
  <c r="P51" i="89"/>
  <c r="P52" i="89"/>
  <c r="P53" i="89"/>
  <c r="P54" i="89"/>
  <c r="P55" i="89"/>
  <c r="P56" i="89"/>
  <c r="P57" i="89"/>
  <c r="P58" i="89"/>
  <c r="P59" i="89"/>
  <c r="P60" i="89"/>
  <c r="P61" i="89"/>
  <c r="P62" i="89"/>
  <c r="P63" i="89"/>
  <c r="P64" i="89"/>
  <c r="P65" i="89"/>
  <c r="P66" i="89"/>
  <c r="P67" i="89"/>
  <c r="P68" i="89"/>
  <c r="P69" i="89"/>
  <c r="P70" i="89"/>
  <c r="P71" i="89"/>
  <c r="P72" i="89"/>
  <c r="P73" i="89"/>
  <c r="P74" i="89"/>
  <c r="P75" i="89"/>
  <c r="P76" i="89"/>
  <c r="P77" i="89"/>
  <c r="P78" i="89"/>
  <c r="P79" i="89"/>
  <c r="P80" i="89"/>
  <c r="P81" i="89"/>
  <c r="P82" i="89"/>
  <c r="P83" i="89"/>
  <c r="P84" i="89"/>
  <c r="P85" i="89"/>
  <c r="P86" i="89"/>
  <c r="P87" i="89"/>
  <c r="P88" i="89"/>
  <c r="P89" i="89"/>
  <c r="P90" i="89"/>
  <c r="P91" i="89"/>
  <c r="P92" i="89"/>
  <c r="P93" i="89"/>
  <c r="P94" i="89"/>
  <c r="P95" i="89"/>
  <c r="P96" i="89"/>
  <c r="P97" i="89"/>
  <c r="P98" i="89"/>
  <c r="P99" i="89"/>
  <c r="P100" i="89"/>
  <c r="P101" i="89"/>
  <c r="P102" i="89"/>
  <c r="P103" i="89"/>
  <c r="P104" i="89"/>
  <c r="P105" i="89"/>
  <c r="P106" i="89"/>
  <c r="P107" i="89"/>
  <c r="P108" i="89"/>
  <c r="P109" i="89"/>
  <c r="P110" i="89"/>
  <c r="P111" i="89"/>
  <c r="P112" i="89"/>
  <c r="P113" i="89"/>
  <c r="P114" i="89"/>
  <c r="P115" i="89"/>
  <c r="P116" i="89"/>
  <c r="P117" i="89"/>
  <c r="P118" i="89"/>
  <c r="P119" i="89"/>
  <c r="P120" i="89"/>
  <c r="P3" i="89"/>
  <c r="O5" i="70"/>
  <c r="N5" i="70"/>
  <c r="P7" i="66"/>
  <c r="O4" i="61"/>
  <c r="O6" i="26"/>
  <c r="N6" i="26"/>
  <c r="P122" i="89" l="1"/>
  <c r="P123" i="89" s="1"/>
  <c r="P8" i="68"/>
  <c r="P11" i="67"/>
  <c r="P5" i="61"/>
  <c r="P37" i="62"/>
  <c r="P9" i="63"/>
  <c r="P18" i="64"/>
  <c r="P6" i="65"/>
  <c r="P3" i="62"/>
  <c r="P34" i="60"/>
  <c r="P7" i="59"/>
  <c r="P11" i="58"/>
  <c r="P7" i="57"/>
  <c r="P5" i="57"/>
  <c r="P4" i="57"/>
  <c r="P7" i="26"/>
  <c r="P5" i="26"/>
  <c r="P4" i="26"/>
  <c r="P125" i="89" l="1"/>
  <c r="P124" i="89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P126" i="89" l="1"/>
  <c r="G20" i="2"/>
  <c r="C32" i="2"/>
  <c r="C31" i="2"/>
  <c r="C30" i="2"/>
  <c r="C29" i="2"/>
  <c r="C28" i="2"/>
  <c r="C27" i="2"/>
  <c r="C25" i="2"/>
  <c r="C24" i="2"/>
  <c r="C22" i="2"/>
  <c r="C21" i="2"/>
  <c r="C20" i="2"/>
  <c r="C19" i="2"/>
  <c r="C18" i="2"/>
  <c r="M5" i="70"/>
  <c r="P4" i="70"/>
  <c r="P3" i="70"/>
  <c r="M4" i="69"/>
  <c r="P3" i="69"/>
  <c r="P6" i="69" s="1"/>
  <c r="P6" i="68"/>
  <c r="P5" i="68"/>
  <c r="P4" i="68"/>
  <c r="P3" i="68"/>
  <c r="G29" i="2"/>
  <c r="P9" i="67"/>
  <c r="P8" i="67"/>
  <c r="P7" i="67"/>
  <c r="P6" i="67"/>
  <c r="P5" i="67"/>
  <c r="P4" i="67"/>
  <c r="P3" i="67"/>
  <c r="G28" i="2"/>
  <c r="P5" i="66"/>
  <c r="P4" i="66"/>
  <c r="P3" i="66"/>
  <c r="G27" i="2"/>
  <c r="P4" i="65"/>
  <c r="P3" i="65"/>
  <c r="G26" i="2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3" i="64"/>
  <c r="G25" i="2"/>
  <c r="P7" i="63"/>
  <c r="P6" i="63"/>
  <c r="P5" i="63"/>
  <c r="P4" i="63"/>
  <c r="P3" i="63"/>
  <c r="G24" i="2"/>
  <c r="P35" i="62"/>
  <c r="P34" i="62"/>
  <c r="P33" i="62"/>
  <c r="P32" i="62"/>
  <c r="P31" i="62"/>
  <c r="P30" i="62"/>
  <c r="P29" i="62"/>
  <c r="P28" i="62"/>
  <c r="P27" i="62"/>
  <c r="P26" i="62"/>
  <c r="P25" i="62"/>
  <c r="P24" i="62"/>
  <c r="P23" i="62"/>
  <c r="P22" i="62"/>
  <c r="P21" i="62"/>
  <c r="P20" i="62"/>
  <c r="P19" i="62"/>
  <c r="P18" i="62"/>
  <c r="P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P3" i="61"/>
  <c r="P6" i="61" s="1"/>
  <c r="G22" i="2"/>
  <c r="P32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P3" i="60"/>
  <c r="P5" i="59"/>
  <c r="P4" i="59"/>
  <c r="P3" i="59"/>
  <c r="P9" i="58"/>
  <c r="P8" i="58"/>
  <c r="P7" i="58"/>
  <c r="P6" i="58"/>
  <c r="P5" i="58"/>
  <c r="P4" i="58"/>
  <c r="P3" i="58"/>
  <c r="P3" i="57"/>
  <c r="P7" i="70" l="1"/>
  <c r="P8" i="70" s="1"/>
  <c r="P9" i="68"/>
  <c r="P11" i="68" s="1"/>
  <c r="P12" i="67"/>
  <c r="P13" i="67" s="1"/>
  <c r="P8" i="66"/>
  <c r="P10" i="66" s="1"/>
  <c r="P7" i="65"/>
  <c r="P9" i="65" s="1"/>
  <c r="P19" i="64"/>
  <c r="P21" i="64" s="1"/>
  <c r="P10" i="63"/>
  <c r="P12" i="63" s="1"/>
  <c r="P38" i="62"/>
  <c r="P39" i="62" s="1"/>
  <c r="P35" i="60"/>
  <c r="P37" i="60" s="1"/>
  <c r="P8" i="59"/>
  <c r="P10" i="59" s="1"/>
  <c r="P12" i="58"/>
  <c r="P14" i="58" s="1"/>
  <c r="P8" i="57"/>
  <c r="P9" i="57" s="1"/>
  <c r="P8" i="69"/>
  <c r="P7" i="69"/>
  <c r="P9" i="69" s="1"/>
  <c r="P8" i="61"/>
  <c r="P7" i="61"/>
  <c r="P9" i="70" l="1"/>
  <c r="P10" i="70" s="1"/>
  <c r="P8" i="65"/>
  <c r="P10" i="65" s="1"/>
  <c r="P13" i="58"/>
  <c r="P10" i="68"/>
  <c r="P12" i="68" s="1"/>
  <c r="P14" i="67"/>
  <c r="P15" i="67" s="1"/>
  <c r="P9" i="66"/>
  <c r="P11" i="66" s="1"/>
  <c r="P20" i="64"/>
  <c r="P22" i="64" s="1"/>
  <c r="P11" i="63"/>
  <c r="P13" i="63" s="1"/>
  <c r="P40" i="62"/>
  <c r="P41" i="62" s="1"/>
  <c r="P9" i="61"/>
  <c r="P36" i="60"/>
  <c r="P38" i="60" s="1"/>
  <c r="P9" i="59"/>
  <c r="P11" i="59" s="1"/>
  <c r="P15" i="58"/>
  <c r="P10" i="57"/>
  <c r="P11" i="57" s="1"/>
  <c r="I38" i="2"/>
  <c r="I37" i="2"/>
  <c r="I39" i="2" s="1"/>
  <c r="J29" i="2" l="1"/>
  <c r="J32" i="2"/>
  <c r="J31" i="2"/>
  <c r="J30" i="2"/>
  <c r="M6" i="26"/>
  <c r="P3" i="26"/>
  <c r="P8" i="26" l="1"/>
  <c r="J28" i="2"/>
  <c r="J27" i="2"/>
  <c r="J26" i="2"/>
  <c r="J25" i="2"/>
  <c r="P9" i="26" l="1"/>
  <c r="P10" i="26"/>
  <c r="J24" i="2"/>
  <c r="P11" i="26" l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J23" i="2"/>
  <c r="J21" i="2"/>
  <c r="J22" i="2"/>
  <c r="J20" i="2"/>
  <c r="J33" i="2" s="1"/>
  <c r="J19" i="2"/>
  <c r="I50" i="2" l="1"/>
  <c r="J18" i="2"/>
  <c r="J35" i="2" s="1"/>
  <c r="J36" i="2" l="1"/>
  <c r="J38" i="2" l="1"/>
  <c r="J37" i="2"/>
  <c r="J39" i="2" l="1"/>
</calcChain>
</file>

<file path=xl/sharedStrings.xml><?xml version="1.0" encoding="utf-8"?>
<sst xmlns="http://schemas.openxmlformats.org/spreadsheetml/2006/main" count="1453" uniqueCount="209">
  <si>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</si>
  <si>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</si>
  <si>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</si>
  <si>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</si>
  <si>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</si>
  <si>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</si>
  <si>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</si>
  <si>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</si>
  <si>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</si>
  <si>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</si>
  <si>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</si>
  <si>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</si>
  <si>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</si>
  <si>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</si>
  <si>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</si>
  <si>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</si>
  <si>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</si>
  <si>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</si>
  <si>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</si>
  <si>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</si>
  <si>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</si>
  <si>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</si>
  <si>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</si>
  <si>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</si>
  <si>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</si>
  <si>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</si>
  <si>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</si>
  <si>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</si>
  <si>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</si>
  <si>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</si>
  <si>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</si>
  <si>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</si>
  <si>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</si>
  <si>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</si>
  <si>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</si>
  <si>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</si>
  <si>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</si>
  <si>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</si>
  <si>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</si>
  <si>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</si>
  <si>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</si>
  <si>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</si>
  <si>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</si>
  <si>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</si>
  <si>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</si>
  <si>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</si>
  <si>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</si>
  <si>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</si>
  <si>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</si>
  <si>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</si>
  <si>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</si>
  <si>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</si>
  <si>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</si>
  <si>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</si>
  <si>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</si>
  <si>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</si>
  <si>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DESEMBER 2021</t>
  </si>
  <si>
    <t>JAYAPURA</t>
  </si>
  <si>
    <t>DMD/2112/03/OVJL2149</t>
  </si>
  <si>
    <t>GSK211202WPG053</t>
  </si>
  <si>
    <t>GSK211203QKF285</t>
  </si>
  <si>
    <t>GSK211203GAT149</t>
  </si>
  <si>
    <t>DMP DJJ (JAYAPURA)</t>
  </si>
  <si>
    <t>KM GUNUNG DEMPO</t>
  </si>
  <si>
    <t>12/21/2021 HERFIANSYAH</t>
  </si>
  <si>
    <t>DMD/2112/05/BXYN5294</t>
  </si>
  <si>
    <t>GSK211125QZN054</t>
  </si>
  <si>
    <t>GSK211205TKH740</t>
  </si>
  <si>
    <t>GSK211205JID051</t>
  </si>
  <si>
    <t>DMD/2112/07/YELZ7895</t>
  </si>
  <si>
    <t>GSK211207KHQ347</t>
  </si>
  <si>
    <t>GSK211207RTW052</t>
  </si>
  <si>
    <t>GSK211207VMG948</t>
  </si>
  <si>
    <t>GSK211207TXL614</t>
  </si>
  <si>
    <t>GSK211207BWY238</t>
  </si>
  <si>
    <t>GSK211207JIA987</t>
  </si>
  <si>
    <t>GSK211207RTK513</t>
  </si>
  <si>
    <t>DMD/2112/08/OAZJ0928</t>
  </si>
  <si>
    <t>GSK211208BOW623</t>
  </si>
  <si>
    <t>GSK211208NKL640</t>
  </si>
  <si>
    <t>GSK211208VIJ652</t>
  </si>
  <si>
    <t>KM DOBONSOLO</t>
  </si>
  <si>
    <t>01/19/2022 ICHA</t>
  </si>
  <si>
    <t>DMD/2112/11/LFDV1875</t>
  </si>
  <si>
    <t>GSK211211PKV513</t>
  </si>
  <si>
    <t>GSK211211GBS254</t>
  </si>
  <si>
    <t>DMD/2112/11/DCOH1952</t>
  </si>
  <si>
    <t>GSK211211VQC254</t>
  </si>
  <si>
    <t>GSK211211RDB947</t>
  </si>
  <si>
    <t>GSK211211ZUA975</t>
  </si>
  <si>
    <t>GSK211211ZIL781</t>
  </si>
  <si>
    <t>GSK211211DMN570</t>
  </si>
  <si>
    <t>GSK211211EXY481</t>
  </si>
  <si>
    <t>GSK211211PKD530</t>
  </si>
  <si>
    <t>GSK211211RBN748</t>
  </si>
  <si>
    <t>GSK211211GVW725</t>
  </si>
  <si>
    <t>GSK211211KLP512</t>
  </si>
  <si>
    <t>GSK211211CTW281</t>
  </si>
  <si>
    <t>GSK211211CHJ754</t>
  </si>
  <si>
    <t>GSK211211JDS148</t>
  </si>
  <si>
    <t>GSK211211GTV697</t>
  </si>
  <si>
    <t>GSK211211HDP798</t>
  </si>
  <si>
    <t>GSK211211MVT135</t>
  </si>
  <si>
    <t>GSK211211ZPA731</t>
  </si>
  <si>
    <t>GSK211211XKE709</t>
  </si>
  <si>
    <t>GSK211211JMV643</t>
  </si>
  <si>
    <t>GSK211211UJV580</t>
  </si>
  <si>
    <t>GSK211211NTG415</t>
  </si>
  <si>
    <t>GSK211211EMI624</t>
  </si>
  <si>
    <t>GSK211211AIN472</t>
  </si>
  <si>
    <t>GSK211211KEA384</t>
  </si>
  <si>
    <t>GSK211211CNV645</t>
  </si>
  <si>
    <t>GSK211211NEL096</t>
  </si>
  <si>
    <t>GSK211211NCT253</t>
  </si>
  <si>
    <t>GSK211211RVF139</t>
  </si>
  <si>
    <t>DMD/2112/12/WMUO5340</t>
  </si>
  <si>
    <t>GSK211212FYE819</t>
  </si>
  <si>
    <t>DMD/2112/16/LMYG2910</t>
  </si>
  <si>
    <t>GSK211216PVY190</t>
  </si>
  <si>
    <t>GSK211216CPT589</t>
  </si>
  <si>
    <t>GSK211216GAI351</t>
  </si>
  <si>
    <t>GSK211216VEJ382</t>
  </si>
  <si>
    <t>GSK211216GPM230</t>
  </si>
  <si>
    <t>GSK211216UVL026</t>
  </si>
  <si>
    <t>GSK211216FDK426</t>
  </si>
  <si>
    <t>GSK211216ZOF812</t>
  </si>
  <si>
    <t>GSK211216EIU807</t>
  </si>
  <si>
    <t>GSK211216EBP163</t>
  </si>
  <si>
    <t>GSK211216PUQ178</t>
  </si>
  <si>
    <t>GSK211216MVP598</t>
  </si>
  <si>
    <t>GSK211216ESF680</t>
  </si>
  <si>
    <t>GSK211216WGV873</t>
  </si>
  <si>
    <t>GSK211216XTH310</t>
  </si>
  <si>
    <t>GSK211216RKT906</t>
  </si>
  <si>
    <t>GSK211216ZUK397</t>
  </si>
  <si>
    <t>GSK211216RWS346</t>
  </si>
  <si>
    <t>GSK211216WRP805</t>
  </si>
  <si>
    <t>GSK211216VYQ951</t>
  </si>
  <si>
    <t>GSK211216QVH816</t>
  </si>
  <si>
    <t>GSK211216ITN540</t>
  </si>
  <si>
    <t>GSK211216KUP182</t>
  </si>
  <si>
    <t>GSK211216SRG169</t>
  </si>
  <si>
    <t>GSK211216HTN579</t>
  </si>
  <si>
    <t>GSK211216ELV073</t>
  </si>
  <si>
    <t>GSK211216NCA749</t>
  </si>
  <si>
    <t>GSK211216BFD715</t>
  </si>
  <si>
    <t>GSK211216ZUI570</t>
  </si>
  <si>
    <t>GSK211216HQI350</t>
  </si>
  <si>
    <t>GSK211216XBJ095</t>
  </si>
  <si>
    <t>GSK211216ULP492</t>
  </si>
  <si>
    <t>GSK211216XVZ853</t>
  </si>
  <si>
    <t>KM CIREMAI</t>
  </si>
  <si>
    <t>12/26/2021 AGRESILIA</t>
  </si>
  <si>
    <t>DMD/2112/17/OJCT8091</t>
  </si>
  <si>
    <t>GSK211217ZUS854</t>
  </si>
  <si>
    <t>GSK211217QWX426</t>
  </si>
  <si>
    <t>GSK211217CMX680</t>
  </si>
  <si>
    <t>GSK211217MPT267</t>
  </si>
  <si>
    <t>GSK211217ECX206</t>
  </si>
  <si>
    <t>KM NGAPULU</t>
  </si>
  <si>
    <t>DMD/2112/18/OQHG3168</t>
  </si>
  <si>
    <t>GSK211218QWY513</t>
  </si>
  <si>
    <t>GSK211218VBZ671</t>
  </si>
  <si>
    <t>GSK211218VYR980</t>
  </si>
  <si>
    <t>GSK211218TQX309</t>
  </si>
  <si>
    <t>GSK211218KAC029</t>
  </si>
  <si>
    <t>GSK211218PEF709</t>
  </si>
  <si>
    <t>GSK211218AVW386</t>
  </si>
  <si>
    <t>GSK211218RES358</t>
  </si>
  <si>
    <t>GSK211218JOI358</t>
  </si>
  <si>
    <t>GSK211217MLE279</t>
  </si>
  <si>
    <t>GSK211218HCA876</t>
  </si>
  <si>
    <t>GSK211218UWS734</t>
  </si>
  <si>
    <t>GSK211218XZY653</t>
  </si>
  <si>
    <t>GSK211218ZCE875</t>
  </si>
  <si>
    <t>KM DEMPO</t>
  </si>
  <si>
    <t>01/03/2022 FIA</t>
  </si>
  <si>
    <t>DMD/2112/20/AKHJ5194</t>
  </si>
  <si>
    <t>GSK211220XPI456</t>
  </si>
  <si>
    <t>GSK211220LAD618</t>
  </si>
  <si>
    <t>DMD/2112/21/PEYB0249</t>
  </si>
  <si>
    <t>GSK211221OFD715</t>
  </si>
  <si>
    <t>GSK211221DMU056</t>
  </si>
  <si>
    <t>GSK211221EKV938</t>
  </si>
  <si>
    <t>DMD/2112/23/BXSO2891</t>
  </si>
  <si>
    <t>DMD/2112/23/QRHJ5321</t>
  </si>
  <si>
    <t>DMD/2112/24/KLVN7538</t>
  </si>
  <si>
    <t>GSK211223BTX624</t>
  </si>
  <si>
    <t>GSK211223DXF749</t>
  </si>
  <si>
    <t>GSK211223YSW370</t>
  </si>
  <si>
    <t>GSK211223IDL365</t>
  </si>
  <si>
    <t>GSK211223CHT194</t>
  </si>
  <si>
    <t>GSK211223EJR253</t>
  </si>
  <si>
    <t>GSK211223QHD368</t>
  </si>
  <si>
    <t>01/10/2022 AGRESILIA</t>
  </si>
  <si>
    <t>DMD/2112/24/CFYQ4067</t>
  </si>
  <si>
    <t>GSK211224SPG246</t>
  </si>
  <si>
    <t>GSK211224CSM285</t>
  </si>
  <si>
    <t>GSK211224JLX201</t>
  </si>
  <si>
    <t>GSK211224ZAY208</t>
  </si>
  <si>
    <t>DMD/2112/29/FUOA8054</t>
  </si>
  <si>
    <t>GSK211229BTE780</t>
  </si>
  <si>
    <t>01/13/2022 IRFAN</t>
  </si>
  <si>
    <t xml:space="preserve">  DMD/2112/31/VASF2190  </t>
  </si>
  <si>
    <t>GSK211230OBS678</t>
  </si>
  <si>
    <t>GSK211230LZQ417</t>
  </si>
  <si>
    <t>PENGIRIMAN BARANG TUJUAN JAYAPURA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</si>
  <si>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Dua Juta Empat Ratus Tiga Puluh Tujuh Ribu Sembilan Puluh Enam Rupiah.</t>
    </r>
  </si>
  <si>
    <t xml:space="preserve"> 29 Desember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</si>
</sst>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7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0" fontId="1" fillId="0" borderId="25" xfId="0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 wrapText="1"/>
    </xf>
    <xf numFmtId="0" fontId="2" fillId="0" borderId="24" xfId="0" applyFont="1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166" fontId="2" fillId="0" borderId="24" xfId="0" applyNumberFormat="1" applyFont="1" applyBorder="1" applyAlignment="1">
      <alignment horizontal="center" vertical="center"/>
    </xf>
    <xf numFmtId="166" fontId="2" fillId="0" borderId="24" xfId="0" applyNumberFormat="1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64" fontId="3" fillId="0" borderId="24" xfId="2" applyFont="1" applyBorder="1" applyAlignment="1">
      <alignment horizontal="center" vertical="center"/>
    </xf>
    <xf numFmtId="167" fontId="3" fillId="0" borderId="2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25" xfId="0" applyFont="1" applyBorder="1" applyAlignment="1">
      <alignment horizontal="center" vertical="center" wrapText="1"/>
    </xf>
    <xf numFmtId="166" fontId="2" fillId="0" borderId="25" xfId="0" applyNumberFormat="1" applyFont="1" applyBorder="1" applyAlignment="1">
      <alignment horizontal="center" vertical="center"/>
    </xf>
    <xf numFmtId="166" fontId="2" fillId="0" borderId="25" xfId="0" applyNumberFormat="1" applyFont="1" applyBorder="1" applyAlignment="1">
      <alignment vertical="center" wrapText="1"/>
    </xf>
    <xf numFmtId="0" fontId="2" fillId="0" borderId="25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164" fontId="3" fillId="0" borderId="25" xfId="2" applyFont="1" applyBorder="1" applyAlignment="1">
      <alignment horizontal="center" vertical="center"/>
    </xf>
    <xf numFmtId="167" fontId="3" fillId="0" borderId="25" xfId="1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vertical="center"/>
    </xf>
    <xf numFmtId="0" fontId="2" fillId="0" borderId="24" xfId="0" applyFont="1" applyFill="1" applyBorder="1" applyAlignment="1">
      <alignment horizontal="center" vertical="center" wrapText="1"/>
    </xf>
    <xf numFmtId="166" fontId="2" fillId="0" borderId="24" xfId="0" applyNumberFormat="1" applyFont="1" applyFill="1" applyBorder="1" applyAlignment="1">
      <alignment vertical="center" wrapText="1"/>
    </xf>
    <xf numFmtId="0" fontId="2" fillId="0" borderId="24" xfId="0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1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6" name="Table22457891011217" displayName="Table22457891011217" ref="C2:N5" totalsRowShown="0" headerRowDxfId="276" dataDxfId="274" headerRowBorderDxfId="275">
  <tableColumns count="12">
    <tableColumn id="1" name="NOMOR" dataDxfId="273" dataCellStyle="Normal"/>
    <tableColumn id="3" name="TUJUAN" dataDxfId="272" dataCellStyle="Normal"/>
    <tableColumn id="16" name="Pick Up" dataDxfId="271"/>
    <tableColumn id="14" name="KAPAL" dataDxfId="270"/>
    <tableColumn id="15" name="ETD Kapal" dataDxfId="269"/>
    <tableColumn id="10" name="KETERANGAN" dataDxfId="268" dataCellStyle="Normal"/>
    <tableColumn id="5" name="P" dataDxfId="267" dataCellStyle="Normal"/>
    <tableColumn id="6" name="L" dataDxfId="266" dataCellStyle="Normal"/>
    <tableColumn id="7" name="T" dataDxfId="265" dataCellStyle="Normal"/>
    <tableColumn id="4" name="ACT KG" dataDxfId="264" dataCellStyle="Normal"/>
    <tableColumn id="8" name="KG VOLUME" dataDxfId="263" dataCellStyle="Normal"/>
    <tableColumn id="19" name="PEMBULATAN" dataDxfId="262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9" name="Table224578910112345678910" displayName="Table224578910112345678910" ref="C2:N16" totalsRowShown="0" headerRowDxfId="118" dataDxfId="116" headerRowBorderDxfId="117">
  <tableColumns count="12">
    <tableColumn id="1" name="NOMOR" dataDxfId="115" dataCellStyle="Normal"/>
    <tableColumn id="3" name="TUJUAN" dataDxfId="114" dataCellStyle="Normal"/>
    <tableColumn id="16" name="Pick Up" dataDxfId="113"/>
    <tableColumn id="14" name="KAPAL" dataDxfId="112"/>
    <tableColumn id="15" name="ETD Kapal" dataDxfId="111"/>
    <tableColumn id="10" name="KETERANGAN" dataDxfId="110" dataCellStyle="Normal"/>
    <tableColumn id="5" name="P" dataDxfId="109" dataCellStyle="Normal"/>
    <tableColumn id="6" name="L" dataDxfId="108" dataCellStyle="Normal"/>
    <tableColumn id="7" name="T" dataDxfId="107" dataCellStyle="Normal"/>
    <tableColumn id="4" name="ACT KG" dataDxfId="106" dataCellStyle="Normal"/>
    <tableColumn id="8" name="KG VOLUME" dataDxfId="105" dataCellStyle="Normal"/>
    <tableColumn id="19" name="PEMBULATAN" dataDxfId="104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0" name="Table22457891011234567891011" displayName="Table22457891011234567891011" ref="C2:N4" totalsRowShown="0" headerRowDxfId="101" dataDxfId="99" headerRowBorderDxfId="100">
  <tableColumns count="12">
    <tableColumn id="1" name="NOMOR" dataDxfId="98" dataCellStyle="Normal"/>
    <tableColumn id="3" name="TUJUAN" dataDxfId="97" dataCellStyle="Normal"/>
    <tableColumn id="16" name="Pick Up" dataDxfId="96"/>
    <tableColumn id="14" name="KAPAL" dataDxfId="95"/>
    <tableColumn id="15" name="ETD Kapal" dataDxfId="94"/>
    <tableColumn id="10" name="KETERANGAN" dataDxfId="93" dataCellStyle="Normal"/>
    <tableColumn id="5" name="P" dataDxfId="92" dataCellStyle="Normal"/>
    <tableColumn id="6" name="L" dataDxfId="91" dataCellStyle="Normal"/>
    <tableColumn id="7" name="T" dataDxfId="90" dataCellStyle="Normal"/>
    <tableColumn id="4" name="ACT KG" dataDxfId="89" dataCellStyle="Normal"/>
    <tableColumn id="8" name="KG VOLUME" dataDxfId="88" dataCellStyle="Normal"/>
    <tableColumn id="19" name="PEMBULATAN" dataDxfId="87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1" name="Table2245789101123456789101112" displayName="Table2245789101123456789101112" ref="C2:N5" totalsRowShown="0" headerRowDxfId="83" dataDxfId="81" headerRowBorderDxfId="82">
  <tableColumns count="12">
    <tableColumn id="1" name="NOMOR" dataDxfId="80" dataCellStyle="Normal"/>
    <tableColumn id="3" name="TUJUAN" dataDxfId="79" dataCellStyle="Normal"/>
    <tableColumn id="16" name="Pick Up" dataDxfId="78"/>
    <tableColumn id="14" name="KAPAL" dataDxfId="77"/>
    <tableColumn id="15" name="ETD Kapal" dataDxfId="76"/>
    <tableColumn id="10" name="KETERANGAN" dataDxfId="75" dataCellStyle="Normal"/>
    <tableColumn id="5" name="P" dataDxfId="74" dataCellStyle="Normal"/>
    <tableColumn id="6" name="L" dataDxfId="73" dataCellStyle="Normal"/>
    <tableColumn id="7" name="T" dataDxfId="72" dataCellStyle="Normal"/>
    <tableColumn id="4" name="ACT KG" dataDxfId="71" dataCellStyle="Normal"/>
    <tableColumn id="8" name="KG VOLUME" dataDxfId="70" dataCellStyle="Normal"/>
    <tableColumn id="19" name="PEMBULATAN" dataDxfId="69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2" name="Table224578910112345678910111213" displayName="Table224578910112345678910111213" ref="C2:N9" totalsRowShown="0" headerRowDxfId="65" dataDxfId="63" headerRowBorderDxfId="64">
  <tableColumns count="12">
    <tableColumn id="1" name="NOMOR" dataDxfId="62" dataCellStyle="Normal"/>
    <tableColumn id="3" name="TUJUAN" dataDxfId="61" dataCellStyle="Normal"/>
    <tableColumn id="16" name="Pick Up" dataDxfId="60"/>
    <tableColumn id="14" name="KAPAL" dataDxfId="59"/>
    <tableColumn id="15" name="ETD Kapal" dataDxfId="58"/>
    <tableColumn id="10" name="KETERANGAN" dataDxfId="57" dataCellStyle="Normal"/>
    <tableColumn id="5" name="P" dataDxfId="56" dataCellStyle="Normal"/>
    <tableColumn id="6" name="L" dataDxfId="55" dataCellStyle="Normal"/>
    <tableColumn id="7" name="T" dataDxfId="54" dataCellStyle="Normal"/>
    <tableColumn id="4" name="ACT KG" dataDxfId="53" dataCellStyle="Normal"/>
    <tableColumn id="8" name="KG VOLUME" dataDxfId="52" dataCellStyle="Normal"/>
    <tableColumn id="19" name="PEMBULATAN" dataDxfId="51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3" name="Table22457891011234567891011121314" displayName="Table22457891011234567891011121314" ref="C2:N6" totalsRowShown="0" headerRowDxfId="47" dataDxfId="45" headerRowBorderDxfId="46">
  <tableColumns count="12">
    <tableColumn id="1" name="NOMOR" dataDxfId="44" dataCellStyle="Normal"/>
    <tableColumn id="3" name="TUJUAN" dataDxfId="43" dataCellStyle="Normal"/>
    <tableColumn id="16" name="Pick Up" dataDxfId="42"/>
    <tableColumn id="14" name="KAPAL" dataDxfId="41"/>
    <tableColumn id="15" name="ETD Kapal" dataDxfId="40"/>
    <tableColumn id="10" name="KETERANGAN" dataDxfId="39" dataCellStyle="Normal"/>
    <tableColumn id="5" name="P" dataDxfId="38" dataCellStyle="Normal"/>
    <tableColumn id="6" name="L" dataDxfId="37" dataCellStyle="Normal"/>
    <tableColumn id="7" name="T" dataDxfId="36" dataCellStyle="Normal"/>
    <tableColumn id="4" name="ACT KG" dataDxfId="35" dataCellStyle="Normal"/>
    <tableColumn id="8" name="KG VOLUME" dataDxfId="34" dataCellStyle="Normal"/>
    <tableColumn id="19" name="PEMBULATAN" dataDxfId="33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4" name="Table2245789101123456789101112131415" displayName="Table2245789101123456789101112131415" ref="C2:N3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5" name="Table224578910112345678910111213141516" displayName="Table224578910112345678910111213141516" ref="C2:N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78910112" displayName="Table224578910112" ref="C2:N5" totalsRowShown="0" headerRowDxfId="259" dataDxfId="257" headerRowBorderDxfId="258">
  <tableColumns count="12">
    <tableColumn id="1" name="NOMOR" dataDxfId="256" dataCellStyle="Normal"/>
    <tableColumn id="3" name="TUJUAN" dataDxfId="255" dataCellStyle="Normal"/>
    <tableColumn id="16" name="Pick Up" dataDxfId="254"/>
    <tableColumn id="14" name="KAPAL" dataDxfId="253"/>
    <tableColumn id="15" name="ETD Kapal" dataDxfId="252"/>
    <tableColumn id="10" name="KETERANGAN" dataDxfId="251" dataCellStyle="Normal"/>
    <tableColumn id="5" name="P" dataDxfId="250" dataCellStyle="Normal"/>
    <tableColumn id="6" name="L" dataDxfId="249" dataCellStyle="Normal"/>
    <tableColumn id="7" name="T" dataDxfId="248" dataCellStyle="Normal"/>
    <tableColumn id="4" name="ACT KG" dataDxfId="247" dataCellStyle="Normal"/>
    <tableColumn id="8" name="KG VOLUME" dataDxfId="246" dataCellStyle="Normal"/>
    <tableColumn id="19" name="PEMBULATAN" dataDxfId="245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2" name="Table2245789101123" displayName="Table2245789101123" ref="C2:N5" totalsRowShown="0" headerRowDxfId="242" dataDxfId="240" headerRowBorderDxfId="241">
  <tableColumns count="12">
    <tableColumn id="1" name="NOMOR" dataDxfId="239" dataCellStyle="Normal"/>
    <tableColumn id="3" name="TUJUAN" dataDxfId="238" dataCellStyle="Normal"/>
    <tableColumn id="16" name="Pick Up" dataDxfId="237"/>
    <tableColumn id="14" name="KAPAL" dataDxfId="236"/>
    <tableColumn id="15" name="ETD Kapal" dataDxfId="235"/>
    <tableColumn id="10" name="KETERANGAN" dataDxfId="234" dataCellStyle="Normal"/>
    <tableColumn id="5" name="P" dataDxfId="233" dataCellStyle="Normal"/>
    <tableColumn id="6" name="L" dataDxfId="232" dataCellStyle="Normal"/>
    <tableColumn id="7" name="T" dataDxfId="231" dataCellStyle="Normal"/>
    <tableColumn id="4" name="ACT KG" dataDxfId="230" dataCellStyle="Normal"/>
    <tableColumn id="8" name="KG VOLUME" dataDxfId="229" dataCellStyle="Normal"/>
    <tableColumn id="19" name="PEMBULATAN" dataDxfId="228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" name="Table22457891011234" displayName="Table22457891011234" ref="C2:N9" totalsRowShown="0" headerRowDxfId="224" dataDxfId="222" headerRowBorderDxfId="223">
  <tableColumns count="12">
    <tableColumn id="1" name="NOMOR" dataDxfId="221" dataCellStyle="Normal"/>
    <tableColumn id="3" name="TUJUAN" dataDxfId="220" dataCellStyle="Normal"/>
    <tableColumn id="16" name="Pick Up" dataDxfId="219"/>
    <tableColumn id="14" name="KAPAL" dataDxfId="218"/>
    <tableColumn id="15" name="ETD Kapal" dataDxfId="217"/>
    <tableColumn id="10" name="KETERANGAN" dataDxfId="216" dataCellStyle="Normal"/>
    <tableColumn id="5" name="P" dataDxfId="215" dataCellStyle="Normal"/>
    <tableColumn id="6" name="L" dataDxfId="214" dataCellStyle="Normal"/>
    <tableColumn id="7" name="T" dataDxfId="213" dataCellStyle="Normal"/>
    <tableColumn id="4" name="ACT KG" dataDxfId="212" dataCellStyle="Normal"/>
    <tableColumn id="8" name="KG VOLUME" dataDxfId="211" dataCellStyle="Normal"/>
    <tableColumn id="19" name="PEMBULATAN" dataDxfId="21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4" name="Table224578910112345" displayName="Table224578910112345" ref="C2:N5" totalsRowShown="0" headerRowDxfId="206" dataDxfId="204" headerRowBorderDxfId="205">
  <tableColumns count="12">
    <tableColumn id="1" name="NOMOR" dataDxfId="203" dataCellStyle="Normal"/>
    <tableColumn id="3" name="TUJUAN" dataDxfId="202" dataCellStyle="Normal"/>
    <tableColumn id="16" name="Pick Up" dataDxfId="201"/>
    <tableColumn id="14" name="KAPAL" dataDxfId="200"/>
    <tableColumn id="15" name="ETD Kapal" dataDxfId="199"/>
    <tableColumn id="10" name="KETERANGAN" dataDxfId="198" dataCellStyle="Normal"/>
    <tableColumn id="5" name="P" dataDxfId="197" dataCellStyle="Normal"/>
    <tableColumn id="6" name="L" dataDxfId="196" dataCellStyle="Normal"/>
    <tableColumn id="7" name="T" dataDxfId="195" dataCellStyle="Normal"/>
    <tableColumn id="4" name="ACT KG" dataDxfId="194" dataCellStyle="Normal"/>
    <tableColumn id="8" name="KG VOLUME" dataDxfId="193" dataCellStyle="Normal"/>
    <tableColumn id="19" name="PEMBULATAN" dataDxfId="19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5" name="Table2245789101123456" displayName="Table2245789101123456" ref="C2:N32" totalsRowShown="0" headerRowDxfId="188" dataDxfId="186" headerRowBorderDxfId="187">
  <tableColumns count="12">
    <tableColumn id="1" name="NOMOR" dataDxfId="185" dataCellStyle="Normal"/>
    <tableColumn id="3" name="TUJUAN" dataDxfId="184" dataCellStyle="Normal"/>
    <tableColumn id="16" name="Pick Up" dataDxfId="183"/>
    <tableColumn id="14" name="KAPAL" dataDxfId="182"/>
    <tableColumn id="15" name="ETD Kapal" dataDxfId="181"/>
    <tableColumn id="10" name="KETERANGAN" dataDxfId="180" dataCellStyle="Normal"/>
    <tableColumn id="5" name="P" dataDxfId="179" dataCellStyle="Normal"/>
    <tableColumn id="6" name="L" dataDxfId="178" dataCellStyle="Normal"/>
    <tableColumn id="7" name="T" dataDxfId="177" dataCellStyle="Normal"/>
    <tableColumn id="4" name="ACT KG" dataDxfId="176" dataCellStyle="Normal"/>
    <tableColumn id="8" name="KG VOLUME" dataDxfId="175" dataCellStyle="Normal"/>
    <tableColumn id="19" name="PEMBULATAN" dataDxfId="174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6" name="Table22457891011234567" displayName="Table22457891011234567" ref="C2:N3" totalsRowShown="0" headerRowDxfId="172" dataDxfId="170" headerRowBorderDxfId="171">
  <tableColumns count="12">
    <tableColumn id="1" name="NOMOR" dataDxfId="169" dataCellStyle="Normal"/>
    <tableColumn id="3" name="TUJUAN" dataDxfId="168" dataCellStyle="Normal"/>
    <tableColumn id="16" name="Pick Up" dataDxfId="167"/>
    <tableColumn id="14" name="KAPAL" dataDxfId="166"/>
    <tableColumn id="15" name="ETD Kapal" dataDxfId="165"/>
    <tableColumn id="10" name="KETERANGAN" dataDxfId="164" dataCellStyle="Normal"/>
    <tableColumn id="5" name="P" dataDxfId="163" dataCellStyle="Normal"/>
    <tableColumn id="6" name="L" dataDxfId="162" dataCellStyle="Normal"/>
    <tableColumn id="7" name="T" dataDxfId="161" dataCellStyle="Normal"/>
    <tableColumn id="4" name="ACT KG" dataDxfId="160" dataCellStyle="Normal"/>
    <tableColumn id="8" name="KG VOLUME" dataDxfId="159" dataCellStyle="Normal"/>
    <tableColumn id="19" name="PEMBULATAN" dataDxfId="158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7" name="Table224578910112345678" displayName="Table224578910112345678" ref="C2:N35" totalsRowShown="0" headerRowDxfId="154" dataDxfId="152" headerRowBorderDxfId="153">
  <tableColumns count="12">
    <tableColumn id="1" name="NOMOR" dataDxfId="151" dataCellStyle="Normal"/>
    <tableColumn id="3" name="TUJUAN" dataDxfId="150" dataCellStyle="Normal"/>
    <tableColumn id="16" name="Pick Up" dataDxfId="149"/>
    <tableColumn id="14" name="KAPAL" dataDxfId="148"/>
    <tableColumn id="15" name="ETD Kapal" dataDxfId="147"/>
    <tableColumn id="10" name="KETERANGAN" dataDxfId="146" dataCellStyle="Normal"/>
    <tableColumn id="5" name="P" dataDxfId="145" dataCellStyle="Normal"/>
    <tableColumn id="6" name="L" dataDxfId="144" dataCellStyle="Normal"/>
    <tableColumn id="7" name="T" dataDxfId="143" dataCellStyle="Normal"/>
    <tableColumn id="4" name="ACT KG" dataDxfId="142" dataCellStyle="Normal"/>
    <tableColumn id="8" name="KG VOLUME" dataDxfId="141" dataCellStyle="Normal"/>
    <tableColumn id="19" name="PEMBULATAN" dataDxfId="140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8" name="Table2245789101123456789" displayName="Table2245789101123456789" ref="C2:N7" totalsRowShown="0" headerRowDxfId="136" dataDxfId="134" headerRowBorderDxfId="135">
  <tableColumns count="12">
    <tableColumn id="1" name="NOMOR" dataDxfId="133" dataCellStyle="Normal"/>
    <tableColumn id="3" name="TUJUAN" dataDxfId="132" dataCellStyle="Normal"/>
    <tableColumn id="16" name="Pick Up" dataDxfId="131"/>
    <tableColumn id="14" name="KAPAL" dataDxfId="130"/>
    <tableColumn id="15" name="ETD Kapal" dataDxfId="129"/>
    <tableColumn id="10" name="KETERANGAN" dataDxfId="128" dataCellStyle="Normal"/>
    <tableColumn id="5" name="P" dataDxfId="127" dataCellStyle="Normal"/>
    <tableColumn id="6" name="L" dataDxfId="126" dataCellStyle="Normal"/>
    <tableColumn id="7" name="T" dataDxfId="125" dataCellStyle="Normal"/>
    <tableColumn id="4" name="ACT KG" dataDxfId="124" dataCellStyle="Normal"/>
    <tableColumn id="8" name="KG VOLUME" dataDxfId="123" dataCellStyle="Normal"/>
    <tableColumn id="19" name="PEMBULATAN" dataDxfId="12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57"/>
  <sheetViews>
    <sheetView tabSelected="1" topLeftCell="A27" workbookViewId="0">
      <selection activeCell="L32" sqref="L32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48" t="s">
        <v>14</v>
      </c>
      <c r="B10" s="149"/>
      <c r="C10" s="149"/>
      <c r="D10" s="149"/>
      <c r="E10" s="149"/>
      <c r="F10" s="149"/>
      <c r="G10" s="149"/>
      <c r="H10" s="149"/>
      <c r="I10" s="149"/>
      <c r="J10" s="150"/>
    </row>
    <row r="12" spans="1:10" x14ac:dyDescent="0.25">
      <c r="A12" s="18" t="s">
        <v>15</v>
      </c>
      <c r="B12" s="18" t="s">
        <v>16</v>
      </c>
      <c r="G12" s="162" t="s">
        <v>49</v>
      </c>
      <c r="H12" s="162"/>
      <c r="I12" s="23" t="s">
        <v>17</v>
      </c>
      <c r="J12" s="24"/>
    </row>
    <row r="13" spans="1:10" x14ac:dyDescent="0.25">
      <c r="G13" s="162" t="s">
        <v>18</v>
      </c>
      <c r="H13" s="162"/>
      <c r="I13" s="23" t="s">
        <v>17</v>
      </c>
      <c r="J13" s="25" t="s">
        <v>208</v>
      </c>
    </row>
    <row r="14" spans="1:10" x14ac:dyDescent="0.25">
      <c r="G14" s="162" t="s">
        <v>50</v>
      </c>
      <c r="H14" s="162"/>
      <c r="I14" s="23" t="s">
        <v>17</v>
      </c>
      <c r="J14" s="18" t="s">
        <v>57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56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51" t="s">
        <v>28</v>
      </c>
      <c r="I17" s="152"/>
      <c r="J17" s="29" t="s">
        <v>29</v>
      </c>
    </row>
    <row r="18" spans="1:12" ht="48" customHeight="1" x14ac:dyDescent="0.25">
      <c r="A18" s="30">
        <v>1</v>
      </c>
      <c r="B18" s="31">
        <f>'405806'!E3</f>
        <v>44533</v>
      </c>
      <c r="C18" s="83">
        <f>'405806'!A3</f>
        <v>405806</v>
      </c>
      <c r="D18" s="32" t="s">
        <v>206</v>
      </c>
      <c r="E18" s="32" t="s">
        <v>62</v>
      </c>
      <c r="F18" s="33">
        <v>3</v>
      </c>
      <c r="G18" s="103">
        <v>100</v>
      </c>
      <c r="H18" s="153">
        <v>14000</v>
      </c>
      <c r="I18" s="154"/>
      <c r="J18" s="34">
        <f>G18*H18</f>
        <v>1400000</v>
      </c>
      <c r="L18"/>
    </row>
    <row r="19" spans="1:12" ht="48" customHeight="1" x14ac:dyDescent="0.25">
      <c r="A19" s="30">
        <f>A18+1</f>
        <v>2</v>
      </c>
      <c r="B19" s="31">
        <f>'405823'!E3</f>
        <v>44535</v>
      </c>
      <c r="C19" s="83">
        <f>'405823'!A3</f>
        <v>405823</v>
      </c>
      <c r="D19" s="32" t="s">
        <v>206</v>
      </c>
      <c r="E19" s="32" t="s">
        <v>62</v>
      </c>
      <c r="F19" s="33">
        <v>3</v>
      </c>
      <c r="G19" s="104">
        <v>100</v>
      </c>
      <c r="H19" s="153">
        <v>14000</v>
      </c>
      <c r="I19" s="154"/>
      <c r="J19" s="34">
        <f t="shared" ref="J19:J28" si="0">G19*H19</f>
        <v>1400000</v>
      </c>
      <c r="L19"/>
    </row>
    <row r="20" spans="1:12" ht="48" customHeight="1" x14ac:dyDescent="0.25">
      <c r="A20" s="30">
        <f t="shared" ref="A20:A32" si="1">A19+1</f>
        <v>3</v>
      </c>
      <c r="B20" s="31">
        <f>'405835'!E3</f>
        <v>44537</v>
      </c>
      <c r="C20" s="83">
        <f>'405835'!A3</f>
        <v>405835</v>
      </c>
      <c r="D20" s="32" t="s">
        <v>206</v>
      </c>
      <c r="E20" s="32" t="s">
        <v>62</v>
      </c>
      <c r="F20" s="33">
        <v>7</v>
      </c>
      <c r="G20" s="104">
        <f>'405835'!N10</f>
        <v>150.66</v>
      </c>
      <c r="H20" s="153">
        <v>14000</v>
      </c>
      <c r="I20" s="154"/>
      <c r="J20" s="34">
        <f t="shared" si="0"/>
        <v>2109240</v>
      </c>
      <c r="L20"/>
    </row>
    <row r="21" spans="1:12" ht="48" customHeight="1" x14ac:dyDescent="0.25">
      <c r="A21" s="30">
        <f t="shared" si="1"/>
        <v>4</v>
      </c>
      <c r="B21" s="31">
        <f>'405845'!E3</f>
        <v>44538</v>
      </c>
      <c r="C21" s="83">
        <f>'405845'!A3</f>
        <v>405845</v>
      </c>
      <c r="D21" s="32" t="s">
        <v>206</v>
      </c>
      <c r="E21" s="32" t="s">
        <v>62</v>
      </c>
      <c r="F21" s="33">
        <v>3</v>
      </c>
      <c r="G21" s="104">
        <v>100</v>
      </c>
      <c r="H21" s="153">
        <v>14000</v>
      </c>
      <c r="I21" s="154"/>
      <c r="J21" s="34">
        <f>G21*H21</f>
        <v>1400000</v>
      </c>
      <c r="L21"/>
    </row>
    <row r="22" spans="1:12" ht="48" customHeight="1" x14ac:dyDescent="0.25">
      <c r="A22" s="30">
        <f t="shared" si="1"/>
        <v>5</v>
      </c>
      <c r="B22" s="31">
        <f>'406461'!E3</f>
        <v>44541</v>
      </c>
      <c r="C22" s="83">
        <f>'406461'!A3</f>
        <v>406461</v>
      </c>
      <c r="D22" s="32" t="s">
        <v>206</v>
      </c>
      <c r="E22" s="32" t="s">
        <v>62</v>
      </c>
      <c r="F22" s="33">
        <v>30</v>
      </c>
      <c r="G22" s="104">
        <f>'406461'!N33</f>
        <v>450.20500000000004</v>
      </c>
      <c r="H22" s="153">
        <v>14000</v>
      </c>
      <c r="I22" s="154"/>
      <c r="J22" s="34">
        <f>G22*H22</f>
        <v>6302870.0000000009</v>
      </c>
      <c r="L22"/>
    </row>
    <row r="23" spans="1:12" ht="48" customHeight="1" x14ac:dyDescent="0.25">
      <c r="A23" s="30">
        <f t="shared" si="1"/>
        <v>6</v>
      </c>
      <c r="B23" s="31">
        <f>'406470'!E3</f>
        <v>44542</v>
      </c>
      <c r="C23" s="83">
        <f>'406470'!A3</f>
        <v>406470</v>
      </c>
      <c r="D23" s="32" t="s">
        <v>206</v>
      </c>
      <c r="E23" s="32" t="s">
        <v>62</v>
      </c>
      <c r="F23" s="33">
        <v>1</v>
      </c>
      <c r="G23" s="104">
        <v>100</v>
      </c>
      <c r="H23" s="153">
        <v>14000</v>
      </c>
      <c r="I23" s="154"/>
      <c r="J23" s="34">
        <f>G23*H23</f>
        <v>1400000</v>
      </c>
      <c r="L23"/>
    </row>
    <row r="24" spans="1:12" ht="48" customHeight="1" x14ac:dyDescent="0.25">
      <c r="A24" s="30">
        <f t="shared" si="1"/>
        <v>7</v>
      </c>
      <c r="B24" s="31">
        <f>'402672'!E3</f>
        <v>44546</v>
      </c>
      <c r="C24" s="83">
        <f>'402672'!A3</f>
        <v>402672</v>
      </c>
      <c r="D24" s="32" t="s">
        <v>206</v>
      </c>
      <c r="E24" s="32" t="s">
        <v>62</v>
      </c>
      <c r="F24" s="33">
        <v>33</v>
      </c>
      <c r="G24" s="104">
        <f>'402672'!N36</f>
        <v>353.71249999999998</v>
      </c>
      <c r="H24" s="153">
        <v>14000</v>
      </c>
      <c r="I24" s="154"/>
      <c r="J24" s="34">
        <f t="shared" si="0"/>
        <v>4951975</v>
      </c>
      <c r="L24"/>
    </row>
    <row r="25" spans="1:12" ht="48" customHeight="1" x14ac:dyDescent="0.25">
      <c r="A25" s="30">
        <f t="shared" si="1"/>
        <v>8</v>
      </c>
      <c r="B25" s="31">
        <f>'402679'!E3</f>
        <v>44547</v>
      </c>
      <c r="C25" s="83">
        <f>'402679'!A3</f>
        <v>402679</v>
      </c>
      <c r="D25" s="32" t="s">
        <v>206</v>
      </c>
      <c r="E25" s="32" t="s">
        <v>62</v>
      </c>
      <c r="F25" s="33">
        <v>5</v>
      </c>
      <c r="G25" s="104">
        <f>'402679'!N8</f>
        <v>136.25</v>
      </c>
      <c r="H25" s="153">
        <v>14000</v>
      </c>
      <c r="I25" s="154"/>
      <c r="J25" s="34">
        <f t="shared" si="0"/>
        <v>1907500</v>
      </c>
      <c r="L25"/>
    </row>
    <row r="26" spans="1:12" ht="48" customHeight="1" x14ac:dyDescent="0.25">
      <c r="A26" s="30">
        <f t="shared" si="1"/>
        <v>9</v>
      </c>
      <c r="B26" s="31">
        <f>'402691'!E3</f>
        <v>44548</v>
      </c>
      <c r="C26" s="83">
        <f>'402691'!A3</f>
        <v>402691</v>
      </c>
      <c r="D26" s="32" t="s">
        <v>206</v>
      </c>
      <c r="E26" s="32" t="s">
        <v>62</v>
      </c>
      <c r="F26" s="33">
        <v>14</v>
      </c>
      <c r="G26" s="104">
        <f>'402691'!N17</f>
        <v>245.55500000000001</v>
      </c>
      <c r="H26" s="153">
        <v>14000</v>
      </c>
      <c r="I26" s="154"/>
      <c r="J26" s="34">
        <f t="shared" si="0"/>
        <v>3437770</v>
      </c>
      <c r="L26"/>
    </row>
    <row r="27" spans="1:12" ht="48" customHeight="1" x14ac:dyDescent="0.25">
      <c r="A27" s="30">
        <f t="shared" si="1"/>
        <v>10</v>
      </c>
      <c r="B27" s="31">
        <f>'402702'!E3</f>
        <v>44550</v>
      </c>
      <c r="C27" s="83">
        <f>'402702'!A3</f>
        <v>402702</v>
      </c>
      <c r="D27" s="32" t="s">
        <v>206</v>
      </c>
      <c r="E27" s="32" t="s">
        <v>62</v>
      </c>
      <c r="F27" s="33">
        <v>2</v>
      </c>
      <c r="G27" s="104">
        <f>'402702'!N5</f>
        <v>218.08</v>
      </c>
      <c r="H27" s="153">
        <v>14000</v>
      </c>
      <c r="I27" s="154"/>
      <c r="J27" s="34">
        <f t="shared" si="0"/>
        <v>3053120</v>
      </c>
      <c r="L27"/>
    </row>
    <row r="28" spans="1:12" ht="48" customHeight="1" x14ac:dyDescent="0.25">
      <c r="A28" s="30">
        <f t="shared" si="1"/>
        <v>11</v>
      </c>
      <c r="B28" s="31">
        <f>'402707'!E3</f>
        <v>44551</v>
      </c>
      <c r="C28" s="83">
        <f>'402707'!A3</f>
        <v>402707</v>
      </c>
      <c r="D28" s="32" t="s">
        <v>206</v>
      </c>
      <c r="E28" s="32" t="s">
        <v>62</v>
      </c>
      <c r="F28" s="33">
        <v>3</v>
      </c>
      <c r="G28" s="104">
        <f>'402707'!N6</f>
        <v>192</v>
      </c>
      <c r="H28" s="153">
        <v>14000</v>
      </c>
      <c r="I28" s="154"/>
      <c r="J28" s="34">
        <f t="shared" si="0"/>
        <v>2688000</v>
      </c>
      <c r="L28"/>
    </row>
    <row r="29" spans="1:12" ht="48" customHeight="1" x14ac:dyDescent="0.25">
      <c r="A29" s="30">
        <f t="shared" si="1"/>
        <v>12</v>
      </c>
      <c r="B29" s="31">
        <f>'402718'!E3</f>
        <v>44553</v>
      </c>
      <c r="C29" s="83">
        <f>'402718'!A3</f>
        <v>402718</v>
      </c>
      <c r="D29" s="32" t="s">
        <v>206</v>
      </c>
      <c r="E29" s="32" t="s">
        <v>62</v>
      </c>
      <c r="F29" s="33">
        <v>7</v>
      </c>
      <c r="G29" s="104">
        <f>'402718'!N10</f>
        <v>153.91399999999999</v>
      </c>
      <c r="H29" s="153">
        <v>14000</v>
      </c>
      <c r="I29" s="154"/>
      <c r="J29" s="34">
        <f t="shared" ref="J29:J32" si="2">G29*H29</f>
        <v>2154796</v>
      </c>
      <c r="L29"/>
    </row>
    <row r="30" spans="1:12" ht="48" customHeight="1" x14ac:dyDescent="0.25">
      <c r="A30" s="30">
        <f t="shared" si="1"/>
        <v>13</v>
      </c>
      <c r="B30" s="31">
        <f>'402726'!E3</f>
        <v>44554</v>
      </c>
      <c r="C30" s="83">
        <f>'402726'!A3</f>
        <v>402726</v>
      </c>
      <c r="D30" s="32" t="s">
        <v>206</v>
      </c>
      <c r="E30" s="32" t="s">
        <v>62</v>
      </c>
      <c r="F30" s="33">
        <v>4</v>
      </c>
      <c r="G30" s="104">
        <v>100</v>
      </c>
      <c r="H30" s="153">
        <v>14000</v>
      </c>
      <c r="I30" s="154"/>
      <c r="J30" s="34">
        <f t="shared" si="2"/>
        <v>1400000</v>
      </c>
      <c r="L30"/>
    </row>
    <row r="31" spans="1:12" ht="48" customHeight="1" x14ac:dyDescent="0.25">
      <c r="A31" s="30">
        <f t="shared" si="1"/>
        <v>14</v>
      </c>
      <c r="B31" s="31">
        <f>'402751'!E3</f>
        <v>44559</v>
      </c>
      <c r="C31" s="83">
        <f>'402751'!A3</f>
        <v>402751</v>
      </c>
      <c r="D31" s="32" t="s">
        <v>206</v>
      </c>
      <c r="E31" s="32" t="s">
        <v>62</v>
      </c>
      <c r="F31" s="33">
        <v>1</v>
      </c>
      <c r="G31" s="104">
        <v>100</v>
      </c>
      <c r="H31" s="153">
        <v>14000</v>
      </c>
      <c r="I31" s="154"/>
      <c r="J31" s="34">
        <f t="shared" si="2"/>
        <v>1400000</v>
      </c>
      <c r="L31"/>
    </row>
    <row r="32" spans="1:12" ht="48" customHeight="1" x14ac:dyDescent="0.25">
      <c r="A32" s="30">
        <f t="shared" si="1"/>
        <v>15</v>
      </c>
      <c r="B32" s="31">
        <f>'403009'!E3</f>
        <v>44561</v>
      </c>
      <c r="C32" s="83">
        <f>'403009'!A3</f>
        <v>403009</v>
      </c>
      <c r="D32" s="32" t="s">
        <v>206</v>
      </c>
      <c r="E32" s="32" t="s">
        <v>62</v>
      </c>
      <c r="F32" s="33">
        <v>2</v>
      </c>
      <c r="G32" s="104">
        <v>100</v>
      </c>
      <c r="H32" s="153">
        <v>14000</v>
      </c>
      <c r="I32" s="154"/>
      <c r="J32" s="34">
        <f t="shared" si="2"/>
        <v>1400000</v>
      </c>
      <c r="L32"/>
    </row>
    <row r="33" spans="1:12" ht="32.25" customHeight="1" thickBot="1" x14ac:dyDescent="0.3">
      <c r="A33" s="155" t="s">
        <v>30</v>
      </c>
      <c r="B33" s="156"/>
      <c r="C33" s="156"/>
      <c r="D33" s="156"/>
      <c r="E33" s="156"/>
      <c r="F33" s="156"/>
      <c r="G33" s="156"/>
      <c r="H33" s="156"/>
      <c r="I33" s="157"/>
      <c r="J33" s="35">
        <f>SUM(J18:J32)</f>
        <v>36405271</v>
      </c>
      <c r="L33" s="81"/>
    </row>
    <row r="34" spans="1:12" x14ac:dyDescent="0.25">
      <c r="A34" s="158"/>
      <c r="B34" s="158"/>
      <c r="C34" s="36"/>
      <c r="D34" s="36"/>
      <c r="E34" s="36"/>
      <c r="F34" s="36"/>
      <c r="G34" s="36"/>
      <c r="H34" s="37"/>
      <c r="I34" s="37"/>
      <c r="J34" s="38"/>
    </row>
    <row r="35" spans="1:12" x14ac:dyDescent="0.25">
      <c r="A35" s="84"/>
      <c r="B35" s="84"/>
      <c r="C35" s="84"/>
      <c r="D35" s="84"/>
      <c r="E35" s="84"/>
      <c r="F35" s="84"/>
      <c r="G35" s="39" t="s">
        <v>51</v>
      </c>
      <c r="H35" s="39"/>
      <c r="I35" s="37"/>
      <c r="J35" s="38">
        <f>J33*10%</f>
        <v>3640527.1</v>
      </c>
      <c r="L35" s="40"/>
    </row>
    <row r="36" spans="1:12" x14ac:dyDescent="0.25">
      <c r="A36" s="84"/>
      <c r="B36" s="84"/>
      <c r="C36" s="84"/>
      <c r="D36" s="84"/>
      <c r="E36" s="84"/>
      <c r="F36" s="84"/>
      <c r="G36" s="91" t="s">
        <v>52</v>
      </c>
      <c r="H36" s="91"/>
      <c r="I36" s="92"/>
      <c r="J36" s="94">
        <f>J33-J35</f>
        <v>32764743.899999999</v>
      </c>
      <c r="L36" s="40"/>
    </row>
    <row r="37" spans="1:12" x14ac:dyDescent="0.25">
      <c r="A37" s="84"/>
      <c r="B37" s="84"/>
      <c r="C37" s="84"/>
      <c r="D37" s="84"/>
      <c r="E37" s="84"/>
      <c r="F37" s="84"/>
      <c r="G37" s="39" t="s">
        <v>31</v>
      </c>
      <c r="H37" s="39"/>
      <c r="I37" s="40" t="e">
        <f>#REF!*1%</f>
        <v>#REF!</v>
      </c>
      <c r="J37" s="38">
        <f>J36*1%</f>
        <v>327647.43900000001</v>
      </c>
    </row>
    <row r="38" spans="1:12" ht="16.5" thickBot="1" x14ac:dyDescent="0.3">
      <c r="A38" s="84"/>
      <c r="B38" s="84"/>
      <c r="C38" s="84"/>
      <c r="D38" s="84"/>
      <c r="E38" s="84"/>
      <c r="F38" s="84"/>
      <c r="G38" s="93" t="s">
        <v>54</v>
      </c>
      <c r="H38" s="93"/>
      <c r="I38" s="41">
        <f>I34*10%</f>
        <v>0</v>
      </c>
      <c r="J38" s="41">
        <f>J36*2%</f>
        <v>655294.87800000003</v>
      </c>
    </row>
    <row r="39" spans="1:12" x14ac:dyDescent="0.25">
      <c r="E39" s="17"/>
      <c r="F39" s="17"/>
      <c r="G39" s="42" t="s">
        <v>55</v>
      </c>
      <c r="H39" s="42"/>
      <c r="I39" s="43" t="e">
        <f>I33+I37</f>
        <v>#REF!</v>
      </c>
      <c r="J39" s="43">
        <f>J36+J37-J38</f>
        <v>32437096.460999999</v>
      </c>
    </row>
    <row r="40" spans="1:12" x14ac:dyDescent="0.25">
      <c r="E40" s="17"/>
      <c r="F40" s="17"/>
      <c r="G40" s="42"/>
      <c r="H40" s="42"/>
      <c r="I40" s="43"/>
      <c r="J40" s="43"/>
    </row>
    <row r="41" spans="1:12" x14ac:dyDescent="0.25">
      <c r="A41" s="17" t="s">
        <v>207</v>
      </c>
      <c r="D41" s="17"/>
      <c r="E41" s="17"/>
      <c r="F41" s="17"/>
      <c r="G41" s="17"/>
      <c r="H41" s="42"/>
      <c r="I41" s="42"/>
      <c r="J41" s="43"/>
    </row>
    <row r="42" spans="1:12" x14ac:dyDescent="0.25">
      <c r="A42" s="44"/>
      <c r="D42" s="17"/>
      <c r="E42" s="17"/>
      <c r="F42" s="17"/>
      <c r="G42" s="17"/>
      <c r="H42" s="42"/>
      <c r="I42" s="42"/>
      <c r="J42" s="43"/>
    </row>
    <row r="43" spans="1:12" x14ac:dyDescent="0.25">
      <c r="D43" s="17"/>
      <c r="E43" s="17"/>
      <c r="F43" s="17"/>
      <c r="G43" s="17"/>
      <c r="H43" s="42"/>
      <c r="I43" s="42"/>
      <c r="J43" s="43"/>
    </row>
    <row r="44" spans="1:12" x14ac:dyDescent="0.25">
      <c r="A44" s="45" t="s">
        <v>33</v>
      </c>
    </row>
    <row r="45" spans="1:12" x14ac:dyDescent="0.25">
      <c r="A45" s="46" t="s">
        <v>34</v>
      </c>
      <c r="B45" s="47"/>
      <c r="C45" s="47"/>
      <c r="D45" s="48"/>
      <c r="E45" s="48"/>
      <c r="F45" s="48"/>
      <c r="G45" s="48"/>
    </row>
    <row r="46" spans="1:12" x14ac:dyDescent="0.25">
      <c r="A46" s="46" t="s">
        <v>35</v>
      </c>
      <c r="B46" s="47"/>
      <c r="C46" s="47"/>
      <c r="D46" s="48"/>
      <c r="E46" s="48"/>
      <c r="F46" s="48"/>
      <c r="G46" s="48"/>
    </row>
    <row r="47" spans="1:12" x14ac:dyDescent="0.25">
      <c r="A47" s="49" t="s">
        <v>36</v>
      </c>
      <c r="B47" s="50"/>
      <c r="C47" s="50"/>
      <c r="D47" s="48"/>
      <c r="E47" s="48"/>
      <c r="F47" s="48"/>
      <c r="G47" s="48"/>
    </row>
    <row r="48" spans="1:12" x14ac:dyDescent="0.25">
      <c r="A48" s="51" t="s">
        <v>8</v>
      </c>
      <c r="B48" s="52"/>
      <c r="C48" s="52"/>
      <c r="D48" s="48"/>
      <c r="E48" s="48"/>
      <c r="F48" s="48"/>
      <c r="G48" s="48"/>
    </row>
    <row r="49" spans="1:10" x14ac:dyDescent="0.25">
      <c r="A49" s="53"/>
      <c r="B49" s="53"/>
      <c r="C49" s="53"/>
    </row>
    <row r="50" spans="1:10" x14ac:dyDescent="0.25">
      <c r="H50" s="54" t="s">
        <v>37</v>
      </c>
      <c r="I50" s="159" t="str">
        <f>+J13</f>
        <v xml:space="preserve"> 29 Desember 2022</v>
      </c>
      <c r="J50" s="160"/>
    </row>
    <row r="54" spans="1:10" ht="18" customHeight="1" x14ac:dyDescent="0.25"/>
    <row r="55" spans="1:10" ht="17.25" customHeight="1" x14ac:dyDescent="0.25"/>
    <row r="57" spans="1:10" x14ac:dyDescent="0.25">
      <c r="H57" s="161" t="s">
        <v>38</v>
      </c>
      <c r="I57" s="161"/>
      <c r="J57" s="161"/>
    </row>
  </sheetData>
  <mergeCells count="24">
    <mergeCell ref="I50:J50"/>
    <mergeCell ref="H57:J57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A10:J10"/>
    <mergeCell ref="H17:I17"/>
    <mergeCell ref="H18:I18"/>
    <mergeCell ref="A33:I33"/>
    <mergeCell ref="A34:B34"/>
    <mergeCell ref="H19:I19"/>
    <mergeCell ref="H20:I20"/>
    <mergeCell ref="H24:I24"/>
    <mergeCell ref="H22:I22"/>
    <mergeCell ref="H21:I21"/>
    <mergeCell ref="H25:I25"/>
    <mergeCell ref="H28:I28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1" sqref="G11"/>
    </sheetView>
  </sheetViews>
  <sheetFormatPr defaultRowHeight="15" x14ac:dyDescent="0.2"/>
  <cols>
    <col min="1" max="1" width="7.2851562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402679</v>
      </c>
      <c r="B3" s="73" t="s">
        <v>153</v>
      </c>
      <c r="C3" s="9" t="s">
        <v>154</v>
      </c>
      <c r="D3" s="75" t="s">
        <v>62</v>
      </c>
      <c r="E3" s="13">
        <v>44547</v>
      </c>
      <c r="F3" s="75" t="s">
        <v>159</v>
      </c>
      <c r="G3" s="13">
        <v>44561</v>
      </c>
      <c r="H3" s="10" t="s">
        <v>152</v>
      </c>
      <c r="I3" s="1">
        <v>53</v>
      </c>
      <c r="J3" s="1">
        <v>46</v>
      </c>
      <c r="K3" s="1">
        <v>11</v>
      </c>
      <c r="L3" s="1">
        <v>12</v>
      </c>
      <c r="M3" s="79">
        <v>6.7045000000000003</v>
      </c>
      <c r="N3" s="97">
        <v>12</v>
      </c>
      <c r="O3" s="63">
        <v>14000</v>
      </c>
      <c r="P3" s="64">
        <f>Table2245789101123456789[[#This Row],[PEMBULATAN]]*O3</f>
        <v>168000</v>
      </c>
      <c r="Q3" s="163">
        <v>5</v>
      </c>
    </row>
    <row r="4" spans="1:17" ht="26.25" customHeight="1" x14ac:dyDescent="0.2">
      <c r="A4" s="14"/>
      <c r="B4" s="74"/>
      <c r="C4" s="9" t="s">
        <v>155</v>
      </c>
      <c r="D4" s="75" t="s">
        <v>62</v>
      </c>
      <c r="E4" s="13">
        <v>44547</v>
      </c>
      <c r="F4" s="75" t="s">
        <v>159</v>
      </c>
      <c r="G4" s="13">
        <v>44561</v>
      </c>
      <c r="H4" s="10" t="s">
        <v>152</v>
      </c>
      <c r="I4" s="1">
        <v>53</v>
      </c>
      <c r="J4" s="1">
        <v>46</v>
      </c>
      <c r="K4" s="1">
        <v>11</v>
      </c>
      <c r="L4" s="1">
        <v>12</v>
      </c>
      <c r="M4" s="79">
        <v>6.7045000000000003</v>
      </c>
      <c r="N4" s="97">
        <v>12</v>
      </c>
      <c r="O4" s="63">
        <v>14000</v>
      </c>
      <c r="P4" s="64">
        <f>Table2245789101123456789[[#This Row],[PEMBULATAN]]*O4</f>
        <v>168000</v>
      </c>
      <c r="Q4" s="164"/>
    </row>
    <row r="5" spans="1:17" ht="26.25" customHeight="1" x14ac:dyDescent="0.2">
      <c r="A5" s="14"/>
      <c r="B5" s="14"/>
      <c r="C5" s="9" t="s">
        <v>156</v>
      </c>
      <c r="D5" s="75" t="s">
        <v>62</v>
      </c>
      <c r="E5" s="13">
        <v>44547</v>
      </c>
      <c r="F5" s="75" t="s">
        <v>159</v>
      </c>
      <c r="G5" s="13">
        <v>44561</v>
      </c>
      <c r="H5" s="10" t="s">
        <v>152</v>
      </c>
      <c r="I5" s="1">
        <v>149</v>
      </c>
      <c r="J5" s="1">
        <v>64</v>
      </c>
      <c r="K5" s="1">
        <v>9</v>
      </c>
      <c r="L5" s="1">
        <v>14</v>
      </c>
      <c r="M5" s="79">
        <v>21.456</v>
      </c>
      <c r="N5" s="97">
        <v>22</v>
      </c>
      <c r="O5" s="63">
        <v>14000</v>
      </c>
      <c r="P5" s="64">
        <f>Table2245789101123456789[[#This Row],[PEMBULATAN]]*O5</f>
        <v>308000</v>
      </c>
      <c r="Q5" s="164"/>
    </row>
    <row r="6" spans="1:17" ht="26.25" customHeight="1" x14ac:dyDescent="0.2">
      <c r="A6" s="14"/>
      <c r="B6" s="14"/>
      <c r="C6" s="72" t="s">
        <v>157</v>
      </c>
      <c r="D6" s="77" t="s">
        <v>62</v>
      </c>
      <c r="E6" s="13">
        <v>44547</v>
      </c>
      <c r="F6" s="75" t="s">
        <v>159</v>
      </c>
      <c r="G6" s="13">
        <v>44561</v>
      </c>
      <c r="H6" s="76" t="s">
        <v>152</v>
      </c>
      <c r="I6" s="16">
        <v>149</v>
      </c>
      <c r="J6" s="16">
        <v>64</v>
      </c>
      <c r="K6" s="16">
        <v>9</v>
      </c>
      <c r="L6" s="16">
        <v>14</v>
      </c>
      <c r="M6" s="80">
        <v>21.456</v>
      </c>
      <c r="N6" s="97">
        <v>22</v>
      </c>
      <c r="O6" s="63">
        <v>14000</v>
      </c>
      <c r="P6" s="64">
        <f>Table2245789101123456789[[#This Row],[PEMBULATAN]]*O6</f>
        <v>308000</v>
      </c>
      <c r="Q6" s="164"/>
    </row>
    <row r="7" spans="1:17" ht="26.25" customHeight="1" x14ac:dyDescent="0.2">
      <c r="A7" s="14"/>
      <c r="B7" s="14"/>
      <c r="C7" s="72" t="s">
        <v>158</v>
      </c>
      <c r="D7" s="77" t="s">
        <v>62</v>
      </c>
      <c r="E7" s="13">
        <v>44547</v>
      </c>
      <c r="F7" s="75" t="s">
        <v>159</v>
      </c>
      <c r="G7" s="13">
        <v>44561</v>
      </c>
      <c r="H7" s="76" t="s">
        <v>152</v>
      </c>
      <c r="I7" s="16">
        <v>60</v>
      </c>
      <c r="J7" s="16">
        <v>50</v>
      </c>
      <c r="K7" s="16">
        <v>91</v>
      </c>
      <c r="L7" s="16">
        <v>13</v>
      </c>
      <c r="M7" s="80">
        <v>68.25</v>
      </c>
      <c r="N7" s="97">
        <v>68.25</v>
      </c>
      <c r="O7" s="63">
        <v>14000</v>
      </c>
      <c r="P7" s="64">
        <f>Table2245789101123456789[[#This Row],[PEMBULATAN]]*O7</f>
        <v>955500</v>
      </c>
      <c r="Q7" s="171"/>
    </row>
    <row r="8" spans="1:17" ht="22.5" customHeight="1" x14ac:dyDescent="0.2">
      <c r="A8" s="166" t="s">
        <v>30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8"/>
      <c r="M8" s="78">
        <f>SUBTOTAL(109,Table2245789101123456789[KG VOLUME])</f>
        <v>124.571</v>
      </c>
      <c r="N8" s="67">
        <f>SUM(N3:N7)</f>
        <v>136.25</v>
      </c>
      <c r="O8" s="169">
        <f>SUM(P3:P7)</f>
        <v>1907500</v>
      </c>
      <c r="P8" s="170"/>
    </row>
    <row r="9" spans="1:17" ht="18" customHeight="1" x14ac:dyDescent="0.2">
      <c r="A9" s="85"/>
      <c r="B9" s="56" t="s">
        <v>42</v>
      </c>
      <c r="C9" s="55"/>
      <c r="D9" s="57" t="s">
        <v>43</v>
      </c>
      <c r="E9" s="85"/>
      <c r="F9" s="85"/>
      <c r="G9" s="85"/>
      <c r="H9" s="85"/>
      <c r="I9" s="85"/>
      <c r="J9" s="85"/>
      <c r="K9" s="85"/>
      <c r="L9" s="85"/>
      <c r="M9" s="86"/>
      <c r="N9" s="87" t="s">
        <v>51</v>
      </c>
      <c r="O9" s="88"/>
      <c r="P9" s="88">
        <f>O8*10%</f>
        <v>190750</v>
      </c>
    </row>
    <row r="10" spans="1:17" ht="18" customHeight="1" thickBot="1" x14ac:dyDescent="0.25">
      <c r="A10" s="85"/>
      <c r="B10" s="56"/>
      <c r="C10" s="55"/>
      <c r="D10" s="57"/>
      <c r="E10" s="85"/>
      <c r="F10" s="85"/>
      <c r="G10" s="85"/>
      <c r="H10" s="85"/>
      <c r="I10" s="85"/>
      <c r="J10" s="85"/>
      <c r="K10" s="85"/>
      <c r="L10" s="85"/>
      <c r="M10" s="86"/>
      <c r="N10" s="89" t="s">
        <v>52</v>
      </c>
      <c r="O10" s="90"/>
      <c r="P10" s="90">
        <f>O8-P9</f>
        <v>1716750</v>
      </c>
    </row>
    <row r="11" spans="1:17" ht="18" customHeight="1" x14ac:dyDescent="0.2">
      <c r="A11" s="11"/>
      <c r="H11" s="62"/>
      <c r="N11" s="61" t="s">
        <v>31</v>
      </c>
      <c r="P11" s="68">
        <f>P10*1%</f>
        <v>17167.5</v>
      </c>
    </row>
    <row r="12" spans="1:17" ht="18" customHeight="1" thickBot="1" x14ac:dyDescent="0.25">
      <c r="A12" s="11"/>
      <c r="H12" s="62"/>
      <c r="N12" s="61" t="s">
        <v>53</v>
      </c>
      <c r="P12" s="70">
        <f>P10*2%</f>
        <v>34335</v>
      </c>
    </row>
    <row r="13" spans="1:17" ht="18" customHeight="1" x14ac:dyDescent="0.2">
      <c r="A13" s="11"/>
      <c r="H13" s="62"/>
      <c r="N13" s="65" t="s">
        <v>32</v>
      </c>
      <c r="O13" s="66"/>
      <c r="P13" s="69">
        <f>P10+P11-P12</f>
        <v>1699582.5</v>
      </c>
    </row>
    <row r="15" spans="1:17" x14ac:dyDescent="0.2">
      <c r="A15" s="11"/>
      <c r="H15" s="62"/>
      <c r="P15" s="70"/>
    </row>
    <row r="16" spans="1:17" x14ac:dyDescent="0.2">
      <c r="A16" s="11"/>
      <c r="H16" s="62"/>
      <c r="O16" s="58"/>
      <c r="P16" s="70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2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2"/>
      <c r="N28" s="15"/>
      <c r="O28" s="15"/>
      <c r="P28" s="15"/>
    </row>
  </sheetData>
  <mergeCells count="3">
    <mergeCell ref="A8:L8"/>
    <mergeCell ref="O8:P8"/>
    <mergeCell ref="Q3:Q7"/>
  </mergeCells>
  <conditionalFormatting sqref="B3">
    <cfRule type="duplicateValues" dxfId="139" priority="2"/>
  </conditionalFormatting>
  <conditionalFormatting sqref="B4">
    <cfRule type="duplicateValues" dxfId="138" priority="1"/>
  </conditionalFormatting>
  <conditionalFormatting sqref="B5:B7">
    <cfRule type="duplicateValues" dxfId="137" priority="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21" sqref="L21"/>
    </sheetView>
  </sheetViews>
  <sheetFormatPr defaultRowHeight="15" x14ac:dyDescent="0.2"/>
  <cols>
    <col min="1" max="1" width="6.4257812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402691</v>
      </c>
      <c r="B3" s="73" t="s">
        <v>160</v>
      </c>
      <c r="C3" s="9" t="s">
        <v>161</v>
      </c>
      <c r="D3" s="75" t="s">
        <v>62</v>
      </c>
      <c r="E3" s="13">
        <v>44548</v>
      </c>
      <c r="F3" s="75" t="s">
        <v>175</v>
      </c>
      <c r="G3" s="13">
        <v>44563</v>
      </c>
      <c r="H3" s="10" t="s">
        <v>176</v>
      </c>
      <c r="I3" s="1">
        <v>148</v>
      </c>
      <c r="J3" s="1">
        <v>64</v>
      </c>
      <c r="K3" s="1">
        <v>10</v>
      </c>
      <c r="L3" s="1">
        <v>7</v>
      </c>
      <c r="M3" s="79">
        <v>23.68</v>
      </c>
      <c r="N3" s="97">
        <v>23.68</v>
      </c>
      <c r="O3" s="63">
        <v>14000</v>
      </c>
      <c r="P3" s="64">
        <f>Table224578910112345678910[[#This Row],[PEMBULATAN]]*O3</f>
        <v>331520</v>
      </c>
      <c r="Q3" s="163">
        <v>14</v>
      </c>
    </row>
    <row r="4" spans="1:17" ht="26.25" customHeight="1" x14ac:dyDescent="0.2">
      <c r="A4" s="14"/>
      <c r="B4" s="74"/>
      <c r="C4" s="9" t="s">
        <v>162</v>
      </c>
      <c r="D4" s="75" t="s">
        <v>62</v>
      </c>
      <c r="E4" s="13">
        <v>44548</v>
      </c>
      <c r="F4" s="75" t="s">
        <v>175</v>
      </c>
      <c r="G4" s="13">
        <v>44563</v>
      </c>
      <c r="H4" s="10" t="s">
        <v>176</v>
      </c>
      <c r="I4" s="1">
        <v>148</v>
      </c>
      <c r="J4" s="1">
        <v>64</v>
      </c>
      <c r="K4" s="1">
        <v>10</v>
      </c>
      <c r="L4" s="1">
        <v>7</v>
      </c>
      <c r="M4" s="79">
        <v>23.68</v>
      </c>
      <c r="N4" s="97">
        <v>23.68</v>
      </c>
      <c r="O4" s="63">
        <v>14000</v>
      </c>
      <c r="P4" s="64">
        <f>Table224578910112345678910[[#This Row],[PEMBULATAN]]*O4</f>
        <v>331520</v>
      </c>
      <c r="Q4" s="164"/>
    </row>
    <row r="5" spans="1:17" ht="26.25" customHeight="1" x14ac:dyDescent="0.2">
      <c r="A5" s="14"/>
      <c r="B5" s="14"/>
      <c r="C5" s="9" t="s">
        <v>163</v>
      </c>
      <c r="D5" s="75" t="s">
        <v>62</v>
      </c>
      <c r="E5" s="13">
        <v>44548</v>
      </c>
      <c r="F5" s="75" t="s">
        <v>175</v>
      </c>
      <c r="G5" s="13">
        <v>44563</v>
      </c>
      <c r="H5" s="10" t="s">
        <v>176</v>
      </c>
      <c r="I5" s="1">
        <v>148</v>
      </c>
      <c r="J5" s="1">
        <v>64</v>
      </c>
      <c r="K5" s="1">
        <v>10</v>
      </c>
      <c r="L5" s="1">
        <v>7</v>
      </c>
      <c r="M5" s="79">
        <v>23.68</v>
      </c>
      <c r="N5" s="97">
        <v>23.68</v>
      </c>
      <c r="O5" s="63">
        <v>14000</v>
      </c>
      <c r="P5" s="64">
        <f>Table224578910112345678910[[#This Row],[PEMBULATAN]]*O5</f>
        <v>331520</v>
      </c>
      <c r="Q5" s="164"/>
    </row>
    <row r="6" spans="1:17" ht="26.25" customHeight="1" x14ac:dyDescent="0.2">
      <c r="A6" s="14"/>
      <c r="B6" s="14"/>
      <c r="C6" s="72" t="s">
        <v>164</v>
      </c>
      <c r="D6" s="77" t="s">
        <v>62</v>
      </c>
      <c r="E6" s="13">
        <v>44548</v>
      </c>
      <c r="F6" s="75" t="s">
        <v>175</v>
      </c>
      <c r="G6" s="13">
        <v>44563</v>
      </c>
      <c r="H6" s="76" t="s">
        <v>176</v>
      </c>
      <c r="I6" s="16">
        <v>148</v>
      </c>
      <c r="J6" s="16">
        <v>64</v>
      </c>
      <c r="K6" s="16">
        <v>10</v>
      </c>
      <c r="L6" s="16">
        <v>7</v>
      </c>
      <c r="M6" s="80">
        <v>23.68</v>
      </c>
      <c r="N6" s="97">
        <v>23.68</v>
      </c>
      <c r="O6" s="63">
        <v>14000</v>
      </c>
      <c r="P6" s="64">
        <f>Table224578910112345678910[[#This Row],[PEMBULATAN]]*O6</f>
        <v>331520</v>
      </c>
      <c r="Q6" s="164"/>
    </row>
    <row r="7" spans="1:17" ht="26.25" customHeight="1" x14ac:dyDescent="0.2">
      <c r="A7" s="14"/>
      <c r="B7" s="14"/>
      <c r="C7" s="72" t="s">
        <v>165</v>
      </c>
      <c r="D7" s="77" t="s">
        <v>62</v>
      </c>
      <c r="E7" s="13">
        <v>44548</v>
      </c>
      <c r="F7" s="75" t="s">
        <v>175</v>
      </c>
      <c r="G7" s="13">
        <v>44563</v>
      </c>
      <c r="H7" s="76" t="s">
        <v>176</v>
      </c>
      <c r="I7" s="16">
        <v>88</v>
      </c>
      <c r="J7" s="16">
        <v>36</v>
      </c>
      <c r="K7" s="16">
        <v>30</v>
      </c>
      <c r="L7" s="16">
        <v>18</v>
      </c>
      <c r="M7" s="80">
        <v>23.76</v>
      </c>
      <c r="N7" s="97">
        <v>23.76</v>
      </c>
      <c r="O7" s="63">
        <v>14000</v>
      </c>
      <c r="P7" s="64">
        <f>Table224578910112345678910[[#This Row],[PEMBULATAN]]*O7</f>
        <v>332640</v>
      </c>
      <c r="Q7" s="164"/>
    </row>
    <row r="8" spans="1:17" ht="26.25" customHeight="1" x14ac:dyDescent="0.2">
      <c r="A8" s="14"/>
      <c r="B8" s="14"/>
      <c r="C8" s="72" t="s">
        <v>166</v>
      </c>
      <c r="D8" s="77" t="s">
        <v>62</v>
      </c>
      <c r="E8" s="13">
        <v>44548</v>
      </c>
      <c r="F8" s="75" t="s">
        <v>175</v>
      </c>
      <c r="G8" s="13">
        <v>44563</v>
      </c>
      <c r="H8" s="76" t="s">
        <v>176</v>
      </c>
      <c r="I8" s="16">
        <v>83</v>
      </c>
      <c r="J8" s="16">
        <v>60</v>
      </c>
      <c r="K8" s="16">
        <v>37</v>
      </c>
      <c r="L8" s="16">
        <v>11</v>
      </c>
      <c r="M8" s="80">
        <v>46.064999999999998</v>
      </c>
      <c r="N8" s="97">
        <v>46.064999999999998</v>
      </c>
      <c r="O8" s="63">
        <v>14000</v>
      </c>
      <c r="P8" s="64">
        <f>Table224578910112345678910[[#This Row],[PEMBULATAN]]*O8</f>
        <v>644910</v>
      </c>
      <c r="Q8" s="164"/>
    </row>
    <row r="9" spans="1:17" ht="26.25" customHeight="1" x14ac:dyDescent="0.2">
      <c r="A9" s="14"/>
      <c r="B9" s="14"/>
      <c r="C9" s="72" t="s">
        <v>167</v>
      </c>
      <c r="D9" s="77" t="s">
        <v>62</v>
      </c>
      <c r="E9" s="13">
        <v>44548</v>
      </c>
      <c r="F9" s="75" t="s">
        <v>175</v>
      </c>
      <c r="G9" s="13">
        <v>44563</v>
      </c>
      <c r="H9" s="76" t="s">
        <v>176</v>
      </c>
      <c r="I9" s="16">
        <v>53</v>
      </c>
      <c r="J9" s="16">
        <v>34</v>
      </c>
      <c r="K9" s="16">
        <v>10</v>
      </c>
      <c r="L9" s="16">
        <v>1</v>
      </c>
      <c r="M9" s="80">
        <v>4.5049999999999999</v>
      </c>
      <c r="N9" s="97">
        <v>4.5049999999999999</v>
      </c>
      <c r="O9" s="63">
        <v>14000</v>
      </c>
      <c r="P9" s="64">
        <f>Table224578910112345678910[[#This Row],[PEMBULATAN]]*O9</f>
        <v>63070</v>
      </c>
      <c r="Q9" s="164"/>
    </row>
    <row r="10" spans="1:17" ht="26.25" customHeight="1" x14ac:dyDescent="0.2">
      <c r="A10" s="14"/>
      <c r="B10" s="14"/>
      <c r="C10" s="72" t="s">
        <v>168</v>
      </c>
      <c r="D10" s="77" t="s">
        <v>62</v>
      </c>
      <c r="E10" s="13">
        <v>44548</v>
      </c>
      <c r="F10" s="75" t="s">
        <v>175</v>
      </c>
      <c r="G10" s="13">
        <v>44563</v>
      </c>
      <c r="H10" s="76" t="s">
        <v>176</v>
      </c>
      <c r="I10" s="16">
        <v>46</v>
      </c>
      <c r="J10" s="16">
        <v>18</v>
      </c>
      <c r="K10" s="16">
        <v>3</v>
      </c>
      <c r="L10" s="16">
        <v>18</v>
      </c>
      <c r="M10" s="80">
        <v>0.621</v>
      </c>
      <c r="N10" s="97">
        <v>18</v>
      </c>
      <c r="O10" s="63">
        <v>14000</v>
      </c>
      <c r="P10" s="64">
        <f>Table224578910112345678910[[#This Row],[PEMBULATAN]]*O10</f>
        <v>252000</v>
      </c>
      <c r="Q10" s="164"/>
    </row>
    <row r="11" spans="1:17" ht="26.25" customHeight="1" x14ac:dyDescent="0.2">
      <c r="A11" s="14"/>
      <c r="B11" s="14"/>
      <c r="C11" s="72" t="s">
        <v>169</v>
      </c>
      <c r="D11" s="77" t="s">
        <v>62</v>
      </c>
      <c r="E11" s="13">
        <v>44548</v>
      </c>
      <c r="F11" s="75" t="s">
        <v>175</v>
      </c>
      <c r="G11" s="13">
        <v>44563</v>
      </c>
      <c r="H11" s="76" t="s">
        <v>176</v>
      </c>
      <c r="I11" s="16">
        <v>71</v>
      </c>
      <c r="J11" s="16">
        <v>50</v>
      </c>
      <c r="K11" s="16">
        <v>6</v>
      </c>
      <c r="L11" s="16">
        <v>10</v>
      </c>
      <c r="M11" s="80">
        <v>5.3250000000000002</v>
      </c>
      <c r="N11" s="97">
        <v>10</v>
      </c>
      <c r="O11" s="63">
        <v>14000</v>
      </c>
      <c r="P11" s="64">
        <f>Table224578910112345678910[[#This Row],[PEMBULATAN]]*O11</f>
        <v>140000</v>
      </c>
      <c r="Q11" s="164"/>
    </row>
    <row r="12" spans="1:17" ht="26.25" customHeight="1" x14ac:dyDescent="0.2">
      <c r="A12" s="14"/>
      <c r="B12" s="14"/>
      <c r="C12" s="72" t="s">
        <v>170</v>
      </c>
      <c r="D12" s="77" t="s">
        <v>62</v>
      </c>
      <c r="E12" s="13">
        <v>44548</v>
      </c>
      <c r="F12" s="75" t="s">
        <v>175</v>
      </c>
      <c r="G12" s="13">
        <v>44563</v>
      </c>
      <c r="H12" s="76" t="s">
        <v>176</v>
      </c>
      <c r="I12" s="16">
        <v>71</v>
      </c>
      <c r="J12" s="16">
        <v>50</v>
      </c>
      <c r="K12" s="16">
        <v>6</v>
      </c>
      <c r="L12" s="16">
        <v>10</v>
      </c>
      <c r="M12" s="80">
        <v>5.3250000000000002</v>
      </c>
      <c r="N12" s="97">
        <v>10</v>
      </c>
      <c r="O12" s="63">
        <v>14000</v>
      </c>
      <c r="P12" s="64">
        <f>Table224578910112345678910[[#This Row],[PEMBULATAN]]*O12</f>
        <v>140000</v>
      </c>
      <c r="Q12" s="164"/>
    </row>
    <row r="13" spans="1:17" ht="26.25" customHeight="1" x14ac:dyDescent="0.2">
      <c r="A13" s="14"/>
      <c r="B13" s="14"/>
      <c r="C13" s="72" t="s">
        <v>171</v>
      </c>
      <c r="D13" s="77" t="s">
        <v>62</v>
      </c>
      <c r="E13" s="13">
        <v>44548</v>
      </c>
      <c r="F13" s="75" t="s">
        <v>175</v>
      </c>
      <c r="G13" s="13">
        <v>44563</v>
      </c>
      <c r="H13" s="76" t="s">
        <v>176</v>
      </c>
      <c r="I13" s="16">
        <v>53</v>
      </c>
      <c r="J13" s="16">
        <v>34</v>
      </c>
      <c r="K13" s="16">
        <v>10</v>
      </c>
      <c r="L13" s="16">
        <v>1</v>
      </c>
      <c r="M13" s="80">
        <v>4.5049999999999999</v>
      </c>
      <c r="N13" s="97">
        <v>4.5049999999999999</v>
      </c>
      <c r="O13" s="63">
        <v>14000</v>
      </c>
      <c r="P13" s="64">
        <f>Table224578910112345678910[[#This Row],[PEMBULATAN]]*O13</f>
        <v>63070</v>
      </c>
      <c r="Q13" s="164"/>
    </row>
    <row r="14" spans="1:17" ht="26.25" customHeight="1" x14ac:dyDescent="0.2">
      <c r="A14" s="14"/>
      <c r="B14" s="14"/>
      <c r="C14" s="72" t="s">
        <v>172</v>
      </c>
      <c r="D14" s="77" t="s">
        <v>62</v>
      </c>
      <c r="E14" s="13">
        <v>44548</v>
      </c>
      <c r="F14" s="75" t="s">
        <v>175</v>
      </c>
      <c r="G14" s="13">
        <v>44563</v>
      </c>
      <c r="H14" s="76" t="s">
        <v>176</v>
      </c>
      <c r="I14" s="16">
        <v>71</v>
      </c>
      <c r="J14" s="16">
        <v>50</v>
      </c>
      <c r="K14" s="16">
        <v>6</v>
      </c>
      <c r="L14" s="16">
        <v>10</v>
      </c>
      <c r="M14" s="80">
        <v>5.3250000000000002</v>
      </c>
      <c r="N14" s="97">
        <v>10</v>
      </c>
      <c r="O14" s="63">
        <v>14000</v>
      </c>
      <c r="P14" s="64">
        <f>Table224578910112345678910[[#This Row],[PEMBULATAN]]*O14</f>
        <v>140000</v>
      </c>
      <c r="Q14" s="164"/>
    </row>
    <row r="15" spans="1:17" ht="26.25" customHeight="1" x14ac:dyDescent="0.2">
      <c r="A15" s="14"/>
      <c r="B15" s="14"/>
      <c r="C15" s="72" t="s">
        <v>173</v>
      </c>
      <c r="D15" s="77" t="s">
        <v>62</v>
      </c>
      <c r="E15" s="13">
        <v>44548</v>
      </c>
      <c r="F15" s="75" t="s">
        <v>175</v>
      </c>
      <c r="G15" s="13">
        <v>44563</v>
      </c>
      <c r="H15" s="76" t="s">
        <v>176</v>
      </c>
      <c r="I15" s="16">
        <v>35</v>
      </c>
      <c r="J15" s="16">
        <v>35</v>
      </c>
      <c r="K15" s="16">
        <v>18</v>
      </c>
      <c r="L15" s="16">
        <v>12</v>
      </c>
      <c r="M15" s="80">
        <v>5.5125000000000002</v>
      </c>
      <c r="N15" s="97">
        <v>12</v>
      </c>
      <c r="O15" s="63">
        <v>14000</v>
      </c>
      <c r="P15" s="64">
        <f>Table224578910112345678910[[#This Row],[PEMBULATAN]]*O15</f>
        <v>168000</v>
      </c>
      <c r="Q15" s="164"/>
    </row>
    <row r="16" spans="1:17" ht="26.25" customHeight="1" x14ac:dyDescent="0.2">
      <c r="A16" s="14"/>
      <c r="B16" s="14"/>
      <c r="C16" s="72" t="s">
        <v>174</v>
      </c>
      <c r="D16" s="77" t="s">
        <v>62</v>
      </c>
      <c r="E16" s="13">
        <v>44548</v>
      </c>
      <c r="F16" s="75" t="s">
        <v>175</v>
      </c>
      <c r="G16" s="13">
        <v>44563</v>
      </c>
      <c r="H16" s="76" t="s">
        <v>176</v>
      </c>
      <c r="I16" s="16">
        <v>35</v>
      </c>
      <c r="J16" s="16">
        <v>35</v>
      </c>
      <c r="K16" s="16">
        <v>18</v>
      </c>
      <c r="L16" s="16">
        <v>12</v>
      </c>
      <c r="M16" s="80">
        <v>5.5125000000000002</v>
      </c>
      <c r="N16" s="97">
        <v>12</v>
      </c>
      <c r="O16" s="63">
        <v>14000</v>
      </c>
      <c r="P16" s="64">
        <f>Table224578910112345678910[[#This Row],[PEMBULATAN]]*O16</f>
        <v>168000</v>
      </c>
      <c r="Q16" s="171"/>
    </row>
    <row r="17" spans="1:16" ht="22.5" customHeight="1" x14ac:dyDescent="0.2">
      <c r="A17" s="166" t="s">
        <v>30</v>
      </c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8"/>
      <c r="M17" s="100">
        <f>SUBTOTAL(109,Table224578910112345678910[KG VOLUME])</f>
        <v>201.17599999999996</v>
      </c>
      <c r="N17" s="67">
        <f>SUM(N3:N16)</f>
        <v>245.55500000000001</v>
      </c>
      <c r="O17" s="169">
        <f>SUM(P3:P16)</f>
        <v>3437770</v>
      </c>
      <c r="P17" s="170"/>
    </row>
    <row r="18" spans="1:16" ht="18" customHeight="1" x14ac:dyDescent="0.2">
      <c r="A18" s="85"/>
      <c r="B18" s="56" t="s">
        <v>42</v>
      </c>
      <c r="C18" s="55"/>
      <c r="D18" s="57" t="s">
        <v>43</v>
      </c>
      <c r="E18" s="85"/>
      <c r="F18" s="85"/>
      <c r="G18" s="85"/>
      <c r="H18" s="85"/>
      <c r="I18" s="85"/>
      <c r="J18" s="85"/>
      <c r="K18" s="85"/>
      <c r="L18" s="85"/>
      <c r="M18" s="86"/>
      <c r="N18" s="87" t="s">
        <v>51</v>
      </c>
      <c r="O18" s="88"/>
      <c r="P18" s="88">
        <f>O17*10%</f>
        <v>343777</v>
      </c>
    </row>
    <row r="19" spans="1:16" ht="18" customHeight="1" thickBot="1" x14ac:dyDescent="0.25">
      <c r="A19" s="85"/>
      <c r="B19" s="56"/>
      <c r="C19" s="55"/>
      <c r="D19" s="57"/>
      <c r="E19" s="85"/>
      <c r="F19" s="85"/>
      <c r="G19" s="85"/>
      <c r="H19" s="85"/>
      <c r="I19" s="85"/>
      <c r="J19" s="85"/>
      <c r="K19" s="85"/>
      <c r="L19" s="85"/>
      <c r="M19" s="86"/>
      <c r="N19" s="89" t="s">
        <v>52</v>
      </c>
      <c r="O19" s="90"/>
      <c r="P19" s="90">
        <f>O17-P18</f>
        <v>3093993</v>
      </c>
    </row>
    <row r="20" spans="1:16" ht="18" customHeight="1" x14ac:dyDescent="0.2">
      <c r="A20" s="11"/>
      <c r="H20" s="62"/>
      <c r="N20" s="61" t="s">
        <v>31</v>
      </c>
      <c r="P20" s="68">
        <f>P19*1%</f>
        <v>30939.93</v>
      </c>
    </row>
    <row r="21" spans="1:16" ht="18" customHeight="1" thickBot="1" x14ac:dyDescent="0.25">
      <c r="A21" s="11"/>
      <c r="H21" s="62"/>
      <c r="N21" s="61" t="s">
        <v>53</v>
      </c>
      <c r="P21" s="70">
        <f>P19*2%</f>
        <v>61879.86</v>
      </c>
    </row>
    <row r="22" spans="1:16" ht="18" customHeight="1" x14ac:dyDescent="0.2">
      <c r="A22" s="11"/>
      <c r="H22" s="62"/>
      <c r="N22" s="65" t="s">
        <v>32</v>
      </c>
      <c r="O22" s="66"/>
      <c r="P22" s="69">
        <f>P19+P20-P21</f>
        <v>3063053.0700000003</v>
      </c>
    </row>
    <row r="24" spans="1:16" x14ac:dyDescent="0.2">
      <c r="A24" s="11"/>
      <c r="H24" s="62"/>
      <c r="P24" s="70"/>
    </row>
    <row r="25" spans="1:16" x14ac:dyDescent="0.2">
      <c r="A25" s="11"/>
      <c r="H25" s="62"/>
      <c r="O25" s="58"/>
      <c r="P25" s="70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2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2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2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2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2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2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2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2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2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2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2"/>
      <c r="N37" s="15"/>
      <c r="O37" s="15"/>
      <c r="P37" s="15"/>
    </row>
  </sheetData>
  <mergeCells count="3">
    <mergeCell ref="A17:L17"/>
    <mergeCell ref="O17:P17"/>
    <mergeCell ref="Q3:Q16"/>
  </mergeCells>
  <conditionalFormatting sqref="B3">
    <cfRule type="duplicateValues" dxfId="121" priority="2"/>
  </conditionalFormatting>
  <conditionalFormatting sqref="B4">
    <cfRule type="duplicateValues" dxfId="120" priority="1"/>
  </conditionalFormatting>
  <conditionalFormatting sqref="B5:B16">
    <cfRule type="duplicateValues" dxfId="119" priority="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6" sqref="O6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402702</v>
      </c>
      <c r="B3" s="73" t="s">
        <v>177</v>
      </c>
      <c r="C3" s="9" t="s">
        <v>178</v>
      </c>
      <c r="D3" s="75" t="s">
        <v>62</v>
      </c>
      <c r="E3" s="13">
        <v>44550</v>
      </c>
      <c r="F3" s="75" t="s">
        <v>175</v>
      </c>
      <c r="G3" s="13">
        <v>44563</v>
      </c>
      <c r="H3" s="10" t="s">
        <v>176</v>
      </c>
      <c r="I3" s="1">
        <v>94</v>
      </c>
      <c r="J3" s="1">
        <v>80</v>
      </c>
      <c r="K3" s="1">
        <v>58</v>
      </c>
      <c r="L3" s="1">
        <v>17</v>
      </c>
      <c r="M3" s="79">
        <v>109.04</v>
      </c>
      <c r="N3" s="97">
        <v>109.04</v>
      </c>
      <c r="O3" s="63">
        <v>14000</v>
      </c>
      <c r="P3" s="64">
        <f>Table22457891011234567891011[[#This Row],[PEMBULATAN]]*O3</f>
        <v>1526560</v>
      </c>
      <c r="Q3" s="163">
        <v>2</v>
      </c>
    </row>
    <row r="4" spans="1:17" ht="26.25" customHeight="1" x14ac:dyDescent="0.2">
      <c r="A4" s="14"/>
      <c r="B4" s="74"/>
      <c r="C4" s="9" t="s">
        <v>179</v>
      </c>
      <c r="D4" s="75" t="s">
        <v>62</v>
      </c>
      <c r="E4" s="13">
        <v>44550</v>
      </c>
      <c r="F4" s="75" t="s">
        <v>175</v>
      </c>
      <c r="G4" s="13">
        <v>44563</v>
      </c>
      <c r="H4" s="10" t="s">
        <v>176</v>
      </c>
      <c r="I4" s="1">
        <v>94</v>
      </c>
      <c r="J4" s="1">
        <v>80</v>
      </c>
      <c r="K4" s="1">
        <v>58</v>
      </c>
      <c r="L4" s="1">
        <v>17</v>
      </c>
      <c r="M4" s="79">
        <v>109.04</v>
      </c>
      <c r="N4" s="97">
        <v>109.04</v>
      </c>
      <c r="O4" s="63">
        <v>14000</v>
      </c>
      <c r="P4" s="64">
        <f>Table22457891011234567891011[[#This Row],[PEMBULATAN]]*O4</f>
        <v>1526560</v>
      </c>
      <c r="Q4" s="171"/>
    </row>
    <row r="5" spans="1:17" ht="22.5" customHeight="1" x14ac:dyDescent="0.2">
      <c r="A5" s="166" t="s">
        <v>30</v>
      </c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8"/>
      <c r="M5" s="78">
        <f>SUBTOTAL(109,Table22457891011234567891011[KG VOLUME])</f>
        <v>218.08</v>
      </c>
      <c r="N5" s="67">
        <f>SUM(N3:N4)</f>
        <v>218.08</v>
      </c>
      <c r="O5" s="169">
        <f>SUM(P3:P4)</f>
        <v>3053120</v>
      </c>
      <c r="P5" s="170"/>
    </row>
    <row r="6" spans="1:17" ht="18" customHeight="1" x14ac:dyDescent="0.2">
      <c r="A6" s="85"/>
      <c r="B6" s="56" t="s">
        <v>42</v>
      </c>
      <c r="C6" s="55"/>
      <c r="D6" s="57" t="s">
        <v>43</v>
      </c>
      <c r="E6" s="85"/>
      <c r="F6" s="85"/>
      <c r="G6" s="85"/>
      <c r="H6" s="85"/>
      <c r="I6" s="85"/>
      <c r="J6" s="85"/>
      <c r="K6" s="85"/>
      <c r="L6" s="85"/>
      <c r="M6" s="86"/>
      <c r="N6" s="87" t="s">
        <v>51</v>
      </c>
      <c r="O6" s="88"/>
      <c r="P6" s="88">
        <f>O5*10%</f>
        <v>305312</v>
      </c>
    </row>
    <row r="7" spans="1:17" ht="18" customHeight="1" thickBot="1" x14ac:dyDescent="0.25">
      <c r="A7" s="85"/>
      <c r="B7" s="56"/>
      <c r="C7" s="55"/>
      <c r="D7" s="57"/>
      <c r="E7" s="85"/>
      <c r="F7" s="85"/>
      <c r="G7" s="85"/>
      <c r="H7" s="85"/>
      <c r="I7" s="85"/>
      <c r="J7" s="85"/>
      <c r="K7" s="85"/>
      <c r="L7" s="85"/>
      <c r="M7" s="86"/>
      <c r="N7" s="89" t="s">
        <v>52</v>
      </c>
      <c r="O7" s="90"/>
      <c r="P7" s="90">
        <f>O5-P6</f>
        <v>2747808</v>
      </c>
    </row>
    <row r="8" spans="1:17" ht="18" customHeight="1" x14ac:dyDescent="0.2">
      <c r="A8" s="11"/>
      <c r="H8" s="62"/>
      <c r="N8" s="61" t="s">
        <v>31</v>
      </c>
      <c r="P8" s="68">
        <f>P7*1%</f>
        <v>27478.080000000002</v>
      </c>
    </row>
    <row r="9" spans="1:17" ht="18" customHeight="1" thickBot="1" x14ac:dyDescent="0.25">
      <c r="A9" s="11"/>
      <c r="H9" s="62"/>
      <c r="N9" s="61" t="s">
        <v>53</v>
      </c>
      <c r="P9" s="70">
        <f>P7*2%</f>
        <v>54956.160000000003</v>
      </c>
    </row>
    <row r="10" spans="1:17" ht="18" customHeight="1" x14ac:dyDescent="0.2">
      <c r="A10" s="11"/>
      <c r="H10" s="62"/>
      <c r="N10" s="65" t="s">
        <v>32</v>
      </c>
      <c r="O10" s="66"/>
      <c r="P10" s="69">
        <f>P7+P8-P9</f>
        <v>2720329.92</v>
      </c>
    </row>
    <row r="12" spans="1:17" x14ac:dyDescent="0.2">
      <c r="A12" s="11"/>
      <c r="H12" s="62"/>
      <c r="P12" s="70"/>
    </row>
    <row r="13" spans="1:17" x14ac:dyDescent="0.2">
      <c r="A13" s="11"/>
      <c r="H13" s="62"/>
      <c r="O13" s="58"/>
      <c r="P13" s="70"/>
    </row>
    <row r="14" spans="1:17" s="3" customFormat="1" x14ac:dyDescent="0.25">
      <c r="A14" s="11"/>
      <c r="B14" s="2"/>
      <c r="C14" s="2"/>
      <c r="E14" s="12"/>
      <c r="H14" s="62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</sheetData>
  <mergeCells count="3">
    <mergeCell ref="A5:L5"/>
    <mergeCell ref="O5:P5"/>
    <mergeCell ref="Q3:Q4"/>
  </mergeCells>
  <conditionalFormatting sqref="B3">
    <cfRule type="duplicateValues" dxfId="103" priority="2"/>
  </conditionalFormatting>
  <conditionalFormatting sqref="B4">
    <cfRule type="duplicateValues" dxfId="102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7" sqref="O7"/>
    </sheetView>
  </sheetViews>
  <sheetFormatPr defaultRowHeight="15" x14ac:dyDescent="0.2"/>
  <cols>
    <col min="1" max="1" width="7.4257812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402707</v>
      </c>
      <c r="B3" s="73" t="s">
        <v>180</v>
      </c>
      <c r="C3" s="9" t="s">
        <v>181</v>
      </c>
      <c r="D3" s="75" t="s">
        <v>62</v>
      </c>
      <c r="E3" s="13">
        <v>44551</v>
      </c>
      <c r="F3" s="75" t="s">
        <v>175</v>
      </c>
      <c r="G3" s="13">
        <v>44563</v>
      </c>
      <c r="H3" s="10" t="s">
        <v>176</v>
      </c>
      <c r="I3" s="1">
        <v>70</v>
      </c>
      <c r="J3" s="1">
        <v>53</v>
      </c>
      <c r="K3" s="1">
        <v>92</v>
      </c>
      <c r="L3" s="1">
        <v>11</v>
      </c>
      <c r="M3" s="79">
        <v>85.33</v>
      </c>
      <c r="N3" s="8">
        <v>86</v>
      </c>
      <c r="O3" s="63">
        <v>14000</v>
      </c>
      <c r="P3" s="64">
        <f>Table2245789101123456789101112[[#This Row],[PEMBULATAN]]*O3</f>
        <v>1204000</v>
      </c>
      <c r="Q3" s="163">
        <v>3</v>
      </c>
    </row>
    <row r="4" spans="1:17" ht="26.25" customHeight="1" x14ac:dyDescent="0.2">
      <c r="A4" s="14"/>
      <c r="B4" s="74"/>
      <c r="C4" s="9" t="s">
        <v>182</v>
      </c>
      <c r="D4" s="75" t="s">
        <v>62</v>
      </c>
      <c r="E4" s="13">
        <v>44551</v>
      </c>
      <c r="F4" s="75" t="s">
        <v>175</v>
      </c>
      <c r="G4" s="13">
        <v>44563</v>
      </c>
      <c r="H4" s="10" t="s">
        <v>176</v>
      </c>
      <c r="I4" s="1">
        <v>60</v>
      </c>
      <c r="J4" s="1">
        <v>43</v>
      </c>
      <c r="K4" s="1">
        <v>75</v>
      </c>
      <c r="L4" s="1">
        <v>11</v>
      </c>
      <c r="M4" s="79">
        <v>48.375</v>
      </c>
      <c r="N4" s="8">
        <v>49</v>
      </c>
      <c r="O4" s="63">
        <v>14000</v>
      </c>
      <c r="P4" s="64">
        <f>Table2245789101123456789101112[[#This Row],[PEMBULATAN]]*O4</f>
        <v>686000</v>
      </c>
      <c r="Q4" s="164"/>
    </row>
    <row r="5" spans="1:17" ht="26.25" customHeight="1" x14ac:dyDescent="0.2">
      <c r="A5" s="14"/>
      <c r="B5" s="14"/>
      <c r="C5" s="9" t="s">
        <v>183</v>
      </c>
      <c r="D5" s="75" t="s">
        <v>62</v>
      </c>
      <c r="E5" s="13">
        <v>44551</v>
      </c>
      <c r="F5" s="75" t="s">
        <v>175</v>
      </c>
      <c r="G5" s="13">
        <v>44563</v>
      </c>
      <c r="H5" s="10" t="s">
        <v>176</v>
      </c>
      <c r="I5" s="1">
        <v>70</v>
      </c>
      <c r="J5" s="1">
        <v>43</v>
      </c>
      <c r="K5" s="1">
        <v>75</v>
      </c>
      <c r="L5" s="1">
        <v>11</v>
      </c>
      <c r="M5" s="79">
        <v>56.4375</v>
      </c>
      <c r="N5" s="8">
        <v>57</v>
      </c>
      <c r="O5" s="63">
        <v>14000</v>
      </c>
      <c r="P5" s="64">
        <f>Table2245789101123456789101112[[#This Row],[PEMBULATAN]]*O5</f>
        <v>798000</v>
      </c>
      <c r="Q5" s="171"/>
    </row>
    <row r="6" spans="1:17" ht="22.5" customHeight="1" x14ac:dyDescent="0.2">
      <c r="A6" s="166" t="s">
        <v>30</v>
      </c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8"/>
      <c r="M6" s="78">
        <f>SUBTOTAL(109,Table2245789101123456789101112[KG VOLUME])</f>
        <v>190.14249999999998</v>
      </c>
      <c r="N6" s="67">
        <f>SUM(N3:N5)</f>
        <v>192</v>
      </c>
      <c r="O6" s="169">
        <f>SUM(P3:P5)</f>
        <v>2688000</v>
      </c>
      <c r="P6" s="170"/>
    </row>
    <row r="7" spans="1:17" ht="18" customHeight="1" x14ac:dyDescent="0.2">
      <c r="A7" s="85"/>
      <c r="B7" s="56" t="s">
        <v>42</v>
      </c>
      <c r="C7" s="55"/>
      <c r="D7" s="57" t="s">
        <v>43</v>
      </c>
      <c r="E7" s="85"/>
      <c r="F7" s="85"/>
      <c r="G7" s="85"/>
      <c r="H7" s="85"/>
      <c r="I7" s="85"/>
      <c r="J7" s="85"/>
      <c r="K7" s="85"/>
      <c r="L7" s="85"/>
      <c r="M7" s="86"/>
      <c r="N7" s="87" t="s">
        <v>51</v>
      </c>
      <c r="O7" s="88"/>
      <c r="P7" s="88">
        <f>O6*10%</f>
        <v>268800</v>
      </c>
    </row>
    <row r="8" spans="1:17" ht="18" customHeight="1" thickBot="1" x14ac:dyDescent="0.25">
      <c r="A8" s="85"/>
      <c r="B8" s="56"/>
      <c r="C8" s="55"/>
      <c r="D8" s="57"/>
      <c r="E8" s="85"/>
      <c r="F8" s="85"/>
      <c r="G8" s="85"/>
      <c r="H8" s="85"/>
      <c r="I8" s="85"/>
      <c r="J8" s="85"/>
      <c r="K8" s="85"/>
      <c r="L8" s="85"/>
      <c r="M8" s="86"/>
      <c r="N8" s="89" t="s">
        <v>52</v>
      </c>
      <c r="O8" s="90"/>
      <c r="P8" s="90">
        <f>O6-P7</f>
        <v>2419200</v>
      </c>
    </row>
    <row r="9" spans="1:17" ht="18" customHeight="1" x14ac:dyDescent="0.2">
      <c r="A9" s="11"/>
      <c r="H9" s="62"/>
      <c r="N9" s="61" t="s">
        <v>31</v>
      </c>
      <c r="P9" s="68">
        <f>P8*1%</f>
        <v>24192</v>
      </c>
    </row>
    <row r="10" spans="1:17" ht="18" customHeight="1" thickBot="1" x14ac:dyDescent="0.25">
      <c r="A10" s="11"/>
      <c r="H10" s="62"/>
      <c r="N10" s="61" t="s">
        <v>53</v>
      </c>
      <c r="P10" s="70">
        <f>P8*2%</f>
        <v>48384</v>
      </c>
    </row>
    <row r="11" spans="1:17" ht="18" customHeight="1" x14ac:dyDescent="0.2">
      <c r="A11" s="11"/>
      <c r="H11" s="62"/>
      <c r="N11" s="65" t="s">
        <v>32</v>
      </c>
      <c r="O11" s="66"/>
      <c r="P11" s="69">
        <f>P8+P9-P10</f>
        <v>2395008</v>
      </c>
    </row>
    <row r="13" spans="1:17" x14ac:dyDescent="0.2">
      <c r="A13" s="11"/>
      <c r="H13" s="62"/>
      <c r="P13" s="70"/>
    </row>
    <row r="14" spans="1:17" x14ac:dyDescent="0.2">
      <c r="A14" s="11"/>
      <c r="H14" s="62"/>
      <c r="O14" s="58"/>
      <c r="P14" s="70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</sheetData>
  <mergeCells count="3">
    <mergeCell ref="A6:L6"/>
    <mergeCell ref="O6:P6"/>
    <mergeCell ref="Q3:Q5"/>
  </mergeCells>
  <conditionalFormatting sqref="B3">
    <cfRule type="duplicateValues" dxfId="86" priority="2"/>
  </conditionalFormatting>
  <conditionalFormatting sqref="B4">
    <cfRule type="duplicateValues" dxfId="85" priority="1"/>
  </conditionalFormatting>
  <conditionalFormatting sqref="B5">
    <cfRule type="duplicateValues" dxfId="84" priority="1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1" sqref="O11"/>
    </sheetView>
  </sheetViews>
  <sheetFormatPr defaultRowHeight="15" x14ac:dyDescent="0.2"/>
  <cols>
    <col min="1" max="1" width="7.2851562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402718</v>
      </c>
      <c r="B3" s="73" t="s">
        <v>184</v>
      </c>
      <c r="C3" s="9" t="s">
        <v>187</v>
      </c>
      <c r="D3" s="75" t="s">
        <v>62</v>
      </c>
      <c r="E3" s="13">
        <v>44553</v>
      </c>
      <c r="F3" s="75" t="s">
        <v>81</v>
      </c>
      <c r="G3" s="13">
        <v>44570</v>
      </c>
      <c r="H3" s="10" t="s">
        <v>194</v>
      </c>
      <c r="I3" s="1">
        <v>42</v>
      </c>
      <c r="J3" s="1">
        <v>39</v>
      </c>
      <c r="K3" s="1">
        <v>56</v>
      </c>
      <c r="L3" s="1">
        <v>7</v>
      </c>
      <c r="M3" s="79">
        <v>22.931999999999999</v>
      </c>
      <c r="N3" s="97">
        <v>22.931999999999999</v>
      </c>
      <c r="O3" s="63">
        <v>14000</v>
      </c>
      <c r="P3" s="64">
        <f>Table224578910112345678910111213[[#This Row],[PEMBULATAN]]*O3</f>
        <v>321048</v>
      </c>
      <c r="Q3" s="163">
        <v>7</v>
      </c>
    </row>
    <row r="4" spans="1:17" ht="26.25" customHeight="1" x14ac:dyDescent="0.2">
      <c r="A4" s="14"/>
      <c r="B4" s="74"/>
      <c r="C4" s="9" t="s">
        <v>188</v>
      </c>
      <c r="D4" s="75" t="s">
        <v>62</v>
      </c>
      <c r="E4" s="13">
        <v>44553</v>
      </c>
      <c r="F4" s="75" t="s">
        <v>81</v>
      </c>
      <c r="G4" s="13">
        <v>44570</v>
      </c>
      <c r="H4" s="10" t="s">
        <v>194</v>
      </c>
      <c r="I4" s="1">
        <v>66</v>
      </c>
      <c r="J4" s="1">
        <v>58</v>
      </c>
      <c r="K4" s="1">
        <v>21</v>
      </c>
      <c r="L4" s="1">
        <v>7</v>
      </c>
      <c r="M4" s="79">
        <v>20.097000000000001</v>
      </c>
      <c r="N4" s="97">
        <v>20.097000000000001</v>
      </c>
      <c r="O4" s="63">
        <v>14000</v>
      </c>
      <c r="P4" s="64">
        <f>Table224578910112345678910111213[[#This Row],[PEMBULATAN]]*O4</f>
        <v>281358</v>
      </c>
      <c r="Q4" s="164"/>
    </row>
    <row r="5" spans="1:17" ht="26.25" customHeight="1" x14ac:dyDescent="0.2">
      <c r="A5" s="14"/>
      <c r="B5" s="14"/>
      <c r="C5" s="9" t="s">
        <v>189</v>
      </c>
      <c r="D5" s="75" t="s">
        <v>62</v>
      </c>
      <c r="E5" s="13">
        <v>44553</v>
      </c>
      <c r="F5" s="75" t="s">
        <v>81</v>
      </c>
      <c r="G5" s="13">
        <v>44570</v>
      </c>
      <c r="H5" s="10" t="s">
        <v>194</v>
      </c>
      <c r="I5" s="1">
        <v>66</v>
      </c>
      <c r="J5" s="1">
        <v>58</v>
      </c>
      <c r="K5" s="1">
        <v>21</v>
      </c>
      <c r="L5" s="1">
        <v>7</v>
      </c>
      <c r="M5" s="79">
        <v>20.097000000000001</v>
      </c>
      <c r="N5" s="97">
        <v>20.097000000000001</v>
      </c>
      <c r="O5" s="63">
        <v>14000</v>
      </c>
      <c r="P5" s="64">
        <f>Table224578910112345678910111213[[#This Row],[PEMBULATAN]]*O5</f>
        <v>281358</v>
      </c>
      <c r="Q5" s="164"/>
    </row>
    <row r="6" spans="1:17" ht="26.25" customHeight="1" x14ac:dyDescent="0.2">
      <c r="A6" s="14"/>
      <c r="B6" s="14"/>
      <c r="C6" s="72" t="s">
        <v>190</v>
      </c>
      <c r="D6" s="77" t="s">
        <v>62</v>
      </c>
      <c r="E6" s="13">
        <v>44553</v>
      </c>
      <c r="F6" s="75" t="s">
        <v>81</v>
      </c>
      <c r="G6" s="13">
        <v>44570</v>
      </c>
      <c r="H6" s="76" t="s">
        <v>194</v>
      </c>
      <c r="I6" s="16">
        <v>66</v>
      </c>
      <c r="J6" s="16">
        <v>58</v>
      </c>
      <c r="K6" s="16">
        <v>21</v>
      </c>
      <c r="L6" s="16">
        <v>7</v>
      </c>
      <c r="M6" s="80">
        <v>20.097000000000001</v>
      </c>
      <c r="N6" s="97">
        <v>20.097000000000001</v>
      </c>
      <c r="O6" s="63">
        <v>14000</v>
      </c>
      <c r="P6" s="64">
        <f>Table224578910112345678910111213[[#This Row],[PEMBULATAN]]*O6</f>
        <v>281358</v>
      </c>
      <c r="Q6" s="164"/>
    </row>
    <row r="7" spans="1:17" ht="26.25" customHeight="1" x14ac:dyDescent="0.2">
      <c r="A7" s="14"/>
      <c r="B7" s="101"/>
      <c r="C7" s="72" t="s">
        <v>191</v>
      </c>
      <c r="D7" s="77" t="s">
        <v>62</v>
      </c>
      <c r="E7" s="13">
        <v>44553</v>
      </c>
      <c r="F7" s="75" t="s">
        <v>81</v>
      </c>
      <c r="G7" s="13">
        <v>44570</v>
      </c>
      <c r="H7" s="76" t="s">
        <v>194</v>
      </c>
      <c r="I7" s="16">
        <v>150</v>
      </c>
      <c r="J7" s="16">
        <v>65</v>
      </c>
      <c r="K7" s="16">
        <v>10</v>
      </c>
      <c r="L7" s="16">
        <v>15</v>
      </c>
      <c r="M7" s="80">
        <v>24.375</v>
      </c>
      <c r="N7" s="97">
        <v>25</v>
      </c>
      <c r="O7" s="63">
        <v>14000</v>
      </c>
      <c r="P7" s="64">
        <f>Table224578910112345678910111213[[#This Row],[PEMBULATAN]]*O7</f>
        <v>350000</v>
      </c>
      <c r="Q7" s="164"/>
    </row>
    <row r="8" spans="1:17" ht="26.25" customHeight="1" x14ac:dyDescent="0.2">
      <c r="A8" s="14"/>
      <c r="B8" s="105" t="s">
        <v>185</v>
      </c>
      <c r="C8" s="72" t="s">
        <v>192</v>
      </c>
      <c r="D8" s="77" t="s">
        <v>62</v>
      </c>
      <c r="E8" s="13">
        <v>44553</v>
      </c>
      <c r="F8" s="75" t="s">
        <v>81</v>
      </c>
      <c r="G8" s="13">
        <v>44570</v>
      </c>
      <c r="H8" s="76" t="s">
        <v>194</v>
      </c>
      <c r="I8" s="16">
        <v>66</v>
      </c>
      <c r="J8" s="16">
        <v>22</v>
      </c>
      <c r="K8" s="16">
        <v>57</v>
      </c>
      <c r="L8" s="16">
        <v>7</v>
      </c>
      <c r="M8" s="80">
        <v>20.690999999999999</v>
      </c>
      <c r="N8" s="97">
        <v>20.690999999999999</v>
      </c>
      <c r="O8" s="63">
        <v>14000</v>
      </c>
      <c r="P8" s="64">
        <f>Table224578910112345678910111213[[#This Row],[PEMBULATAN]]*O8</f>
        <v>289674</v>
      </c>
      <c r="Q8" s="164"/>
    </row>
    <row r="9" spans="1:17" ht="26.25" customHeight="1" x14ac:dyDescent="0.2">
      <c r="A9" s="14"/>
      <c r="B9" s="14" t="s">
        <v>186</v>
      </c>
      <c r="C9" s="72" t="s">
        <v>193</v>
      </c>
      <c r="D9" s="77" t="s">
        <v>62</v>
      </c>
      <c r="E9" s="13">
        <v>44553</v>
      </c>
      <c r="F9" s="75" t="s">
        <v>81</v>
      </c>
      <c r="G9" s="13">
        <v>44570</v>
      </c>
      <c r="H9" s="76" t="s">
        <v>194</v>
      </c>
      <c r="I9" s="16">
        <v>150</v>
      </c>
      <c r="J9" s="16">
        <v>65</v>
      </c>
      <c r="K9" s="16">
        <v>10</v>
      </c>
      <c r="L9" s="16">
        <v>15</v>
      </c>
      <c r="M9" s="80">
        <v>24.375</v>
      </c>
      <c r="N9" s="97">
        <v>25</v>
      </c>
      <c r="O9" s="63">
        <v>14000</v>
      </c>
      <c r="P9" s="64">
        <f>Table224578910112345678910111213[[#This Row],[PEMBULATAN]]*O9</f>
        <v>350000</v>
      </c>
      <c r="Q9" s="171"/>
    </row>
    <row r="10" spans="1:17" ht="22.5" customHeight="1" x14ac:dyDescent="0.2">
      <c r="A10" s="166" t="s">
        <v>30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8"/>
      <c r="M10" s="78">
        <f>SUBTOTAL(109,Table224578910112345678910111213[KG VOLUME])</f>
        <v>152.66399999999999</v>
      </c>
      <c r="N10" s="67">
        <f>SUM(N3:N9)</f>
        <v>153.91399999999999</v>
      </c>
      <c r="O10" s="169">
        <f>SUM(P3:P9)</f>
        <v>2154796</v>
      </c>
      <c r="P10" s="170"/>
    </row>
    <row r="11" spans="1:17" ht="18" customHeight="1" x14ac:dyDescent="0.2">
      <c r="A11" s="85"/>
      <c r="B11" s="56" t="s">
        <v>42</v>
      </c>
      <c r="C11" s="55"/>
      <c r="D11" s="57" t="s">
        <v>43</v>
      </c>
      <c r="E11" s="85"/>
      <c r="F11" s="85"/>
      <c r="G11" s="85"/>
      <c r="H11" s="85"/>
      <c r="I11" s="85"/>
      <c r="J11" s="85"/>
      <c r="K11" s="85"/>
      <c r="L11" s="85"/>
      <c r="M11" s="86"/>
      <c r="N11" s="87" t="s">
        <v>51</v>
      </c>
      <c r="O11" s="88"/>
      <c r="P11" s="88">
        <f>O10*10%</f>
        <v>215479.6</v>
      </c>
    </row>
    <row r="12" spans="1:17" ht="18" customHeight="1" thickBot="1" x14ac:dyDescent="0.25">
      <c r="A12" s="85"/>
      <c r="B12" s="56"/>
      <c r="C12" s="55"/>
      <c r="D12" s="57"/>
      <c r="E12" s="85"/>
      <c r="F12" s="85"/>
      <c r="G12" s="85"/>
      <c r="H12" s="85"/>
      <c r="I12" s="85"/>
      <c r="J12" s="85"/>
      <c r="K12" s="85"/>
      <c r="L12" s="85"/>
      <c r="M12" s="86"/>
      <c r="N12" s="89" t="s">
        <v>52</v>
      </c>
      <c r="O12" s="90"/>
      <c r="P12" s="90">
        <f>O10-P11</f>
        <v>1939316.4</v>
      </c>
    </row>
    <row r="13" spans="1:17" ht="18" customHeight="1" x14ac:dyDescent="0.2">
      <c r="A13" s="11"/>
      <c r="H13" s="62"/>
      <c r="N13" s="61" t="s">
        <v>31</v>
      </c>
      <c r="P13" s="68">
        <f>P12*1%</f>
        <v>19393.164000000001</v>
      </c>
    </row>
    <row r="14" spans="1:17" ht="18" customHeight="1" thickBot="1" x14ac:dyDescent="0.25">
      <c r="A14" s="11"/>
      <c r="H14" s="62"/>
      <c r="N14" s="61" t="s">
        <v>53</v>
      </c>
      <c r="P14" s="70">
        <f>P12*2%</f>
        <v>38786.328000000001</v>
      </c>
    </row>
    <row r="15" spans="1:17" ht="18" customHeight="1" x14ac:dyDescent="0.2">
      <c r="A15" s="11"/>
      <c r="H15" s="62"/>
      <c r="N15" s="65" t="s">
        <v>32</v>
      </c>
      <c r="O15" s="66"/>
      <c r="P15" s="69">
        <f>P12+P13-P14</f>
        <v>1919923.236</v>
      </c>
    </row>
    <row r="17" spans="1:16" x14ac:dyDescent="0.2">
      <c r="A17" s="11"/>
      <c r="H17" s="62"/>
      <c r="P17" s="70"/>
    </row>
    <row r="18" spans="1:16" x14ac:dyDescent="0.2">
      <c r="A18" s="11"/>
      <c r="H18" s="62"/>
      <c r="O18" s="58"/>
      <c r="P18" s="70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2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2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2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2"/>
      <c r="N30" s="15"/>
      <c r="O30" s="15"/>
      <c r="P30" s="15"/>
    </row>
  </sheetData>
  <mergeCells count="3">
    <mergeCell ref="A10:L10"/>
    <mergeCell ref="O10:P10"/>
    <mergeCell ref="Q3:Q9"/>
  </mergeCells>
  <conditionalFormatting sqref="B3">
    <cfRule type="duplicateValues" dxfId="68" priority="2"/>
  </conditionalFormatting>
  <conditionalFormatting sqref="B4">
    <cfRule type="duplicateValues" dxfId="67" priority="1"/>
  </conditionalFormatting>
  <conditionalFormatting sqref="B5:B9">
    <cfRule type="duplicateValues" dxfId="66" priority="1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P8" sqref="P8"/>
    </sheetView>
  </sheetViews>
  <sheetFormatPr defaultRowHeight="15" x14ac:dyDescent="0.2"/>
  <cols>
    <col min="1" max="1" width="6.71093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402726</v>
      </c>
      <c r="B3" s="73" t="s">
        <v>195</v>
      </c>
      <c r="C3" s="9" t="s">
        <v>196</v>
      </c>
      <c r="D3" s="75" t="s">
        <v>62</v>
      </c>
      <c r="E3" s="13">
        <v>44554</v>
      </c>
      <c r="F3" s="75" t="s">
        <v>81</v>
      </c>
      <c r="G3" s="13">
        <v>44570</v>
      </c>
      <c r="H3" s="10" t="s">
        <v>194</v>
      </c>
      <c r="I3" s="1">
        <v>51</v>
      </c>
      <c r="J3" s="1">
        <v>45</v>
      </c>
      <c r="K3" s="1">
        <v>14</v>
      </c>
      <c r="L3" s="1">
        <v>11</v>
      </c>
      <c r="M3" s="79">
        <v>8.0325000000000006</v>
      </c>
      <c r="N3" s="8">
        <v>11</v>
      </c>
      <c r="O3" s="63">
        <v>14000</v>
      </c>
      <c r="P3" s="64">
        <f>Table22457891011234567891011121314[[#This Row],[PEMBULATAN]]*O3</f>
        <v>154000</v>
      </c>
      <c r="Q3" s="163">
        <v>4</v>
      </c>
    </row>
    <row r="4" spans="1:17" ht="26.25" customHeight="1" x14ac:dyDescent="0.2">
      <c r="A4" s="14"/>
      <c r="B4" s="74"/>
      <c r="C4" s="9" t="s">
        <v>197</v>
      </c>
      <c r="D4" s="75" t="s">
        <v>62</v>
      </c>
      <c r="E4" s="13">
        <v>44554</v>
      </c>
      <c r="F4" s="75" t="s">
        <v>81</v>
      </c>
      <c r="G4" s="13">
        <v>44570</v>
      </c>
      <c r="H4" s="10" t="s">
        <v>194</v>
      </c>
      <c r="I4" s="1">
        <v>51</v>
      </c>
      <c r="J4" s="1">
        <v>45</v>
      </c>
      <c r="K4" s="1">
        <v>14</v>
      </c>
      <c r="L4" s="1">
        <v>11</v>
      </c>
      <c r="M4" s="79">
        <v>8.0325000000000006</v>
      </c>
      <c r="N4" s="8">
        <v>11</v>
      </c>
      <c r="O4" s="63">
        <v>14000</v>
      </c>
      <c r="P4" s="64">
        <f>Table22457891011234567891011121314[[#This Row],[PEMBULATAN]]*O4</f>
        <v>154000</v>
      </c>
      <c r="Q4" s="164"/>
    </row>
    <row r="5" spans="1:17" ht="26.25" customHeight="1" x14ac:dyDescent="0.2">
      <c r="A5" s="14"/>
      <c r="B5" s="14"/>
      <c r="C5" s="9" t="s">
        <v>198</v>
      </c>
      <c r="D5" s="75" t="s">
        <v>62</v>
      </c>
      <c r="E5" s="13">
        <v>44554</v>
      </c>
      <c r="F5" s="75" t="s">
        <v>81</v>
      </c>
      <c r="G5" s="13">
        <v>44570</v>
      </c>
      <c r="H5" s="10" t="s">
        <v>194</v>
      </c>
      <c r="I5" s="1">
        <v>51</v>
      </c>
      <c r="J5" s="1">
        <v>45</v>
      </c>
      <c r="K5" s="1">
        <v>14</v>
      </c>
      <c r="L5" s="1">
        <v>11</v>
      </c>
      <c r="M5" s="79">
        <v>8.0325000000000006</v>
      </c>
      <c r="N5" s="8">
        <v>11</v>
      </c>
      <c r="O5" s="63">
        <v>14000</v>
      </c>
      <c r="P5" s="64">
        <f>Table22457891011234567891011121314[[#This Row],[PEMBULATAN]]*O5</f>
        <v>154000</v>
      </c>
      <c r="Q5" s="164"/>
    </row>
    <row r="6" spans="1:17" ht="26.25" customHeight="1" x14ac:dyDescent="0.2">
      <c r="A6" s="14"/>
      <c r="B6" s="14"/>
      <c r="C6" s="72" t="s">
        <v>199</v>
      </c>
      <c r="D6" s="77" t="s">
        <v>62</v>
      </c>
      <c r="E6" s="13">
        <v>44554</v>
      </c>
      <c r="F6" s="75" t="s">
        <v>81</v>
      </c>
      <c r="G6" s="13">
        <v>44570</v>
      </c>
      <c r="H6" s="76" t="s">
        <v>194</v>
      </c>
      <c r="I6" s="16">
        <v>51</v>
      </c>
      <c r="J6" s="16">
        <v>45</v>
      </c>
      <c r="K6" s="16">
        <v>14</v>
      </c>
      <c r="L6" s="16">
        <v>11</v>
      </c>
      <c r="M6" s="80">
        <v>8.0325000000000006</v>
      </c>
      <c r="N6" s="71">
        <v>11</v>
      </c>
      <c r="O6" s="63">
        <v>14000</v>
      </c>
      <c r="P6" s="64">
        <f>Table22457891011234567891011121314[[#This Row],[PEMBULATAN]]*O6</f>
        <v>154000</v>
      </c>
      <c r="Q6" s="171"/>
    </row>
    <row r="7" spans="1:17" ht="22.5" customHeight="1" x14ac:dyDescent="0.2">
      <c r="A7" s="166" t="s">
        <v>30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8"/>
      <c r="M7" s="78">
        <f>SUBTOTAL(109,Table22457891011234567891011121314[KG VOLUME])</f>
        <v>32.130000000000003</v>
      </c>
      <c r="N7" s="67">
        <f>SUM(N3:N6)</f>
        <v>44</v>
      </c>
      <c r="O7" s="169">
        <f>SUM(P3:P6)</f>
        <v>616000</v>
      </c>
      <c r="P7" s="170"/>
    </row>
    <row r="8" spans="1:17" ht="18" customHeight="1" x14ac:dyDescent="0.2">
      <c r="A8" s="85"/>
      <c r="B8" s="56" t="s">
        <v>42</v>
      </c>
      <c r="C8" s="55"/>
      <c r="D8" s="57" t="s">
        <v>43</v>
      </c>
      <c r="E8" s="85"/>
      <c r="F8" s="85"/>
      <c r="G8" s="85"/>
      <c r="H8" s="85"/>
      <c r="I8" s="85"/>
      <c r="J8" s="85"/>
      <c r="K8" s="85"/>
      <c r="L8" s="85"/>
      <c r="M8" s="86"/>
      <c r="N8" s="87" t="s">
        <v>51</v>
      </c>
      <c r="O8" s="88"/>
      <c r="P8" s="88">
        <f>O7*10%</f>
        <v>61600</v>
      </c>
    </row>
    <row r="9" spans="1:17" ht="18" customHeight="1" thickBot="1" x14ac:dyDescent="0.25">
      <c r="A9" s="85"/>
      <c r="B9" s="56"/>
      <c r="C9" s="55"/>
      <c r="D9" s="57"/>
      <c r="E9" s="85"/>
      <c r="F9" s="85"/>
      <c r="G9" s="85"/>
      <c r="H9" s="85"/>
      <c r="I9" s="85"/>
      <c r="J9" s="85"/>
      <c r="K9" s="85"/>
      <c r="L9" s="85"/>
      <c r="M9" s="86"/>
      <c r="N9" s="89" t="s">
        <v>52</v>
      </c>
      <c r="O9" s="90"/>
      <c r="P9" s="90">
        <f>O7-P8</f>
        <v>554400</v>
      </c>
    </row>
    <row r="10" spans="1:17" ht="18" customHeight="1" x14ac:dyDescent="0.2">
      <c r="A10" s="11"/>
      <c r="H10" s="62"/>
      <c r="N10" s="61" t="s">
        <v>31</v>
      </c>
      <c r="P10" s="68">
        <f>P9*1%</f>
        <v>5544</v>
      </c>
    </row>
    <row r="11" spans="1:17" ht="18" customHeight="1" thickBot="1" x14ac:dyDescent="0.25">
      <c r="A11" s="11"/>
      <c r="H11" s="62"/>
      <c r="N11" s="61" t="s">
        <v>53</v>
      </c>
      <c r="P11" s="70">
        <f>P9*2%</f>
        <v>11088</v>
      </c>
    </row>
    <row r="12" spans="1:17" ht="18" customHeight="1" x14ac:dyDescent="0.2">
      <c r="A12" s="11"/>
      <c r="H12" s="62"/>
      <c r="N12" s="65" t="s">
        <v>32</v>
      </c>
      <c r="O12" s="66"/>
      <c r="P12" s="69">
        <f>P9+P10-P11</f>
        <v>548856</v>
      </c>
    </row>
    <row r="14" spans="1:17" x14ac:dyDescent="0.2">
      <c r="A14" s="11"/>
      <c r="H14" s="62"/>
      <c r="P14" s="70"/>
    </row>
    <row r="15" spans="1:17" x14ac:dyDescent="0.2">
      <c r="A15" s="11"/>
      <c r="H15" s="62"/>
      <c r="O15" s="58"/>
      <c r="P15" s="70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2"/>
      <c r="N27" s="15"/>
      <c r="O27" s="15"/>
      <c r="P27" s="15"/>
    </row>
  </sheetData>
  <mergeCells count="3">
    <mergeCell ref="A7:L7"/>
    <mergeCell ref="O7:P7"/>
    <mergeCell ref="Q3:Q6"/>
  </mergeCells>
  <conditionalFormatting sqref="B3">
    <cfRule type="duplicateValues" dxfId="50" priority="2"/>
  </conditionalFormatting>
  <conditionalFormatting sqref="B4">
    <cfRule type="duplicateValues" dxfId="49" priority="1"/>
  </conditionalFormatting>
  <conditionalFormatting sqref="B5:B6">
    <cfRule type="duplicateValues" dxfId="48" priority="1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17" sqref="M17"/>
    </sheetView>
  </sheetViews>
  <sheetFormatPr defaultRowHeight="15" x14ac:dyDescent="0.2"/>
  <cols>
    <col min="1" max="1" width="7.4257812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402751</v>
      </c>
      <c r="B3" s="73" t="s">
        <v>200</v>
      </c>
      <c r="C3" s="9" t="s">
        <v>201</v>
      </c>
      <c r="D3" s="75" t="s">
        <v>62</v>
      </c>
      <c r="E3" s="13">
        <v>44559</v>
      </c>
      <c r="F3" s="75" t="s">
        <v>151</v>
      </c>
      <c r="G3" s="13">
        <v>44574</v>
      </c>
      <c r="H3" s="10" t="s">
        <v>202</v>
      </c>
      <c r="I3" s="1">
        <v>35</v>
      </c>
      <c r="J3" s="1">
        <v>25</v>
      </c>
      <c r="K3" s="1">
        <v>10</v>
      </c>
      <c r="L3" s="1">
        <v>1</v>
      </c>
      <c r="M3" s="79">
        <v>2.1875</v>
      </c>
      <c r="N3" s="97">
        <v>2.1875</v>
      </c>
      <c r="O3" s="63">
        <v>14000</v>
      </c>
      <c r="P3" s="64">
        <f>Table2245789101123456789101112131415[[#This Row],[PEMBULATAN]]*O3</f>
        <v>30625</v>
      </c>
      <c r="Q3" s="102">
        <v>1</v>
      </c>
    </row>
    <row r="4" spans="1:17" ht="22.5" customHeight="1" x14ac:dyDescent="0.2">
      <c r="A4" s="166" t="s">
        <v>30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8"/>
      <c r="M4" s="78">
        <f>SUBTOTAL(109,Table2245789101123456789101112131415[KG VOLUME])</f>
        <v>2.1875</v>
      </c>
      <c r="N4" s="67">
        <f>SUM(N3:N3)</f>
        <v>2.1875</v>
      </c>
      <c r="O4" s="169">
        <f>SUM(P3:P3)</f>
        <v>30625</v>
      </c>
      <c r="P4" s="170"/>
    </row>
    <row r="5" spans="1:17" ht="18" customHeight="1" x14ac:dyDescent="0.2">
      <c r="A5" s="85"/>
      <c r="B5" s="56" t="s">
        <v>42</v>
      </c>
      <c r="C5" s="55"/>
      <c r="D5" s="57" t="s">
        <v>43</v>
      </c>
      <c r="E5" s="85"/>
      <c r="F5" s="85"/>
      <c r="G5" s="85"/>
      <c r="H5" s="85"/>
      <c r="I5" s="85"/>
      <c r="J5" s="85"/>
      <c r="K5" s="85"/>
      <c r="L5" s="85"/>
      <c r="M5" s="86"/>
      <c r="N5" s="87" t="s">
        <v>51</v>
      </c>
      <c r="O5" s="88"/>
      <c r="P5" s="88">
        <f>O4*10%</f>
        <v>3062.5</v>
      </c>
    </row>
    <row r="6" spans="1:17" ht="18" customHeight="1" thickBot="1" x14ac:dyDescent="0.25">
      <c r="A6" s="85"/>
      <c r="B6" s="56"/>
      <c r="C6" s="55"/>
      <c r="D6" s="57"/>
      <c r="E6" s="85"/>
      <c r="F6" s="85"/>
      <c r="G6" s="85"/>
      <c r="H6" s="85"/>
      <c r="I6" s="85"/>
      <c r="J6" s="85"/>
      <c r="K6" s="85"/>
      <c r="L6" s="85"/>
      <c r="M6" s="86"/>
      <c r="N6" s="89" t="s">
        <v>52</v>
      </c>
      <c r="O6" s="90"/>
      <c r="P6" s="90">
        <f>O4-P5</f>
        <v>27562.5</v>
      </c>
    </row>
    <row r="7" spans="1:17" ht="18" customHeight="1" x14ac:dyDescent="0.2">
      <c r="A7" s="11"/>
      <c r="H7" s="62"/>
      <c r="N7" s="61" t="s">
        <v>31</v>
      </c>
      <c r="P7" s="68">
        <f>P6*1%</f>
        <v>275.625</v>
      </c>
    </row>
    <row r="8" spans="1:17" ht="18" customHeight="1" thickBot="1" x14ac:dyDescent="0.25">
      <c r="A8" s="11"/>
      <c r="H8" s="62"/>
      <c r="N8" s="61" t="s">
        <v>53</v>
      </c>
      <c r="P8" s="70">
        <f>P6*2%</f>
        <v>551.25</v>
      </c>
    </row>
    <row r="9" spans="1:17" ht="18" customHeight="1" x14ac:dyDescent="0.2">
      <c r="A9" s="11"/>
      <c r="H9" s="62"/>
      <c r="N9" s="65" t="s">
        <v>32</v>
      </c>
      <c r="O9" s="66"/>
      <c r="P9" s="69">
        <f>P6+P7-P8</f>
        <v>27286.875</v>
      </c>
    </row>
    <row r="11" spans="1:17" x14ac:dyDescent="0.2">
      <c r="A11" s="11"/>
      <c r="H11" s="62"/>
      <c r="P11" s="70"/>
    </row>
    <row r="12" spans="1:17" x14ac:dyDescent="0.2">
      <c r="A12" s="11"/>
      <c r="H12" s="62"/>
      <c r="O12" s="58"/>
      <c r="P12" s="70"/>
    </row>
    <row r="13" spans="1:17" s="3" customFormat="1" x14ac:dyDescent="0.25">
      <c r="A13" s="11"/>
      <c r="B13" s="2"/>
      <c r="C13" s="2"/>
      <c r="E13" s="12"/>
      <c r="H13" s="62"/>
      <c r="N13" s="15"/>
      <c r="O13" s="15"/>
      <c r="P13" s="15"/>
    </row>
    <row r="14" spans="1:17" s="3" customFormat="1" x14ac:dyDescent="0.25">
      <c r="A14" s="11"/>
      <c r="B14" s="2"/>
      <c r="C14" s="2"/>
      <c r="E14" s="12"/>
      <c r="H14" s="62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32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10" sqref="K10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403009</v>
      </c>
      <c r="B3" s="73" t="s">
        <v>203</v>
      </c>
      <c r="C3" s="9" t="s">
        <v>204</v>
      </c>
      <c r="D3" s="75" t="s">
        <v>62</v>
      </c>
      <c r="E3" s="13">
        <v>44561</v>
      </c>
      <c r="F3" s="75" t="s">
        <v>151</v>
      </c>
      <c r="G3" s="13">
        <v>44574</v>
      </c>
      <c r="H3" s="10" t="s">
        <v>202</v>
      </c>
      <c r="I3" s="1">
        <v>85</v>
      </c>
      <c r="J3" s="1">
        <v>15</v>
      </c>
      <c r="K3" s="1">
        <v>10</v>
      </c>
      <c r="L3" s="1">
        <v>9</v>
      </c>
      <c r="M3" s="79">
        <v>3.1875</v>
      </c>
      <c r="N3" s="8">
        <v>9</v>
      </c>
      <c r="O3" s="63">
        <v>14000</v>
      </c>
      <c r="P3" s="64">
        <f>Table224578910112345678910111213141516[[#This Row],[PEMBULATAN]]*O3</f>
        <v>126000</v>
      </c>
      <c r="Q3" s="163">
        <v>2</v>
      </c>
    </row>
    <row r="4" spans="1:17" ht="26.25" customHeight="1" x14ac:dyDescent="0.2">
      <c r="A4" s="14"/>
      <c r="B4" s="74"/>
      <c r="C4" s="9" t="s">
        <v>205</v>
      </c>
      <c r="D4" s="75" t="s">
        <v>62</v>
      </c>
      <c r="E4" s="13">
        <v>44561</v>
      </c>
      <c r="F4" s="75" t="s">
        <v>151</v>
      </c>
      <c r="G4" s="13">
        <v>44574</v>
      </c>
      <c r="H4" s="10" t="s">
        <v>202</v>
      </c>
      <c r="I4" s="1">
        <v>85</v>
      </c>
      <c r="J4" s="1">
        <v>15</v>
      </c>
      <c r="K4" s="1">
        <v>10</v>
      </c>
      <c r="L4" s="1">
        <v>9</v>
      </c>
      <c r="M4" s="79">
        <v>3.1875</v>
      </c>
      <c r="N4" s="8">
        <v>9</v>
      </c>
      <c r="O4" s="63">
        <v>14000</v>
      </c>
      <c r="P4" s="64">
        <f>Table224578910112345678910111213141516[[#This Row],[PEMBULATAN]]*O4</f>
        <v>126000</v>
      </c>
      <c r="Q4" s="171"/>
    </row>
    <row r="5" spans="1:17" ht="22.5" customHeight="1" x14ac:dyDescent="0.2">
      <c r="A5" s="166" t="s">
        <v>30</v>
      </c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8"/>
      <c r="M5" s="78">
        <f>SUBTOTAL(109,Table224578910112345678910111213141516[KG VOLUME])</f>
        <v>6.375</v>
      </c>
      <c r="N5" s="67">
        <f>SUM(N3:N4)</f>
        <v>18</v>
      </c>
      <c r="O5" s="169">
        <f>SUM(P3:P4)</f>
        <v>252000</v>
      </c>
      <c r="P5" s="170"/>
    </row>
    <row r="6" spans="1:17" ht="18" customHeight="1" x14ac:dyDescent="0.2">
      <c r="A6" s="85"/>
      <c r="B6" s="56" t="s">
        <v>42</v>
      </c>
      <c r="C6" s="55"/>
      <c r="D6" s="57" t="s">
        <v>43</v>
      </c>
      <c r="E6" s="85"/>
      <c r="F6" s="85"/>
      <c r="G6" s="85"/>
      <c r="H6" s="85"/>
      <c r="I6" s="85"/>
      <c r="J6" s="85"/>
      <c r="K6" s="85"/>
      <c r="L6" s="85"/>
      <c r="M6" s="86"/>
      <c r="N6" s="87" t="s">
        <v>51</v>
      </c>
      <c r="O6" s="88"/>
      <c r="P6" s="88">
        <f>O5*10%</f>
        <v>25200</v>
      </c>
    </row>
    <row r="7" spans="1:17" ht="18" customHeight="1" thickBot="1" x14ac:dyDescent="0.25">
      <c r="A7" s="85"/>
      <c r="B7" s="56"/>
      <c r="C7" s="55"/>
      <c r="D7" s="57"/>
      <c r="E7" s="85"/>
      <c r="F7" s="85"/>
      <c r="G7" s="85"/>
      <c r="H7" s="85"/>
      <c r="I7" s="85"/>
      <c r="J7" s="85"/>
      <c r="K7" s="85"/>
      <c r="L7" s="85"/>
      <c r="M7" s="86"/>
      <c r="N7" s="89" t="s">
        <v>52</v>
      </c>
      <c r="O7" s="90"/>
      <c r="P7" s="90">
        <f>O5-P6</f>
        <v>226800</v>
      </c>
    </row>
    <row r="8" spans="1:17" ht="18" customHeight="1" x14ac:dyDescent="0.2">
      <c r="A8" s="11"/>
      <c r="H8" s="62"/>
      <c r="N8" s="61" t="s">
        <v>31</v>
      </c>
      <c r="P8" s="68">
        <f>P7*1%</f>
        <v>2268</v>
      </c>
    </row>
    <row r="9" spans="1:17" ht="18" customHeight="1" thickBot="1" x14ac:dyDescent="0.25">
      <c r="A9" s="11"/>
      <c r="H9" s="62"/>
      <c r="N9" s="61" t="s">
        <v>53</v>
      </c>
      <c r="P9" s="70">
        <f>P7*2%</f>
        <v>4536</v>
      </c>
    </row>
    <row r="10" spans="1:17" ht="18" customHeight="1" x14ac:dyDescent="0.2">
      <c r="A10" s="11"/>
      <c r="H10" s="62"/>
      <c r="N10" s="65" t="s">
        <v>32</v>
      </c>
      <c r="O10" s="66"/>
      <c r="P10" s="69">
        <f>P7+P8-P9</f>
        <v>224532</v>
      </c>
    </row>
    <row r="12" spans="1:17" x14ac:dyDescent="0.2">
      <c r="A12" s="11"/>
      <c r="H12" s="62"/>
      <c r="P12" s="70"/>
    </row>
    <row r="13" spans="1:17" x14ac:dyDescent="0.2">
      <c r="A13" s="11"/>
      <c r="H13" s="62"/>
      <c r="O13" s="58"/>
      <c r="P13" s="70"/>
    </row>
    <row r="14" spans="1:17" s="3" customFormat="1" x14ac:dyDescent="0.25">
      <c r="A14" s="11"/>
      <c r="B14" s="2"/>
      <c r="C14" s="2"/>
      <c r="E14" s="12"/>
      <c r="H14" s="62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</sheetData>
  <mergeCells count="3">
    <mergeCell ref="A5:L5"/>
    <mergeCell ref="O5:P5"/>
    <mergeCell ref="Q3:Q4"/>
  </mergeCells>
  <conditionalFormatting sqref="B3">
    <cfRule type="duplicateValues" dxfId="16" priority="2"/>
  </conditionalFormatting>
  <conditionalFormatting sqref="B4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41"/>
  <sheetViews>
    <sheetView zoomScale="110" zoomScaleNormal="110" workbookViewId="0">
      <pane xSplit="3" ySplit="2" topLeftCell="D127" activePane="bottomRight" state="frozen"/>
      <selection activeCell="E14" sqref="E14"/>
      <selection pane="topRight" activeCell="E14" sqref="E14"/>
      <selection pane="bottomLeft" activeCell="E14" sqref="E14"/>
      <selection pane="bottomRight" activeCell="F120" sqref="F120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405806</v>
      </c>
      <c r="B3" s="73" t="s">
        <v>58</v>
      </c>
      <c r="C3" s="9" t="s">
        <v>59</v>
      </c>
      <c r="D3" s="75" t="s">
        <v>62</v>
      </c>
      <c r="E3" s="13">
        <v>44533</v>
      </c>
      <c r="F3" s="75" t="s">
        <v>63</v>
      </c>
      <c r="G3" s="13">
        <v>44549</v>
      </c>
      <c r="H3" s="10" t="s">
        <v>64</v>
      </c>
      <c r="I3" s="1">
        <v>47</v>
      </c>
      <c r="J3" s="1">
        <v>47</v>
      </c>
      <c r="K3" s="1">
        <v>45</v>
      </c>
      <c r="L3" s="1">
        <v>14</v>
      </c>
      <c r="M3" s="96">
        <v>24.85125</v>
      </c>
      <c r="N3" s="97">
        <v>24.85125</v>
      </c>
      <c r="O3" s="63">
        <v>14000</v>
      </c>
      <c r="P3" s="114">
        <f t="shared" ref="P3:P66" si="0">N3*O3</f>
        <v>347917.5</v>
      </c>
      <c r="Q3" s="163">
        <v>3</v>
      </c>
    </row>
    <row r="4" spans="1:17" ht="26.25" customHeight="1" x14ac:dyDescent="0.2">
      <c r="A4" s="14"/>
      <c r="B4" s="74"/>
      <c r="C4" s="72" t="s">
        <v>60</v>
      </c>
      <c r="D4" s="77" t="s">
        <v>62</v>
      </c>
      <c r="E4" s="13">
        <v>44533</v>
      </c>
      <c r="F4" s="75" t="s">
        <v>63</v>
      </c>
      <c r="G4" s="13">
        <v>44549</v>
      </c>
      <c r="H4" s="76" t="s">
        <v>64</v>
      </c>
      <c r="I4" s="16">
        <v>45</v>
      </c>
      <c r="J4" s="16">
        <v>50</v>
      </c>
      <c r="K4" s="16">
        <v>12</v>
      </c>
      <c r="L4" s="16">
        <v>5</v>
      </c>
      <c r="M4" s="80">
        <v>6.75</v>
      </c>
      <c r="N4" s="97">
        <v>6.75</v>
      </c>
      <c r="O4" s="63">
        <v>14000</v>
      </c>
      <c r="P4" s="114">
        <f t="shared" si="0"/>
        <v>94500</v>
      </c>
      <c r="Q4" s="164"/>
    </row>
    <row r="5" spans="1:17" ht="26.25" customHeight="1" thickBot="1" x14ac:dyDescent="0.25">
      <c r="A5" s="115"/>
      <c r="B5" s="116"/>
      <c r="C5" s="117" t="s">
        <v>61</v>
      </c>
      <c r="D5" s="118" t="s">
        <v>62</v>
      </c>
      <c r="E5" s="119">
        <v>44533</v>
      </c>
      <c r="F5" s="118" t="s">
        <v>63</v>
      </c>
      <c r="G5" s="119">
        <v>44549</v>
      </c>
      <c r="H5" s="120" t="s">
        <v>64</v>
      </c>
      <c r="I5" s="121">
        <v>57</v>
      </c>
      <c r="J5" s="121">
        <v>40</v>
      </c>
      <c r="K5" s="121">
        <v>40</v>
      </c>
      <c r="L5" s="121">
        <v>8</v>
      </c>
      <c r="M5" s="122">
        <v>22.8</v>
      </c>
      <c r="N5" s="123">
        <v>22.8</v>
      </c>
      <c r="O5" s="124">
        <v>14000</v>
      </c>
      <c r="P5" s="125">
        <f t="shared" si="0"/>
        <v>319200</v>
      </c>
      <c r="Q5" s="165"/>
    </row>
    <row r="6" spans="1:17" ht="26.25" customHeight="1" x14ac:dyDescent="0.2">
      <c r="A6" s="14">
        <v>405823</v>
      </c>
      <c r="B6" s="74" t="s">
        <v>65</v>
      </c>
      <c r="C6" s="106" t="s">
        <v>66</v>
      </c>
      <c r="D6" s="107" t="s">
        <v>62</v>
      </c>
      <c r="E6" s="108">
        <v>44535</v>
      </c>
      <c r="F6" s="107" t="s">
        <v>63</v>
      </c>
      <c r="G6" s="108">
        <v>44549</v>
      </c>
      <c r="H6" s="109" t="s">
        <v>64</v>
      </c>
      <c r="I6" s="110">
        <v>40</v>
      </c>
      <c r="J6" s="110">
        <v>25</v>
      </c>
      <c r="K6" s="110">
        <v>15</v>
      </c>
      <c r="L6" s="110">
        <v>3</v>
      </c>
      <c r="M6" s="111">
        <v>3.75</v>
      </c>
      <c r="N6" s="112">
        <v>3.75</v>
      </c>
      <c r="O6" s="113">
        <v>14000</v>
      </c>
      <c r="P6" s="114">
        <f t="shared" si="0"/>
        <v>52500</v>
      </c>
      <c r="Q6" s="164">
        <v>3</v>
      </c>
    </row>
    <row r="7" spans="1:17" ht="26.25" customHeight="1" x14ac:dyDescent="0.2">
      <c r="A7" s="14"/>
      <c r="B7" s="74"/>
      <c r="C7" s="72" t="s">
        <v>67</v>
      </c>
      <c r="D7" s="77" t="s">
        <v>62</v>
      </c>
      <c r="E7" s="13">
        <v>44535</v>
      </c>
      <c r="F7" s="75" t="s">
        <v>63</v>
      </c>
      <c r="G7" s="13">
        <v>44549</v>
      </c>
      <c r="H7" s="76" t="s">
        <v>64</v>
      </c>
      <c r="I7" s="16">
        <v>61</v>
      </c>
      <c r="J7" s="16">
        <v>42</v>
      </c>
      <c r="K7" s="16">
        <v>25</v>
      </c>
      <c r="L7" s="16">
        <v>8</v>
      </c>
      <c r="M7" s="80">
        <v>16.012499999999999</v>
      </c>
      <c r="N7" s="97">
        <v>16.012499999999999</v>
      </c>
      <c r="O7" s="63">
        <v>14000</v>
      </c>
      <c r="P7" s="114">
        <f t="shared" si="0"/>
        <v>224175</v>
      </c>
      <c r="Q7" s="164"/>
    </row>
    <row r="8" spans="1:17" ht="26.25" customHeight="1" thickBot="1" x14ac:dyDescent="0.25">
      <c r="A8" s="115"/>
      <c r="B8" s="116"/>
      <c r="C8" s="117" t="s">
        <v>68</v>
      </c>
      <c r="D8" s="118" t="s">
        <v>62</v>
      </c>
      <c r="E8" s="119">
        <v>44535</v>
      </c>
      <c r="F8" s="118" t="s">
        <v>63</v>
      </c>
      <c r="G8" s="119">
        <v>44549</v>
      </c>
      <c r="H8" s="120" t="s">
        <v>64</v>
      </c>
      <c r="I8" s="121">
        <v>52</v>
      </c>
      <c r="J8" s="121">
        <v>52</v>
      </c>
      <c r="K8" s="121">
        <v>51</v>
      </c>
      <c r="L8" s="121">
        <v>8</v>
      </c>
      <c r="M8" s="128">
        <v>34.475999999999999</v>
      </c>
      <c r="N8" s="123">
        <v>35</v>
      </c>
      <c r="O8" s="124">
        <v>14000</v>
      </c>
      <c r="P8" s="137">
        <f t="shared" si="0"/>
        <v>490000</v>
      </c>
      <c r="Q8" s="165"/>
    </row>
    <row r="9" spans="1:17" ht="26.25" customHeight="1" x14ac:dyDescent="0.2">
      <c r="A9" s="14">
        <v>405835</v>
      </c>
      <c r="B9" s="74" t="s">
        <v>69</v>
      </c>
      <c r="C9" s="106" t="s">
        <v>70</v>
      </c>
      <c r="D9" s="107" t="s">
        <v>62</v>
      </c>
      <c r="E9" s="108">
        <v>44537</v>
      </c>
      <c r="F9" s="107" t="s">
        <v>63</v>
      </c>
      <c r="G9" s="108">
        <v>44549</v>
      </c>
      <c r="H9" s="109" t="s">
        <v>64</v>
      </c>
      <c r="I9" s="110">
        <v>65</v>
      </c>
      <c r="J9" s="110">
        <v>56</v>
      </c>
      <c r="K9" s="110">
        <v>21</v>
      </c>
      <c r="L9" s="110">
        <v>19</v>
      </c>
      <c r="M9" s="111">
        <v>19.11</v>
      </c>
      <c r="N9" s="112">
        <v>19.11</v>
      </c>
      <c r="O9" s="113">
        <v>14000</v>
      </c>
      <c r="P9" s="114">
        <f t="shared" si="0"/>
        <v>267540</v>
      </c>
      <c r="Q9" s="164">
        <v>7</v>
      </c>
    </row>
    <row r="10" spans="1:17" ht="26.25" customHeight="1" x14ac:dyDescent="0.2">
      <c r="A10" s="14"/>
      <c r="B10" s="74"/>
      <c r="C10" s="9" t="s">
        <v>71</v>
      </c>
      <c r="D10" s="75" t="s">
        <v>62</v>
      </c>
      <c r="E10" s="13">
        <v>44537</v>
      </c>
      <c r="F10" s="75" t="s">
        <v>63</v>
      </c>
      <c r="G10" s="13">
        <v>44549</v>
      </c>
      <c r="H10" s="10" t="s">
        <v>64</v>
      </c>
      <c r="I10" s="1">
        <v>65</v>
      </c>
      <c r="J10" s="1">
        <v>56</v>
      </c>
      <c r="K10" s="1">
        <v>21</v>
      </c>
      <c r="L10" s="1">
        <v>19</v>
      </c>
      <c r="M10" s="79">
        <v>19.11</v>
      </c>
      <c r="N10" s="97">
        <v>19.11</v>
      </c>
      <c r="O10" s="63">
        <v>14000</v>
      </c>
      <c r="P10" s="114">
        <f t="shared" si="0"/>
        <v>267540</v>
      </c>
      <c r="Q10" s="164"/>
    </row>
    <row r="11" spans="1:17" ht="26.25" customHeight="1" x14ac:dyDescent="0.2">
      <c r="A11" s="14"/>
      <c r="B11" s="14"/>
      <c r="C11" s="9" t="s">
        <v>72</v>
      </c>
      <c r="D11" s="75" t="s">
        <v>62</v>
      </c>
      <c r="E11" s="13">
        <v>44537</v>
      </c>
      <c r="F11" s="75" t="s">
        <v>63</v>
      </c>
      <c r="G11" s="13">
        <v>44549</v>
      </c>
      <c r="H11" s="10" t="s">
        <v>64</v>
      </c>
      <c r="I11" s="1">
        <v>65</v>
      </c>
      <c r="J11" s="1">
        <v>56</v>
      </c>
      <c r="K11" s="1">
        <v>21</v>
      </c>
      <c r="L11" s="1">
        <v>19</v>
      </c>
      <c r="M11" s="79">
        <v>19.11</v>
      </c>
      <c r="N11" s="97">
        <v>19.11</v>
      </c>
      <c r="O11" s="63">
        <v>14000</v>
      </c>
      <c r="P11" s="114">
        <f t="shared" si="0"/>
        <v>267540</v>
      </c>
      <c r="Q11" s="164"/>
    </row>
    <row r="12" spans="1:17" ht="26.25" customHeight="1" x14ac:dyDescent="0.2">
      <c r="A12" s="14"/>
      <c r="B12" s="14"/>
      <c r="C12" s="72" t="s">
        <v>73</v>
      </c>
      <c r="D12" s="77" t="s">
        <v>62</v>
      </c>
      <c r="E12" s="13">
        <v>44537</v>
      </c>
      <c r="F12" s="75" t="s">
        <v>63</v>
      </c>
      <c r="G12" s="13">
        <v>44549</v>
      </c>
      <c r="H12" s="76" t="s">
        <v>64</v>
      </c>
      <c r="I12" s="16">
        <v>65</v>
      </c>
      <c r="J12" s="16">
        <v>56</v>
      </c>
      <c r="K12" s="16">
        <v>21</v>
      </c>
      <c r="L12" s="16">
        <v>19</v>
      </c>
      <c r="M12" s="80">
        <v>19.11</v>
      </c>
      <c r="N12" s="97">
        <v>19.11</v>
      </c>
      <c r="O12" s="63">
        <v>14000</v>
      </c>
      <c r="P12" s="114">
        <f t="shared" si="0"/>
        <v>267540</v>
      </c>
      <c r="Q12" s="164"/>
    </row>
    <row r="13" spans="1:17" ht="26.25" customHeight="1" x14ac:dyDescent="0.2">
      <c r="A13" s="14"/>
      <c r="B13" s="14"/>
      <c r="C13" s="72" t="s">
        <v>74</v>
      </c>
      <c r="D13" s="77" t="s">
        <v>62</v>
      </c>
      <c r="E13" s="13">
        <v>44537</v>
      </c>
      <c r="F13" s="75" t="s">
        <v>63</v>
      </c>
      <c r="G13" s="13">
        <v>44549</v>
      </c>
      <c r="H13" s="76" t="s">
        <v>64</v>
      </c>
      <c r="I13" s="16">
        <v>65</v>
      </c>
      <c r="J13" s="16">
        <v>56</v>
      </c>
      <c r="K13" s="16">
        <v>21</v>
      </c>
      <c r="L13" s="16">
        <v>19</v>
      </c>
      <c r="M13" s="80">
        <v>19.11</v>
      </c>
      <c r="N13" s="97">
        <v>19.11</v>
      </c>
      <c r="O13" s="63">
        <v>14000</v>
      </c>
      <c r="P13" s="114">
        <f t="shared" si="0"/>
        <v>267540</v>
      </c>
      <c r="Q13" s="164"/>
    </row>
    <row r="14" spans="1:17" ht="26.25" customHeight="1" x14ac:dyDescent="0.2">
      <c r="A14" s="14"/>
      <c r="B14" s="14"/>
      <c r="C14" s="72" t="s">
        <v>75</v>
      </c>
      <c r="D14" s="77" t="s">
        <v>62</v>
      </c>
      <c r="E14" s="13">
        <v>44537</v>
      </c>
      <c r="F14" s="75" t="s">
        <v>63</v>
      </c>
      <c r="G14" s="13">
        <v>44549</v>
      </c>
      <c r="H14" s="76" t="s">
        <v>64</v>
      </c>
      <c r="I14" s="16">
        <v>65</v>
      </c>
      <c r="J14" s="16">
        <v>56</v>
      </c>
      <c r="K14" s="16">
        <v>21</v>
      </c>
      <c r="L14" s="16">
        <v>19</v>
      </c>
      <c r="M14" s="80">
        <v>19.11</v>
      </c>
      <c r="N14" s="97">
        <v>19.11</v>
      </c>
      <c r="O14" s="63">
        <v>14000</v>
      </c>
      <c r="P14" s="114">
        <f t="shared" si="0"/>
        <v>267540</v>
      </c>
      <c r="Q14" s="164"/>
    </row>
    <row r="15" spans="1:17" ht="26.25" customHeight="1" thickBot="1" x14ac:dyDescent="0.25">
      <c r="A15" s="115"/>
      <c r="B15" s="115"/>
      <c r="C15" s="139" t="s">
        <v>76</v>
      </c>
      <c r="D15" s="140" t="s">
        <v>62</v>
      </c>
      <c r="E15" s="119">
        <v>44537</v>
      </c>
      <c r="F15" s="118" t="s">
        <v>63</v>
      </c>
      <c r="G15" s="119">
        <v>44549</v>
      </c>
      <c r="H15" s="141" t="s">
        <v>64</v>
      </c>
      <c r="I15" s="142">
        <v>80</v>
      </c>
      <c r="J15" s="142">
        <v>45</v>
      </c>
      <c r="K15" s="142">
        <v>40</v>
      </c>
      <c r="L15" s="142">
        <v>14</v>
      </c>
      <c r="M15" s="143">
        <v>36</v>
      </c>
      <c r="N15" s="123">
        <v>36</v>
      </c>
      <c r="O15" s="124">
        <v>14000</v>
      </c>
      <c r="P15" s="137">
        <f t="shared" si="0"/>
        <v>504000</v>
      </c>
      <c r="Q15" s="165"/>
    </row>
    <row r="16" spans="1:17" ht="26.25" customHeight="1" x14ac:dyDescent="0.2">
      <c r="A16" s="14">
        <v>405845</v>
      </c>
      <c r="B16" s="74" t="s">
        <v>77</v>
      </c>
      <c r="C16" s="106" t="s">
        <v>78</v>
      </c>
      <c r="D16" s="107" t="s">
        <v>62</v>
      </c>
      <c r="E16" s="108">
        <v>44538</v>
      </c>
      <c r="F16" s="107" t="s">
        <v>81</v>
      </c>
      <c r="G16" s="108">
        <v>44580</v>
      </c>
      <c r="H16" s="109" t="s">
        <v>82</v>
      </c>
      <c r="I16" s="110">
        <v>149</v>
      </c>
      <c r="J16" s="110">
        <v>65</v>
      </c>
      <c r="K16" s="110">
        <v>13</v>
      </c>
      <c r="L16" s="110">
        <v>18</v>
      </c>
      <c r="M16" s="111">
        <v>31.47625</v>
      </c>
      <c r="N16" s="127">
        <v>32</v>
      </c>
      <c r="O16" s="113">
        <v>14000</v>
      </c>
      <c r="P16" s="114">
        <f t="shared" si="0"/>
        <v>448000</v>
      </c>
      <c r="Q16" s="164">
        <v>3</v>
      </c>
    </row>
    <row r="17" spans="1:17" ht="26.25" customHeight="1" x14ac:dyDescent="0.2">
      <c r="A17" s="14"/>
      <c r="B17" s="74"/>
      <c r="C17" s="9" t="s">
        <v>79</v>
      </c>
      <c r="D17" s="75" t="s">
        <v>62</v>
      </c>
      <c r="E17" s="13">
        <v>44538</v>
      </c>
      <c r="F17" s="75" t="s">
        <v>81</v>
      </c>
      <c r="G17" s="13">
        <v>44580</v>
      </c>
      <c r="H17" s="10" t="s">
        <v>82</v>
      </c>
      <c r="I17" s="1">
        <v>149</v>
      </c>
      <c r="J17" s="1">
        <v>65</v>
      </c>
      <c r="K17" s="1">
        <v>13</v>
      </c>
      <c r="L17" s="1">
        <v>18</v>
      </c>
      <c r="M17" s="79">
        <v>31.47625</v>
      </c>
      <c r="N17" s="8">
        <v>32</v>
      </c>
      <c r="O17" s="63">
        <v>14000</v>
      </c>
      <c r="P17" s="114">
        <f t="shared" si="0"/>
        <v>448000</v>
      </c>
      <c r="Q17" s="164"/>
    </row>
    <row r="18" spans="1:17" ht="26.25" customHeight="1" thickBot="1" x14ac:dyDescent="0.25">
      <c r="A18" s="115"/>
      <c r="B18" s="115"/>
      <c r="C18" s="117" t="s">
        <v>80</v>
      </c>
      <c r="D18" s="118" t="s">
        <v>62</v>
      </c>
      <c r="E18" s="119">
        <v>44538</v>
      </c>
      <c r="F18" s="118" t="s">
        <v>81</v>
      </c>
      <c r="G18" s="119">
        <v>44580</v>
      </c>
      <c r="H18" s="120" t="s">
        <v>82</v>
      </c>
      <c r="I18" s="121">
        <v>149</v>
      </c>
      <c r="J18" s="121">
        <v>65</v>
      </c>
      <c r="K18" s="121">
        <v>13</v>
      </c>
      <c r="L18" s="121">
        <v>18</v>
      </c>
      <c r="M18" s="128">
        <v>31.47625</v>
      </c>
      <c r="N18" s="145">
        <v>32</v>
      </c>
      <c r="O18" s="124">
        <v>14000</v>
      </c>
      <c r="P18" s="137">
        <f t="shared" si="0"/>
        <v>448000</v>
      </c>
      <c r="Q18" s="165"/>
    </row>
    <row r="19" spans="1:17" ht="26.25" customHeight="1" x14ac:dyDescent="0.2">
      <c r="A19" s="14">
        <v>406461</v>
      </c>
      <c r="B19" s="74" t="s">
        <v>83</v>
      </c>
      <c r="C19" s="106" t="s">
        <v>84</v>
      </c>
      <c r="D19" s="107" t="s">
        <v>62</v>
      </c>
      <c r="E19" s="108">
        <v>44541</v>
      </c>
      <c r="F19" s="107" t="s">
        <v>81</v>
      </c>
      <c r="G19" s="108">
        <v>44580</v>
      </c>
      <c r="H19" s="109" t="s">
        <v>82</v>
      </c>
      <c r="I19" s="110">
        <v>32</v>
      </c>
      <c r="J19" s="110">
        <v>22</v>
      </c>
      <c r="K19" s="110">
        <v>18</v>
      </c>
      <c r="L19" s="110">
        <v>8</v>
      </c>
      <c r="M19" s="111">
        <v>3.1680000000000001</v>
      </c>
      <c r="N19" s="112">
        <v>8</v>
      </c>
      <c r="O19" s="113">
        <v>14000</v>
      </c>
      <c r="P19" s="114">
        <f t="shared" si="0"/>
        <v>112000</v>
      </c>
      <c r="Q19" s="164">
        <v>30</v>
      </c>
    </row>
    <row r="20" spans="1:17" ht="26.25" customHeight="1" x14ac:dyDescent="0.2">
      <c r="A20" s="14"/>
      <c r="B20" s="98"/>
      <c r="C20" s="9" t="s">
        <v>85</v>
      </c>
      <c r="D20" s="75" t="s">
        <v>62</v>
      </c>
      <c r="E20" s="13">
        <v>44541</v>
      </c>
      <c r="F20" s="75" t="s">
        <v>81</v>
      </c>
      <c r="G20" s="13">
        <v>44580</v>
      </c>
      <c r="H20" s="10" t="s">
        <v>82</v>
      </c>
      <c r="I20" s="1">
        <v>32</v>
      </c>
      <c r="J20" s="1">
        <v>22</v>
      </c>
      <c r="K20" s="1">
        <v>18</v>
      </c>
      <c r="L20" s="1">
        <v>8</v>
      </c>
      <c r="M20" s="79">
        <v>3.1680000000000001</v>
      </c>
      <c r="N20" s="97">
        <v>8</v>
      </c>
      <c r="O20" s="63">
        <v>14000</v>
      </c>
      <c r="P20" s="114">
        <f t="shared" si="0"/>
        <v>112000</v>
      </c>
      <c r="Q20" s="164"/>
    </row>
    <row r="21" spans="1:17" ht="26.25" customHeight="1" x14ac:dyDescent="0.2">
      <c r="A21" s="14"/>
      <c r="B21" s="14" t="s">
        <v>86</v>
      </c>
      <c r="C21" s="9" t="s">
        <v>87</v>
      </c>
      <c r="D21" s="75" t="s">
        <v>62</v>
      </c>
      <c r="E21" s="13">
        <v>44541</v>
      </c>
      <c r="F21" s="75" t="s">
        <v>81</v>
      </c>
      <c r="G21" s="13">
        <v>44580</v>
      </c>
      <c r="H21" s="10" t="s">
        <v>82</v>
      </c>
      <c r="I21" s="1">
        <v>32</v>
      </c>
      <c r="J21" s="1">
        <v>22</v>
      </c>
      <c r="K21" s="1">
        <v>18</v>
      </c>
      <c r="L21" s="1">
        <v>8</v>
      </c>
      <c r="M21" s="79">
        <v>3.1680000000000001</v>
      </c>
      <c r="N21" s="97">
        <v>8</v>
      </c>
      <c r="O21" s="63">
        <v>14000</v>
      </c>
      <c r="P21" s="114">
        <f t="shared" si="0"/>
        <v>112000</v>
      </c>
      <c r="Q21" s="164"/>
    </row>
    <row r="22" spans="1:17" ht="26.25" customHeight="1" x14ac:dyDescent="0.2">
      <c r="A22" s="14"/>
      <c r="B22" s="14"/>
      <c r="C22" s="72" t="s">
        <v>88</v>
      </c>
      <c r="D22" s="77" t="s">
        <v>62</v>
      </c>
      <c r="E22" s="13">
        <v>44541</v>
      </c>
      <c r="F22" s="75" t="s">
        <v>81</v>
      </c>
      <c r="G22" s="13">
        <v>44580</v>
      </c>
      <c r="H22" s="76" t="s">
        <v>82</v>
      </c>
      <c r="I22" s="16">
        <v>32</v>
      </c>
      <c r="J22" s="16">
        <v>22</v>
      </c>
      <c r="K22" s="16">
        <v>18</v>
      </c>
      <c r="L22" s="16">
        <v>8</v>
      </c>
      <c r="M22" s="80">
        <v>3.1680000000000001</v>
      </c>
      <c r="N22" s="97">
        <v>8</v>
      </c>
      <c r="O22" s="63">
        <v>14000</v>
      </c>
      <c r="P22" s="114">
        <f t="shared" si="0"/>
        <v>112000</v>
      </c>
      <c r="Q22" s="164"/>
    </row>
    <row r="23" spans="1:17" ht="26.25" customHeight="1" x14ac:dyDescent="0.2">
      <c r="A23" s="14"/>
      <c r="B23" s="14"/>
      <c r="C23" s="72" t="s">
        <v>89</v>
      </c>
      <c r="D23" s="77" t="s">
        <v>62</v>
      </c>
      <c r="E23" s="13">
        <v>44541</v>
      </c>
      <c r="F23" s="75" t="s">
        <v>81</v>
      </c>
      <c r="G23" s="13">
        <v>44580</v>
      </c>
      <c r="H23" s="76" t="s">
        <v>82</v>
      </c>
      <c r="I23" s="16">
        <v>32</v>
      </c>
      <c r="J23" s="16">
        <v>22</v>
      </c>
      <c r="K23" s="16">
        <v>18</v>
      </c>
      <c r="L23" s="16">
        <v>8</v>
      </c>
      <c r="M23" s="80">
        <v>3.1680000000000001</v>
      </c>
      <c r="N23" s="97">
        <v>8</v>
      </c>
      <c r="O23" s="63">
        <v>14000</v>
      </c>
      <c r="P23" s="114">
        <f t="shared" si="0"/>
        <v>112000</v>
      </c>
      <c r="Q23" s="164"/>
    </row>
    <row r="24" spans="1:17" ht="26.25" customHeight="1" x14ac:dyDescent="0.2">
      <c r="A24" s="14"/>
      <c r="B24" s="14"/>
      <c r="C24" s="72" t="s">
        <v>90</v>
      </c>
      <c r="D24" s="77" t="s">
        <v>62</v>
      </c>
      <c r="E24" s="13">
        <v>44541</v>
      </c>
      <c r="F24" s="75" t="s">
        <v>81</v>
      </c>
      <c r="G24" s="13">
        <v>44580</v>
      </c>
      <c r="H24" s="76" t="s">
        <v>82</v>
      </c>
      <c r="I24" s="16">
        <v>32</v>
      </c>
      <c r="J24" s="16">
        <v>22</v>
      </c>
      <c r="K24" s="16">
        <v>18</v>
      </c>
      <c r="L24" s="16">
        <v>8</v>
      </c>
      <c r="M24" s="80">
        <v>3.1680000000000001</v>
      </c>
      <c r="N24" s="97">
        <v>8</v>
      </c>
      <c r="O24" s="63">
        <v>14000</v>
      </c>
      <c r="P24" s="114">
        <f t="shared" si="0"/>
        <v>112000</v>
      </c>
      <c r="Q24" s="164"/>
    </row>
    <row r="25" spans="1:17" ht="26.25" customHeight="1" x14ac:dyDescent="0.2">
      <c r="A25" s="14"/>
      <c r="B25" s="14"/>
      <c r="C25" s="72" t="s">
        <v>91</v>
      </c>
      <c r="D25" s="77" t="s">
        <v>62</v>
      </c>
      <c r="E25" s="13">
        <v>44541</v>
      </c>
      <c r="F25" s="75" t="s">
        <v>81</v>
      </c>
      <c r="G25" s="13">
        <v>44580</v>
      </c>
      <c r="H25" s="76" t="s">
        <v>82</v>
      </c>
      <c r="I25" s="16">
        <v>32</v>
      </c>
      <c r="J25" s="16">
        <v>22</v>
      </c>
      <c r="K25" s="16">
        <v>18</v>
      </c>
      <c r="L25" s="16">
        <v>8</v>
      </c>
      <c r="M25" s="80">
        <v>3.1680000000000001</v>
      </c>
      <c r="N25" s="97">
        <v>8</v>
      </c>
      <c r="O25" s="63">
        <v>14000</v>
      </c>
      <c r="P25" s="114">
        <f t="shared" si="0"/>
        <v>112000</v>
      </c>
      <c r="Q25" s="164"/>
    </row>
    <row r="26" spans="1:17" ht="26.25" customHeight="1" x14ac:dyDescent="0.2">
      <c r="A26" s="14"/>
      <c r="B26" s="14"/>
      <c r="C26" s="72" t="s">
        <v>92</v>
      </c>
      <c r="D26" s="77" t="s">
        <v>62</v>
      </c>
      <c r="E26" s="13">
        <v>44541</v>
      </c>
      <c r="F26" s="75" t="s">
        <v>81</v>
      </c>
      <c r="G26" s="13">
        <v>44580</v>
      </c>
      <c r="H26" s="76" t="s">
        <v>82</v>
      </c>
      <c r="I26" s="16">
        <v>35</v>
      </c>
      <c r="J26" s="16">
        <v>35</v>
      </c>
      <c r="K26" s="16">
        <v>18</v>
      </c>
      <c r="L26" s="16">
        <v>12</v>
      </c>
      <c r="M26" s="80">
        <v>5.5125000000000002</v>
      </c>
      <c r="N26" s="97">
        <v>12</v>
      </c>
      <c r="O26" s="63">
        <v>14000</v>
      </c>
      <c r="P26" s="114">
        <f t="shared" si="0"/>
        <v>168000</v>
      </c>
      <c r="Q26" s="164"/>
    </row>
    <row r="27" spans="1:17" ht="26.25" customHeight="1" x14ac:dyDescent="0.2">
      <c r="A27" s="14"/>
      <c r="B27" s="14"/>
      <c r="C27" s="72" t="s">
        <v>93</v>
      </c>
      <c r="D27" s="77" t="s">
        <v>62</v>
      </c>
      <c r="E27" s="13">
        <v>44541</v>
      </c>
      <c r="F27" s="75" t="s">
        <v>81</v>
      </c>
      <c r="G27" s="13">
        <v>44580</v>
      </c>
      <c r="H27" s="76" t="s">
        <v>82</v>
      </c>
      <c r="I27" s="16">
        <v>35</v>
      </c>
      <c r="J27" s="16">
        <v>35</v>
      </c>
      <c r="K27" s="16">
        <v>18</v>
      </c>
      <c r="L27" s="16">
        <v>12</v>
      </c>
      <c r="M27" s="80">
        <v>5.5125000000000002</v>
      </c>
      <c r="N27" s="97">
        <v>12</v>
      </c>
      <c r="O27" s="63">
        <v>14000</v>
      </c>
      <c r="P27" s="114">
        <f t="shared" si="0"/>
        <v>168000</v>
      </c>
      <c r="Q27" s="164"/>
    </row>
    <row r="28" spans="1:17" ht="26.25" customHeight="1" x14ac:dyDescent="0.2">
      <c r="A28" s="14"/>
      <c r="B28" s="14"/>
      <c r="C28" s="72" t="s">
        <v>94</v>
      </c>
      <c r="D28" s="77" t="s">
        <v>62</v>
      </c>
      <c r="E28" s="13">
        <v>44541</v>
      </c>
      <c r="F28" s="75" t="s">
        <v>81</v>
      </c>
      <c r="G28" s="13">
        <v>44580</v>
      </c>
      <c r="H28" s="76" t="s">
        <v>82</v>
      </c>
      <c r="I28" s="16">
        <v>35</v>
      </c>
      <c r="J28" s="16">
        <v>35</v>
      </c>
      <c r="K28" s="16">
        <v>18</v>
      </c>
      <c r="L28" s="16">
        <v>12</v>
      </c>
      <c r="M28" s="80">
        <v>5.5125000000000002</v>
      </c>
      <c r="N28" s="97">
        <v>12</v>
      </c>
      <c r="O28" s="63">
        <v>14000</v>
      </c>
      <c r="P28" s="114">
        <f t="shared" si="0"/>
        <v>168000</v>
      </c>
      <c r="Q28" s="164"/>
    </row>
    <row r="29" spans="1:17" ht="26.25" customHeight="1" x14ac:dyDescent="0.2">
      <c r="A29" s="14"/>
      <c r="B29" s="14"/>
      <c r="C29" s="72" t="s">
        <v>95</v>
      </c>
      <c r="D29" s="77" t="s">
        <v>62</v>
      </c>
      <c r="E29" s="13">
        <v>44541</v>
      </c>
      <c r="F29" s="75" t="s">
        <v>81</v>
      </c>
      <c r="G29" s="13">
        <v>44580</v>
      </c>
      <c r="H29" s="76" t="s">
        <v>82</v>
      </c>
      <c r="I29" s="16">
        <v>35</v>
      </c>
      <c r="J29" s="16">
        <v>35</v>
      </c>
      <c r="K29" s="16">
        <v>18</v>
      </c>
      <c r="L29" s="16">
        <v>12</v>
      </c>
      <c r="M29" s="80">
        <v>5.5125000000000002</v>
      </c>
      <c r="N29" s="97">
        <v>12</v>
      </c>
      <c r="O29" s="63">
        <v>14000</v>
      </c>
      <c r="P29" s="114">
        <f t="shared" si="0"/>
        <v>168000</v>
      </c>
      <c r="Q29" s="164"/>
    </row>
    <row r="30" spans="1:17" ht="26.25" customHeight="1" x14ac:dyDescent="0.2">
      <c r="A30" s="14"/>
      <c r="B30" s="14"/>
      <c r="C30" s="72" t="s">
        <v>96</v>
      </c>
      <c r="D30" s="77" t="s">
        <v>62</v>
      </c>
      <c r="E30" s="13">
        <v>44541</v>
      </c>
      <c r="F30" s="75" t="s">
        <v>81</v>
      </c>
      <c r="G30" s="13">
        <v>44580</v>
      </c>
      <c r="H30" s="76" t="s">
        <v>82</v>
      </c>
      <c r="I30" s="16">
        <v>42</v>
      </c>
      <c r="J30" s="16">
        <v>35</v>
      </c>
      <c r="K30" s="16">
        <v>29</v>
      </c>
      <c r="L30" s="16">
        <v>9</v>
      </c>
      <c r="M30" s="80">
        <v>10.657500000000001</v>
      </c>
      <c r="N30" s="97">
        <v>10.657500000000001</v>
      </c>
      <c r="O30" s="63">
        <v>14000</v>
      </c>
      <c r="P30" s="114">
        <f t="shared" si="0"/>
        <v>149205</v>
      </c>
      <c r="Q30" s="164"/>
    </row>
    <row r="31" spans="1:17" ht="26.25" customHeight="1" x14ac:dyDescent="0.2">
      <c r="A31" s="14"/>
      <c r="B31" s="14"/>
      <c r="C31" s="72" t="s">
        <v>97</v>
      </c>
      <c r="D31" s="77" t="s">
        <v>62</v>
      </c>
      <c r="E31" s="13">
        <v>44541</v>
      </c>
      <c r="F31" s="75" t="s">
        <v>81</v>
      </c>
      <c r="G31" s="13">
        <v>44580</v>
      </c>
      <c r="H31" s="76" t="s">
        <v>82</v>
      </c>
      <c r="I31" s="16">
        <v>42</v>
      </c>
      <c r="J31" s="16">
        <v>35</v>
      </c>
      <c r="K31" s="16">
        <v>29</v>
      </c>
      <c r="L31" s="16">
        <v>9</v>
      </c>
      <c r="M31" s="80">
        <v>10.657500000000001</v>
      </c>
      <c r="N31" s="97">
        <v>10.657500000000001</v>
      </c>
      <c r="O31" s="63">
        <v>14000</v>
      </c>
      <c r="P31" s="114">
        <f t="shared" si="0"/>
        <v>149205</v>
      </c>
      <c r="Q31" s="164"/>
    </row>
    <row r="32" spans="1:17" ht="26.25" customHeight="1" x14ac:dyDescent="0.2">
      <c r="A32" s="14"/>
      <c r="B32" s="14"/>
      <c r="C32" s="72" t="s">
        <v>98</v>
      </c>
      <c r="D32" s="77" t="s">
        <v>62</v>
      </c>
      <c r="E32" s="13">
        <v>44541</v>
      </c>
      <c r="F32" s="75" t="s">
        <v>81</v>
      </c>
      <c r="G32" s="13">
        <v>44580</v>
      </c>
      <c r="H32" s="76" t="s">
        <v>82</v>
      </c>
      <c r="I32" s="16">
        <v>42</v>
      </c>
      <c r="J32" s="16">
        <v>35</v>
      </c>
      <c r="K32" s="16">
        <v>29</v>
      </c>
      <c r="L32" s="16">
        <v>9</v>
      </c>
      <c r="M32" s="80">
        <v>10.657500000000001</v>
      </c>
      <c r="N32" s="97">
        <v>10.657500000000001</v>
      </c>
      <c r="O32" s="63">
        <v>14000</v>
      </c>
      <c r="P32" s="114">
        <f t="shared" si="0"/>
        <v>149205</v>
      </c>
      <c r="Q32" s="164"/>
    </row>
    <row r="33" spans="1:17" ht="26.25" customHeight="1" x14ac:dyDescent="0.2">
      <c r="A33" s="14"/>
      <c r="B33" s="14"/>
      <c r="C33" s="72" t="s">
        <v>99</v>
      </c>
      <c r="D33" s="77" t="s">
        <v>62</v>
      </c>
      <c r="E33" s="13">
        <v>44541</v>
      </c>
      <c r="F33" s="75" t="s">
        <v>81</v>
      </c>
      <c r="G33" s="13">
        <v>44580</v>
      </c>
      <c r="H33" s="76" t="s">
        <v>82</v>
      </c>
      <c r="I33" s="16">
        <v>42</v>
      </c>
      <c r="J33" s="16">
        <v>35</v>
      </c>
      <c r="K33" s="16">
        <v>29</v>
      </c>
      <c r="L33" s="16">
        <v>9</v>
      </c>
      <c r="M33" s="80">
        <v>10.657500000000001</v>
      </c>
      <c r="N33" s="97">
        <v>10.657500000000001</v>
      </c>
      <c r="O33" s="63">
        <v>14000</v>
      </c>
      <c r="P33" s="114">
        <f t="shared" si="0"/>
        <v>149205</v>
      </c>
      <c r="Q33" s="164"/>
    </row>
    <row r="34" spans="1:17" ht="26.25" customHeight="1" x14ac:dyDescent="0.2">
      <c r="A34" s="14"/>
      <c r="B34" s="14"/>
      <c r="C34" s="72" t="s">
        <v>100</v>
      </c>
      <c r="D34" s="77" t="s">
        <v>62</v>
      </c>
      <c r="E34" s="13">
        <v>44541</v>
      </c>
      <c r="F34" s="75" t="s">
        <v>81</v>
      </c>
      <c r="G34" s="13">
        <v>44580</v>
      </c>
      <c r="H34" s="76" t="s">
        <v>82</v>
      </c>
      <c r="I34" s="16">
        <v>38</v>
      </c>
      <c r="J34" s="16">
        <v>32</v>
      </c>
      <c r="K34" s="16">
        <v>18</v>
      </c>
      <c r="L34" s="16">
        <v>10</v>
      </c>
      <c r="M34" s="80">
        <v>5.4720000000000004</v>
      </c>
      <c r="N34" s="97">
        <v>10</v>
      </c>
      <c r="O34" s="63">
        <v>14000</v>
      </c>
      <c r="P34" s="114">
        <f t="shared" si="0"/>
        <v>140000</v>
      </c>
      <c r="Q34" s="164"/>
    </row>
    <row r="35" spans="1:17" ht="26.25" customHeight="1" x14ac:dyDescent="0.2">
      <c r="A35" s="14"/>
      <c r="B35" s="14"/>
      <c r="C35" s="72" t="s">
        <v>101</v>
      </c>
      <c r="D35" s="77" t="s">
        <v>62</v>
      </c>
      <c r="E35" s="13">
        <v>44541</v>
      </c>
      <c r="F35" s="75" t="s">
        <v>81</v>
      </c>
      <c r="G35" s="13">
        <v>44580</v>
      </c>
      <c r="H35" s="76" t="s">
        <v>82</v>
      </c>
      <c r="I35" s="16">
        <v>38</v>
      </c>
      <c r="J35" s="16">
        <v>32</v>
      </c>
      <c r="K35" s="16">
        <v>18</v>
      </c>
      <c r="L35" s="16">
        <v>10</v>
      </c>
      <c r="M35" s="80">
        <v>5.4720000000000004</v>
      </c>
      <c r="N35" s="97">
        <v>10</v>
      </c>
      <c r="O35" s="63">
        <v>14000</v>
      </c>
      <c r="P35" s="114">
        <f t="shared" si="0"/>
        <v>140000</v>
      </c>
      <c r="Q35" s="164"/>
    </row>
    <row r="36" spans="1:17" ht="26.25" customHeight="1" x14ac:dyDescent="0.2">
      <c r="A36" s="14"/>
      <c r="B36" s="14"/>
      <c r="C36" s="72" t="s">
        <v>102</v>
      </c>
      <c r="D36" s="77" t="s">
        <v>62</v>
      </c>
      <c r="E36" s="13">
        <v>44541</v>
      </c>
      <c r="F36" s="75" t="s">
        <v>81</v>
      </c>
      <c r="G36" s="13">
        <v>44580</v>
      </c>
      <c r="H36" s="76" t="s">
        <v>82</v>
      </c>
      <c r="I36" s="16">
        <v>74</v>
      </c>
      <c r="J36" s="16">
        <v>45</v>
      </c>
      <c r="K36" s="16">
        <v>12</v>
      </c>
      <c r="L36" s="16">
        <v>10</v>
      </c>
      <c r="M36" s="80">
        <v>9.99</v>
      </c>
      <c r="N36" s="97">
        <v>10</v>
      </c>
      <c r="O36" s="63">
        <v>14000</v>
      </c>
      <c r="P36" s="114">
        <f t="shared" si="0"/>
        <v>140000</v>
      </c>
      <c r="Q36" s="164"/>
    </row>
    <row r="37" spans="1:17" ht="26.25" customHeight="1" x14ac:dyDescent="0.2">
      <c r="A37" s="14"/>
      <c r="B37" s="14"/>
      <c r="C37" s="72" t="s">
        <v>103</v>
      </c>
      <c r="D37" s="77" t="s">
        <v>62</v>
      </c>
      <c r="E37" s="13">
        <v>44541</v>
      </c>
      <c r="F37" s="75" t="s">
        <v>81</v>
      </c>
      <c r="G37" s="13">
        <v>44580</v>
      </c>
      <c r="H37" s="76" t="s">
        <v>82</v>
      </c>
      <c r="I37" s="16">
        <v>57</v>
      </c>
      <c r="J37" s="16">
        <v>37</v>
      </c>
      <c r="K37" s="16">
        <v>10</v>
      </c>
      <c r="L37" s="16">
        <v>10</v>
      </c>
      <c r="M37" s="80">
        <v>5.2725</v>
      </c>
      <c r="N37" s="97">
        <v>10</v>
      </c>
      <c r="O37" s="63">
        <v>14000</v>
      </c>
      <c r="P37" s="114">
        <f t="shared" si="0"/>
        <v>140000</v>
      </c>
      <c r="Q37" s="164"/>
    </row>
    <row r="38" spans="1:17" ht="26.25" customHeight="1" x14ac:dyDescent="0.2">
      <c r="A38" s="14"/>
      <c r="B38" s="14"/>
      <c r="C38" s="72" t="s">
        <v>104</v>
      </c>
      <c r="D38" s="77" t="s">
        <v>62</v>
      </c>
      <c r="E38" s="13">
        <v>44541</v>
      </c>
      <c r="F38" s="75" t="s">
        <v>81</v>
      </c>
      <c r="G38" s="13">
        <v>44580</v>
      </c>
      <c r="H38" s="76" t="s">
        <v>82</v>
      </c>
      <c r="I38" s="16">
        <v>57</v>
      </c>
      <c r="J38" s="16">
        <v>37</v>
      </c>
      <c r="K38" s="16">
        <v>10</v>
      </c>
      <c r="L38" s="16">
        <v>10</v>
      </c>
      <c r="M38" s="80">
        <v>5.2725</v>
      </c>
      <c r="N38" s="97">
        <v>10</v>
      </c>
      <c r="O38" s="63">
        <v>14000</v>
      </c>
      <c r="P38" s="114">
        <f t="shared" si="0"/>
        <v>140000</v>
      </c>
      <c r="Q38" s="164"/>
    </row>
    <row r="39" spans="1:17" ht="26.25" customHeight="1" x14ac:dyDescent="0.2">
      <c r="A39" s="14"/>
      <c r="B39" s="14"/>
      <c r="C39" s="72" t="s">
        <v>105</v>
      </c>
      <c r="D39" s="77" t="s">
        <v>62</v>
      </c>
      <c r="E39" s="13">
        <v>44541</v>
      </c>
      <c r="F39" s="75" t="s">
        <v>81</v>
      </c>
      <c r="G39" s="13">
        <v>44580</v>
      </c>
      <c r="H39" s="76" t="s">
        <v>82</v>
      </c>
      <c r="I39" s="16">
        <v>77</v>
      </c>
      <c r="J39" s="16">
        <v>44</v>
      </c>
      <c r="K39" s="16">
        <v>8</v>
      </c>
      <c r="L39" s="16">
        <v>10</v>
      </c>
      <c r="M39" s="80">
        <v>6.7759999999999998</v>
      </c>
      <c r="N39" s="97">
        <v>10</v>
      </c>
      <c r="O39" s="63">
        <v>14000</v>
      </c>
      <c r="P39" s="114">
        <f t="shared" si="0"/>
        <v>140000</v>
      </c>
      <c r="Q39" s="164"/>
    </row>
    <row r="40" spans="1:17" ht="26.25" customHeight="1" x14ac:dyDescent="0.2">
      <c r="A40" s="14"/>
      <c r="B40" s="14"/>
      <c r="C40" s="72" t="s">
        <v>106</v>
      </c>
      <c r="D40" s="77" t="s">
        <v>62</v>
      </c>
      <c r="E40" s="13">
        <v>44541</v>
      </c>
      <c r="F40" s="75" t="s">
        <v>81</v>
      </c>
      <c r="G40" s="13">
        <v>44580</v>
      </c>
      <c r="H40" s="76" t="s">
        <v>82</v>
      </c>
      <c r="I40" s="16">
        <v>77</v>
      </c>
      <c r="J40" s="16">
        <v>44</v>
      </c>
      <c r="K40" s="16">
        <v>8</v>
      </c>
      <c r="L40" s="16">
        <v>10</v>
      </c>
      <c r="M40" s="80">
        <v>6.7759999999999998</v>
      </c>
      <c r="N40" s="97">
        <v>10</v>
      </c>
      <c r="O40" s="63">
        <v>14000</v>
      </c>
      <c r="P40" s="114">
        <f t="shared" si="0"/>
        <v>140000</v>
      </c>
      <c r="Q40" s="164"/>
    </row>
    <row r="41" spans="1:17" ht="26.25" customHeight="1" x14ac:dyDescent="0.2">
      <c r="A41" s="14"/>
      <c r="B41" s="14"/>
      <c r="C41" s="72" t="s">
        <v>107</v>
      </c>
      <c r="D41" s="77" t="s">
        <v>62</v>
      </c>
      <c r="E41" s="13">
        <v>44541</v>
      </c>
      <c r="F41" s="75" t="s">
        <v>81</v>
      </c>
      <c r="G41" s="13">
        <v>44580</v>
      </c>
      <c r="H41" s="76" t="s">
        <v>82</v>
      </c>
      <c r="I41" s="16">
        <v>77</v>
      </c>
      <c r="J41" s="16">
        <v>44</v>
      </c>
      <c r="K41" s="16">
        <v>8</v>
      </c>
      <c r="L41" s="16">
        <v>10</v>
      </c>
      <c r="M41" s="80">
        <v>6.7759999999999998</v>
      </c>
      <c r="N41" s="97">
        <v>10</v>
      </c>
      <c r="O41" s="63">
        <v>14000</v>
      </c>
      <c r="P41" s="114">
        <f t="shared" si="0"/>
        <v>140000</v>
      </c>
      <c r="Q41" s="164"/>
    </row>
    <row r="42" spans="1:17" ht="26.25" customHeight="1" x14ac:dyDescent="0.2">
      <c r="A42" s="14"/>
      <c r="B42" s="14"/>
      <c r="C42" s="72" t="s">
        <v>108</v>
      </c>
      <c r="D42" s="77" t="s">
        <v>62</v>
      </c>
      <c r="E42" s="13">
        <v>44541</v>
      </c>
      <c r="F42" s="75" t="s">
        <v>81</v>
      </c>
      <c r="G42" s="13">
        <v>44580</v>
      </c>
      <c r="H42" s="76" t="s">
        <v>82</v>
      </c>
      <c r="I42" s="16">
        <v>77</v>
      </c>
      <c r="J42" s="16">
        <v>44</v>
      </c>
      <c r="K42" s="16">
        <v>8</v>
      </c>
      <c r="L42" s="16">
        <v>10</v>
      </c>
      <c r="M42" s="80">
        <v>6.7759999999999998</v>
      </c>
      <c r="N42" s="97">
        <v>10</v>
      </c>
      <c r="O42" s="63">
        <v>14000</v>
      </c>
      <c r="P42" s="114">
        <f t="shared" si="0"/>
        <v>140000</v>
      </c>
      <c r="Q42" s="164"/>
    </row>
    <row r="43" spans="1:17" ht="26.25" customHeight="1" x14ac:dyDescent="0.2">
      <c r="A43" s="14"/>
      <c r="B43" s="14"/>
      <c r="C43" s="72" t="s">
        <v>109</v>
      </c>
      <c r="D43" s="77" t="s">
        <v>62</v>
      </c>
      <c r="E43" s="13">
        <v>44541</v>
      </c>
      <c r="F43" s="75" t="s">
        <v>81</v>
      </c>
      <c r="G43" s="13">
        <v>44580</v>
      </c>
      <c r="H43" s="76" t="s">
        <v>82</v>
      </c>
      <c r="I43" s="16">
        <v>77</v>
      </c>
      <c r="J43" s="16">
        <v>44</v>
      </c>
      <c r="K43" s="16">
        <v>8</v>
      </c>
      <c r="L43" s="16">
        <v>10</v>
      </c>
      <c r="M43" s="80">
        <v>6.7759999999999998</v>
      </c>
      <c r="N43" s="97">
        <v>10</v>
      </c>
      <c r="O43" s="63">
        <v>14000</v>
      </c>
      <c r="P43" s="114">
        <f t="shared" si="0"/>
        <v>140000</v>
      </c>
      <c r="Q43" s="164"/>
    </row>
    <row r="44" spans="1:17" ht="26.25" customHeight="1" x14ac:dyDescent="0.2">
      <c r="A44" s="14"/>
      <c r="B44" s="14"/>
      <c r="C44" s="72" t="s">
        <v>110</v>
      </c>
      <c r="D44" s="77" t="s">
        <v>62</v>
      </c>
      <c r="E44" s="13">
        <v>44541</v>
      </c>
      <c r="F44" s="75" t="s">
        <v>81</v>
      </c>
      <c r="G44" s="13">
        <v>44580</v>
      </c>
      <c r="H44" s="76" t="s">
        <v>82</v>
      </c>
      <c r="I44" s="16">
        <v>47</v>
      </c>
      <c r="J44" s="16">
        <v>33</v>
      </c>
      <c r="K44" s="16">
        <v>33</v>
      </c>
      <c r="L44" s="16">
        <v>16</v>
      </c>
      <c r="M44" s="80">
        <v>12.79575</v>
      </c>
      <c r="N44" s="97">
        <v>16</v>
      </c>
      <c r="O44" s="63">
        <v>14000</v>
      </c>
      <c r="P44" s="114">
        <f t="shared" si="0"/>
        <v>224000</v>
      </c>
      <c r="Q44" s="164"/>
    </row>
    <row r="45" spans="1:17" ht="26.25" customHeight="1" x14ac:dyDescent="0.2">
      <c r="A45" s="14"/>
      <c r="B45" s="14"/>
      <c r="C45" s="72" t="s">
        <v>111</v>
      </c>
      <c r="D45" s="77" t="s">
        <v>62</v>
      </c>
      <c r="E45" s="13">
        <v>44541</v>
      </c>
      <c r="F45" s="75" t="s">
        <v>81</v>
      </c>
      <c r="G45" s="13">
        <v>44580</v>
      </c>
      <c r="H45" s="76" t="s">
        <v>82</v>
      </c>
      <c r="I45" s="16">
        <v>61</v>
      </c>
      <c r="J45" s="16">
        <v>41</v>
      </c>
      <c r="K45" s="16">
        <v>75</v>
      </c>
      <c r="L45" s="16">
        <v>31</v>
      </c>
      <c r="M45" s="80">
        <v>46.893749999999997</v>
      </c>
      <c r="N45" s="97">
        <v>46.893749999999997</v>
      </c>
      <c r="O45" s="63">
        <v>14000</v>
      </c>
      <c r="P45" s="114">
        <f t="shared" si="0"/>
        <v>656512.5</v>
      </c>
      <c r="Q45" s="164"/>
    </row>
    <row r="46" spans="1:17" ht="26.25" customHeight="1" x14ac:dyDescent="0.2">
      <c r="A46" s="14"/>
      <c r="B46" s="14"/>
      <c r="C46" s="72" t="s">
        <v>112</v>
      </c>
      <c r="D46" s="77" t="s">
        <v>62</v>
      </c>
      <c r="E46" s="13">
        <v>44541</v>
      </c>
      <c r="F46" s="75" t="s">
        <v>81</v>
      </c>
      <c r="G46" s="13">
        <v>44580</v>
      </c>
      <c r="H46" s="76" t="s">
        <v>82</v>
      </c>
      <c r="I46" s="16">
        <v>61</v>
      </c>
      <c r="J46" s="16">
        <v>41</v>
      </c>
      <c r="K46" s="16">
        <v>75</v>
      </c>
      <c r="L46" s="16">
        <v>31</v>
      </c>
      <c r="M46" s="80">
        <v>46.893749999999997</v>
      </c>
      <c r="N46" s="97">
        <v>46.893749999999997</v>
      </c>
      <c r="O46" s="63">
        <v>14000</v>
      </c>
      <c r="P46" s="114">
        <f t="shared" si="0"/>
        <v>656512.5</v>
      </c>
      <c r="Q46" s="164"/>
    </row>
    <row r="47" spans="1:17" ht="26.25" customHeight="1" x14ac:dyDescent="0.2">
      <c r="A47" s="14"/>
      <c r="B47" s="14"/>
      <c r="C47" s="72" t="s">
        <v>113</v>
      </c>
      <c r="D47" s="77" t="s">
        <v>62</v>
      </c>
      <c r="E47" s="13">
        <v>44541</v>
      </c>
      <c r="F47" s="75" t="s">
        <v>81</v>
      </c>
      <c r="G47" s="13">
        <v>44580</v>
      </c>
      <c r="H47" s="76" t="s">
        <v>82</v>
      </c>
      <c r="I47" s="16">
        <v>61</v>
      </c>
      <c r="J47" s="16">
        <v>41</v>
      </c>
      <c r="K47" s="16">
        <v>75</v>
      </c>
      <c r="L47" s="16">
        <v>31</v>
      </c>
      <c r="M47" s="80">
        <v>46.893749999999997</v>
      </c>
      <c r="N47" s="97">
        <v>46.893749999999997</v>
      </c>
      <c r="O47" s="63">
        <v>14000</v>
      </c>
      <c r="P47" s="114">
        <f t="shared" si="0"/>
        <v>656512.5</v>
      </c>
      <c r="Q47" s="164"/>
    </row>
    <row r="48" spans="1:17" ht="26.25" customHeight="1" thickBot="1" x14ac:dyDescent="0.25">
      <c r="A48" s="115"/>
      <c r="B48" s="115"/>
      <c r="C48" s="139" t="s">
        <v>114</v>
      </c>
      <c r="D48" s="140" t="s">
        <v>62</v>
      </c>
      <c r="E48" s="119">
        <v>44541</v>
      </c>
      <c r="F48" s="118" t="s">
        <v>81</v>
      </c>
      <c r="G48" s="119">
        <v>44580</v>
      </c>
      <c r="H48" s="141" t="s">
        <v>82</v>
      </c>
      <c r="I48" s="142">
        <v>61</v>
      </c>
      <c r="J48" s="142">
        <v>41</v>
      </c>
      <c r="K48" s="142">
        <v>75</v>
      </c>
      <c r="L48" s="142">
        <v>31</v>
      </c>
      <c r="M48" s="143">
        <v>46.893749999999997</v>
      </c>
      <c r="N48" s="123">
        <v>46.893749999999997</v>
      </c>
      <c r="O48" s="124">
        <v>14000</v>
      </c>
      <c r="P48" s="137">
        <f t="shared" si="0"/>
        <v>656512.5</v>
      </c>
      <c r="Q48" s="165"/>
    </row>
    <row r="49" spans="1:17" ht="26.25" customHeight="1" thickBot="1" x14ac:dyDescent="0.25">
      <c r="A49" s="115">
        <v>406470</v>
      </c>
      <c r="B49" s="116" t="s">
        <v>115</v>
      </c>
      <c r="C49" s="129" t="s">
        <v>116</v>
      </c>
      <c r="D49" s="130" t="s">
        <v>62</v>
      </c>
      <c r="E49" s="131">
        <v>44542</v>
      </c>
      <c r="F49" s="130" t="s">
        <v>81</v>
      </c>
      <c r="G49" s="131">
        <v>44580</v>
      </c>
      <c r="H49" s="132" t="s">
        <v>82</v>
      </c>
      <c r="I49" s="133">
        <v>45</v>
      </c>
      <c r="J49" s="133">
        <v>45</v>
      </c>
      <c r="K49" s="133">
        <v>72</v>
      </c>
      <c r="L49" s="133">
        <v>14</v>
      </c>
      <c r="M49" s="134">
        <v>36.450000000000003</v>
      </c>
      <c r="N49" s="146">
        <v>37</v>
      </c>
      <c r="O49" s="136">
        <v>14000</v>
      </c>
      <c r="P49" s="137">
        <f t="shared" si="0"/>
        <v>518000</v>
      </c>
      <c r="Q49" s="147">
        <v>1</v>
      </c>
    </row>
    <row r="50" spans="1:17" ht="26.25" customHeight="1" x14ac:dyDescent="0.2">
      <c r="A50" s="14">
        <v>402672</v>
      </c>
      <c r="B50" s="74" t="s">
        <v>117</v>
      </c>
      <c r="C50" s="106" t="s">
        <v>118</v>
      </c>
      <c r="D50" s="107" t="s">
        <v>62</v>
      </c>
      <c r="E50" s="108">
        <v>44546</v>
      </c>
      <c r="F50" s="107" t="s">
        <v>151</v>
      </c>
      <c r="G50" s="108">
        <v>44559</v>
      </c>
      <c r="H50" s="109" t="s">
        <v>152</v>
      </c>
      <c r="I50" s="110">
        <v>43</v>
      </c>
      <c r="J50" s="110">
        <v>32</v>
      </c>
      <c r="K50" s="110">
        <v>28</v>
      </c>
      <c r="L50" s="110">
        <v>10</v>
      </c>
      <c r="M50" s="111">
        <v>9.6319999999999997</v>
      </c>
      <c r="N50" s="112">
        <v>10</v>
      </c>
      <c r="O50" s="113">
        <v>14000</v>
      </c>
      <c r="P50" s="114">
        <f t="shared" si="0"/>
        <v>140000</v>
      </c>
      <c r="Q50" s="164">
        <v>33</v>
      </c>
    </row>
    <row r="51" spans="1:17" ht="26.25" customHeight="1" x14ac:dyDescent="0.2">
      <c r="A51" s="14"/>
      <c r="B51" s="74"/>
      <c r="C51" s="9" t="s">
        <v>119</v>
      </c>
      <c r="D51" s="75" t="s">
        <v>62</v>
      </c>
      <c r="E51" s="13">
        <v>44546</v>
      </c>
      <c r="F51" s="75" t="s">
        <v>151</v>
      </c>
      <c r="G51" s="13">
        <v>44559</v>
      </c>
      <c r="H51" s="10" t="s">
        <v>152</v>
      </c>
      <c r="I51" s="1">
        <v>43</v>
      </c>
      <c r="J51" s="1">
        <v>32</v>
      </c>
      <c r="K51" s="1">
        <v>28</v>
      </c>
      <c r="L51" s="1">
        <v>10</v>
      </c>
      <c r="M51" s="79">
        <v>9.6319999999999997</v>
      </c>
      <c r="N51" s="97">
        <v>10</v>
      </c>
      <c r="O51" s="63">
        <v>14000</v>
      </c>
      <c r="P51" s="114">
        <f t="shared" si="0"/>
        <v>140000</v>
      </c>
      <c r="Q51" s="164"/>
    </row>
    <row r="52" spans="1:17" ht="26.25" customHeight="1" x14ac:dyDescent="0.2">
      <c r="A52" s="14"/>
      <c r="B52" s="14"/>
      <c r="C52" s="9" t="s">
        <v>120</v>
      </c>
      <c r="D52" s="75" t="s">
        <v>62</v>
      </c>
      <c r="E52" s="13">
        <v>44546</v>
      </c>
      <c r="F52" s="75" t="s">
        <v>151</v>
      </c>
      <c r="G52" s="13">
        <v>44559</v>
      </c>
      <c r="H52" s="10" t="s">
        <v>152</v>
      </c>
      <c r="I52" s="1">
        <v>43</v>
      </c>
      <c r="J52" s="1">
        <v>32</v>
      </c>
      <c r="K52" s="1">
        <v>28</v>
      </c>
      <c r="L52" s="1">
        <v>10</v>
      </c>
      <c r="M52" s="79">
        <v>9.6319999999999997</v>
      </c>
      <c r="N52" s="97">
        <v>10</v>
      </c>
      <c r="O52" s="63">
        <v>14000</v>
      </c>
      <c r="P52" s="114">
        <f t="shared" si="0"/>
        <v>140000</v>
      </c>
      <c r="Q52" s="164"/>
    </row>
    <row r="53" spans="1:17" ht="26.25" customHeight="1" x14ac:dyDescent="0.2">
      <c r="A53" s="14"/>
      <c r="B53" s="14"/>
      <c r="C53" s="72" t="s">
        <v>121</v>
      </c>
      <c r="D53" s="77" t="s">
        <v>62</v>
      </c>
      <c r="E53" s="13">
        <v>44546</v>
      </c>
      <c r="F53" s="75" t="s">
        <v>151</v>
      </c>
      <c r="G53" s="13">
        <v>44559</v>
      </c>
      <c r="H53" s="76" t="s">
        <v>152</v>
      </c>
      <c r="I53" s="16">
        <v>55</v>
      </c>
      <c r="J53" s="16">
        <v>32</v>
      </c>
      <c r="K53" s="16">
        <v>6</v>
      </c>
      <c r="L53" s="16">
        <v>10</v>
      </c>
      <c r="M53" s="80">
        <v>2.64</v>
      </c>
      <c r="N53" s="97">
        <v>10</v>
      </c>
      <c r="O53" s="63">
        <v>14000</v>
      </c>
      <c r="P53" s="114">
        <f t="shared" si="0"/>
        <v>140000</v>
      </c>
      <c r="Q53" s="164"/>
    </row>
    <row r="54" spans="1:17" ht="26.25" customHeight="1" x14ac:dyDescent="0.2">
      <c r="A54" s="14"/>
      <c r="B54" s="14"/>
      <c r="C54" s="72" t="s">
        <v>122</v>
      </c>
      <c r="D54" s="77" t="s">
        <v>62</v>
      </c>
      <c r="E54" s="13">
        <v>44546</v>
      </c>
      <c r="F54" s="75" t="s">
        <v>151</v>
      </c>
      <c r="G54" s="13">
        <v>44559</v>
      </c>
      <c r="H54" s="76" t="s">
        <v>152</v>
      </c>
      <c r="I54" s="16">
        <v>55</v>
      </c>
      <c r="J54" s="16">
        <v>32</v>
      </c>
      <c r="K54" s="16">
        <v>6</v>
      </c>
      <c r="L54" s="16">
        <v>10</v>
      </c>
      <c r="M54" s="80">
        <v>2.64</v>
      </c>
      <c r="N54" s="97">
        <v>10</v>
      </c>
      <c r="O54" s="63">
        <v>14000</v>
      </c>
      <c r="P54" s="114">
        <f t="shared" si="0"/>
        <v>140000</v>
      </c>
      <c r="Q54" s="164"/>
    </row>
    <row r="55" spans="1:17" ht="26.25" customHeight="1" x14ac:dyDescent="0.2">
      <c r="A55" s="14"/>
      <c r="B55" s="14"/>
      <c r="C55" s="72" t="s">
        <v>123</v>
      </c>
      <c r="D55" s="77" t="s">
        <v>62</v>
      </c>
      <c r="E55" s="13">
        <v>44546</v>
      </c>
      <c r="F55" s="75" t="s">
        <v>151</v>
      </c>
      <c r="G55" s="13">
        <v>44559</v>
      </c>
      <c r="H55" s="76" t="s">
        <v>152</v>
      </c>
      <c r="I55" s="16">
        <v>55</v>
      </c>
      <c r="J55" s="16">
        <v>32</v>
      </c>
      <c r="K55" s="16">
        <v>6</v>
      </c>
      <c r="L55" s="16">
        <v>10</v>
      </c>
      <c r="M55" s="80">
        <v>2.64</v>
      </c>
      <c r="N55" s="97">
        <v>10</v>
      </c>
      <c r="O55" s="63">
        <v>14000</v>
      </c>
      <c r="P55" s="114">
        <f t="shared" si="0"/>
        <v>140000</v>
      </c>
      <c r="Q55" s="164"/>
    </row>
    <row r="56" spans="1:17" ht="26.25" customHeight="1" x14ac:dyDescent="0.2">
      <c r="A56" s="14"/>
      <c r="B56" s="14"/>
      <c r="C56" s="72" t="s">
        <v>124</v>
      </c>
      <c r="D56" s="77" t="s">
        <v>62</v>
      </c>
      <c r="E56" s="13">
        <v>44546</v>
      </c>
      <c r="F56" s="75" t="s">
        <v>151</v>
      </c>
      <c r="G56" s="13">
        <v>44559</v>
      </c>
      <c r="H56" s="76" t="s">
        <v>152</v>
      </c>
      <c r="I56" s="16">
        <v>55</v>
      </c>
      <c r="J56" s="16">
        <v>32</v>
      </c>
      <c r="K56" s="16">
        <v>6</v>
      </c>
      <c r="L56" s="16">
        <v>10</v>
      </c>
      <c r="M56" s="80">
        <v>2.64</v>
      </c>
      <c r="N56" s="97">
        <v>10</v>
      </c>
      <c r="O56" s="63">
        <v>14000</v>
      </c>
      <c r="P56" s="114">
        <f t="shared" si="0"/>
        <v>140000</v>
      </c>
      <c r="Q56" s="164"/>
    </row>
    <row r="57" spans="1:17" ht="26.25" customHeight="1" x14ac:dyDescent="0.2">
      <c r="A57" s="14"/>
      <c r="B57" s="14"/>
      <c r="C57" s="72" t="s">
        <v>125</v>
      </c>
      <c r="D57" s="77" t="s">
        <v>62</v>
      </c>
      <c r="E57" s="13">
        <v>44546</v>
      </c>
      <c r="F57" s="75" t="s">
        <v>151</v>
      </c>
      <c r="G57" s="13">
        <v>44559</v>
      </c>
      <c r="H57" s="76" t="s">
        <v>152</v>
      </c>
      <c r="I57" s="16">
        <v>55</v>
      </c>
      <c r="J57" s="16">
        <v>32</v>
      </c>
      <c r="K57" s="16">
        <v>6</v>
      </c>
      <c r="L57" s="16">
        <v>10</v>
      </c>
      <c r="M57" s="80">
        <v>2.64</v>
      </c>
      <c r="N57" s="97">
        <v>10</v>
      </c>
      <c r="O57" s="63">
        <v>14000</v>
      </c>
      <c r="P57" s="114">
        <f t="shared" si="0"/>
        <v>140000</v>
      </c>
      <c r="Q57" s="164"/>
    </row>
    <row r="58" spans="1:17" ht="26.25" customHeight="1" x14ac:dyDescent="0.2">
      <c r="A58" s="14"/>
      <c r="B58" s="14"/>
      <c r="C58" s="72" t="s">
        <v>126</v>
      </c>
      <c r="D58" s="77" t="s">
        <v>62</v>
      </c>
      <c r="E58" s="13">
        <v>44546</v>
      </c>
      <c r="F58" s="75" t="s">
        <v>151</v>
      </c>
      <c r="G58" s="13">
        <v>44559</v>
      </c>
      <c r="H58" s="76" t="s">
        <v>152</v>
      </c>
      <c r="I58" s="16">
        <v>55</v>
      </c>
      <c r="J58" s="16">
        <v>32</v>
      </c>
      <c r="K58" s="16">
        <v>6</v>
      </c>
      <c r="L58" s="16">
        <v>10</v>
      </c>
      <c r="M58" s="80">
        <v>2.64</v>
      </c>
      <c r="N58" s="97">
        <v>10</v>
      </c>
      <c r="O58" s="63">
        <v>14000</v>
      </c>
      <c r="P58" s="114">
        <f t="shared" si="0"/>
        <v>140000</v>
      </c>
      <c r="Q58" s="164"/>
    </row>
    <row r="59" spans="1:17" ht="26.25" customHeight="1" x14ac:dyDescent="0.2">
      <c r="A59" s="14"/>
      <c r="B59" s="14"/>
      <c r="C59" s="72" t="s">
        <v>127</v>
      </c>
      <c r="D59" s="77" t="s">
        <v>62</v>
      </c>
      <c r="E59" s="13">
        <v>44546</v>
      </c>
      <c r="F59" s="75" t="s">
        <v>151</v>
      </c>
      <c r="G59" s="13">
        <v>44559</v>
      </c>
      <c r="H59" s="76" t="s">
        <v>152</v>
      </c>
      <c r="I59" s="16">
        <v>37</v>
      </c>
      <c r="J59" s="16">
        <v>28</v>
      </c>
      <c r="K59" s="16">
        <v>13</v>
      </c>
      <c r="L59" s="16">
        <v>10</v>
      </c>
      <c r="M59" s="80">
        <v>3.367</v>
      </c>
      <c r="N59" s="97">
        <v>10</v>
      </c>
      <c r="O59" s="63">
        <v>14000</v>
      </c>
      <c r="P59" s="114">
        <f t="shared" si="0"/>
        <v>140000</v>
      </c>
      <c r="Q59" s="164"/>
    </row>
    <row r="60" spans="1:17" ht="26.25" customHeight="1" x14ac:dyDescent="0.2">
      <c r="A60" s="14"/>
      <c r="B60" s="14"/>
      <c r="C60" s="72" t="s">
        <v>128</v>
      </c>
      <c r="D60" s="77" t="s">
        <v>62</v>
      </c>
      <c r="E60" s="13">
        <v>44546</v>
      </c>
      <c r="F60" s="75" t="s">
        <v>151</v>
      </c>
      <c r="G60" s="13">
        <v>44559</v>
      </c>
      <c r="H60" s="76" t="s">
        <v>152</v>
      </c>
      <c r="I60" s="16">
        <v>37</v>
      </c>
      <c r="J60" s="16">
        <v>28</v>
      </c>
      <c r="K60" s="16">
        <v>13</v>
      </c>
      <c r="L60" s="16">
        <v>10</v>
      </c>
      <c r="M60" s="80">
        <v>3.367</v>
      </c>
      <c r="N60" s="97">
        <v>10</v>
      </c>
      <c r="O60" s="63">
        <v>14000</v>
      </c>
      <c r="P60" s="114">
        <f t="shared" si="0"/>
        <v>140000</v>
      </c>
      <c r="Q60" s="164"/>
    </row>
    <row r="61" spans="1:17" ht="26.25" customHeight="1" x14ac:dyDescent="0.2">
      <c r="A61" s="14"/>
      <c r="B61" s="14"/>
      <c r="C61" s="72" t="s">
        <v>129</v>
      </c>
      <c r="D61" s="77" t="s">
        <v>62</v>
      </c>
      <c r="E61" s="13">
        <v>44546</v>
      </c>
      <c r="F61" s="75" t="s">
        <v>151</v>
      </c>
      <c r="G61" s="13">
        <v>44559</v>
      </c>
      <c r="H61" s="76" t="s">
        <v>152</v>
      </c>
      <c r="I61" s="16">
        <v>37</v>
      </c>
      <c r="J61" s="16">
        <v>28</v>
      </c>
      <c r="K61" s="16">
        <v>13</v>
      </c>
      <c r="L61" s="16">
        <v>10</v>
      </c>
      <c r="M61" s="80">
        <v>3.367</v>
      </c>
      <c r="N61" s="97">
        <v>10</v>
      </c>
      <c r="O61" s="63">
        <v>14000</v>
      </c>
      <c r="P61" s="114">
        <f t="shared" si="0"/>
        <v>140000</v>
      </c>
      <c r="Q61" s="164"/>
    </row>
    <row r="62" spans="1:17" ht="26.25" customHeight="1" x14ac:dyDescent="0.2">
      <c r="A62" s="14"/>
      <c r="B62" s="14"/>
      <c r="C62" s="72" t="s">
        <v>130</v>
      </c>
      <c r="D62" s="77" t="s">
        <v>62</v>
      </c>
      <c r="E62" s="13">
        <v>44546</v>
      </c>
      <c r="F62" s="75" t="s">
        <v>151</v>
      </c>
      <c r="G62" s="13">
        <v>44559</v>
      </c>
      <c r="H62" s="76" t="s">
        <v>152</v>
      </c>
      <c r="I62" s="16">
        <v>37</v>
      </c>
      <c r="J62" s="16">
        <v>28</v>
      </c>
      <c r="K62" s="16">
        <v>13</v>
      </c>
      <c r="L62" s="16">
        <v>10</v>
      </c>
      <c r="M62" s="80">
        <v>3.367</v>
      </c>
      <c r="N62" s="97">
        <v>10</v>
      </c>
      <c r="O62" s="63">
        <v>14000</v>
      </c>
      <c r="P62" s="114">
        <f t="shared" si="0"/>
        <v>140000</v>
      </c>
      <c r="Q62" s="164"/>
    </row>
    <row r="63" spans="1:17" ht="26.25" customHeight="1" x14ac:dyDescent="0.2">
      <c r="A63" s="14"/>
      <c r="B63" s="14"/>
      <c r="C63" s="72" t="s">
        <v>131</v>
      </c>
      <c r="D63" s="77" t="s">
        <v>62</v>
      </c>
      <c r="E63" s="13">
        <v>44546</v>
      </c>
      <c r="F63" s="75" t="s">
        <v>151</v>
      </c>
      <c r="G63" s="13">
        <v>44559</v>
      </c>
      <c r="H63" s="76" t="s">
        <v>152</v>
      </c>
      <c r="I63" s="16">
        <v>56</v>
      </c>
      <c r="J63" s="16">
        <v>50</v>
      </c>
      <c r="K63" s="16">
        <v>10</v>
      </c>
      <c r="L63" s="16">
        <v>10</v>
      </c>
      <c r="M63" s="80">
        <v>7</v>
      </c>
      <c r="N63" s="97">
        <v>10</v>
      </c>
      <c r="O63" s="63">
        <v>14000</v>
      </c>
      <c r="P63" s="114">
        <f t="shared" si="0"/>
        <v>140000</v>
      </c>
      <c r="Q63" s="164"/>
    </row>
    <row r="64" spans="1:17" ht="26.25" customHeight="1" x14ac:dyDescent="0.2">
      <c r="A64" s="14"/>
      <c r="B64" s="14"/>
      <c r="C64" s="72" t="s">
        <v>132</v>
      </c>
      <c r="D64" s="77" t="s">
        <v>62</v>
      </c>
      <c r="E64" s="13">
        <v>44546</v>
      </c>
      <c r="F64" s="75" t="s">
        <v>151</v>
      </c>
      <c r="G64" s="13">
        <v>44559</v>
      </c>
      <c r="H64" s="76" t="s">
        <v>152</v>
      </c>
      <c r="I64" s="16">
        <v>56</v>
      </c>
      <c r="J64" s="16">
        <v>50</v>
      </c>
      <c r="K64" s="16">
        <v>10</v>
      </c>
      <c r="L64" s="16">
        <v>10</v>
      </c>
      <c r="M64" s="80">
        <v>7</v>
      </c>
      <c r="N64" s="97">
        <v>10</v>
      </c>
      <c r="O64" s="63">
        <v>14000</v>
      </c>
      <c r="P64" s="114">
        <f t="shared" si="0"/>
        <v>140000</v>
      </c>
      <c r="Q64" s="164"/>
    </row>
    <row r="65" spans="1:17" ht="26.25" customHeight="1" x14ac:dyDescent="0.2">
      <c r="A65" s="14"/>
      <c r="B65" s="14"/>
      <c r="C65" s="72" t="s">
        <v>133</v>
      </c>
      <c r="D65" s="77" t="s">
        <v>62</v>
      </c>
      <c r="E65" s="13">
        <v>44546</v>
      </c>
      <c r="F65" s="75" t="s">
        <v>151</v>
      </c>
      <c r="G65" s="13">
        <v>44559</v>
      </c>
      <c r="H65" s="76" t="s">
        <v>152</v>
      </c>
      <c r="I65" s="16">
        <v>56</v>
      </c>
      <c r="J65" s="16">
        <v>50</v>
      </c>
      <c r="K65" s="16">
        <v>10</v>
      </c>
      <c r="L65" s="16">
        <v>10</v>
      </c>
      <c r="M65" s="80">
        <v>7</v>
      </c>
      <c r="N65" s="97">
        <v>10</v>
      </c>
      <c r="O65" s="63">
        <v>14000</v>
      </c>
      <c r="P65" s="114">
        <f t="shared" si="0"/>
        <v>140000</v>
      </c>
      <c r="Q65" s="164"/>
    </row>
    <row r="66" spans="1:17" ht="26.25" customHeight="1" x14ac:dyDescent="0.2">
      <c r="A66" s="14"/>
      <c r="B66" s="14"/>
      <c r="C66" s="72" t="s">
        <v>134</v>
      </c>
      <c r="D66" s="77" t="s">
        <v>62</v>
      </c>
      <c r="E66" s="13">
        <v>44546</v>
      </c>
      <c r="F66" s="75" t="s">
        <v>151</v>
      </c>
      <c r="G66" s="13">
        <v>44559</v>
      </c>
      <c r="H66" s="76" t="s">
        <v>152</v>
      </c>
      <c r="I66" s="16">
        <v>56</v>
      </c>
      <c r="J66" s="16">
        <v>50</v>
      </c>
      <c r="K66" s="16">
        <v>10</v>
      </c>
      <c r="L66" s="16">
        <v>10</v>
      </c>
      <c r="M66" s="80">
        <v>7</v>
      </c>
      <c r="N66" s="97">
        <v>10</v>
      </c>
      <c r="O66" s="63">
        <v>14000</v>
      </c>
      <c r="P66" s="114">
        <f t="shared" si="0"/>
        <v>140000</v>
      </c>
      <c r="Q66" s="164"/>
    </row>
    <row r="67" spans="1:17" ht="26.25" customHeight="1" x14ac:dyDescent="0.2">
      <c r="A67" s="14"/>
      <c r="B67" s="14"/>
      <c r="C67" s="72" t="s">
        <v>135</v>
      </c>
      <c r="D67" s="77" t="s">
        <v>62</v>
      </c>
      <c r="E67" s="13">
        <v>44546</v>
      </c>
      <c r="F67" s="75" t="s">
        <v>151</v>
      </c>
      <c r="G67" s="13">
        <v>44559</v>
      </c>
      <c r="H67" s="76" t="s">
        <v>152</v>
      </c>
      <c r="I67" s="16">
        <v>37</v>
      </c>
      <c r="J67" s="16">
        <v>28</v>
      </c>
      <c r="K67" s="16">
        <v>13</v>
      </c>
      <c r="L67" s="16">
        <v>10</v>
      </c>
      <c r="M67" s="80">
        <v>3.367</v>
      </c>
      <c r="N67" s="97">
        <v>10</v>
      </c>
      <c r="O67" s="63">
        <v>14000</v>
      </c>
      <c r="P67" s="114">
        <f t="shared" ref="P67:P120" si="1">N67*O67</f>
        <v>140000</v>
      </c>
      <c r="Q67" s="164"/>
    </row>
    <row r="68" spans="1:17" ht="26.25" customHeight="1" x14ac:dyDescent="0.2">
      <c r="A68" s="14"/>
      <c r="B68" s="14"/>
      <c r="C68" s="72" t="s">
        <v>136</v>
      </c>
      <c r="D68" s="77" t="s">
        <v>62</v>
      </c>
      <c r="E68" s="13">
        <v>44546</v>
      </c>
      <c r="F68" s="75" t="s">
        <v>151</v>
      </c>
      <c r="G68" s="13">
        <v>44559</v>
      </c>
      <c r="H68" s="76" t="s">
        <v>152</v>
      </c>
      <c r="I68" s="16">
        <v>43</v>
      </c>
      <c r="J68" s="16">
        <v>32</v>
      </c>
      <c r="K68" s="16">
        <v>28</v>
      </c>
      <c r="L68" s="16">
        <v>10</v>
      </c>
      <c r="M68" s="80">
        <v>9.6319999999999997</v>
      </c>
      <c r="N68" s="97">
        <v>10</v>
      </c>
      <c r="O68" s="63">
        <v>14000</v>
      </c>
      <c r="P68" s="114">
        <f t="shared" si="1"/>
        <v>140000</v>
      </c>
      <c r="Q68" s="164"/>
    </row>
    <row r="69" spans="1:17" ht="26.25" customHeight="1" x14ac:dyDescent="0.2">
      <c r="A69" s="14"/>
      <c r="B69" s="14"/>
      <c r="C69" s="72" t="s">
        <v>137</v>
      </c>
      <c r="D69" s="77" t="s">
        <v>62</v>
      </c>
      <c r="E69" s="13">
        <v>44546</v>
      </c>
      <c r="F69" s="75" t="s">
        <v>151</v>
      </c>
      <c r="G69" s="13">
        <v>44559</v>
      </c>
      <c r="H69" s="76" t="s">
        <v>152</v>
      </c>
      <c r="I69" s="16">
        <v>43</v>
      </c>
      <c r="J69" s="16">
        <v>32</v>
      </c>
      <c r="K69" s="16">
        <v>28</v>
      </c>
      <c r="L69" s="16">
        <v>10</v>
      </c>
      <c r="M69" s="80">
        <v>9.6319999999999997</v>
      </c>
      <c r="N69" s="97">
        <v>10</v>
      </c>
      <c r="O69" s="63">
        <v>14000</v>
      </c>
      <c r="P69" s="114">
        <f t="shared" si="1"/>
        <v>140000</v>
      </c>
      <c r="Q69" s="164"/>
    </row>
    <row r="70" spans="1:17" ht="26.25" customHeight="1" x14ac:dyDescent="0.2">
      <c r="A70" s="14"/>
      <c r="B70" s="14"/>
      <c r="C70" s="72" t="s">
        <v>138</v>
      </c>
      <c r="D70" s="77" t="s">
        <v>62</v>
      </c>
      <c r="E70" s="13">
        <v>44546</v>
      </c>
      <c r="F70" s="75" t="s">
        <v>151</v>
      </c>
      <c r="G70" s="13">
        <v>44559</v>
      </c>
      <c r="H70" s="76" t="s">
        <v>152</v>
      </c>
      <c r="I70" s="16">
        <v>43</v>
      </c>
      <c r="J70" s="16">
        <v>32</v>
      </c>
      <c r="K70" s="16">
        <v>28</v>
      </c>
      <c r="L70" s="16">
        <v>10</v>
      </c>
      <c r="M70" s="80">
        <v>9.6319999999999997</v>
      </c>
      <c r="N70" s="97">
        <v>10</v>
      </c>
      <c r="O70" s="63">
        <v>14000</v>
      </c>
      <c r="P70" s="114">
        <f t="shared" si="1"/>
        <v>140000</v>
      </c>
      <c r="Q70" s="164"/>
    </row>
    <row r="71" spans="1:17" ht="26.25" customHeight="1" x14ac:dyDescent="0.2">
      <c r="A71" s="14"/>
      <c r="B71" s="14"/>
      <c r="C71" s="72" t="s">
        <v>139</v>
      </c>
      <c r="D71" s="77" t="s">
        <v>62</v>
      </c>
      <c r="E71" s="13">
        <v>44546</v>
      </c>
      <c r="F71" s="75" t="s">
        <v>151</v>
      </c>
      <c r="G71" s="13">
        <v>44559</v>
      </c>
      <c r="H71" s="76" t="s">
        <v>152</v>
      </c>
      <c r="I71" s="16">
        <v>35</v>
      </c>
      <c r="J71" s="16">
        <v>35</v>
      </c>
      <c r="K71" s="16">
        <v>17</v>
      </c>
      <c r="L71" s="16">
        <v>12</v>
      </c>
      <c r="M71" s="80">
        <v>5.2062499999999998</v>
      </c>
      <c r="N71" s="97">
        <v>12</v>
      </c>
      <c r="O71" s="63">
        <v>14000</v>
      </c>
      <c r="P71" s="114">
        <f t="shared" si="1"/>
        <v>168000</v>
      </c>
      <c r="Q71" s="164"/>
    </row>
    <row r="72" spans="1:17" ht="26.25" customHeight="1" x14ac:dyDescent="0.2">
      <c r="A72" s="14"/>
      <c r="B72" s="14"/>
      <c r="C72" s="72" t="s">
        <v>140</v>
      </c>
      <c r="D72" s="77" t="s">
        <v>62</v>
      </c>
      <c r="E72" s="13">
        <v>44546</v>
      </c>
      <c r="F72" s="75" t="s">
        <v>151</v>
      </c>
      <c r="G72" s="13">
        <v>44559</v>
      </c>
      <c r="H72" s="76" t="s">
        <v>152</v>
      </c>
      <c r="I72" s="16">
        <v>35</v>
      </c>
      <c r="J72" s="16">
        <v>35</v>
      </c>
      <c r="K72" s="16">
        <v>17</v>
      </c>
      <c r="L72" s="16">
        <v>12</v>
      </c>
      <c r="M72" s="80">
        <v>5.2062499999999998</v>
      </c>
      <c r="N72" s="97">
        <v>12</v>
      </c>
      <c r="O72" s="63">
        <v>14000</v>
      </c>
      <c r="P72" s="114">
        <f t="shared" si="1"/>
        <v>168000</v>
      </c>
      <c r="Q72" s="164"/>
    </row>
    <row r="73" spans="1:17" ht="26.25" customHeight="1" x14ac:dyDescent="0.2">
      <c r="A73" s="14"/>
      <c r="B73" s="14"/>
      <c r="C73" s="72" t="s">
        <v>141</v>
      </c>
      <c r="D73" s="77" t="s">
        <v>62</v>
      </c>
      <c r="E73" s="13">
        <v>44546</v>
      </c>
      <c r="F73" s="75" t="s">
        <v>151</v>
      </c>
      <c r="G73" s="13">
        <v>44559</v>
      </c>
      <c r="H73" s="76" t="s">
        <v>152</v>
      </c>
      <c r="I73" s="16">
        <v>35</v>
      </c>
      <c r="J73" s="16">
        <v>35</v>
      </c>
      <c r="K73" s="16">
        <v>17</v>
      </c>
      <c r="L73" s="16">
        <v>12</v>
      </c>
      <c r="M73" s="80">
        <v>5.2062499999999998</v>
      </c>
      <c r="N73" s="97">
        <v>12</v>
      </c>
      <c r="O73" s="63">
        <v>14000</v>
      </c>
      <c r="P73" s="114">
        <f t="shared" si="1"/>
        <v>168000</v>
      </c>
      <c r="Q73" s="164"/>
    </row>
    <row r="74" spans="1:17" ht="26.25" customHeight="1" x14ac:dyDescent="0.2">
      <c r="A74" s="14"/>
      <c r="B74" s="14"/>
      <c r="C74" s="72" t="s">
        <v>142</v>
      </c>
      <c r="D74" s="77" t="s">
        <v>62</v>
      </c>
      <c r="E74" s="13">
        <v>44546</v>
      </c>
      <c r="F74" s="75" t="s">
        <v>151</v>
      </c>
      <c r="G74" s="13">
        <v>44559</v>
      </c>
      <c r="H74" s="76" t="s">
        <v>152</v>
      </c>
      <c r="I74" s="16">
        <v>55</v>
      </c>
      <c r="J74" s="16">
        <v>32</v>
      </c>
      <c r="K74" s="16">
        <v>6</v>
      </c>
      <c r="L74" s="16">
        <v>10</v>
      </c>
      <c r="M74" s="80">
        <v>2.64</v>
      </c>
      <c r="N74" s="97">
        <v>10</v>
      </c>
      <c r="O74" s="63">
        <v>14000</v>
      </c>
      <c r="P74" s="114">
        <f t="shared" si="1"/>
        <v>140000</v>
      </c>
      <c r="Q74" s="164"/>
    </row>
    <row r="75" spans="1:17" ht="26.25" customHeight="1" x14ac:dyDescent="0.2">
      <c r="A75" s="14"/>
      <c r="B75" s="14"/>
      <c r="C75" s="72" t="s">
        <v>143</v>
      </c>
      <c r="D75" s="77" t="s">
        <v>62</v>
      </c>
      <c r="E75" s="13">
        <v>44546</v>
      </c>
      <c r="F75" s="75" t="s">
        <v>151</v>
      </c>
      <c r="G75" s="13">
        <v>44559</v>
      </c>
      <c r="H75" s="76" t="s">
        <v>152</v>
      </c>
      <c r="I75" s="16">
        <v>55</v>
      </c>
      <c r="J75" s="16">
        <v>32</v>
      </c>
      <c r="K75" s="16">
        <v>6</v>
      </c>
      <c r="L75" s="16">
        <v>10</v>
      </c>
      <c r="M75" s="80">
        <v>2.64</v>
      </c>
      <c r="N75" s="97">
        <v>10</v>
      </c>
      <c r="O75" s="63">
        <v>14000</v>
      </c>
      <c r="P75" s="114">
        <f t="shared" si="1"/>
        <v>140000</v>
      </c>
      <c r="Q75" s="164"/>
    </row>
    <row r="76" spans="1:17" ht="26.25" customHeight="1" x14ac:dyDescent="0.2">
      <c r="A76" s="14"/>
      <c r="B76" s="14"/>
      <c r="C76" s="72" t="s">
        <v>144</v>
      </c>
      <c r="D76" s="77" t="s">
        <v>62</v>
      </c>
      <c r="E76" s="13">
        <v>44546</v>
      </c>
      <c r="F76" s="75" t="s">
        <v>151</v>
      </c>
      <c r="G76" s="13">
        <v>44559</v>
      </c>
      <c r="H76" s="76" t="s">
        <v>152</v>
      </c>
      <c r="I76" s="16">
        <v>35</v>
      </c>
      <c r="J76" s="16">
        <v>35</v>
      </c>
      <c r="K76" s="16">
        <v>17</v>
      </c>
      <c r="L76" s="16">
        <v>10</v>
      </c>
      <c r="M76" s="80">
        <v>5.2062499999999998</v>
      </c>
      <c r="N76" s="97">
        <v>10</v>
      </c>
      <c r="O76" s="63">
        <v>14000</v>
      </c>
      <c r="P76" s="114">
        <f t="shared" si="1"/>
        <v>140000</v>
      </c>
      <c r="Q76" s="164"/>
    </row>
    <row r="77" spans="1:17" ht="26.25" customHeight="1" x14ac:dyDescent="0.2">
      <c r="A77" s="14"/>
      <c r="B77" s="14"/>
      <c r="C77" s="72" t="s">
        <v>145</v>
      </c>
      <c r="D77" s="77" t="s">
        <v>62</v>
      </c>
      <c r="E77" s="13">
        <v>44546</v>
      </c>
      <c r="F77" s="75" t="s">
        <v>151</v>
      </c>
      <c r="G77" s="13">
        <v>44559</v>
      </c>
      <c r="H77" s="76" t="s">
        <v>152</v>
      </c>
      <c r="I77" s="16">
        <v>35</v>
      </c>
      <c r="J77" s="16">
        <v>35</v>
      </c>
      <c r="K77" s="16">
        <v>17</v>
      </c>
      <c r="L77" s="16">
        <v>10</v>
      </c>
      <c r="M77" s="80">
        <v>5.2062499999999998</v>
      </c>
      <c r="N77" s="97">
        <v>10</v>
      </c>
      <c r="O77" s="63">
        <v>14000</v>
      </c>
      <c r="P77" s="114">
        <f t="shared" si="1"/>
        <v>140000</v>
      </c>
      <c r="Q77" s="164"/>
    </row>
    <row r="78" spans="1:17" ht="26.25" customHeight="1" x14ac:dyDescent="0.2">
      <c r="A78" s="14"/>
      <c r="B78" s="14"/>
      <c r="C78" s="72" t="s">
        <v>146</v>
      </c>
      <c r="D78" s="77" t="s">
        <v>62</v>
      </c>
      <c r="E78" s="13">
        <v>44546</v>
      </c>
      <c r="F78" s="75" t="s">
        <v>151</v>
      </c>
      <c r="G78" s="13">
        <v>44559</v>
      </c>
      <c r="H78" s="76" t="s">
        <v>152</v>
      </c>
      <c r="I78" s="16">
        <v>35</v>
      </c>
      <c r="J78" s="16">
        <v>35</v>
      </c>
      <c r="K78" s="16">
        <v>17</v>
      </c>
      <c r="L78" s="16">
        <v>10</v>
      </c>
      <c r="M78" s="80">
        <v>5.2062499999999998</v>
      </c>
      <c r="N78" s="97">
        <v>10</v>
      </c>
      <c r="O78" s="63">
        <v>14000</v>
      </c>
      <c r="P78" s="114">
        <f t="shared" si="1"/>
        <v>140000</v>
      </c>
      <c r="Q78" s="164"/>
    </row>
    <row r="79" spans="1:17" ht="26.25" customHeight="1" x14ac:dyDescent="0.2">
      <c r="A79" s="14"/>
      <c r="B79" s="14"/>
      <c r="C79" s="72" t="s">
        <v>147</v>
      </c>
      <c r="D79" s="77" t="s">
        <v>62</v>
      </c>
      <c r="E79" s="13">
        <v>44546</v>
      </c>
      <c r="F79" s="75" t="s">
        <v>151</v>
      </c>
      <c r="G79" s="13">
        <v>44559</v>
      </c>
      <c r="H79" s="76" t="s">
        <v>152</v>
      </c>
      <c r="I79" s="16">
        <v>36</v>
      </c>
      <c r="J79" s="16">
        <v>24</v>
      </c>
      <c r="K79" s="16">
        <v>24</v>
      </c>
      <c r="L79" s="16">
        <v>7</v>
      </c>
      <c r="M79" s="80">
        <v>5.1840000000000002</v>
      </c>
      <c r="N79" s="97">
        <v>7</v>
      </c>
      <c r="O79" s="63">
        <v>14000</v>
      </c>
      <c r="P79" s="114">
        <f t="shared" si="1"/>
        <v>98000</v>
      </c>
      <c r="Q79" s="164"/>
    </row>
    <row r="80" spans="1:17" ht="26.25" customHeight="1" x14ac:dyDescent="0.2">
      <c r="A80" s="14"/>
      <c r="B80" s="14"/>
      <c r="C80" s="72" t="s">
        <v>148</v>
      </c>
      <c r="D80" s="77" t="s">
        <v>62</v>
      </c>
      <c r="E80" s="13">
        <v>44546</v>
      </c>
      <c r="F80" s="75" t="s">
        <v>151</v>
      </c>
      <c r="G80" s="13">
        <v>44559</v>
      </c>
      <c r="H80" s="76" t="s">
        <v>152</v>
      </c>
      <c r="I80" s="16">
        <v>35</v>
      </c>
      <c r="J80" s="16">
        <v>25</v>
      </c>
      <c r="K80" s="16">
        <v>15</v>
      </c>
      <c r="L80" s="16">
        <v>6</v>
      </c>
      <c r="M80" s="80">
        <v>3.28125</v>
      </c>
      <c r="N80" s="97">
        <v>6</v>
      </c>
      <c r="O80" s="63">
        <v>14000</v>
      </c>
      <c r="P80" s="114">
        <f t="shared" si="1"/>
        <v>84000</v>
      </c>
      <c r="Q80" s="164"/>
    </row>
    <row r="81" spans="1:17" ht="26.25" customHeight="1" x14ac:dyDescent="0.2">
      <c r="A81" s="14"/>
      <c r="B81" s="14"/>
      <c r="C81" s="72" t="s">
        <v>149</v>
      </c>
      <c r="D81" s="77" t="s">
        <v>62</v>
      </c>
      <c r="E81" s="13">
        <v>44546</v>
      </c>
      <c r="F81" s="75" t="s">
        <v>151</v>
      </c>
      <c r="G81" s="13">
        <v>44559</v>
      </c>
      <c r="H81" s="76" t="s">
        <v>152</v>
      </c>
      <c r="I81" s="16">
        <v>35</v>
      </c>
      <c r="J81" s="16">
        <v>35</v>
      </c>
      <c r="K81" s="16">
        <v>71</v>
      </c>
      <c r="L81" s="16">
        <v>14</v>
      </c>
      <c r="M81" s="80">
        <v>21.743749999999999</v>
      </c>
      <c r="N81" s="97">
        <v>21.743749999999999</v>
      </c>
      <c r="O81" s="63">
        <v>14000</v>
      </c>
      <c r="P81" s="114">
        <f t="shared" si="1"/>
        <v>304412.5</v>
      </c>
      <c r="Q81" s="164"/>
    </row>
    <row r="82" spans="1:17" ht="26.25" customHeight="1" thickBot="1" x14ac:dyDescent="0.25">
      <c r="A82" s="115"/>
      <c r="B82" s="115"/>
      <c r="C82" s="139" t="s">
        <v>150</v>
      </c>
      <c r="D82" s="140" t="s">
        <v>62</v>
      </c>
      <c r="E82" s="119">
        <v>44546</v>
      </c>
      <c r="F82" s="118" t="s">
        <v>151</v>
      </c>
      <c r="G82" s="119">
        <v>44559</v>
      </c>
      <c r="H82" s="141" t="s">
        <v>152</v>
      </c>
      <c r="I82" s="142">
        <v>35</v>
      </c>
      <c r="J82" s="142">
        <v>35</v>
      </c>
      <c r="K82" s="142">
        <v>75</v>
      </c>
      <c r="L82" s="142">
        <v>14</v>
      </c>
      <c r="M82" s="143">
        <v>22.96875</v>
      </c>
      <c r="N82" s="123">
        <v>22.96875</v>
      </c>
      <c r="O82" s="124">
        <v>14000</v>
      </c>
      <c r="P82" s="137">
        <f t="shared" si="1"/>
        <v>321562.5</v>
      </c>
      <c r="Q82" s="165"/>
    </row>
    <row r="83" spans="1:17" ht="26.25" customHeight="1" x14ac:dyDescent="0.2">
      <c r="A83" s="14">
        <v>402679</v>
      </c>
      <c r="B83" s="74" t="s">
        <v>153</v>
      </c>
      <c r="C83" s="106" t="s">
        <v>154</v>
      </c>
      <c r="D83" s="107" t="s">
        <v>62</v>
      </c>
      <c r="E83" s="108">
        <v>44547</v>
      </c>
      <c r="F83" s="107" t="s">
        <v>159</v>
      </c>
      <c r="G83" s="108">
        <v>44561</v>
      </c>
      <c r="H83" s="109" t="s">
        <v>152</v>
      </c>
      <c r="I83" s="110">
        <v>53</v>
      </c>
      <c r="J83" s="110">
        <v>46</v>
      </c>
      <c r="K83" s="110">
        <v>11</v>
      </c>
      <c r="L83" s="110">
        <v>12</v>
      </c>
      <c r="M83" s="111">
        <v>6.7045000000000003</v>
      </c>
      <c r="N83" s="112">
        <v>12</v>
      </c>
      <c r="O83" s="113">
        <v>14000</v>
      </c>
      <c r="P83" s="114">
        <f t="shared" si="1"/>
        <v>168000</v>
      </c>
      <c r="Q83" s="164">
        <v>5</v>
      </c>
    </row>
    <row r="84" spans="1:17" ht="26.25" customHeight="1" x14ac:dyDescent="0.2">
      <c r="A84" s="14"/>
      <c r="B84" s="74"/>
      <c r="C84" s="9" t="s">
        <v>155</v>
      </c>
      <c r="D84" s="75" t="s">
        <v>62</v>
      </c>
      <c r="E84" s="13">
        <v>44547</v>
      </c>
      <c r="F84" s="75" t="s">
        <v>159</v>
      </c>
      <c r="G84" s="13">
        <v>44561</v>
      </c>
      <c r="H84" s="10" t="s">
        <v>152</v>
      </c>
      <c r="I84" s="1">
        <v>53</v>
      </c>
      <c r="J84" s="1">
        <v>46</v>
      </c>
      <c r="K84" s="1">
        <v>11</v>
      </c>
      <c r="L84" s="1">
        <v>12</v>
      </c>
      <c r="M84" s="79">
        <v>6.7045000000000003</v>
      </c>
      <c r="N84" s="97">
        <v>12</v>
      </c>
      <c r="O84" s="63">
        <v>14000</v>
      </c>
      <c r="P84" s="114">
        <f t="shared" si="1"/>
        <v>168000</v>
      </c>
      <c r="Q84" s="164"/>
    </row>
    <row r="85" spans="1:17" ht="26.25" customHeight="1" x14ac:dyDescent="0.2">
      <c r="A85" s="14"/>
      <c r="B85" s="14"/>
      <c r="C85" s="9" t="s">
        <v>156</v>
      </c>
      <c r="D85" s="75" t="s">
        <v>62</v>
      </c>
      <c r="E85" s="13">
        <v>44547</v>
      </c>
      <c r="F85" s="75" t="s">
        <v>159</v>
      </c>
      <c r="G85" s="13">
        <v>44561</v>
      </c>
      <c r="H85" s="10" t="s">
        <v>152</v>
      </c>
      <c r="I85" s="1">
        <v>149</v>
      </c>
      <c r="J85" s="1">
        <v>64</v>
      </c>
      <c r="K85" s="1">
        <v>9</v>
      </c>
      <c r="L85" s="1">
        <v>14</v>
      </c>
      <c r="M85" s="79">
        <v>21.456</v>
      </c>
      <c r="N85" s="97">
        <v>22</v>
      </c>
      <c r="O85" s="63">
        <v>14000</v>
      </c>
      <c r="P85" s="114">
        <f t="shared" si="1"/>
        <v>308000</v>
      </c>
      <c r="Q85" s="164"/>
    </row>
    <row r="86" spans="1:17" ht="26.25" customHeight="1" x14ac:dyDescent="0.2">
      <c r="A86" s="14"/>
      <c r="B86" s="14"/>
      <c r="C86" s="72" t="s">
        <v>157</v>
      </c>
      <c r="D86" s="77" t="s">
        <v>62</v>
      </c>
      <c r="E86" s="13">
        <v>44547</v>
      </c>
      <c r="F86" s="75" t="s">
        <v>159</v>
      </c>
      <c r="G86" s="13">
        <v>44561</v>
      </c>
      <c r="H86" s="76" t="s">
        <v>152</v>
      </c>
      <c r="I86" s="16">
        <v>149</v>
      </c>
      <c r="J86" s="16">
        <v>64</v>
      </c>
      <c r="K86" s="16">
        <v>9</v>
      </c>
      <c r="L86" s="16">
        <v>14</v>
      </c>
      <c r="M86" s="80">
        <v>21.456</v>
      </c>
      <c r="N86" s="97">
        <v>22</v>
      </c>
      <c r="O86" s="63">
        <v>14000</v>
      </c>
      <c r="P86" s="114">
        <f t="shared" si="1"/>
        <v>308000</v>
      </c>
      <c r="Q86" s="164"/>
    </row>
    <row r="87" spans="1:17" ht="26.25" customHeight="1" thickBot="1" x14ac:dyDescent="0.25">
      <c r="A87" s="115"/>
      <c r="B87" s="115"/>
      <c r="C87" s="139" t="s">
        <v>158</v>
      </c>
      <c r="D87" s="140" t="s">
        <v>62</v>
      </c>
      <c r="E87" s="119">
        <v>44547</v>
      </c>
      <c r="F87" s="118" t="s">
        <v>159</v>
      </c>
      <c r="G87" s="119">
        <v>44561</v>
      </c>
      <c r="H87" s="141" t="s">
        <v>152</v>
      </c>
      <c r="I87" s="142">
        <v>60</v>
      </c>
      <c r="J87" s="142">
        <v>50</v>
      </c>
      <c r="K87" s="142">
        <v>91</v>
      </c>
      <c r="L87" s="142">
        <v>13</v>
      </c>
      <c r="M87" s="143">
        <v>68.25</v>
      </c>
      <c r="N87" s="123">
        <v>68.25</v>
      </c>
      <c r="O87" s="124">
        <v>14000</v>
      </c>
      <c r="P87" s="137">
        <f t="shared" si="1"/>
        <v>955500</v>
      </c>
      <c r="Q87" s="165"/>
    </row>
    <row r="88" spans="1:17" ht="26.25" customHeight="1" x14ac:dyDescent="0.2">
      <c r="A88" s="14">
        <v>402691</v>
      </c>
      <c r="B88" s="74" t="s">
        <v>160</v>
      </c>
      <c r="C88" s="106" t="s">
        <v>161</v>
      </c>
      <c r="D88" s="107" t="s">
        <v>62</v>
      </c>
      <c r="E88" s="108">
        <v>44548</v>
      </c>
      <c r="F88" s="107" t="s">
        <v>175</v>
      </c>
      <c r="G88" s="108">
        <v>44563</v>
      </c>
      <c r="H88" s="109" t="s">
        <v>176</v>
      </c>
      <c r="I88" s="110">
        <v>148</v>
      </c>
      <c r="J88" s="110">
        <v>64</v>
      </c>
      <c r="K88" s="110">
        <v>10</v>
      </c>
      <c r="L88" s="110">
        <v>7</v>
      </c>
      <c r="M88" s="111">
        <v>23.68</v>
      </c>
      <c r="N88" s="112">
        <v>23.68</v>
      </c>
      <c r="O88" s="113">
        <v>14000</v>
      </c>
      <c r="P88" s="114">
        <f t="shared" si="1"/>
        <v>331520</v>
      </c>
      <c r="Q88" s="164">
        <v>14</v>
      </c>
    </row>
    <row r="89" spans="1:17" ht="26.25" customHeight="1" x14ac:dyDescent="0.2">
      <c r="A89" s="14"/>
      <c r="B89" s="74"/>
      <c r="C89" s="9" t="s">
        <v>162</v>
      </c>
      <c r="D89" s="75" t="s">
        <v>62</v>
      </c>
      <c r="E89" s="13">
        <v>44548</v>
      </c>
      <c r="F89" s="75" t="s">
        <v>175</v>
      </c>
      <c r="G89" s="13">
        <v>44563</v>
      </c>
      <c r="H89" s="10" t="s">
        <v>176</v>
      </c>
      <c r="I89" s="1">
        <v>148</v>
      </c>
      <c r="J89" s="1">
        <v>64</v>
      </c>
      <c r="K89" s="1">
        <v>10</v>
      </c>
      <c r="L89" s="1">
        <v>7</v>
      </c>
      <c r="M89" s="79">
        <v>23.68</v>
      </c>
      <c r="N89" s="97">
        <v>23.68</v>
      </c>
      <c r="O89" s="63">
        <v>14000</v>
      </c>
      <c r="P89" s="114">
        <f t="shared" si="1"/>
        <v>331520</v>
      </c>
      <c r="Q89" s="164"/>
    </row>
    <row r="90" spans="1:17" ht="26.25" customHeight="1" x14ac:dyDescent="0.2">
      <c r="A90" s="14"/>
      <c r="B90" s="14"/>
      <c r="C90" s="9" t="s">
        <v>163</v>
      </c>
      <c r="D90" s="75" t="s">
        <v>62</v>
      </c>
      <c r="E90" s="13">
        <v>44548</v>
      </c>
      <c r="F90" s="75" t="s">
        <v>175</v>
      </c>
      <c r="G90" s="13">
        <v>44563</v>
      </c>
      <c r="H90" s="10" t="s">
        <v>176</v>
      </c>
      <c r="I90" s="1">
        <v>148</v>
      </c>
      <c r="J90" s="1">
        <v>64</v>
      </c>
      <c r="K90" s="1">
        <v>10</v>
      </c>
      <c r="L90" s="1">
        <v>7</v>
      </c>
      <c r="M90" s="79">
        <v>23.68</v>
      </c>
      <c r="N90" s="97">
        <v>23.68</v>
      </c>
      <c r="O90" s="63">
        <v>14000</v>
      </c>
      <c r="P90" s="114">
        <f t="shared" si="1"/>
        <v>331520</v>
      </c>
      <c r="Q90" s="164"/>
    </row>
    <row r="91" spans="1:17" ht="26.25" customHeight="1" x14ac:dyDescent="0.2">
      <c r="A91" s="14"/>
      <c r="B91" s="14"/>
      <c r="C91" s="72" t="s">
        <v>164</v>
      </c>
      <c r="D91" s="77" t="s">
        <v>62</v>
      </c>
      <c r="E91" s="13">
        <v>44548</v>
      </c>
      <c r="F91" s="75" t="s">
        <v>175</v>
      </c>
      <c r="G91" s="13">
        <v>44563</v>
      </c>
      <c r="H91" s="76" t="s">
        <v>176</v>
      </c>
      <c r="I91" s="16">
        <v>148</v>
      </c>
      <c r="J91" s="16">
        <v>64</v>
      </c>
      <c r="K91" s="16">
        <v>10</v>
      </c>
      <c r="L91" s="16">
        <v>7</v>
      </c>
      <c r="M91" s="80">
        <v>23.68</v>
      </c>
      <c r="N91" s="97">
        <v>23.68</v>
      </c>
      <c r="O91" s="63">
        <v>14000</v>
      </c>
      <c r="P91" s="114">
        <f t="shared" si="1"/>
        <v>331520</v>
      </c>
      <c r="Q91" s="164"/>
    </row>
    <row r="92" spans="1:17" ht="26.25" customHeight="1" x14ac:dyDescent="0.2">
      <c r="A92" s="14"/>
      <c r="B92" s="14"/>
      <c r="C92" s="72" t="s">
        <v>165</v>
      </c>
      <c r="D92" s="77" t="s">
        <v>62</v>
      </c>
      <c r="E92" s="13">
        <v>44548</v>
      </c>
      <c r="F92" s="75" t="s">
        <v>175</v>
      </c>
      <c r="G92" s="13">
        <v>44563</v>
      </c>
      <c r="H92" s="76" t="s">
        <v>176</v>
      </c>
      <c r="I92" s="16">
        <v>88</v>
      </c>
      <c r="J92" s="16">
        <v>36</v>
      </c>
      <c r="K92" s="16">
        <v>30</v>
      </c>
      <c r="L92" s="16">
        <v>18</v>
      </c>
      <c r="M92" s="80">
        <v>23.76</v>
      </c>
      <c r="N92" s="97">
        <v>23.76</v>
      </c>
      <c r="O92" s="63">
        <v>14000</v>
      </c>
      <c r="P92" s="114">
        <f t="shared" si="1"/>
        <v>332640</v>
      </c>
      <c r="Q92" s="164"/>
    </row>
    <row r="93" spans="1:17" ht="26.25" customHeight="1" x14ac:dyDescent="0.2">
      <c r="A93" s="14"/>
      <c r="B93" s="14"/>
      <c r="C93" s="72" t="s">
        <v>166</v>
      </c>
      <c r="D93" s="77" t="s">
        <v>62</v>
      </c>
      <c r="E93" s="13">
        <v>44548</v>
      </c>
      <c r="F93" s="75" t="s">
        <v>175</v>
      </c>
      <c r="G93" s="13">
        <v>44563</v>
      </c>
      <c r="H93" s="76" t="s">
        <v>176</v>
      </c>
      <c r="I93" s="16">
        <v>83</v>
      </c>
      <c r="J93" s="16">
        <v>60</v>
      </c>
      <c r="K93" s="16">
        <v>37</v>
      </c>
      <c r="L93" s="16">
        <v>11</v>
      </c>
      <c r="M93" s="80">
        <v>46.064999999999998</v>
      </c>
      <c r="N93" s="97">
        <v>46.064999999999998</v>
      </c>
      <c r="O93" s="63">
        <v>14000</v>
      </c>
      <c r="P93" s="114">
        <f t="shared" si="1"/>
        <v>644910</v>
      </c>
      <c r="Q93" s="164"/>
    </row>
    <row r="94" spans="1:17" ht="26.25" customHeight="1" x14ac:dyDescent="0.2">
      <c r="A94" s="14"/>
      <c r="B94" s="14"/>
      <c r="C94" s="72" t="s">
        <v>167</v>
      </c>
      <c r="D94" s="77" t="s">
        <v>62</v>
      </c>
      <c r="E94" s="13">
        <v>44548</v>
      </c>
      <c r="F94" s="75" t="s">
        <v>175</v>
      </c>
      <c r="G94" s="13">
        <v>44563</v>
      </c>
      <c r="H94" s="76" t="s">
        <v>176</v>
      </c>
      <c r="I94" s="16">
        <v>53</v>
      </c>
      <c r="J94" s="16">
        <v>34</v>
      </c>
      <c r="K94" s="16">
        <v>10</v>
      </c>
      <c r="L94" s="16">
        <v>1</v>
      </c>
      <c r="M94" s="80">
        <v>4.5049999999999999</v>
      </c>
      <c r="N94" s="97">
        <v>4.5049999999999999</v>
      </c>
      <c r="O94" s="63">
        <v>14000</v>
      </c>
      <c r="P94" s="114">
        <f t="shared" si="1"/>
        <v>63070</v>
      </c>
      <c r="Q94" s="164"/>
    </row>
    <row r="95" spans="1:17" ht="26.25" customHeight="1" x14ac:dyDescent="0.2">
      <c r="A95" s="14"/>
      <c r="B95" s="14"/>
      <c r="C95" s="72" t="s">
        <v>168</v>
      </c>
      <c r="D95" s="77" t="s">
        <v>62</v>
      </c>
      <c r="E95" s="13">
        <v>44548</v>
      </c>
      <c r="F95" s="75" t="s">
        <v>175</v>
      </c>
      <c r="G95" s="13">
        <v>44563</v>
      </c>
      <c r="H95" s="76" t="s">
        <v>176</v>
      </c>
      <c r="I95" s="16">
        <v>46</v>
      </c>
      <c r="J95" s="16">
        <v>18</v>
      </c>
      <c r="K95" s="16">
        <v>3</v>
      </c>
      <c r="L95" s="16">
        <v>18</v>
      </c>
      <c r="M95" s="80">
        <v>0.621</v>
      </c>
      <c r="N95" s="97">
        <v>18</v>
      </c>
      <c r="O95" s="63">
        <v>14000</v>
      </c>
      <c r="P95" s="114">
        <f t="shared" si="1"/>
        <v>252000</v>
      </c>
      <c r="Q95" s="164"/>
    </row>
    <row r="96" spans="1:17" ht="26.25" customHeight="1" x14ac:dyDescent="0.2">
      <c r="A96" s="14"/>
      <c r="B96" s="14"/>
      <c r="C96" s="72" t="s">
        <v>169</v>
      </c>
      <c r="D96" s="77" t="s">
        <v>62</v>
      </c>
      <c r="E96" s="13">
        <v>44548</v>
      </c>
      <c r="F96" s="75" t="s">
        <v>175</v>
      </c>
      <c r="G96" s="13">
        <v>44563</v>
      </c>
      <c r="H96" s="76" t="s">
        <v>176</v>
      </c>
      <c r="I96" s="16">
        <v>71</v>
      </c>
      <c r="J96" s="16">
        <v>50</v>
      </c>
      <c r="K96" s="16">
        <v>6</v>
      </c>
      <c r="L96" s="16">
        <v>10</v>
      </c>
      <c r="M96" s="80">
        <v>5.3250000000000002</v>
      </c>
      <c r="N96" s="97">
        <v>10</v>
      </c>
      <c r="O96" s="63">
        <v>14000</v>
      </c>
      <c r="P96" s="114">
        <f t="shared" si="1"/>
        <v>140000</v>
      </c>
      <c r="Q96" s="164"/>
    </row>
    <row r="97" spans="1:17" ht="26.25" customHeight="1" x14ac:dyDescent="0.2">
      <c r="A97" s="14"/>
      <c r="B97" s="14"/>
      <c r="C97" s="72" t="s">
        <v>170</v>
      </c>
      <c r="D97" s="77" t="s">
        <v>62</v>
      </c>
      <c r="E97" s="13">
        <v>44548</v>
      </c>
      <c r="F97" s="75" t="s">
        <v>175</v>
      </c>
      <c r="G97" s="13">
        <v>44563</v>
      </c>
      <c r="H97" s="76" t="s">
        <v>176</v>
      </c>
      <c r="I97" s="16">
        <v>71</v>
      </c>
      <c r="J97" s="16">
        <v>50</v>
      </c>
      <c r="K97" s="16">
        <v>6</v>
      </c>
      <c r="L97" s="16">
        <v>10</v>
      </c>
      <c r="M97" s="80">
        <v>5.3250000000000002</v>
      </c>
      <c r="N97" s="97">
        <v>10</v>
      </c>
      <c r="O97" s="63">
        <v>14000</v>
      </c>
      <c r="P97" s="114">
        <f t="shared" si="1"/>
        <v>140000</v>
      </c>
      <c r="Q97" s="164"/>
    </row>
    <row r="98" spans="1:17" ht="26.25" customHeight="1" x14ac:dyDescent="0.2">
      <c r="A98" s="14"/>
      <c r="B98" s="14"/>
      <c r="C98" s="72" t="s">
        <v>171</v>
      </c>
      <c r="D98" s="77" t="s">
        <v>62</v>
      </c>
      <c r="E98" s="13">
        <v>44548</v>
      </c>
      <c r="F98" s="75" t="s">
        <v>175</v>
      </c>
      <c r="G98" s="13">
        <v>44563</v>
      </c>
      <c r="H98" s="76" t="s">
        <v>176</v>
      </c>
      <c r="I98" s="16">
        <v>53</v>
      </c>
      <c r="J98" s="16">
        <v>34</v>
      </c>
      <c r="K98" s="16">
        <v>10</v>
      </c>
      <c r="L98" s="16">
        <v>1</v>
      </c>
      <c r="M98" s="80">
        <v>4.5049999999999999</v>
      </c>
      <c r="N98" s="97">
        <v>4.5049999999999999</v>
      </c>
      <c r="O98" s="63">
        <v>14000</v>
      </c>
      <c r="P98" s="114">
        <f t="shared" si="1"/>
        <v>63070</v>
      </c>
      <c r="Q98" s="164"/>
    </row>
    <row r="99" spans="1:17" ht="26.25" customHeight="1" x14ac:dyDescent="0.2">
      <c r="A99" s="14"/>
      <c r="B99" s="14"/>
      <c r="C99" s="72" t="s">
        <v>172</v>
      </c>
      <c r="D99" s="77" t="s">
        <v>62</v>
      </c>
      <c r="E99" s="13">
        <v>44548</v>
      </c>
      <c r="F99" s="75" t="s">
        <v>175</v>
      </c>
      <c r="G99" s="13">
        <v>44563</v>
      </c>
      <c r="H99" s="76" t="s">
        <v>176</v>
      </c>
      <c r="I99" s="16">
        <v>71</v>
      </c>
      <c r="J99" s="16">
        <v>50</v>
      </c>
      <c r="K99" s="16">
        <v>6</v>
      </c>
      <c r="L99" s="16">
        <v>10</v>
      </c>
      <c r="M99" s="80">
        <v>5.3250000000000002</v>
      </c>
      <c r="N99" s="97">
        <v>10</v>
      </c>
      <c r="O99" s="63">
        <v>14000</v>
      </c>
      <c r="P99" s="114">
        <f t="shared" si="1"/>
        <v>140000</v>
      </c>
      <c r="Q99" s="164"/>
    </row>
    <row r="100" spans="1:17" ht="26.25" customHeight="1" x14ac:dyDescent="0.2">
      <c r="A100" s="14"/>
      <c r="B100" s="14"/>
      <c r="C100" s="72" t="s">
        <v>173</v>
      </c>
      <c r="D100" s="77" t="s">
        <v>62</v>
      </c>
      <c r="E100" s="13">
        <v>44548</v>
      </c>
      <c r="F100" s="75" t="s">
        <v>175</v>
      </c>
      <c r="G100" s="13">
        <v>44563</v>
      </c>
      <c r="H100" s="76" t="s">
        <v>176</v>
      </c>
      <c r="I100" s="16">
        <v>35</v>
      </c>
      <c r="J100" s="16">
        <v>35</v>
      </c>
      <c r="K100" s="16">
        <v>18</v>
      </c>
      <c r="L100" s="16">
        <v>12</v>
      </c>
      <c r="M100" s="80">
        <v>5.5125000000000002</v>
      </c>
      <c r="N100" s="97">
        <v>12</v>
      </c>
      <c r="O100" s="63">
        <v>14000</v>
      </c>
      <c r="P100" s="114">
        <f t="shared" si="1"/>
        <v>168000</v>
      </c>
      <c r="Q100" s="164"/>
    </row>
    <row r="101" spans="1:17" ht="26.25" customHeight="1" thickBot="1" x14ac:dyDescent="0.25">
      <c r="A101" s="115"/>
      <c r="B101" s="115"/>
      <c r="C101" s="139" t="s">
        <v>174</v>
      </c>
      <c r="D101" s="140" t="s">
        <v>62</v>
      </c>
      <c r="E101" s="119">
        <v>44548</v>
      </c>
      <c r="F101" s="118" t="s">
        <v>175</v>
      </c>
      <c r="G101" s="119">
        <v>44563</v>
      </c>
      <c r="H101" s="141" t="s">
        <v>176</v>
      </c>
      <c r="I101" s="142">
        <v>35</v>
      </c>
      <c r="J101" s="142">
        <v>35</v>
      </c>
      <c r="K101" s="142">
        <v>18</v>
      </c>
      <c r="L101" s="142">
        <v>12</v>
      </c>
      <c r="M101" s="143">
        <v>5.5125000000000002</v>
      </c>
      <c r="N101" s="123">
        <v>12</v>
      </c>
      <c r="O101" s="124">
        <v>14000</v>
      </c>
      <c r="P101" s="137">
        <f t="shared" si="1"/>
        <v>168000</v>
      </c>
      <c r="Q101" s="165"/>
    </row>
    <row r="102" spans="1:17" ht="26.25" customHeight="1" x14ac:dyDescent="0.2">
      <c r="A102" s="14">
        <v>402702</v>
      </c>
      <c r="B102" s="74" t="s">
        <v>177</v>
      </c>
      <c r="C102" s="106" t="s">
        <v>178</v>
      </c>
      <c r="D102" s="107" t="s">
        <v>62</v>
      </c>
      <c r="E102" s="108">
        <v>44550</v>
      </c>
      <c r="F102" s="107" t="s">
        <v>175</v>
      </c>
      <c r="G102" s="108">
        <v>44563</v>
      </c>
      <c r="H102" s="109" t="s">
        <v>176</v>
      </c>
      <c r="I102" s="110">
        <v>94</v>
      </c>
      <c r="J102" s="110">
        <v>80</v>
      </c>
      <c r="K102" s="110">
        <v>58</v>
      </c>
      <c r="L102" s="110">
        <v>17</v>
      </c>
      <c r="M102" s="111">
        <v>109.04</v>
      </c>
      <c r="N102" s="112">
        <v>109.04</v>
      </c>
      <c r="O102" s="113">
        <v>14000</v>
      </c>
      <c r="P102" s="114">
        <f t="shared" si="1"/>
        <v>1526560</v>
      </c>
      <c r="Q102" s="164">
        <v>2</v>
      </c>
    </row>
    <row r="103" spans="1:17" ht="26.25" customHeight="1" thickBot="1" x14ac:dyDescent="0.25">
      <c r="A103" s="115"/>
      <c r="B103" s="116"/>
      <c r="C103" s="117" t="s">
        <v>179</v>
      </c>
      <c r="D103" s="118" t="s">
        <v>62</v>
      </c>
      <c r="E103" s="119">
        <v>44550</v>
      </c>
      <c r="F103" s="118" t="s">
        <v>175</v>
      </c>
      <c r="G103" s="119">
        <v>44563</v>
      </c>
      <c r="H103" s="120" t="s">
        <v>176</v>
      </c>
      <c r="I103" s="121">
        <v>94</v>
      </c>
      <c r="J103" s="121">
        <v>80</v>
      </c>
      <c r="K103" s="121">
        <v>58</v>
      </c>
      <c r="L103" s="121">
        <v>17</v>
      </c>
      <c r="M103" s="128">
        <v>109.04</v>
      </c>
      <c r="N103" s="123">
        <v>109.04</v>
      </c>
      <c r="O103" s="124">
        <v>14000</v>
      </c>
      <c r="P103" s="137">
        <f t="shared" si="1"/>
        <v>1526560</v>
      </c>
      <c r="Q103" s="165"/>
    </row>
    <row r="104" spans="1:17" ht="26.25" customHeight="1" x14ac:dyDescent="0.2">
      <c r="A104" s="14">
        <v>402707</v>
      </c>
      <c r="B104" s="74" t="s">
        <v>180</v>
      </c>
      <c r="C104" s="106" t="s">
        <v>181</v>
      </c>
      <c r="D104" s="107" t="s">
        <v>62</v>
      </c>
      <c r="E104" s="108">
        <v>44551</v>
      </c>
      <c r="F104" s="107" t="s">
        <v>175</v>
      </c>
      <c r="G104" s="108">
        <v>44563</v>
      </c>
      <c r="H104" s="109" t="s">
        <v>176</v>
      </c>
      <c r="I104" s="110">
        <v>70</v>
      </c>
      <c r="J104" s="110">
        <v>53</v>
      </c>
      <c r="K104" s="110">
        <v>92</v>
      </c>
      <c r="L104" s="110">
        <v>11</v>
      </c>
      <c r="M104" s="111">
        <v>85.33</v>
      </c>
      <c r="N104" s="127">
        <v>86</v>
      </c>
      <c r="O104" s="113">
        <v>14000</v>
      </c>
      <c r="P104" s="114">
        <f t="shared" si="1"/>
        <v>1204000</v>
      </c>
      <c r="Q104" s="164">
        <v>3</v>
      </c>
    </row>
    <row r="105" spans="1:17" ht="26.25" customHeight="1" x14ac:dyDescent="0.2">
      <c r="A105" s="14"/>
      <c r="B105" s="74"/>
      <c r="C105" s="9" t="s">
        <v>182</v>
      </c>
      <c r="D105" s="75" t="s">
        <v>62</v>
      </c>
      <c r="E105" s="13">
        <v>44551</v>
      </c>
      <c r="F105" s="75" t="s">
        <v>175</v>
      </c>
      <c r="G105" s="13">
        <v>44563</v>
      </c>
      <c r="H105" s="10" t="s">
        <v>176</v>
      </c>
      <c r="I105" s="1">
        <v>60</v>
      </c>
      <c r="J105" s="1">
        <v>43</v>
      </c>
      <c r="K105" s="1">
        <v>75</v>
      </c>
      <c r="L105" s="1">
        <v>11</v>
      </c>
      <c r="M105" s="79">
        <v>48.375</v>
      </c>
      <c r="N105" s="8">
        <v>49</v>
      </c>
      <c r="O105" s="63">
        <v>14000</v>
      </c>
      <c r="P105" s="114">
        <f t="shared" si="1"/>
        <v>686000</v>
      </c>
      <c r="Q105" s="164"/>
    </row>
    <row r="106" spans="1:17" ht="26.25" customHeight="1" thickBot="1" x14ac:dyDescent="0.25">
      <c r="A106" s="115"/>
      <c r="B106" s="115"/>
      <c r="C106" s="117" t="s">
        <v>183</v>
      </c>
      <c r="D106" s="118" t="s">
        <v>62</v>
      </c>
      <c r="E106" s="119">
        <v>44551</v>
      </c>
      <c r="F106" s="118" t="s">
        <v>175</v>
      </c>
      <c r="G106" s="119">
        <v>44563</v>
      </c>
      <c r="H106" s="120" t="s">
        <v>176</v>
      </c>
      <c r="I106" s="121">
        <v>70</v>
      </c>
      <c r="J106" s="121">
        <v>43</v>
      </c>
      <c r="K106" s="121">
        <v>75</v>
      </c>
      <c r="L106" s="121">
        <v>11</v>
      </c>
      <c r="M106" s="128">
        <v>56.4375</v>
      </c>
      <c r="N106" s="145">
        <v>57</v>
      </c>
      <c r="O106" s="124">
        <v>14000</v>
      </c>
      <c r="P106" s="137">
        <f t="shared" si="1"/>
        <v>798000</v>
      </c>
      <c r="Q106" s="165"/>
    </row>
    <row r="107" spans="1:17" ht="26.25" customHeight="1" x14ac:dyDescent="0.2">
      <c r="A107" s="14">
        <v>402718</v>
      </c>
      <c r="B107" s="74" t="s">
        <v>184</v>
      </c>
      <c r="C107" s="106" t="s">
        <v>187</v>
      </c>
      <c r="D107" s="107" t="s">
        <v>62</v>
      </c>
      <c r="E107" s="108">
        <v>44553</v>
      </c>
      <c r="F107" s="107" t="s">
        <v>81</v>
      </c>
      <c r="G107" s="108">
        <v>44570</v>
      </c>
      <c r="H107" s="109" t="s">
        <v>194</v>
      </c>
      <c r="I107" s="110">
        <v>42</v>
      </c>
      <c r="J107" s="110">
        <v>39</v>
      </c>
      <c r="K107" s="110">
        <v>56</v>
      </c>
      <c r="L107" s="110">
        <v>7</v>
      </c>
      <c r="M107" s="111">
        <v>22.931999999999999</v>
      </c>
      <c r="N107" s="112">
        <v>22.931999999999999</v>
      </c>
      <c r="O107" s="113">
        <v>14000</v>
      </c>
      <c r="P107" s="114">
        <f t="shared" si="1"/>
        <v>321048</v>
      </c>
      <c r="Q107" s="164">
        <v>7</v>
      </c>
    </row>
    <row r="108" spans="1:17" ht="26.25" customHeight="1" x14ac:dyDescent="0.2">
      <c r="A108" s="14"/>
      <c r="B108" s="74"/>
      <c r="C108" s="9" t="s">
        <v>188</v>
      </c>
      <c r="D108" s="75" t="s">
        <v>62</v>
      </c>
      <c r="E108" s="13">
        <v>44553</v>
      </c>
      <c r="F108" s="75" t="s">
        <v>81</v>
      </c>
      <c r="G108" s="13">
        <v>44570</v>
      </c>
      <c r="H108" s="10" t="s">
        <v>194</v>
      </c>
      <c r="I108" s="1">
        <v>66</v>
      </c>
      <c r="J108" s="1">
        <v>58</v>
      </c>
      <c r="K108" s="1">
        <v>21</v>
      </c>
      <c r="L108" s="1">
        <v>7</v>
      </c>
      <c r="M108" s="79">
        <v>20.097000000000001</v>
      </c>
      <c r="N108" s="97">
        <v>20.097000000000001</v>
      </c>
      <c r="O108" s="63">
        <v>14000</v>
      </c>
      <c r="P108" s="114">
        <f t="shared" si="1"/>
        <v>281358</v>
      </c>
      <c r="Q108" s="164"/>
    </row>
    <row r="109" spans="1:17" ht="26.25" customHeight="1" x14ac:dyDescent="0.2">
      <c r="A109" s="14"/>
      <c r="B109" s="14"/>
      <c r="C109" s="9" t="s">
        <v>189</v>
      </c>
      <c r="D109" s="75" t="s">
        <v>62</v>
      </c>
      <c r="E109" s="13">
        <v>44553</v>
      </c>
      <c r="F109" s="75" t="s">
        <v>81</v>
      </c>
      <c r="G109" s="13">
        <v>44570</v>
      </c>
      <c r="H109" s="10" t="s">
        <v>194</v>
      </c>
      <c r="I109" s="1">
        <v>66</v>
      </c>
      <c r="J109" s="1">
        <v>58</v>
      </c>
      <c r="K109" s="1">
        <v>21</v>
      </c>
      <c r="L109" s="1">
        <v>7</v>
      </c>
      <c r="M109" s="79">
        <v>20.097000000000001</v>
      </c>
      <c r="N109" s="97">
        <v>20.097000000000001</v>
      </c>
      <c r="O109" s="63">
        <v>14000</v>
      </c>
      <c r="P109" s="114">
        <f t="shared" si="1"/>
        <v>281358</v>
      </c>
      <c r="Q109" s="164"/>
    </row>
    <row r="110" spans="1:17" ht="26.25" customHeight="1" x14ac:dyDescent="0.2">
      <c r="A110" s="14"/>
      <c r="B110" s="14"/>
      <c r="C110" s="72" t="s">
        <v>190</v>
      </c>
      <c r="D110" s="77" t="s">
        <v>62</v>
      </c>
      <c r="E110" s="13">
        <v>44553</v>
      </c>
      <c r="F110" s="75" t="s">
        <v>81</v>
      </c>
      <c r="G110" s="13">
        <v>44570</v>
      </c>
      <c r="H110" s="76" t="s">
        <v>194</v>
      </c>
      <c r="I110" s="16">
        <v>66</v>
      </c>
      <c r="J110" s="16">
        <v>58</v>
      </c>
      <c r="K110" s="16">
        <v>21</v>
      </c>
      <c r="L110" s="16">
        <v>7</v>
      </c>
      <c r="M110" s="80">
        <v>20.097000000000001</v>
      </c>
      <c r="N110" s="97">
        <v>20.097000000000001</v>
      </c>
      <c r="O110" s="63">
        <v>14000</v>
      </c>
      <c r="P110" s="114">
        <f t="shared" si="1"/>
        <v>281358</v>
      </c>
      <c r="Q110" s="164"/>
    </row>
    <row r="111" spans="1:17" ht="26.25" customHeight="1" x14ac:dyDescent="0.2">
      <c r="A111" s="14"/>
      <c r="B111" s="101"/>
      <c r="C111" s="72" t="s">
        <v>191</v>
      </c>
      <c r="D111" s="77" t="s">
        <v>62</v>
      </c>
      <c r="E111" s="13">
        <v>44553</v>
      </c>
      <c r="F111" s="75" t="s">
        <v>81</v>
      </c>
      <c r="G111" s="13">
        <v>44570</v>
      </c>
      <c r="H111" s="76" t="s">
        <v>194</v>
      </c>
      <c r="I111" s="16">
        <v>150</v>
      </c>
      <c r="J111" s="16">
        <v>65</v>
      </c>
      <c r="K111" s="16">
        <v>10</v>
      </c>
      <c r="L111" s="16">
        <v>15</v>
      </c>
      <c r="M111" s="80">
        <v>24.375</v>
      </c>
      <c r="N111" s="97">
        <v>25</v>
      </c>
      <c r="O111" s="63">
        <v>14000</v>
      </c>
      <c r="P111" s="114">
        <f t="shared" si="1"/>
        <v>350000</v>
      </c>
      <c r="Q111" s="164"/>
    </row>
    <row r="112" spans="1:17" ht="26.25" customHeight="1" x14ac:dyDescent="0.2">
      <c r="A112" s="14"/>
      <c r="B112" s="105" t="s">
        <v>185</v>
      </c>
      <c r="C112" s="72" t="s">
        <v>192</v>
      </c>
      <c r="D112" s="77" t="s">
        <v>62</v>
      </c>
      <c r="E112" s="13">
        <v>44553</v>
      </c>
      <c r="F112" s="75" t="s">
        <v>81</v>
      </c>
      <c r="G112" s="13">
        <v>44570</v>
      </c>
      <c r="H112" s="76" t="s">
        <v>194</v>
      </c>
      <c r="I112" s="16">
        <v>66</v>
      </c>
      <c r="J112" s="16">
        <v>22</v>
      </c>
      <c r="K112" s="16">
        <v>57</v>
      </c>
      <c r="L112" s="16">
        <v>7</v>
      </c>
      <c r="M112" s="80">
        <v>20.690999999999999</v>
      </c>
      <c r="N112" s="97">
        <v>20.690999999999999</v>
      </c>
      <c r="O112" s="63">
        <v>14000</v>
      </c>
      <c r="P112" s="114">
        <f t="shared" si="1"/>
        <v>289674</v>
      </c>
      <c r="Q112" s="164"/>
    </row>
    <row r="113" spans="1:17" ht="26.25" customHeight="1" thickBot="1" x14ac:dyDescent="0.25">
      <c r="A113" s="115"/>
      <c r="B113" s="115" t="s">
        <v>186</v>
      </c>
      <c r="C113" s="139" t="s">
        <v>193</v>
      </c>
      <c r="D113" s="140" t="s">
        <v>62</v>
      </c>
      <c r="E113" s="119">
        <v>44553</v>
      </c>
      <c r="F113" s="118" t="s">
        <v>81</v>
      </c>
      <c r="G113" s="119">
        <v>44570</v>
      </c>
      <c r="H113" s="141" t="s">
        <v>194</v>
      </c>
      <c r="I113" s="142">
        <v>150</v>
      </c>
      <c r="J113" s="142">
        <v>65</v>
      </c>
      <c r="K113" s="142">
        <v>10</v>
      </c>
      <c r="L113" s="142">
        <v>15</v>
      </c>
      <c r="M113" s="143">
        <v>24.375</v>
      </c>
      <c r="N113" s="123">
        <v>25</v>
      </c>
      <c r="O113" s="124">
        <v>14000</v>
      </c>
      <c r="P113" s="137">
        <f t="shared" si="1"/>
        <v>350000</v>
      </c>
      <c r="Q113" s="165"/>
    </row>
    <row r="114" spans="1:17" ht="26.25" customHeight="1" x14ac:dyDescent="0.2">
      <c r="A114" s="14">
        <v>402726</v>
      </c>
      <c r="B114" s="74" t="s">
        <v>195</v>
      </c>
      <c r="C114" s="106" t="s">
        <v>196</v>
      </c>
      <c r="D114" s="107" t="s">
        <v>62</v>
      </c>
      <c r="E114" s="108">
        <v>44554</v>
      </c>
      <c r="F114" s="107" t="s">
        <v>81</v>
      </c>
      <c r="G114" s="108">
        <v>44570</v>
      </c>
      <c r="H114" s="109" t="s">
        <v>194</v>
      </c>
      <c r="I114" s="110">
        <v>51</v>
      </c>
      <c r="J114" s="110">
        <v>45</v>
      </c>
      <c r="K114" s="110">
        <v>14</v>
      </c>
      <c r="L114" s="110">
        <v>11</v>
      </c>
      <c r="M114" s="111">
        <v>8.0325000000000006</v>
      </c>
      <c r="N114" s="127">
        <v>11</v>
      </c>
      <c r="O114" s="113">
        <v>14000</v>
      </c>
      <c r="P114" s="114">
        <f t="shared" si="1"/>
        <v>154000</v>
      </c>
      <c r="Q114" s="164">
        <v>4</v>
      </c>
    </row>
    <row r="115" spans="1:17" ht="26.25" customHeight="1" x14ac:dyDescent="0.2">
      <c r="A115" s="14"/>
      <c r="B115" s="74"/>
      <c r="C115" s="9" t="s">
        <v>197</v>
      </c>
      <c r="D115" s="75" t="s">
        <v>62</v>
      </c>
      <c r="E115" s="13">
        <v>44554</v>
      </c>
      <c r="F115" s="75" t="s">
        <v>81</v>
      </c>
      <c r="G115" s="13">
        <v>44570</v>
      </c>
      <c r="H115" s="10" t="s">
        <v>194</v>
      </c>
      <c r="I115" s="1">
        <v>51</v>
      </c>
      <c r="J115" s="1">
        <v>45</v>
      </c>
      <c r="K115" s="1">
        <v>14</v>
      </c>
      <c r="L115" s="1">
        <v>11</v>
      </c>
      <c r="M115" s="79">
        <v>8.0325000000000006</v>
      </c>
      <c r="N115" s="8">
        <v>11</v>
      </c>
      <c r="O115" s="63">
        <v>14000</v>
      </c>
      <c r="P115" s="114">
        <f t="shared" si="1"/>
        <v>154000</v>
      </c>
      <c r="Q115" s="164"/>
    </row>
    <row r="116" spans="1:17" ht="26.25" customHeight="1" x14ac:dyDescent="0.2">
      <c r="A116" s="14"/>
      <c r="B116" s="14"/>
      <c r="C116" s="9" t="s">
        <v>198</v>
      </c>
      <c r="D116" s="75" t="s">
        <v>62</v>
      </c>
      <c r="E116" s="13">
        <v>44554</v>
      </c>
      <c r="F116" s="75" t="s">
        <v>81</v>
      </c>
      <c r="G116" s="13">
        <v>44570</v>
      </c>
      <c r="H116" s="10" t="s">
        <v>194</v>
      </c>
      <c r="I116" s="1">
        <v>51</v>
      </c>
      <c r="J116" s="1">
        <v>45</v>
      </c>
      <c r="K116" s="1">
        <v>14</v>
      </c>
      <c r="L116" s="1">
        <v>11</v>
      </c>
      <c r="M116" s="79">
        <v>8.0325000000000006</v>
      </c>
      <c r="N116" s="8">
        <v>11</v>
      </c>
      <c r="O116" s="63">
        <v>14000</v>
      </c>
      <c r="P116" s="114">
        <f t="shared" si="1"/>
        <v>154000</v>
      </c>
      <c r="Q116" s="164"/>
    </row>
    <row r="117" spans="1:17" ht="26.25" customHeight="1" thickBot="1" x14ac:dyDescent="0.25">
      <c r="A117" s="115"/>
      <c r="B117" s="115"/>
      <c r="C117" s="139" t="s">
        <v>199</v>
      </c>
      <c r="D117" s="140" t="s">
        <v>62</v>
      </c>
      <c r="E117" s="119">
        <v>44554</v>
      </c>
      <c r="F117" s="118" t="s">
        <v>81</v>
      </c>
      <c r="G117" s="119">
        <v>44570</v>
      </c>
      <c r="H117" s="141" t="s">
        <v>194</v>
      </c>
      <c r="I117" s="142">
        <v>51</v>
      </c>
      <c r="J117" s="142">
        <v>45</v>
      </c>
      <c r="K117" s="142">
        <v>14</v>
      </c>
      <c r="L117" s="142">
        <v>11</v>
      </c>
      <c r="M117" s="143">
        <v>8.0325000000000006</v>
      </c>
      <c r="N117" s="144">
        <v>11</v>
      </c>
      <c r="O117" s="124">
        <v>14000</v>
      </c>
      <c r="P117" s="137">
        <f t="shared" si="1"/>
        <v>154000</v>
      </c>
      <c r="Q117" s="165"/>
    </row>
    <row r="118" spans="1:17" ht="26.25" customHeight="1" thickBot="1" x14ac:dyDescent="0.25">
      <c r="A118" s="115">
        <v>402751</v>
      </c>
      <c r="B118" s="116" t="s">
        <v>200</v>
      </c>
      <c r="C118" s="129" t="s">
        <v>201</v>
      </c>
      <c r="D118" s="130" t="s">
        <v>62</v>
      </c>
      <c r="E118" s="131">
        <v>44559</v>
      </c>
      <c r="F118" s="130" t="s">
        <v>151</v>
      </c>
      <c r="G118" s="131">
        <v>44574</v>
      </c>
      <c r="H118" s="132" t="s">
        <v>202</v>
      </c>
      <c r="I118" s="133">
        <v>35</v>
      </c>
      <c r="J118" s="133">
        <v>25</v>
      </c>
      <c r="K118" s="133">
        <v>10</v>
      </c>
      <c r="L118" s="133">
        <v>1</v>
      </c>
      <c r="M118" s="134">
        <v>2.1875</v>
      </c>
      <c r="N118" s="135">
        <v>2.1875</v>
      </c>
      <c r="O118" s="136">
        <v>14000</v>
      </c>
      <c r="P118" s="137">
        <f t="shared" si="1"/>
        <v>30625</v>
      </c>
      <c r="Q118" s="138">
        <v>1</v>
      </c>
    </row>
    <row r="119" spans="1:17" ht="26.25" customHeight="1" x14ac:dyDescent="0.2">
      <c r="A119" s="14">
        <v>403009</v>
      </c>
      <c r="B119" s="74" t="s">
        <v>203</v>
      </c>
      <c r="C119" s="106" t="s">
        <v>204</v>
      </c>
      <c r="D119" s="107" t="s">
        <v>62</v>
      </c>
      <c r="E119" s="108">
        <v>44561</v>
      </c>
      <c r="F119" s="107" t="s">
        <v>151</v>
      </c>
      <c r="G119" s="108">
        <v>44574</v>
      </c>
      <c r="H119" s="109" t="s">
        <v>202</v>
      </c>
      <c r="I119" s="110">
        <v>85</v>
      </c>
      <c r="J119" s="110">
        <v>15</v>
      </c>
      <c r="K119" s="110">
        <v>10</v>
      </c>
      <c r="L119" s="110">
        <v>9</v>
      </c>
      <c r="M119" s="111">
        <v>3.1875</v>
      </c>
      <c r="N119" s="127">
        <v>9</v>
      </c>
      <c r="O119" s="113">
        <v>14000</v>
      </c>
      <c r="P119" s="114">
        <f t="shared" si="1"/>
        <v>126000</v>
      </c>
      <c r="Q119" s="164">
        <v>2</v>
      </c>
    </row>
    <row r="120" spans="1:17" ht="26.25" customHeight="1" x14ac:dyDescent="0.2">
      <c r="A120" s="14"/>
      <c r="B120" s="74"/>
      <c r="C120" s="9" t="s">
        <v>205</v>
      </c>
      <c r="D120" s="75" t="s">
        <v>62</v>
      </c>
      <c r="E120" s="13">
        <v>44561</v>
      </c>
      <c r="F120" s="75" t="s">
        <v>151</v>
      </c>
      <c r="G120" s="13">
        <v>44574</v>
      </c>
      <c r="H120" s="10" t="s">
        <v>202</v>
      </c>
      <c r="I120" s="1">
        <v>85</v>
      </c>
      <c r="J120" s="1">
        <v>15</v>
      </c>
      <c r="K120" s="1">
        <v>10</v>
      </c>
      <c r="L120" s="1">
        <v>9</v>
      </c>
      <c r="M120" s="79">
        <v>3.1875</v>
      </c>
      <c r="N120" s="8">
        <v>9</v>
      </c>
      <c r="O120" s="63">
        <v>14000</v>
      </c>
      <c r="P120" s="114">
        <f t="shared" si="1"/>
        <v>126000</v>
      </c>
      <c r="Q120" s="171"/>
    </row>
    <row r="121" spans="1:17" ht="22.5" customHeight="1" x14ac:dyDescent="0.2">
      <c r="A121" s="166" t="s">
        <v>30</v>
      </c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8"/>
      <c r="M121" s="100">
        <f>SUM(M3:M120)</f>
        <v>1878.2525000000001</v>
      </c>
      <c r="N121" s="67">
        <f>SUM(N3:N120)</f>
        <v>2206.7277500000005</v>
      </c>
      <c r="O121" s="169">
        <f>SUM(P3:P120)</f>
        <v>30894188.5</v>
      </c>
      <c r="P121" s="170"/>
      <c r="Q121" s="126">
        <f>SUM(Q3:Q120)</f>
        <v>118</v>
      </c>
    </row>
    <row r="122" spans="1:17" ht="18" customHeight="1" x14ac:dyDescent="0.2">
      <c r="A122" s="85"/>
      <c r="B122" s="56" t="s">
        <v>42</v>
      </c>
      <c r="C122" s="55"/>
      <c r="D122" s="57" t="s">
        <v>43</v>
      </c>
      <c r="E122" s="85"/>
      <c r="F122" s="85"/>
      <c r="G122" s="85"/>
      <c r="H122" s="85"/>
      <c r="I122" s="85"/>
      <c r="J122" s="85"/>
      <c r="K122" s="85"/>
      <c r="L122" s="85"/>
      <c r="M122" s="86"/>
      <c r="N122" s="87" t="s">
        <v>51</v>
      </c>
      <c r="O122" s="88"/>
      <c r="P122" s="88">
        <f>O121*10%</f>
        <v>3089418.85</v>
      </c>
    </row>
    <row r="123" spans="1:17" ht="18" customHeight="1" thickBot="1" x14ac:dyDescent="0.25">
      <c r="A123" s="85"/>
      <c r="B123" s="56"/>
      <c r="C123" s="55"/>
      <c r="D123" s="57"/>
      <c r="E123" s="85"/>
      <c r="F123" s="85"/>
      <c r="G123" s="85"/>
      <c r="H123" s="85"/>
      <c r="I123" s="85"/>
      <c r="J123" s="85"/>
      <c r="K123" s="85"/>
      <c r="L123" s="85"/>
      <c r="M123" s="86"/>
      <c r="N123" s="89" t="s">
        <v>52</v>
      </c>
      <c r="O123" s="90"/>
      <c r="P123" s="90">
        <f>O121-P122</f>
        <v>27804769.649999999</v>
      </c>
    </row>
    <row r="124" spans="1:17" ht="18" customHeight="1" x14ac:dyDescent="0.2">
      <c r="A124" s="11"/>
      <c r="H124" s="62"/>
      <c r="N124" s="61" t="s">
        <v>31</v>
      </c>
      <c r="P124" s="68">
        <f>P123*1%</f>
        <v>278047.69649999996</v>
      </c>
    </row>
    <row r="125" spans="1:17" ht="18" customHeight="1" thickBot="1" x14ac:dyDescent="0.25">
      <c r="A125" s="11"/>
      <c r="H125" s="62"/>
      <c r="N125" s="61" t="s">
        <v>53</v>
      </c>
      <c r="P125" s="70">
        <f>P123*2%</f>
        <v>556095.39299999992</v>
      </c>
    </row>
    <row r="126" spans="1:17" ht="18" customHeight="1" x14ac:dyDescent="0.2">
      <c r="A126" s="11"/>
      <c r="H126" s="62"/>
      <c r="N126" s="65" t="s">
        <v>32</v>
      </c>
      <c r="O126" s="66"/>
      <c r="P126" s="69">
        <f>P123+P124-P125</f>
        <v>27526721.953499999</v>
      </c>
    </row>
    <row r="128" spans="1:17" x14ac:dyDescent="0.2">
      <c r="A128" s="11"/>
      <c r="H128" s="62"/>
      <c r="P128" s="70"/>
    </row>
    <row r="129" spans="1:16" x14ac:dyDescent="0.2">
      <c r="A129" s="11"/>
      <c r="H129" s="62"/>
      <c r="O129" s="58"/>
      <c r="P129" s="70"/>
    </row>
    <row r="130" spans="1:16" s="3" customFormat="1" x14ac:dyDescent="0.25">
      <c r="A130" s="11"/>
      <c r="B130" s="2"/>
      <c r="C130" s="2"/>
      <c r="E130" s="12"/>
      <c r="H130" s="62"/>
      <c r="N130" s="15"/>
      <c r="O130" s="15"/>
      <c r="P130" s="15"/>
    </row>
    <row r="131" spans="1:16" s="3" customFormat="1" x14ac:dyDescent="0.25">
      <c r="A131" s="11"/>
      <c r="B131" s="2"/>
      <c r="C131" s="2"/>
      <c r="E131" s="12"/>
      <c r="H131" s="62"/>
      <c r="N131" s="15"/>
      <c r="O131" s="15"/>
      <c r="P131" s="15"/>
    </row>
    <row r="132" spans="1:16" s="3" customFormat="1" x14ac:dyDescent="0.25">
      <c r="A132" s="11"/>
      <c r="B132" s="2"/>
      <c r="C132" s="2"/>
      <c r="E132" s="12"/>
      <c r="H132" s="62"/>
      <c r="N132" s="15"/>
      <c r="O132" s="15"/>
      <c r="P132" s="15"/>
    </row>
    <row r="133" spans="1:16" s="3" customFormat="1" x14ac:dyDescent="0.25">
      <c r="A133" s="11"/>
      <c r="B133" s="2"/>
      <c r="C133" s="2"/>
      <c r="E133" s="12"/>
      <c r="H133" s="62"/>
      <c r="N133" s="15"/>
      <c r="O133" s="15"/>
      <c r="P133" s="15"/>
    </row>
    <row r="134" spans="1:16" s="3" customFormat="1" x14ac:dyDescent="0.25">
      <c r="A134" s="11"/>
      <c r="B134" s="2"/>
      <c r="C134" s="2"/>
      <c r="E134" s="12"/>
      <c r="H134" s="62"/>
      <c r="N134" s="15"/>
      <c r="O134" s="15"/>
      <c r="P134" s="15"/>
    </row>
    <row r="135" spans="1:16" s="3" customFormat="1" x14ac:dyDescent="0.25">
      <c r="A135" s="11"/>
      <c r="B135" s="2"/>
      <c r="C135" s="2"/>
      <c r="E135" s="12"/>
      <c r="H135" s="62"/>
      <c r="N135" s="15"/>
      <c r="O135" s="15"/>
      <c r="P135" s="15"/>
    </row>
    <row r="136" spans="1:16" s="3" customFormat="1" x14ac:dyDescent="0.25">
      <c r="A136" s="11"/>
      <c r="B136" s="2"/>
      <c r="C136" s="2"/>
      <c r="E136" s="12"/>
      <c r="H136" s="62"/>
      <c r="N136" s="15"/>
      <c r="O136" s="15"/>
      <c r="P136" s="15"/>
    </row>
    <row r="137" spans="1:16" s="3" customFormat="1" x14ac:dyDescent="0.25">
      <c r="A137" s="11"/>
      <c r="B137" s="2"/>
      <c r="C137" s="2"/>
      <c r="E137" s="12"/>
      <c r="H137" s="62"/>
      <c r="N137" s="15"/>
      <c r="O137" s="15"/>
      <c r="P137" s="15"/>
    </row>
    <row r="138" spans="1:16" s="3" customFormat="1" x14ac:dyDescent="0.25">
      <c r="A138" s="11"/>
      <c r="B138" s="2"/>
      <c r="C138" s="2"/>
      <c r="E138" s="12"/>
      <c r="H138" s="62"/>
      <c r="N138" s="15"/>
      <c r="O138" s="15"/>
      <c r="P138" s="15"/>
    </row>
    <row r="139" spans="1:16" s="3" customFormat="1" x14ac:dyDescent="0.25">
      <c r="A139" s="11"/>
      <c r="B139" s="2"/>
      <c r="C139" s="2"/>
      <c r="E139" s="12"/>
      <c r="H139" s="62"/>
      <c r="N139" s="15"/>
      <c r="O139" s="15"/>
      <c r="P139" s="15"/>
    </row>
    <row r="140" spans="1:16" s="3" customFormat="1" x14ac:dyDescent="0.25">
      <c r="A140" s="11"/>
      <c r="B140" s="2"/>
      <c r="C140" s="2"/>
      <c r="E140" s="12"/>
      <c r="H140" s="62"/>
      <c r="N140" s="15"/>
      <c r="O140" s="15"/>
      <c r="P140" s="15"/>
    </row>
    <row r="141" spans="1:16" s="3" customFormat="1" x14ac:dyDescent="0.25">
      <c r="A141" s="11"/>
      <c r="B141" s="2"/>
      <c r="C141" s="2"/>
      <c r="E141" s="12"/>
      <c r="H141" s="62"/>
      <c r="N141" s="15"/>
      <c r="O141" s="15"/>
      <c r="P141" s="15"/>
    </row>
  </sheetData>
  <mergeCells count="15">
    <mergeCell ref="Q3:Q5"/>
    <mergeCell ref="A121:L121"/>
    <mergeCell ref="O121:P121"/>
    <mergeCell ref="Q6:Q8"/>
    <mergeCell ref="Q9:Q15"/>
    <mergeCell ref="Q16:Q18"/>
    <mergeCell ref="Q19:Q48"/>
    <mergeCell ref="Q50:Q82"/>
    <mergeCell ref="Q83:Q87"/>
    <mergeCell ref="Q88:Q101"/>
    <mergeCell ref="Q102:Q103"/>
    <mergeCell ref="Q104:Q106"/>
    <mergeCell ref="Q107:Q113"/>
    <mergeCell ref="Q114:Q117"/>
    <mergeCell ref="Q119:Q120"/>
  </mergeCells>
  <conditionalFormatting sqref="B3:B4">
    <cfRule type="duplicateValues" dxfId="313" priority="37"/>
  </conditionalFormatting>
  <conditionalFormatting sqref="B5">
    <cfRule type="duplicateValues" dxfId="312" priority="36"/>
  </conditionalFormatting>
  <conditionalFormatting sqref="B6:B7">
    <cfRule type="duplicateValues" dxfId="311" priority="35"/>
  </conditionalFormatting>
  <conditionalFormatting sqref="B8">
    <cfRule type="duplicateValues" dxfId="310" priority="34"/>
  </conditionalFormatting>
  <conditionalFormatting sqref="B9">
    <cfRule type="duplicateValues" dxfId="309" priority="32"/>
  </conditionalFormatting>
  <conditionalFormatting sqref="B10">
    <cfRule type="duplicateValues" dxfId="308" priority="31"/>
  </conditionalFormatting>
  <conditionalFormatting sqref="B11:B15">
    <cfRule type="duplicateValues" dxfId="307" priority="33"/>
  </conditionalFormatting>
  <conditionalFormatting sqref="B16">
    <cfRule type="duplicateValues" dxfId="306" priority="29"/>
  </conditionalFormatting>
  <conditionalFormatting sqref="B17">
    <cfRule type="duplicateValues" dxfId="305" priority="28"/>
  </conditionalFormatting>
  <conditionalFormatting sqref="B18">
    <cfRule type="duplicateValues" dxfId="304" priority="30"/>
  </conditionalFormatting>
  <conditionalFormatting sqref="B19">
    <cfRule type="duplicateValues" dxfId="303" priority="26"/>
  </conditionalFormatting>
  <conditionalFormatting sqref="B20">
    <cfRule type="duplicateValues" dxfId="302" priority="25"/>
  </conditionalFormatting>
  <conditionalFormatting sqref="B21:B48">
    <cfRule type="duplicateValues" dxfId="301" priority="27"/>
  </conditionalFormatting>
  <conditionalFormatting sqref="B49">
    <cfRule type="duplicateValues" dxfId="300" priority="24"/>
  </conditionalFormatting>
  <conditionalFormatting sqref="B50">
    <cfRule type="duplicateValues" dxfId="299" priority="22"/>
  </conditionalFormatting>
  <conditionalFormatting sqref="B51">
    <cfRule type="duplicateValues" dxfId="298" priority="21"/>
  </conditionalFormatting>
  <conditionalFormatting sqref="B52:B82">
    <cfRule type="duplicateValues" dxfId="297" priority="23"/>
  </conditionalFormatting>
  <conditionalFormatting sqref="B83">
    <cfRule type="duplicateValues" dxfId="296" priority="19"/>
  </conditionalFormatting>
  <conditionalFormatting sqref="B84">
    <cfRule type="duplicateValues" dxfId="295" priority="18"/>
  </conditionalFormatting>
  <conditionalFormatting sqref="B85:B87">
    <cfRule type="duplicateValues" dxfId="294" priority="20"/>
  </conditionalFormatting>
  <conditionalFormatting sqref="B88">
    <cfRule type="duplicateValues" dxfId="293" priority="16"/>
  </conditionalFormatting>
  <conditionalFormatting sqref="B89">
    <cfRule type="duplicateValues" dxfId="292" priority="15"/>
  </conditionalFormatting>
  <conditionalFormatting sqref="B90:B101">
    <cfRule type="duplicateValues" dxfId="291" priority="17"/>
  </conditionalFormatting>
  <conditionalFormatting sqref="B102">
    <cfRule type="duplicateValues" dxfId="290" priority="14"/>
  </conditionalFormatting>
  <conditionalFormatting sqref="B103">
    <cfRule type="duplicateValues" dxfId="289" priority="13"/>
  </conditionalFormatting>
  <conditionalFormatting sqref="B104">
    <cfRule type="duplicateValues" dxfId="288" priority="11"/>
  </conditionalFormatting>
  <conditionalFormatting sqref="B105">
    <cfRule type="duplicateValues" dxfId="287" priority="10"/>
  </conditionalFormatting>
  <conditionalFormatting sqref="B106">
    <cfRule type="duplicateValues" dxfId="286" priority="12"/>
  </conditionalFormatting>
  <conditionalFormatting sqref="B107">
    <cfRule type="duplicateValues" dxfId="285" priority="8"/>
  </conditionalFormatting>
  <conditionalFormatting sqref="B108">
    <cfRule type="duplicateValues" dxfId="284" priority="7"/>
  </conditionalFormatting>
  <conditionalFormatting sqref="B109:B113">
    <cfRule type="duplicateValues" dxfId="283" priority="9"/>
  </conditionalFormatting>
  <conditionalFormatting sqref="B114">
    <cfRule type="duplicateValues" dxfId="282" priority="5"/>
  </conditionalFormatting>
  <conditionalFormatting sqref="B115">
    <cfRule type="duplicateValues" dxfId="281" priority="4"/>
  </conditionalFormatting>
  <conditionalFormatting sqref="B116:B117">
    <cfRule type="duplicateValues" dxfId="280" priority="6"/>
  </conditionalFormatting>
  <conditionalFormatting sqref="B118">
    <cfRule type="duplicateValues" dxfId="279" priority="3"/>
  </conditionalFormatting>
  <conditionalFormatting sqref="B119">
    <cfRule type="duplicateValues" dxfId="278" priority="2"/>
  </conditionalFormatting>
  <conditionalFormatting sqref="B120">
    <cfRule type="duplicateValues" dxfId="277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6"/>
  <sheetViews>
    <sheetView zoomScale="110" zoomScaleNormal="110" workbookViewId="0">
      <pane xSplit="3" ySplit="2" topLeftCell="D3" activePane="bottomRight" state="frozen"/>
      <selection activeCell="E14" sqref="E14"/>
      <selection pane="topRight" activeCell="E14" sqref="E14"/>
      <selection pane="bottomLeft" activeCell="E14" sqref="E14"/>
      <selection pane="bottomRight" activeCell="E12" sqref="E12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405806</v>
      </c>
      <c r="B3" s="73" t="s">
        <v>58</v>
      </c>
      <c r="C3" s="9" t="s">
        <v>59</v>
      </c>
      <c r="D3" s="75" t="s">
        <v>62</v>
      </c>
      <c r="E3" s="13">
        <v>44533</v>
      </c>
      <c r="F3" s="75" t="s">
        <v>63</v>
      </c>
      <c r="G3" s="13">
        <v>44549</v>
      </c>
      <c r="H3" s="10" t="s">
        <v>64</v>
      </c>
      <c r="I3" s="1">
        <v>47</v>
      </c>
      <c r="J3" s="1">
        <v>47</v>
      </c>
      <c r="K3" s="1">
        <v>45</v>
      </c>
      <c r="L3" s="1">
        <v>14</v>
      </c>
      <c r="M3" s="96">
        <v>24.85125</v>
      </c>
      <c r="N3" s="97">
        <v>24.85125</v>
      </c>
      <c r="O3" s="63">
        <v>14000</v>
      </c>
      <c r="P3" s="64">
        <f>Table224578910112[[#This Row],[PEMBULATAN]]*O3</f>
        <v>347917.5</v>
      </c>
      <c r="Q3" s="163">
        <v>3</v>
      </c>
    </row>
    <row r="4" spans="1:17" ht="26.25" customHeight="1" x14ac:dyDescent="0.2">
      <c r="A4" s="14"/>
      <c r="B4" s="74"/>
      <c r="C4" s="72" t="s">
        <v>60</v>
      </c>
      <c r="D4" s="77" t="s">
        <v>62</v>
      </c>
      <c r="E4" s="13">
        <v>44533</v>
      </c>
      <c r="F4" s="75" t="s">
        <v>63</v>
      </c>
      <c r="G4" s="13">
        <v>44549</v>
      </c>
      <c r="H4" s="76" t="s">
        <v>64</v>
      </c>
      <c r="I4" s="16">
        <v>45</v>
      </c>
      <c r="J4" s="16">
        <v>50</v>
      </c>
      <c r="K4" s="16">
        <v>12</v>
      </c>
      <c r="L4" s="16">
        <v>5</v>
      </c>
      <c r="M4" s="80">
        <v>6.75</v>
      </c>
      <c r="N4" s="97">
        <v>6.75</v>
      </c>
      <c r="O4" s="63">
        <v>14000</v>
      </c>
      <c r="P4" s="64">
        <f>Table224578910112[[#This Row],[PEMBULATAN]]*O4</f>
        <v>94500</v>
      </c>
      <c r="Q4" s="164"/>
    </row>
    <row r="5" spans="1:17" ht="26.25" customHeight="1" x14ac:dyDescent="0.2">
      <c r="A5" s="14"/>
      <c r="B5" s="74"/>
      <c r="C5" s="9" t="s">
        <v>61</v>
      </c>
      <c r="D5" s="75" t="s">
        <v>62</v>
      </c>
      <c r="E5" s="13">
        <v>44533</v>
      </c>
      <c r="F5" s="75" t="s">
        <v>63</v>
      </c>
      <c r="G5" s="13">
        <v>44549</v>
      </c>
      <c r="H5" s="10" t="s">
        <v>64</v>
      </c>
      <c r="I5" s="1">
        <v>57</v>
      </c>
      <c r="J5" s="1">
        <v>40</v>
      </c>
      <c r="K5" s="1">
        <v>40</v>
      </c>
      <c r="L5" s="1">
        <v>8</v>
      </c>
      <c r="M5" s="96">
        <v>22.8</v>
      </c>
      <c r="N5" s="97">
        <v>22.8</v>
      </c>
      <c r="O5" s="63">
        <v>14000</v>
      </c>
      <c r="P5" s="64">
        <f>Table224578910112[[#This Row],[PEMBULATAN]]*O5</f>
        <v>319200</v>
      </c>
      <c r="Q5" s="171"/>
    </row>
    <row r="6" spans="1:17" ht="22.5" customHeight="1" x14ac:dyDescent="0.2">
      <c r="A6" s="166" t="s">
        <v>30</v>
      </c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8"/>
      <c r="M6" s="78">
        <f>SUBTOTAL(109,Table224578910112[KG VOLUME])</f>
        <v>54.401250000000005</v>
      </c>
      <c r="N6" s="67">
        <f>SUM(N3:N5)</f>
        <v>54.401250000000005</v>
      </c>
      <c r="O6" s="169">
        <f>SUM(P3:P5)</f>
        <v>761617.5</v>
      </c>
      <c r="P6" s="170"/>
    </row>
    <row r="7" spans="1:17" ht="18" customHeight="1" x14ac:dyDescent="0.2">
      <c r="A7" s="85"/>
      <c r="B7" s="56" t="s">
        <v>42</v>
      </c>
      <c r="C7" s="55"/>
      <c r="D7" s="57" t="s">
        <v>43</v>
      </c>
      <c r="E7" s="85"/>
      <c r="F7" s="85"/>
      <c r="G7" s="85"/>
      <c r="H7" s="85"/>
      <c r="I7" s="85"/>
      <c r="J7" s="85"/>
      <c r="K7" s="85"/>
      <c r="L7" s="85"/>
      <c r="M7" s="86"/>
      <c r="N7" s="87" t="s">
        <v>51</v>
      </c>
      <c r="O7" s="88"/>
      <c r="P7" s="88">
        <f>O6*10%</f>
        <v>76161.75</v>
      </c>
    </row>
    <row r="8" spans="1:17" ht="18" customHeight="1" thickBot="1" x14ac:dyDescent="0.25">
      <c r="A8" s="85"/>
      <c r="B8" s="56"/>
      <c r="C8" s="55"/>
      <c r="D8" s="57"/>
      <c r="E8" s="85"/>
      <c r="F8" s="85"/>
      <c r="G8" s="85"/>
      <c r="H8" s="85"/>
      <c r="I8" s="85"/>
      <c r="J8" s="85"/>
      <c r="K8" s="85"/>
      <c r="L8" s="85"/>
      <c r="M8" s="86"/>
      <c r="N8" s="89" t="s">
        <v>52</v>
      </c>
      <c r="O8" s="90"/>
      <c r="P8" s="90">
        <f>O6-P7</f>
        <v>685455.75</v>
      </c>
    </row>
    <row r="9" spans="1:17" ht="18" customHeight="1" x14ac:dyDescent="0.2">
      <c r="A9" s="11"/>
      <c r="H9" s="62"/>
      <c r="N9" s="61" t="s">
        <v>31</v>
      </c>
      <c r="P9" s="68">
        <f>P8*1%</f>
        <v>6854.5574999999999</v>
      </c>
    </row>
    <row r="10" spans="1:17" ht="18" customHeight="1" thickBot="1" x14ac:dyDescent="0.25">
      <c r="A10" s="11"/>
      <c r="H10" s="62"/>
      <c r="N10" s="61" t="s">
        <v>53</v>
      </c>
      <c r="P10" s="70">
        <f>P8*2%</f>
        <v>13709.115</v>
      </c>
    </row>
    <row r="11" spans="1:17" ht="18" customHeight="1" x14ac:dyDescent="0.2">
      <c r="A11" s="11"/>
      <c r="H11" s="62"/>
      <c r="N11" s="65" t="s">
        <v>32</v>
      </c>
      <c r="O11" s="66"/>
      <c r="P11" s="69">
        <f>P8+P9-P10</f>
        <v>678601.1925</v>
      </c>
    </row>
    <row r="13" spans="1:17" x14ac:dyDescent="0.2">
      <c r="A13" s="11"/>
      <c r="H13" s="62"/>
      <c r="P13" s="70"/>
    </row>
    <row r="14" spans="1:17" x14ac:dyDescent="0.2">
      <c r="A14" s="11"/>
      <c r="H14" s="62"/>
      <c r="O14" s="58"/>
      <c r="P14" s="70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</sheetData>
  <mergeCells count="3">
    <mergeCell ref="A6:L6"/>
    <mergeCell ref="O6:P6"/>
    <mergeCell ref="Q3:Q5"/>
  </mergeCells>
  <conditionalFormatting sqref="B3:B4">
    <cfRule type="duplicateValues" dxfId="261" priority="2"/>
  </conditionalFormatting>
  <conditionalFormatting sqref="B5">
    <cfRule type="duplicateValues" dxfId="260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12" sqref="I12"/>
    </sheetView>
  </sheetViews>
  <sheetFormatPr defaultRowHeight="15" x14ac:dyDescent="0.2"/>
  <cols>
    <col min="1" max="1" width="7.570312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405823</v>
      </c>
      <c r="B3" s="73" t="s">
        <v>65</v>
      </c>
      <c r="C3" s="9" t="s">
        <v>66</v>
      </c>
      <c r="D3" s="75" t="s">
        <v>62</v>
      </c>
      <c r="E3" s="13">
        <v>44535</v>
      </c>
      <c r="F3" s="75" t="s">
        <v>63</v>
      </c>
      <c r="G3" s="13">
        <v>44549</v>
      </c>
      <c r="H3" s="10" t="s">
        <v>64</v>
      </c>
      <c r="I3" s="1">
        <v>40</v>
      </c>
      <c r="J3" s="1">
        <v>25</v>
      </c>
      <c r="K3" s="1">
        <v>15</v>
      </c>
      <c r="L3" s="1">
        <v>3</v>
      </c>
      <c r="M3" s="79">
        <v>3.75</v>
      </c>
      <c r="N3" s="97">
        <v>3.75</v>
      </c>
      <c r="O3" s="63">
        <v>14000</v>
      </c>
      <c r="P3" s="64">
        <f>Table2245789101123[[#This Row],[PEMBULATAN]]*O3</f>
        <v>52500</v>
      </c>
      <c r="Q3" s="163">
        <v>3</v>
      </c>
    </row>
    <row r="4" spans="1:17" ht="26.25" customHeight="1" x14ac:dyDescent="0.2">
      <c r="A4" s="14"/>
      <c r="B4" s="74"/>
      <c r="C4" s="72" t="s">
        <v>67</v>
      </c>
      <c r="D4" s="77" t="s">
        <v>62</v>
      </c>
      <c r="E4" s="13">
        <v>44535</v>
      </c>
      <c r="F4" s="75" t="s">
        <v>63</v>
      </c>
      <c r="G4" s="13">
        <v>44549</v>
      </c>
      <c r="H4" s="76" t="s">
        <v>64</v>
      </c>
      <c r="I4" s="16">
        <v>61</v>
      </c>
      <c r="J4" s="16">
        <v>42</v>
      </c>
      <c r="K4" s="16">
        <v>25</v>
      </c>
      <c r="L4" s="16">
        <v>8</v>
      </c>
      <c r="M4" s="80">
        <v>16.012499999999999</v>
      </c>
      <c r="N4" s="97">
        <v>16.012499999999999</v>
      </c>
      <c r="O4" s="63">
        <v>14000</v>
      </c>
      <c r="P4" s="64">
        <f>Table2245789101123[[#This Row],[PEMBULATAN]]*O4</f>
        <v>224175</v>
      </c>
      <c r="Q4" s="164"/>
    </row>
    <row r="5" spans="1:17" ht="26.25" customHeight="1" x14ac:dyDescent="0.2">
      <c r="A5" s="14"/>
      <c r="B5" s="74"/>
      <c r="C5" s="9" t="s">
        <v>68</v>
      </c>
      <c r="D5" s="75" t="s">
        <v>62</v>
      </c>
      <c r="E5" s="13">
        <v>44535</v>
      </c>
      <c r="F5" s="75" t="s">
        <v>63</v>
      </c>
      <c r="G5" s="13">
        <v>44549</v>
      </c>
      <c r="H5" s="10" t="s">
        <v>64</v>
      </c>
      <c r="I5" s="1">
        <v>52</v>
      </c>
      <c r="J5" s="1">
        <v>52</v>
      </c>
      <c r="K5" s="1">
        <v>51</v>
      </c>
      <c r="L5" s="1">
        <v>8</v>
      </c>
      <c r="M5" s="79">
        <v>34.475999999999999</v>
      </c>
      <c r="N5" s="97">
        <v>35</v>
      </c>
      <c r="O5" s="63">
        <v>14000</v>
      </c>
      <c r="P5" s="64">
        <f>Table2245789101123[[#This Row],[PEMBULATAN]]*O5</f>
        <v>490000</v>
      </c>
      <c r="Q5" s="171"/>
    </row>
    <row r="6" spans="1:17" ht="22.5" customHeight="1" x14ac:dyDescent="0.2">
      <c r="A6" s="166" t="s">
        <v>30</v>
      </c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8"/>
      <c r="M6" s="78">
        <f>SUBTOTAL(109,Table2245789101123[KG VOLUME])</f>
        <v>54.238500000000002</v>
      </c>
      <c r="N6" s="67">
        <f>SUM(N3:N5)</f>
        <v>54.762500000000003</v>
      </c>
      <c r="O6" s="169">
        <f>SUM(P3:P5)</f>
        <v>766675</v>
      </c>
      <c r="P6" s="170"/>
    </row>
    <row r="7" spans="1:17" ht="18" customHeight="1" x14ac:dyDescent="0.2">
      <c r="A7" s="85"/>
      <c r="B7" s="56" t="s">
        <v>42</v>
      </c>
      <c r="C7" s="55"/>
      <c r="D7" s="57" t="s">
        <v>43</v>
      </c>
      <c r="E7" s="85"/>
      <c r="F7" s="85"/>
      <c r="G7" s="85"/>
      <c r="H7" s="85"/>
      <c r="I7" s="85"/>
      <c r="J7" s="85"/>
      <c r="K7" s="85"/>
      <c r="L7" s="85"/>
      <c r="M7" s="86"/>
      <c r="N7" s="87" t="s">
        <v>51</v>
      </c>
      <c r="O7" s="88"/>
      <c r="P7" s="88">
        <f>O6*10%</f>
        <v>76667.5</v>
      </c>
    </row>
    <row r="8" spans="1:17" ht="18" customHeight="1" thickBot="1" x14ac:dyDescent="0.25">
      <c r="A8" s="85"/>
      <c r="B8" s="56"/>
      <c r="C8" s="55"/>
      <c r="D8" s="57"/>
      <c r="E8" s="85"/>
      <c r="F8" s="85"/>
      <c r="G8" s="85"/>
      <c r="H8" s="85"/>
      <c r="I8" s="85"/>
      <c r="J8" s="85"/>
      <c r="K8" s="85"/>
      <c r="L8" s="85"/>
      <c r="M8" s="86"/>
      <c r="N8" s="89" t="s">
        <v>52</v>
      </c>
      <c r="O8" s="90"/>
      <c r="P8" s="90">
        <f>O6-P7</f>
        <v>690007.5</v>
      </c>
    </row>
    <row r="9" spans="1:17" ht="18" customHeight="1" x14ac:dyDescent="0.2">
      <c r="A9" s="11"/>
      <c r="H9" s="62"/>
      <c r="N9" s="61" t="s">
        <v>31</v>
      </c>
      <c r="P9" s="68">
        <f>P8*1%</f>
        <v>6900.0749999999998</v>
      </c>
    </row>
    <row r="10" spans="1:17" ht="18" customHeight="1" thickBot="1" x14ac:dyDescent="0.25">
      <c r="A10" s="11"/>
      <c r="H10" s="62"/>
      <c r="N10" s="61" t="s">
        <v>53</v>
      </c>
      <c r="P10" s="70">
        <f>P8*2%</f>
        <v>13800.15</v>
      </c>
    </row>
    <row r="11" spans="1:17" ht="18" customHeight="1" x14ac:dyDescent="0.2">
      <c r="A11" s="11"/>
      <c r="H11" s="62"/>
      <c r="N11" s="65" t="s">
        <v>32</v>
      </c>
      <c r="O11" s="66"/>
      <c r="P11" s="69">
        <f>P8+P9-P10</f>
        <v>683107.42499999993</v>
      </c>
    </row>
    <row r="13" spans="1:17" x14ac:dyDescent="0.2">
      <c r="A13" s="11"/>
      <c r="H13" s="62"/>
      <c r="P13" s="70"/>
    </row>
    <row r="14" spans="1:17" x14ac:dyDescent="0.2">
      <c r="A14" s="11"/>
      <c r="H14" s="62"/>
      <c r="O14" s="58"/>
      <c r="P14" s="70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</sheetData>
  <mergeCells count="3">
    <mergeCell ref="A6:L6"/>
    <mergeCell ref="O6:P6"/>
    <mergeCell ref="Q3:Q5"/>
  </mergeCells>
  <conditionalFormatting sqref="B3:B4">
    <cfRule type="duplicateValues" dxfId="244" priority="2"/>
  </conditionalFormatting>
  <conditionalFormatting sqref="B5">
    <cfRule type="duplicateValues" dxfId="243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11" sqref="K11"/>
    </sheetView>
  </sheetViews>
  <sheetFormatPr defaultRowHeight="15" x14ac:dyDescent="0.2"/>
  <cols>
    <col min="1" max="1" width="7.14062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7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405835</v>
      </c>
      <c r="B3" s="73" t="s">
        <v>69</v>
      </c>
      <c r="C3" s="9" t="s">
        <v>70</v>
      </c>
      <c r="D3" s="75" t="s">
        <v>62</v>
      </c>
      <c r="E3" s="13">
        <v>44537</v>
      </c>
      <c r="F3" s="75" t="s">
        <v>63</v>
      </c>
      <c r="G3" s="13">
        <v>44549</v>
      </c>
      <c r="H3" s="10" t="s">
        <v>64</v>
      </c>
      <c r="I3" s="1">
        <v>65</v>
      </c>
      <c r="J3" s="1">
        <v>56</v>
      </c>
      <c r="K3" s="1">
        <v>21</v>
      </c>
      <c r="L3" s="1">
        <v>19</v>
      </c>
      <c r="M3" s="79">
        <v>19.11</v>
      </c>
      <c r="N3" s="97">
        <v>19.11</v>
      </c>
      <c r="O3" s="63">
        <v>14000</v>
      </c>
      <c r="P3" s="64">
        <f>Table22457891011234[[#This Row],[PEMBULATAN]]*O3</f>
        <v>267540</v>
      </c>
      <c r="Q3" s="163">
        <v>7</v>
      </c>
    </row>
    <row r="4" spans="1:17" ht="26.25" customHeight="1" x14ac:dyDescent="0.2">
      <c r="A4" s="14"/>
      <c r="B4" s="74"/>
      <c r="C4" s="9" t="s">
        <v>71</v>
      </c>
      <c r="D4" s="75" t="s">
        <v>62</v>
      </c>
      <c r="E4" s="13">
        <v>44537</v>
      </c>
      <c r="F4" s="75" t="s">
        <v>63</v>
      </c>
      <c r="G4" s="13">
        <v>44549</v>
      </c>
      <c r="H4" s="10" t="s">
        <v>64</v>
      </c>
      <c r="I4" s="1">
        <v>65</v>
      </c>
      <c r="J4" s="1">
        <v>56</v>
      </c>
      <c r="K4" s="1">
        <v>21</v>
      </c>
      <c r="L4" s="1">
        <v>19</v>
      </c>
      <c r="M4" s="79">
        <v>19.11</v>
      </c>
      <c r="N4" s="97">
        <v>19.11</v>
      </c>
      <c r="O4" s="63">
        <v>14000</v>
      </c>
      <c r="P4" s="64">
        <f>Table22457891011234[[#This Row],[PEMBULATAN]]*O4</f>
        <v>267540</v>
      </c>
      <c r="Q4" s="164"/>
    </row>
    <row r="5" spans="1:17" ht="26.25" customHeight="1" x14ac:dyDescent="0.2">
      <c r="A5" s="14"/>
      <c r="B5" s="14"/>
      <c r="C5" s="9" t="s">
        <v>72</v>
      </c>
      <c r="D5" s="75" t="s">
        <v>62</v>
      </c>
      <c r="E5" s="13">
        <v>44537</v>
      </c>
      <c r="F5" s="75" t="s">
        <v>63</v>
      </c>
      <c r="G5" s="13">
        <v>44549</v>
      </c>
      <c r="H5" s="10" t="s">
        <v>64</v>
      </c>
      <c r="I5" s="1">
        <v>65</v>
      </c>
      <c r="J5" s="1">
        <v>56</v>
      </c>
      <c r="K5" s="1">
        <v>21</v>
      </c>
      <c r="L5" s="1">
        <v>19</v>
      </c>
      <c r="M5" s="79">
        <v>19.11</v>
      </c>
      <c r="N5" s="97">
        <v>19.11</v>
      </c>
      <c r="O5" s="63">
        <v>14000</v>
      </c>
      <c r="P5" s="64">
        <f>Table22457891011234[[#This Row],[PEMBULATAN]]*O5</f>
        <v>267540</v>
      </c>
      <c r="Q5" s="164"/>
    </row>
    <row r="6" spans="1:17" ht="26.25" customHeight="1" x14ac:dyDescent="0.2">
      <c r="A6" s="14"/>
      <c r="B6" s="14"/>
      <c r="C6" s="72" t="s">
        <v>73</v>
      </c>
      <c r="D6" s="77" t="s">
        <v>62</v>
      </c>
      <c r="E6" s="13">
        <v>44537</v>
      </c>
      <c r="F6" s="75" t="s">
        <v>63</v>
      </c>
      <c r="G6" s="13">
        <v>44549</v>
      </c>
      <c r="H6" s="76" t="s">
        <v>64</v>
      </c>
      <c r="I6" s="16">
        <v>65</v>
      </c>
      <c r="J6" s="16">
        <v>56</v>
      </c>
      <c r="K6" s="16">
        <v>21</v>
      </c>
      <c r="L6" s="16">
        <v>19</v>
      </c>
      <c r="M6" s="80">
        <v>19.11</v>
      </c>
      <c r="N6" s="97">
        <v>19.11</v>
      </c>
      <c r="O6" s="63">
        <v>14000</v>
      </c>
      <c r="P6" s="64">
        <f>Table22457891011234[[#This Row],[PEMBULATAN]]*O6</f>
        <v>267540</v>
      </c>
      <c r="Q6" s="164"/>
    </row>
    <row r="7" spans="1:17" ht="26.25" customHeight="1" x14ac:dyDescent="0.2">
      <c r="A7" s="14"/>
      <c r="B7" s="14"/>
      <c r="C7" s="72" t="s">
        <v>74</v>
      </c>
      <c r="D7" s="77" t="s">
        <v>62</v>
      </c>
      <c r="E7" s="13">
        <v>44537</v>
      </c>
      <c r="F7" s="75" t="s">
        <v>63</v>
      </c>
      <c r="G7" s="13">
        <v>44549</v>
      </c>
      <c r="H7" s="76" t="s">
        <v>64</v>
      </c>
      <c r="I7" s="16">
        <v>65</v>
      </c>
      <c r="J7" s="16">
        <v>56</v>
      </c>
      <c r="K7" s="16">
        <v>21</v>
      </c>
      <c r="L7" s="16">
        <v>19</v>
      </c>
      <c r="M7" s="80">
        <v>19.11</v>
      </c>
      <c r="N7" s="97">
        <v>19.11</v>
      </c>
      <c r="O7" s="63">
        <v>14000</v>
      </c>
      <c r="P7" s="64">
        <f>Table22457891011234[[#This Row],[PEMBULATAN]]*O7</f>
        <v>267540</v>
      </c>
      <c r="Q7" s="164"/>
    </row>
    <row r="8" spans="1:17" ht="26.25" customHeight="1" x14ac:dyDescent="0.2">
      <c r="A8" s="14"/>
      <c r="B8" s="14"/>
      <c r="C8" s="72" t="s">
        <v>75</v>
      </c>
      <c r="D8" s="77" t="s">
        <v>62</v>
      </c>
      <c r="E8" s="13">
        <v>44537</v>
      </c>
      <c r="F8" s="75" t="s">
        <v>63</v>
      </c>
      <c r="G8" s="13">
        <v>44549</v>
      </c>
      <c r="H8" s="76" t="s">
        <v>64</v>
      </c>
      <c r="I8" s="16">
        <v>65</v>
      </c>
      <c r="J8" s="16">
        <v>56</v>
      </c>
      <c r="K8" s="16">
        <v>21</v>
      </c>
      <c r="L8" s="16">
        <v>19</v>
      </c>
      <c r="M8" s="80">
        <v>19.11</v>
      </c>
      <c r="N8" s="97">
        <v>19.11</v>
      </c>
      <c r="O8" s="63">
        <v>14000</v>
      </c>
      <c r="P8" s="64">
        <f>Table22457891011234[[#This Row],[PEMBULATAN]]*O8</f>
        <v>267540</v>
      </c>
      <c r="Q8" s="164"/>
    </row>
    <row r="9" spans="1:17" ht="26.25" customHeight="1" x14ac:dyDescent="0.2">
      <c r="A9" s="14"/>
      <c r="B9" s="14"/>
      <c r="C9" s="72" t="s">
        <v>76</v>
      </c>
      <c r="D9" s="77" t="s">
        <v>62</v>
      </c>
      <c r="E9" s="13">
        <v>44537</v>
      </c>
      <c r="F9" s="75" t="s">
        <v>63</v>
      </c>
      <c r="G9" s="13">
        <v>44549</v>
      </c>
      <c r="H9" s="76" t="s">
        <v>64</v>
      </c>
      <c r="I9" s="16">
        <v>80</v>
      </c>
      <c r="J9" s="16">
        <v>45</v>
      </c>
      <c r="K9" s="16">
        <v>40</v>
      </c>
      <c r="L9" s="16">
        <v>14</v>
      </c>
      <c r="M9" s="80">
        <v>36</v>
      </c>
      <c r="N9" s="97">
        <v>36</v>
      </c>
      <c r="O9" s="63">
        <v>14000</v>
      </c>
      <c r="P9" s="64">
        <f>Table22457891011234[[#This Row],[PEMBULATAN]]*O9</f>
        <v>504000</v>
      </c>
      <c r="Q9" s="171"/>
    </row>
    <row r="10" spans="1:17" ht="22.5" customHeight="1" x14ac:dyDescent="0.2">
      <c r="A10" s="166" t="s">
        <v>30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8"/>
      <c r="M10" s="78">
        <f>SUBTOTAL(109,Table22457891011234[KG VOLUME])</f>
        <v>150.66</v>
      </c>
      <c r="N10" s="67">
        <f>SUM(N3:N9)</f>
        <v>150.66</v>
      </c>
      <c r="O10" s="169">
        <f>SUM(P3:P9)</f>
        <v>2109240</v>
      </c>
      <c r="P10" s="170"/>
    </row>
    <row r="11" spans="1:17" ht="18" customHeight="1" x14ac:dyDescent="0.2">
      <c r="A11" s="85"/>
      <c r="B11" s="56" t="s">
        <v>42</v>
      </c>
      <c r="C11" s="55"/>
      <c r="D11" s="57" t="s">
        <v>43</v>
      </c>
      <c r="E11" s="85"/>
      <c r="F11" s="85"/>
      <c r="G11" s="85"/>
      <c r="H11" s="85"/>
      <c r="I11" s="85"/>
      <c r="J11" s="85"/>
      <c r="K11" s="85"/>
      <c r="L11" s="85"/>
      <c r="M11" s="86"/>
      <c r="N11" s="87" t="s">
        <v>51</v>
      </c>
      <c r="O11" s="88"/>
      <c r="P11" s="88">
        <f>O10*10%</f>
        <v>210924</v>
      </c>
    </row>
    <row r="12" spans="1:17" ht="18" customHeight="1" thickBot="1" x14ac:dyDescent="0.25">
      <c r="A12" s="85"/>
      <c r="B12" s="56"/>
      <c r="C12" s="55"/>
      <c r="D12" s="57"/>
      <c r="E12" s="85"/>
      <c r="F12" s="85"/>
      <c r="G12" s="85"/>
      <c r="H12" s="85"/>
      <c r="I12" s="85"/>
      <c r="J12" s="85"/>
      <c r="K12" s="85"/>
      <c r="L12" s="85"/>
      <c r="M12" s="86"/>
      <c r="N12" s="89" t="s">
        <v>52</v>
      </c>
      <c r="O12" s="90"/>
      <c r="P12" s="90">
        <f>O10-P11</f>
        <v>1898316</v>
      </c>
    </row>
    <row r="13" spans="1:17" ht="18" customHeight="1" x14ac:dyDescent="0.2">
      <c r="A13" s="11"/>
      <c r="H13" s="62"/>
      <c r="N13" s="61" t="s">
        <v>31</v>
      </c>
      <c r="P13" s="68">
        <f>P12*1%</f>
        <v>18983.16</v>
      </c>
    </row>
    <row r="14" spans="1:17" ht="18" customHeight="1" thickBot="1" x14ac:dyDescent="0.25">
      <c r="A14" s="11"/>
      <c r="H14" s="62"/>
      <c r="N14" s="61" t="s">
        <v>53</v>
      </c>
      <c r="P14" s="70">
        <f>P12*2%</f>
        <v>37966.32</v>
      </c>
    </row>
    <row r="15" spans="1:17" ht="18" customHeight="1" x14ac:dyDescent="0.2">
      <c r="A15" s="11"/>
      <c r="H15" s="62"/>
      <c r="N15" s="65" t="s">
        <v>32</v>
      </c>
      <c r="O15" s="66"/>
      <c r="P15" s="69">
        <f>P12+P13-P14</f>
        <v>1879332.8399999999</v>
      </c>
    </row>
    <row r="17" spans="1:16" x14ac:dyDescent="0.2">
      <c r="A17" s="11"/>
      <c r="H17" s="62"/>
      <c r="P17" s="70"/>
    </row>
    <row r="18" spans="1:16" x14ac:dyDescent="0.2">
      <c r="A18" s="11"/>
      <c r="H18" s="62"/>
      <c r="O18" s="58"/>
      <c r="P18" s="70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2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2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2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2"/>
      <c r="N30" s="15"/>
      <c r="O30" s="15"/>
      <c r="P30" s="15"/>
    </row>
  </sheetData>
  <mergeCells count="3">
    <mergeCell ref="A10:L10"/>
    <mergeCell ref="O10:P10"/>
    <mergeCell ref="Q3:Q9"/>
  </mergeCells>
  <conditionalFormatting sqref="B3">
    <cfRule type="duplicateValues" dxfId="227" priority="2"/>
  </conditionalFormatting>
  <conditionalFormatting sqref="B4">
    <cfRule type="duplicateValues" dxfId="226" priority="1"/>
  </conditionalFormatting>
  <conditionalFormatting sqref="B5:B9">
    <cfRule type="duplicateValues" dxfId="225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10" sqref="J10"/>
    </sheetView>
  </sheetViews>
  <sheetFormatPr defaultRowHeight="15" x14ac:dyDescent="0.2"/>
  <cols>
    <col min="1" max="1" width="6.71093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405845</v>
      </c>
      <c r="B3" s="73" t="s">
        <v>77</v>
      </c>
      <c r="C3" s="9" t="s">
        <v>78</v>
      </c>
      <c r="D3" s="75" t="s">
        <v>62</v>
      </c>
      <c r="E3" s="13">
        <v>44538</v>
      </c>
      <c r="F3" s="75" t="s">
        <v>81</v>
      </c>
      <c r="G3" s="13">
        <v>44580</v>
      </c>
      <c r="H3" s="10" t="s">
        <v>82</v>
      </c>
      <c r="I3" s="1">
        <v>149</v>
      </c>
      <c r="J3" s="1">
        <v>65</v>
      </c>
      <c r="K3" s="1">
        <v>13</v>
      </c>
      <c r="L3" s="1">
        <v>18</v>
      </c>
      <c r="M3" s="79">
        <v>31.47625</v>
      </c>
      <c r="N3" s="8">
        <v>32</v>
      </c>
      <c r="O3" s="63">
        <v>14000</v>
      </c>
      <c r="P3" s="64">
        <f>Table224578910112345[[#This Row],[PEMBULATAN]]*O3</f>
        <v>448000</v>
      </c>
      <c r="Q3" s="163">
        <v>3</v>
      </c>
    </row>
    <row r="4" spans="1:17" ht="26.25" customHeight="1" x14ac:dyDescent="0.2">
      <c r="A4" s="14"/>
      <c r="B4" s="74"/>
      <c r="C4" s="9" t="s">
        <v>79</v>
      </c>
      <c r="D4" s="75" t="s">
        <v>62</v>
      </c>
      <c r="E4" s="13">
        <v>44538</v>
      </c>
      <c r="F4" s="75" t="s">
        <v>81</v>
      </c>
      <c r="G4" s="13">
        <v>44580</v>
      </c>
      <c r="H4" s="10" t="s">
        <v>82</v>
      </c>
      <c r="I4" s="1">
        <v>149</v>
      </c>
      <c r="J4" s="1">
        <v>65</v>
      </c>
      <c r="K4" s="1">
        <v>13</v>
      </c>
      <c r="L4" s="1">
        <v>18</v>
      </c>
      <c r="M4" s="79">
        <v>31.47625</v>
      </c>
      <c r="N4" s="8">
        <v>32</v>
      </c>
      <c r="O4" s="63">
        <v>14000</v>
      </c>
      <c r="P4" s="64">
        <f>Table224578910112345[[#This Row],[PEMBULATAN]]*O4</f>
        <v>448000</v>
      </c>
      <c r="Q4" s="164"/>
    </row>
    <row r="5" spans="1:17" ht="26.25" customHeight="1" x14ac:dyDescent="0.2">
      <c r="A5" s="14"/>
      <c r="B5" s="14"/>
      <c r="C5" s="9" t="s">
        <v>80</v>
      </c>
      <c r="D5" s="75" t="s">
        <v>62</v>
      </c>
      <c r="E5" s="13">
        <v>44538</v>
      </c>
      <c r="F5" s="75" t="s">
        <v>81</v>
      </c>
      <c r="G5" s="13">
        <v>44580</v>
      </c>
      <c r="H5" s="10" t="s">
        <v>82</v>
      </c>
      <c r="I5" s="1">
        <v>149</v>
      </c>
      <c r="J5" s="1">
        <v>65</v>
      </c>
      <c r="K5" s="1">
        <v>13</v>
      </c>
      <c r="L5" s="1">
        <v>18</v>
      </c>
      <c r="M5" s="79">
        <v>31.47625</v>
      </c>
      <c r="N5" s="8">
        <v>32</v>
      </c>
      <c r="O5" s="63">
        <v>14000</v>
      </c>
      <c r="P5" s="64">
        <f>Table224578910112345[[#This Row],[PEMBULATAN]]*O5</f>
        <v>448000</v>
      </c>
      <c r="Q5" s="171"/>
    </row>
    <row r="6" spans="1:17" ht="22.5" customHeight="1" x14ac:dyDescent="0.2">
      <c r="A6" s="166" t="s">
        <v>30</v>
      </c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8"/>
      <c r="M6" s="78">
        <f>SUBTOTAL(109,Table224578910112345[KG VOLUME])</f>
        <v>94.428750000000008</v>
      </c>
      <c r="N6" s="67">
        <f>SUM(N3:N5)</f>
        <v>96</v>
      </c>
      <c r="O6" s="169">
        <f>SUM(P3:P5)</f>
        <v>1344000</v>
      </c>
      <c r="P6" s="170"/>
    </row>
    <row r="7" spans="1:17" ht="18" customHeight="1" x14ac:dyDescent="0.2">
      <c r="A7" s="85"/>
      <c r="B7" s="56" t="s">
        <v>42</v>
      </c>
      <c r="C7" s="55"/>
      <c r="D7" s="57" t="s">
        <v>43</v>
      </c>
      <c r="E7" s="85"/>
      <c r="F7" s="85"/>
      <c r="G7" s="85"/>
      <c r="H7" s="85"/>
      <c r="I7" s="85"/>
      <c r="J7" s="85"/>
      <c r="K7" s="85"/>
      <c r="L7" s="85"/>
      <c r="M7" s="86"/>
      <c r="N7" s="87" t="s">
        <v>51</v>
      </c>
      <c r="O7" s="88"/>
      <c r="P7" s="88">
        <f>O6*10%</f>
        <v>134400</v>
      </c>
    </row>
    <row r="8" spans="1:17" ht="18" customHeight="1" thickBot="1" x14ac:dyDescent="0.25">
      <c r="A8" s="85"/>
      <c r="B8" s="56"/>
      <c r="C8" s="55"/>
      <c r="D8" s="57"/>
      <c r="E8" s="85"/>
      <c r="F8" s="85"/>
      <c r="G8" s="85"/>
      <c r="H8" s="85"/>
      <c r="I8" s="85"/>
      <c r="J8" s="85"/>
      <c r="K8" s="85"/>
      <c r="L8" s="85"/>
      <c r="M8" s="86"/>
      <c r="N8" s="89" t="s">
        <v>52</v>
      </c>
      <c r="O8" s="90"/>
      <c r="P8" s="90">
        <f>O6-P7</f>
        <v>1209600</v>
      </c>
    </row>
    <row r="9" spans="1:17" ht="18" customHeight="1" x14ac:dyDescent="0.2">
      <c r="A9" s="11"/>
      <c r="H9" s="62"/>
      <c r="N9" s="61" t="s">
        <v>31</v>
      </c>
      <c r="P9" s="68">
        <f>P8*1%</f>
        <v>12096</v>
      </c>
    </row>
    <row r="10" spans="1:17" ht="18" customHeight="1" thickBot="1" x14ac:dyDescent="0.25">
      <c r="A10" s="11"/>
      <c r="H10" s="62"/>
      <c r="N10" s="61" t="s">
        <v>53</v>
      </c>
      <c r="P10" s="70">
        <f>P8*2%</f>
        <v>24192</v>
      </c>
    </row>
    <row r="11" spans="1:17" ht="18" customHeight="1" x14ac:dyDescent="0.2">
      <c r="A11" s="11"/>
      <c r="H11" s="62"/>
      <c r="N11" s="65" t="s">
        <v>32</v>
      </c>
      <c r="O11" s="66"/>
      <c r="P11" s="69">
        <f>P8+P9-P10</f>
        <v>1197504</v>
      </c>
    </row>
    <row r="13" spans="1:17" x14ac:dyDescent="0.2">
      <c r="A13" s="11"/>
      <c r="H13" s="62"/>
      <c r="P13" s="70"/>
    </row>
    <row r="14" spans="1:17" x14ac:dyDescent="0.2">
      <c r="A14" s="11"/>
      <c r="H14" s="62"/>
      <c r="O14" s="58"/>
      <c r="P14" s="70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</sheetData>
  <mergeCells count="3">
    <mergeCell ref="A6:L6"/>
    <mergeCell ref="O6:P6"/>
    <mergeCell ref="Q3:Q5"/>
  </mergeCells>
  <conditionalFormatting sqref="B3">
    <cfRule type="duplicateValues" dxfId="209" priority="2"/>
  </conditionalFormatting>
  <conditionalFormatting sqref="B4">
    <cfRule type="duplicateValues" dxfId="208" priority="1"/>
  </conditionalFormatting>
  <conditionalFormatting sqref="B5">
    <cfRule type="duplicateValues" dxfId="207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53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I30" sqref="I30"/>
    </sheetView>
  </sheetViews>
  <sheetFormatPr defaultRowHeight="15" x14ac:dyDescent="0.2"/>
  <cols>
    <col min="1" max="1" width="6.71093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406461</v>
      </c>
      <c r="B3" s="73" t="s">
        <v>83</v>
      </c>
      <c r="C3" s="9" t="s">
        <v>84</v>
      </c>
      <c r="D3" s="75" t="s">
        <v>62</v>
      </c>
      <c r="E3" s="13">
        <v>44541</v>
      </c>
      <c r="F3" s="75" t="s">
        <v>81</v>
      </c>
      <c r="G3" s="13">
        <v>44580</v>
      </c>
      <c r="H3" s="10" t="s">
        <v>82</v>
      </c>
      <c r="I3" s="1">
        <v>32</v>
      </c>
      <c r="J3" s="1">
        <v>22</v>
      </c>
      <c r="K3" s="1">
        <v>18</v>
      </c>
      <c r="L3" s="1">
        <v>8</v>
      </c>
      <c r="M3" s="79">
        <v>3.1680000000000001</v>
      </c>
      <c r="N3" s="97">
        <v>8</v>
      </c>
      <c r="O3" s="63">
        <v>14000</v>
      </c>
      <c r="P3" s="64">
        <f>Table2245789101123456[[#This Row],[PEMBULATAN]]*O3</f>
        <v>112000</v>
      </c>
      <c r="Q3" s="163">
        <v>30</v>
      </c>
    </row>
    <row r="4" spans="1:17" ht="26.25" customHeight="1" x14ac:dyDescent="0.2">
      <c r="A4" s="14"/>
      <c r="B4" s="98"/>
      <c r="C4" s="9" t="s">
        <v>85</v>
      </c>
      <c r="D4" s="75" t="s">
        <v>62</v>
      </c>
      <c r="E4" s="13">
        <v>44541</v>
      </c>
      <c r="F4" s="75" t="s">
        <v>81</v>
      </c>
      <c r="G4" s="13">
        <v>44580</v>
      </c>
      <c r="H4" s="10" t="s">
        <v>82</v>
      </c>
      <c r="I4" s="1">
        <v>32</v>
      </c>
      <c r="J4" s="1">
        <v>22</v>
      </c>
      <c r="K4" s="1">
        <v>18</v>
      </c>
      <c r="L4" s="1">
        <v>8</v>
      </c>
      <c r="M4" s="79">
        <v>3.1680000000000001</v>
      </c>
      <c r="N4" s="97">
        <v>8</v>
      </c>
      <c r="O4" s="63">
        <v>14000</v>
      </c>
      <c r="P4" s="64">
        <f>Table2245789101123456[[#This Row],[PEMBULATAN]]*O4</f>
        <v>112000</v>
      </c>
      <c r="Q4" s="164"/>
    </row>
    <row r="5" spans="1:17" ht="26.25" customHeight="1" x14ac:dyDescent="0.2">
      <c r="A5" s="14"/>
      <c r="B5" s="14" t="s">
        <v>86</v>
      </c>
      <c r="C5" s="9" t="s">
        <v>87</v>
      </c>
      <c r="D5" s="75" t="s">
        <v>62</v>
      </c>
      <c r="E5" s="13">
        <v>44541</v>
      </c>
      <c r="F5" s="75" t="s">
        <v>81</v>
      </c>
      <c r="G5" s="13">
        <v>44580</v>
      </c>
      <c r="H5" s="10" t="s">
        <v>82</v>
      </c>
      <c r="I5" s="1">
        <v>32</v>
      </c>
      <c r="J5" s="1">
        <v>22</v>
      </c>
      <c r="K5" s="1">
        <v>18</v>
      </c>
      <c r="L5" s="1">
        <v>8</v>
      </c>
      <c r="M5" s="79">
        <v>3.1680000000000001</v>
      </c>
      <c r="N5" s="97">
        <v>8</v>
      </c>
      <c r="O5" s="63">
        <v>14000</v>
      </c>
      <c r="P5" s="64">
        <f>Table2245789101123456[[#This Row],[PEMBULATAN]]*O5</f>
        <v>112000</v>
      </c>
      <c r="Q5" s="164"/>
    </row>
    <row r="6" spans="1:17" ht="26.25" customHeight="1" x14ac:dyDescent="0.2">
      <c r="A6" s="14"/>
      <c r="B6" s="14"/>
      <c r="C6" s="72" t="s">
        <v>88</v>
      </c>
      <c r="D6" s="77" t="s">
        <v>62</v>
      </c>
      <c r="E6" s="13">
        <v>44541</v>
      </c>
      <c r="F6" s="75" t="s">
        <v>81</v>
      </c>
      <c r="G6" s="13">
        <v>44580</v>
      </c>
      <c r="H6" s="76" t="s">
        <v>82</v>
      </c>
      <c r="I6" s="16">
        <v>32</v>
      </c>
      <c r="J6" s="16">
        <v>22</v>
      </c>
      <c r="K6" s="16">
        <v>18</v>
      </c>
      <c r="L6" s="16">
        <v>8</v>
      </c>
      <c r="M6" s="80">
        <v>3.1680000000000001</v>
      </c>
      <c r="N6" s="97">
        <v>8</v>
      </c>
      <c r="O6" s="63">
        <v>14000</v>
      </c>
      <c r="P6" s="64">
        <f>Table2245789101123456[[#This Row],[PEMBULATAN]]*O6</f>
        <v>112000</v>
      </c>
      <c r="Q6" s="164"/>
    </row>
    <row r="7" spans="1:17" ht="26.25" customHeight="1" x14ac:dyDescent="0.2">
      <c r="A7" s="14"/>
      <c r="B7" s="14"/>
      <c r="C7" s="72" t="s">
        <v>89</v>
      </c>
      <c r="D7" s="77" t="s">
        <v>62</v>
      </c>
      <c r="E7" s="13">
        <v>44541</v>
      </c>
      <c r="F7" s="75" t="s">
        <v>81</v>
      </c>
      <c r="G7" s="13">
        <v>44580</v>
      </c>
      <c r="H7" s="76" t="s">
        <v>82</v>
      </c>
      <c r="I7" s="16">
        <v>32</v>
      </c>
      <c r="J7" s="16">
        <v>22</v>
      </c>
      <c r="K7" s="16">
        <v>18</v>
      </c>
      <c r="L7" s="16">
        <v>8</v>
      </c>
      <c r="M7" s="80">
        <v>3.1680000000000001</v>
      </c>
      <c r="N7" s="97">
        <v>8</v>
      </c>
      <c r="O7" s="63">
        <v>14000</v>
      </c>
      <c r="P7" s="64">
        <f>Table2245789101123456[[#This Row],[PEMBULATAN]]*O7</f>
        <v>112000</v>
      </c>
      <c r="Q7" s="164"/>
    </row>
    <row r="8" spans="1:17" ht="26.25" customHeight="1" x14ac:dyDescent="0.2">
      <c r="A8" s="14"/>
      <c r="B8" s="14"/>
      <c r="C8" s="72" t="s">
        <v>90</v>
      </c>
      <c r="D8" s="77" t="s">
        <v>62</v>
      </c>
      <c r="E8" s="13">
        <v>44541</v>
      </c>
      <c r="F8" s="75" t="s">
        <v>81</v>
      </c>
      <c r="G8" s="13">
        <v>44580</v>
      </c>
      <c r="H8" s="76" t="s">
        <v>82</v>
      </c>
      <c r="I8" s="16">
        <v>32</v>
      </c>
      <c r="J8" s="16">
        <v>22</v>
      </c>
      <c r="K8" s="16">
        <v>18</v>
      </c>
      <c r="L8" s="16">
        <v>8</v>
      </c>
      <c r="M8" s="80">
        <v>3.1680000000000001</v>
      </c>
      <c r="N8" s="97">
        <v>8</v>
      </c>
      <c r="O8" s="63">
        <v>14000</v>
      </c>
      <c r="P8" s="64">
        <f>Table2245789101123456[[#This Row],[PEMBULATAN]]*O8</f>
        <v>112000</v>
      </c>
      <c r="Q8" s="164"/>
    </row>
    <row r="9" spans="1:17" ht="26.25" customHeight="1" x14ac:dyDescent="0.2">
      <c r="A9" s="14"/>
      <c r="B9" s="14"/>
      <c r="C9" s="72" t="s">
        <v>91</v>
      </c>
      <c r="D9" s="77" t="s">
        <v>62</v>
      </c>
      <c r="E9" s="13">
        <v>44541</v>
      </c>
      <c r="F9" s="75" t="s">
        <v>81</v>
      </c>
      <c r="G9" s="13">
        <v>44580</v>
      </c>
      <c r="H9" s="76" t="s">
        <v>82</v>
      </c>
      <c r="I9" s="16">
        <v>32</v>
      </c>
      <c r="J9" s="16">
        <v>22</v>
      </c>
      <c r="K9" s="16">
        <v>18</v>
      </c>
      <c r="L9" s="16">
        <v>8</v>
      </c>
      <c r="M9" s="80">
        <v>3.1680000000000001</v>
      </c>
      <c r="N9" s="97">
        <v>8</v>
      </c>
      <c r="O9" s="63">
        <v>14000</v>
      </c>
      <c r="P9" s="64">
        <f>Table2245789101123456[[#This Row],[PEMBULATAN]]*O9</f>
        <v>112000</v>
      </c>
      <c r="Q9" s="164"/>
    </row>
    <row r="10" spans="1:17" ht="26.25" customHeight="1" x14ac:dyDescent="0.2">
      <c r="A10" s="14"/>
      <c r="B10" s="14"/>
      <c r="C10" s="72" t="s">
        <v>92</v>
      </c>
      <c r="D10" s="77" t="s">
        <v>62</v>
      </c>
      <c r="E10" s="13">
        <v>44541</v>
      </c>
      <c r="F10" s="75" t="s">
        <v>81</v>
      </c>
      <c r="G10" s="13">
        <v>44580</v>
      </c>
      <c r="H10" s="76" t="s">
        <v>82</v>
      </c>
      <c r="I10" s="16">
        <v>35</v>
      </c>
      <c r="J10" s="16">
        <v>35</v>
      </c>
      <c r="K10" s="16">
        <v>18</v>
      </c>
      <c r="L10" s="16">
        <v>12</v>
      </c>
      <c r="M10" s="80">
        <v>5.5125000000000002</v>
      </c>
      <c r="N10" s="97">
        <v>12</v>
      </c>
      <c r="O10" s="63">
        <v>14000</v>
      </c>
      <c r="P10" s="64">
        <f>Table2245789101123456[[#This Row],[PEMBULATAN]]*O10</f>
        <v>168000</v>
      </c>
      <c r="Q10" s="164"/>
    </row>
    <row r="11" spans="1:17" ht="26.25" customHeight="1" x14ac:dyDescent="0.2">
      <c r="A11" s="14"/>
      <c r="B11" s="14"/>
      <c r="C11" s="72" t="s">
        <v>93</v>
      </c>
      <c r="D11" s="77" t="s">
        <v>62</v>
      </c>
      <c r="E11" s="13">
        <v>44541</v>
      </c>
      <c r="F11" s="75" t="s">
        <v>81</v>
      </c>
      <c r="G11" s="13">
        <v>44580</v>
      </c>
      <c r="H11" s="76" t="s">
        <v>82</v>
      </c>
      <c r="I11" s="16">
        <v>35</v>
      </c>
      <c r="J11" s="16">
        <v>35</v>
      </c>
      <c r="K11" s="16">
        <v>18</v>
      </c>
      <c r="L11" s="16">
        <v>12</v>
      </c>
      <c r="M11" s="80">
        <v>5.5125000000000002</v>
      </c>
      <c r="N11" s="97">
        <v>12</v>
      </c>
      <c r="O11" s="63">
        <v>14000</v>
      </c>
      <c r="P11" s="64">
        <f>Table2245789101123456[[#This Row],[PEMBULATAN]]*O11</f>
        <v>168000</v>
      </c>
      <c r="Q11" s="164"/>
    </row>
    <row r="12" spans="1:17" ht="26.25" customHeight="1" x14ac:dyDescent="0.2">
      <c r="A12" s="14"/>
      <c r="B12" s="14"/>
      <c r="C12" s="72" t="s">
        <v>94</v>
      </c>
      <c r="D12" s="77" t="s">
        <v>62</v>
      </c>
      <c r="E12" s="13">
        <v>44541</v>
      </c>
      <c r="F12" s="75" t="s">
        <v>81</v>
      </c>
      <c r="G12" s="13">
        <v>44580</v>
      </c>
      <c r="H12" s="76" t="s">
        <v>82</v>
      </c>
      <c r="I12" s="16">
        <v>35</v>
      </c>
      <c r="J12" s="16">
        <v>35</v>
      </c>
      <c r="K12" s="16">
        <v>18</v>
      </c>
      <c r="L12" s="16">
        <v>12</v>
      </c>
      <c r="M12" s="80">
        <v>5.5125000000000002</v>
      </c>
      <c r="N12" s="97">
        <v>12</v>
      </c>
      <c r="O12" s="63">
        <v>14000</v>
      </c>
      <c r="P12" s="64">
        <f>Table2245789101123456[[#This Row],[PEMBULATAN]]*O12</f>
        <v>168000</v>
      </c>
      <c r="Q12" s="164"/>
    </row>
    <row r="13" spans="1:17" ht="26.25" customHeight="1" x14ac:dyDescent="0.2">
      <c r="A13" s="14"/>
      <c r="B13" s="14"/>
      <c r="C13" s="72" t="s">
        <v>95</v>
      </c>
      <c r="D13" s="77" t="s">
        <v>62</v>
      </c>
      <c r="E13" s="13">
        <v>44541</v>
      </c>
      <c r="F13" s="75" t="s">
        <v>81</v>
      </c>
      <c r="G13" s="13">
        <v>44580</v>
      </c>
      <c r="H13" s="76" t="s">
        <v>82</v>
      </c>
      <c r="I13" s="16">
        <v>35</v>
      </c>
      <c r="J13" s="16">
        <v>35</v>
      </c>
      <c r="K13" s="16">
        <v>18</v>
      </c>
      <c r="L13" s="16">
        <v>12</v>
      </c>
      <c r="M13" s="80">
        <v>5.5125000000000002</v>
      </c>
      <c r="N13" s="97">
        <v>12</v>
      </c>
      <c r="O13" s="63">
        <v>14000</v>
      </c>
      <c r="P13" s="64">
        <f>Table2245789101123456[[#This Row],[PEMBULATAN]]*O13</f>
        <v>168000</v>
      </c>
      <c r="Q13" s="164"/>
    </row>
    <row r="14" spans="1:17" ht="26.25" customHeight="1" x14ac:dyDescent="0.2">
      <c r="A14" s="14"/>
      <c r="B14" s="14"/>
      <c r="C14" s="72" t="s">
        <v>96</v>
      </c>
      <c r="D14" s="77" t="s">
        <v>62</v>
      </c>
      <c r="E14" s="13">
        <v>44541</v>
      </c>
      <c r="F14" s="75" t="s">
        <v>81</v>
      </c>
      <c r="G14" s="13">
        <v>44580</v>
      </c>
      <c r="H14" s="76" t="s">
        <v>82</v>
      </c>
      <c r="I14" s="16">
        <v>42</v>
      </c>
      <c r="J14" s="16">
        <v>35</v>
      </c>
      <c r="K14" s="16">
        <v>29</v>
      </c>
      <c r="L14" s="16">
        <v>9</v>
      </c>
      <c r="M14" s="80">
        <v>10.657500000000001</v>
      </c>
      <c r="N14" s="97">
        <v>10.657500000000001</v>
      </c>
      <c r="O14" s="63">
        <v>14000</v>
      </c>
      <c r="P14" s="64">
        <f>Table2245789101123456[[#This Row],[PEMBULATAN]]*O14</f>
        <v>149205</v>
      </c>
      <c r="Q14" s="164"/>
    </row>
    <row r="15" spans="1:17" ht="26.25" customHeight="1" x14ac:dyDescent="0.2">
      <c r="A15" s="14"/>
      <c r="B15" s="14"/>
      <c r="C15" s="72" t="s">
        <v>97</v>
      </c>
      <c r="D15" s="77" t="s">
        <v>62</v>
      </c>
      <c r="E15" s="13">
        <v>44541</v>
      </c>
      <c r="F15" s="75" t="s">
        <v>81</v>
      </c>
      <c r="G15" s="13">
        <v>44580</v>
      </c>
      <c r="H15" s="76" t="s">
        <v>82</v>
      </c>
      <c r="I15" s="16">
        <v>42</v>
      </c>
      <c r="J15" s="16">
        <v>35</v>
      </c>
      <c r="K15" s="16">
        <v>29</v>
      </c>
      <c r="L15" s="16">
        <v>9</v>
      </c>
      <c r="M15" s="80">
        <v>10.657500000000001</v>
      </c>
      <c r="N15" s="97">
        <v>10.657500000000001</v>
      </c>
      <c r="O15" s="63">
        <v>14000</v>
      </c>
      <c r="P15" s="64">
        <f>Table2245789101123456[[#This Row],[PEMBULATAN]]*O15</f>
        <v>149205</v>
      </c>
      <c r="Q15" s="164"/>
    </row>
    <row r="16" spans="1:17" ht="26.25" customHeight="1" x14ac:dyDescent="0.2">
      <c r="A16" s="14"/>
      <c r="B16" s="14"/>
      <c r="C16" s="72" t="s">
        <v>98</v>
      </c>
      <c r="D16" s="77" t="s">
        <v>62</v>
      </c>
      <c r="E16" s="13">
        <v>44541</v>
      </c>
      <c r="F16" s="75" t="s">
        <v>81</v>
      </c>
      <c r="G16" s="13">
        <v>44580</v>
      </c>
      <c r="H16" s="76" t="s">
        <v>82</v>
      </c>
      <c r="I16" s="16">
        <v>42</v>
      </c>
      <c r="J16" s="16">
        <v>35</v>
      </c>
      <c r="K16" s="16">
        <v>29</v>
      </c>
      <c r="L16" s="16">
        <v>9</v>
      </c>
      <c r="M16" s="80">
        <v>10.657500000000001</v>
      </c>
      <c r="N16" s="97">
        <v>10.657500000000001</v>
      </c>
      <c r="O16" s="63">
        <v>14000</v>
      </c>
      <c r="P16" s="64">
        <f>Table2245789101123456[[#This Row],[PEMBULATAN]]*O16</f>
        <v>149205</v>
      </c>
      <c r="Q16" s="164"/>
    </row>
    <row r="17" spans="1:17" ht="26.25" customHeight="1" x14ac:dyDescent="0.2">
      <c r="A17" s="14"/>
      <c r="B17" s="14"/>
      <c r="C17" s="72" t="s">
        <v>99</v>
      </c>
      <c r="D17" s="77" t="s">
        <v>62</v>
      </c>
      <c r="E17" s="13">
        <v>44541</v>
      </c>
      <c r="F17" s="75" t="s">
        <v>81</v>
      </c>
      <c r="G17" s="13">
        <v>44580</v>
      </c>
      <c r="H17" s="76" t="s">
        <v>82</v>
      </c>
      <c r="I17" s="16">
        <v>42</v>
      </c>
      <c r="J17" s="16">
        <v>35</v>
      </c>
      <c r="K17" s="16">
        <v>29</v>
      </c>
      <c r="L17" s="16">
        <v>9</v>
      </c>
      <c r="M17" s="80">
        <v>10.657500000000001</v>
      </c>
      <c r="N17" s="97">
        <v>10.657500000000001</v>
      </c>
      <c r="O17" s="63">
        <v>14000</v>
      </c>
      <c r="P17" s="64">
        <f>Table2245789101123456[[#This Row],[PEMBULATAN]]*O17</f>
        <v>149205</v>
      </c>
      <c r="Q17" s="164"/>
    </row>
    <row r="18" spans="1:17" ht="26.25" customHeight="1" x14ac:dyDescent="0.2">
      <c r="A18" s="14"/>
      <c r="B18" s="14"/>
      <c r="C18" s="72" t="s">
        <v>100</v>
      </c>
      <c r="D18" s="77" t="s">
        <v>62</v>
      </c>
      <c r="E18" s="13">
        <v>44541</v>
      </c>
      <c r="F18" s="75" t="s">
        <v>81</v>
      </c>
      <c r="G18" s="13">
        <v>44580</v>
      </c>
      <c r="H18" s="76" t="s">
        <v>82</v>
      </c>
      <c r="I18" s="16">
        <v>38</v>
      </c>
      <c r="J18" s="16">
        <v>32</v>
      </c>
      <c r="K18" s="16">
        <v>18</v>
      </c>
      <c r="L18" s="16">
        <v>10</v>
      </c>
      <c r="M18" s="80">
        <v>5.4720000000000004</v>
      </c>
      <c r="N18" s="97">
        <v>10</v>
      </c>
      <c r="O18" s="63">
        <v>14000</v>
      </c>
      <c r="P18" s="64">
        <f>Table2245789101123456[[#This Row],[PEMBULATAN]]*O18</f>
        <v>140000</v>
      </c>
      <c r="Q18" s="164"/>
    </row>
    <row r="19" spans="1:17" ht="26.25" customHeight="1" x14ac:dyDescent="0.2">
      <c r="A19" s="14"/>
      <c r="B19" s="14"/>
      <c r="C19" s="72" t="s">
        <v>101</v>
      </c>
      <c r="D19" s="77" t="s">
        <v>62</v>
      </c>
      <c r="E19" s="13">
        <v>44541</v>
      </c>
      <c r="F19" s="75" t="s">
        <v>81</v>
      </c>
      <c r="G19" s="13">
        <v>44580</v>
      </c>
      <c r="H19" s="76" t="s">
        <v>82</v>
      </c>
      <c r="I19" s="16">
        <v>38</v>
      </c>
      <c r="J19" s="16">
        <v>32</v>
      </c>
      <c r="K19" s="16">
        <v>18</v>
      </c>
      <c r="L19" s="16">
        <v>10</v>
      </c>
      <c r="M19" s="80">
        <v>5.4720000000000004</v>
      </c>
      <c r="N19" s="97">
        <v>10</v>
      </c>
      <c r="O19" s="63">
        <v>14000</v>
      </c>
      <c r="P19" s="64">
        <f>Table2245789101123456[[#This Row],[PEMBULATAN]]*O19</f>
        <v>140000</v>
      </c>
      <c r="Q19" s="164"/>
    </row>
    <row r="20" spans="1:17" ht="26.25" customHeight="1" x14ac:dyDescent="0.2">
      <c r="A20" s="14"/>
      <c r="B20" s="14"/>
      <c r="C20" s="72" t="s">
        <v>102</v>
      </c>
      <c r="D20" s="77" t="s">
        <v>62</v>
      </c>
      <c r="E20" s="13">
        <v>44541</v>
      </c>
      <c r="F20" s="75" t="s">
        <v>81</v>
      </c>
      <c r="G20" s="13">
        <v>44580</v>
      </c>
      <c r="H20" s="76" t="s">
        <v>82</v>
      </c>
      <c r="I20" s="16">
        <v>74</v>
      </c>
      <c r="J20" s="16">
        <v>45</v>
      </c>
      <c r="K20" s="16">
        <v>12</v>
      </c>
      <c r="L20" s="16">
        <v>10</v>
      </c>
      <c r="M20" s="80">
        <v>9.99</v>
      </c>
      <c r="N20" s="97">
        <v>10</v>
      </c>
      <c r="O20" s="63">
        <v>14000</v>
      </c>
      <c r="P20" s="64">
        <f>Table2245789101123456[[#This Row],[PEMBULATAN]]*O20</f>
        <v>140000</v>
      </c>
      <c r="Q20" s="164"/>
    </row>
    <row r="21" spans="1:17" ht="26.25" customHeight="1" x14ac:dyDescent="0.2">
      <c r="A21" s="14"/>
      <c r="B21" s="14"/>
      <c r="C21" s="72" t="s">
        <v>103</v>
      </c>
      <c r="D21" s="77" t="s">
        <v>62</v>
      </c>
      <c r="E21" s="13">
        <v>44541</v>
      </c>
      <c r="F21" s="75" t="s">
        <v>81</v>
      </c>
      <c r="G21" s="13">
        <v>44580</v>
      </c>
      <c r="H21" s="76" t="s">
        <v>82</v>
      </c>
      <c r="I21" s="16">
        <v>57</v>
      </c>
      <c r="J21" s="16">
        <v>37</v>
      </c>
      <c r="K21" s="16">
        <v>10</v>
      </c>
      <c r="L21" s="16">
        <v>10</v>
      </c>
      <c r="M21" s="80">
        <v>5.2725</v>
      </c>
      <c r="N21" s="97">
        <v>10</v>
      </c>
      <c r="O21" s="63">
        <v>14000</v>
      </c>
      <c r="P21" s="64">
        <f>Table2245789101123456[[#This Row],[PEMBULATAN]]*O21</f>
        <v>140000</v>
      </c>
      <c r="Q21" s="164"/>
    </row>
    <row r="22" spans="1:17" ht="26.25" customHeight="1" x14ac:dyDescent="0.2">
      <c r="A22" s="14"/>
      <c r="B22" s="14"/>
      <c r="C22" s="72" t="s">
        <v>104</v>
      </c>
      <c r="D22" s="77" t="s">
        <v>62</v>
      </c>
      <c r="E22" s="13">
        <v>44541</v>
      </c>
      <c r="F22" s="75" t="s">
        <v>81</v>
      </c>
      <c r="G22" s="13">
        <v>44580</v>
      </c>
      <c r="H22" s="76" t="s">
        <v>82</v>
      </c>
      <c r="I22" s="16">
        <v>57</v>
      </c>
      <c r="J22" s="16">
        <v>37</v>
      </c>
      <c r="K22" s="16">
        <v>10</v>
      </c>
      <c r="L22" s="16">
        <v>10</v>
      </c>
      <c r="M22" s="80">
        <v>5.2725</v>
      </c>
      <c r="N22" s="97">
        <v>10</v>
      </c>
      <c r="O22" s="63">
        <v>14000</v>
      </c>
      <c r="P22" s="64">
        <f>Table2245789101123456[[#This Row],[PEMBULATAN]]*O22</f>
        <v>140000</v>
      </c>
      <c r="Q22" s="164"/>
    </row>
    <row r="23" spans="1:17" ht="26.25" customHeight="1" x14ac:dyDescent="0.2">
      <c r="A23" s="14"/>
      <c r="B23" s="14"/>
      <c r="C23" s="72" t="s">
        <v>105</v>
      </c>
      <c r="D23" s="77" t="s">
        <v>62</v>
      </c>
      <c r="E23" s="13">
        <v>44541</v>
      </c>
      <c r="F23" s="75" t="s">
        <v>81</v>
      </c>
      <c r="G23" s="13">
        <v>44580</v>
      </c>
      <c r="H23" s="76" t="s">
        <v>82</v>
      </c>
      <c r="I23" s="16">
        <v>77</v>
      </c>
      <c r="J23" s="16">
        <v>44</v>
      </c>
      <c r="K23" s="16">
        <v>8</v>
      </c>
      <c r="L23" s="16">
        <v>10</v>
      </c>
      <c r="M23" s="80">
        <v>6.7759999999999998</v>
      </c>
      <c r="N23" s="97">
        <v>10</v>
      </c>
      <c r="O23" s="63">
        <v>14000</v>
      </c>
      <c r="P23" s="64">
        <f>Table2245789101123456[[#This Row],[PEMBULATAN]]*O23</f>
        <v>140000</v>
      </c>
      <c r="Q23" s="164"/>
    </row>
    <row r="24" spans="1:17" ht="26.25" customHeight="1" x14ac:dyDescent="0.2">
      <c r="A24" s="14"/>
      <c r="B24" s="14"/>
      <c r="C24" s="72" t="s">
        <v>106</v>
      </c>
      <c r="D24" s="77" t="s">
        <v>62</v>
      </c>
      <c r="E24" s="13">
        <v>44541</v>
      </c>
      <c r="F24" s="75" t="s">
        <v>81</v>
      </c>
      <c r="G24" s="13">
        <v>44580</v>
      </c>
      <c r="H24" s="76" t="s">
        <v>82</v>
      </c>
      <c r="I24" s="16">
        <v>77</v>
      </c>
      <c r="J24" s="16">
        <v>44</v>
      </c>
      <c r="K24" s="16">
        <v>8</v>
      </c>
      <c r="L24" s="16">
        <v>10</v>
      </c>
      <c r="M24" s="80">
        <v>6.7759999999999998</v>
      </c>
      <c r="N24" s="97">
        <v>10</v>
      </c>
      <c r="O24" s="63">
        <v>14000</v>
      </c>
      <c r="P24" s="64">
        <f>Table2245789101123456[[#This Row],[PEMBULATAN]]*O24</f>
        <v>140000</v>
      </c>
      <c r="Q24" s="164"/>
    </row>
    <row r="25" spans="1:17" ht="26.25" customHeight="1" x14ac:dyDescent="0.2">
      <c r="A25" s="14"/>
      <c r="B25" s="14"/>
      <c r="C25" s="72" t="s">
        <v>107</v>
      </c>
      <c r="D25" s="77" t="s">
        <v>62</v>
      </c>
      <c r="E25" s="13">
        <v>44541</v>
      </c>
      <c r="F25" s="75" t="s">
        <v>81</v>
      </c>
      <c r="G25" s="13">
        <v>44580</v>
      </c>
      <c r="H25" s="76" t="s">
        <v>82</v>
      </c>
      <c r="I25" s="16">
        <v>77</v>
      </c>
      <c r="J25" s="16">
        <v>44</v>
      </c>
      <c r="K25" s="16">
        <v>8</v>
      </c>
      <c r="L25" s="16">
        <v>10</v>
      </c>
      <c r="M25" s="80">
        <v>6.7759999999999998</v>
      </c>
      <c r="N25" s="97">
        <v>10</v>
      </c>
      <c r="O25" s="63">
        <v>14000</v>
      </c>
      <c r="P25" s="64">
        <f>Table2245789101123456[[#This Row],[PEMBULATAN]]*O25</f>
        <v>140000</v>
      </c>
      <c r="Q25" s="164"/>
    </row>
    <row r="26" spans="1:17" ht="26.25" customHeight="1" x14ac:dyDescent="0.2">
      <c r="A26" s="14"/>
      <c r="B26" s="14"/>
      <c r="C26" s="72" t="s">
        <v>108</v>
      </c>
      <c r="D26" s="77" t="s">
        <v>62</v>
      </c>
      <c r="E26" s="13">
        <v>44541</v>
      </c>
      <c r="F26" s="75" t="s">
        <v>81</v>
      </c>
      <c r="G26" s="13">
        <v>44580</v>
      </c>
      <c r="H26" s="76" t="s">
        <v>82</v>
      </c>
      <c r="I26" s="16">
        <v>77</v>
      </c>
      <c r="J26" s="16">
        <v>44</v>
      </c>
      <c r="K26" s="16">
        <v>8</v>
      </c>
      <c r="L26" s="16">
        <v>10</v>
      </c>
      <c r="M26" s="80">
        <v>6.7759999999999998</v>
      </c>
      <c r="N26" s="97">
        <v>10</v>
      </c>
      <c r="O26" s="63">
        <v>14000</v>
      </c>
      <c r="P26" s="64">
        <f>Table2245789101123456[[#This Row],[PEMBULATAN]]*O26</f>
        <v>140000</v>
      </c>
      <c r="Q26" s="164"/>
    </row>
    <row r="27" spans="1:17" ht="26.25" customHeight="1" x14ac:dyDescent="0.2">
      <c r="A27" s="14"/>
      <c r="B27" s="14"/>
      <c r="C27" s="72" t="s">
        <v>109</v>
      </c>
      <c r="D27" s="77" t="s">
        <v>62</v>
      </c>
      <c r="E27" s="13">
        <v>44541</v>
      </c>
      <c r="F27" s="75" t="s">
        <v>81</v>
      </c>
      <c r="G27" s="13">
        <v>44580</v>
      </c>
      <c r="H27" s="76" t="s">
        <v>82</v>
      </c>
      <c r="I27" s="16">
        <v>77</v>
      </c>
      <c r="J27" s="16">
        <v>44</v>
      </c>
      <c r="K27" s="16">
        <v>8</v>
      </c>
      <c r="L27" s="16">
        <v>10</v>
      </c>
      <c r="M27" s="80">
        <v>6.7759999999999998</v>
      </c>
      <c r="N27" s="97">
        <v>10</v>
      </c>
      <c r="O27" s="63">
        <v>14000</v>
      </c>
      <c r="P27" s="64">
        <f>Table2245789101123456[[#This Row],[PEMBULATAN]]*O27</f>
        <v>140000</v>
      </c>
      <c r="Q27" s="164"/>
    </row>
    <row r="28" spans="1:17" ht="26.25" customHeight="1" x14ac:dyDescent="0.2">
      <c r="A28" s="14"/>
      <c r="B28" s="14"/>
      <c r="C28" s="72" t="s">
        <v>110</v>
      </c>
      <c r="D28" s="77" t="s">
        <v>62</v>
      </c>
      <c r="E28" s="13">
        <v>44541</v>
      </c>
      <c r="F28" s="75" t="s">
        <v>81</v>
      </c>
      <c r="G28" s="13">
        <v>44580</v>
      </c>
      <c r="H28" s="76" t="s">
        <v>82</v>
      </c>
      <c r="I28" s="16">
        <v>47</v>
      </c>
      <c r="J28" s="16">
        <v>33</v>
      </c>
      <c r="K28" s="16">
        <v>33</v>
      </c>
      <c r="L28" s="16">
        <v>16</v>
      </c>
      <c r="M28" s="80">
        <v>12.79575</v>
      </c>
      <c r="N28" s="97">
        <v>16</v>
      </c>
      <c r="O28" s="63">
        <v>14000</v>
      </c>
      <c r="P28" s="64">
        <f>Table2245789101123456[[#This Row],[PEMBULATAN]]*O28</f>
        <v>224000</v>
      </c>
      <c r="Q28" s="164"/>
    </row>
    <row r="29" spans="1:17" ht="26.25" customHeight="1" x14ac:dyDescent="0.2">
      <c r="A29" s="14"/>
      <c r="B29" s="14"/>
      <c r="C29" s="72" t="s">
        <v>111</v>
      </c>
      <c r="D29" s="77" t="s">
        <v>62</v>
      </c>
      <c r="E29" s="13">
        <v>44541</v>
      </c>
      <c r="F29" s="75" t="s">
        <v>81</v>
      </c>
      <c r="G29" s="13">
        <v>44580</v>
      </c>
      <c r="H29" s="76" t="s">
        <v>82</v>
      </c>
      <c r="I29" s="16">
        <v>61</v>
      </c>
      <c r="J29" s="16">
        <v>41</v>
      </c>
      <c r="K29" s="16">
        <v>75</v>
      </c>
      <c r="L29" s="16">
        <v>31</v>
      </c>
      <c r="M29" s="80">
        <v>46.893749999999997</v>
      </c>
      <c r="N29" s="97">
        <v>46.893749999999997</v>
      </c>
      <c r="O29" s="63">
        <v>14000</v>
      </c>
      <c r="P29" s="64">
        <f>Table2245789101123456[[#This Row],[PEMBULATAN]]*O29</f>
        <v>656512.5</v>
      </c>
      <c r="Q29" s="164"/>
    </row>
    <row r="30" spans="1:17" ht="26.25" customHeight="1" x14ac:dyDescent="0.2">
      <c r="A30" s="14"/>
      <c r="B30" s="14"/>
      <c r="C30" s="72" t="s">
        <v>112</v>
      </c>
      <c r="D30" s="77" t="s">
        <v>62</v>
      </c>
      <c r="E30" s="13">
        <v>44541</v>
      </c>
      <c r="F30" s="75" t="s">
        <v>81</v>
      </c>
      <c r="G30" s="13">
        <v>44580</v>
      </c>
      <c r="H30" s="76" t="s">
        <v>82</v>
      </c>
      <c r="I30" s="16">
        <v>61</v>
      </c>
      <c r="J30" s="16">
        <v>41</v>
      </c>
      <c r="K30" s="16">
        <v>75</v>
      </c>
      <c r="L30" s="16">
        <v>31</v>
      </c>
      <c r="M30" s="80">
        <v>46.893749999999997</v>
      </c>
      <c r="N30" s="97">
        <v>46.893749999999997</v>
      </c>
      <c r="O30" s="63">
        <v>14000</v>
      </c>
      <c r="P30" s="64">
        <f>Table2245789101123456[[#This Row],[PEMBULATAN]]*O30</f>
        <v>656512.5</v>
      </c>
      <c r="Q30" s="164"/>
    </row>
    <row r="31" spans="1:17" ht="26.25" customHeight="1" x14ac:dyDescent="0.2">
      <c r="A31" s="14"/>
      <c r="B31" s="14"/>
      <c r="C31" s="72" t="s">
        <v>113</v>
      </c>
      <c r="D31" s="77" t="s">
        <v>62</v>
      </c>
      <c r="E31" s="13">
        <v>44541</v>
      </c>
      <c r="F31" s="75" t="s">
        <v>81</v>
      </c>
      <c r="G31" s="13">
        <v>44580</v>
      </c>
      <c r="H31" s="76" t="s">
        <v>82</v>
      </c>
      <c r="I31" s="16">
        <v>61</v>
      </c>
      <c r="J31" s="16">
        <v>41</v>
      </c>
      <c r="K31" s="16">
        <v>75</v>
      </c>
      <c r="L31" s="16">
        <v>31</v>
      </c>
      <c r="M31" s="80">
        <v>46.893749999999997</v>
      </c>
      <c r="N31" s="97">
        <v>46.893749999999997</v>
      </c>
      <c r="O31" s="63">
        <v>14000</v>
      </c>
      <c r="P31" s="64">
        <f>Table2245789101123456[[#This Row],[PEMBULATAN]]*O31</f>
        <v>656512.5</v>
      </c>
      <c r="Q31" s="164"/>
    </row>
    <row r="32" spans="1:17" ht="26.25" customHeight="1" x14ac:dyDescent="0.2">
      <c r="A32" s="14"/>
      <c r="B32" s="14"/>
      <c r="C32" s="72" t="s">
        <v>114</v>
      </c>
      <c r="D32" s="77" t="s">
        <v>62</v>
      </c>
      <c r="E32" s="13">
        <v>44541</v>
      </c>
      <c r="F32" s="75" t="s">
        <v>81</v>
      </c>
      <c r="G32" s="13">
        <v>44580</v>
      </c>
      <c r="H32" s="76" t="s">
        <v>82</v>
      </c>
      <c r="I32" s="16">
        <v>61</v>
      </c>
      <c r="J32" s="16">
        <v>41</v>
      </c>
      <c r="K32" s="16">
        <v>75</v>
      </c>
      <c r="L32" s="16">
        <v>31</v>
      </c>
      <c r="M32" s="80">
        <v>46.893749999999997</v>
      </c>
      <c r="N32" s="97">
        <v>46.893749999999997</v>
      </c>
      <c r="O32" s="63">
        <v>14000</v>
      </c>
      <c r="P32" s="64">
        <f>Table2245789101123456[[#This Row],[PEMBULATAN]]*O32</f>
        <v>656512.5</v>
      </c>
      <c r="Q32" s="171"/>
    </row>
    <row r="33" spans="1:16" ht="22.5" customHeight="1" x14ac:dyDescent="0.2">
      <c r="A33" s="166" t="s">
        <v>30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8"/>
      <c r="M33" s="78">
        <f>SUBTOTAL(109,Table2245789101123456[KG VOLUME])</f>
        <v>352.58575000000002</v>
      </c>
      <c r="N33" s="67">
        <f>SUM(N3:N32)</f>
        <v>450.20500000000004</v>
      </c>
      <c r="O33" s="169">
        <f>SUM(P3:P32)</f>
        <v>6302870</v>
      </c>
      <c r="P33" s="170"/>
    </row>
    <row r="34" spans="1:16" ht="18" customHeight="1" x14ac:dyDescent="0.2">
      <c r="A34" s="85"/>
      <c r="B34" s="56" t="s">
        <v>42</v>
      </c>
      <c r="C34" s="55"/>
      <c r="D34" s="57" t="s">
        <v>43</v>
      </c>
      <c r="E34" s="85"/>
      <c r="F34" s="85"/>
      <c r="G34" s="85"/>
      <c r="H34" s="85"/>
      <c r="I34" s="85"/>
      <c r="J34" s="85"/>
      <c r="K34" s="85"/>
      <c r="L34" s="85"/>
      <c r="M34" s="86"/>
      <c r="N34" s="87" t="s">
        <v>51</v>
      </c>
      <c r="O34" s="88"/>
      <c r="P34" s="88">
        <f>O33*10%</f>
        <v>630287</v>
      </c>
    </row>
    <row r="35" spans="1:16" ht="18" customHeight="1" thickBot="1" x14ac:dyDescent="0.25">
      <c r="A35" s="85"/>
      <c r="B35" s="56"/>
      <c r="C35" s="55"/>
      <c r="D35" s="57"/>
      <c r="E35" s="85"/>
      <c r="F35" s="85"/>
      <c r="G35" s="85"/>
      <c r="H35" s="85"/>
      <c r="I35" s="85"/>
      <c r="J35" s="85"/>
      <c r="K35" s="85"/>
      <c r="L35" s="85"/>
      <c r="M35" s="86"/>
      <c r="N35" s="89" t="s">
        <v>52</v>
      </c>
      <c r="O35" s="90"/>
      <c r="P35" s="90">
        <f>O33-P34</f>
        <v>5672583</v>
      </c>
    </row>
    <row r="36" spans="1:16" ht="18" customHeight="1" x14ac:dyDescent="0.2">
      <c r="A36" s="11"/>
      <c r="H36" s="62"/>
      <c r="N36" s="61" t="s">
        <v>31</v>
      </c>
      <c r="P36" s="68">
        <f>P35*1%</f>
        <v>56725.83</v>
      </c>
    </row>
    <row r="37" spans="1:16" ht="18" customHeight="1" thickBot="1" x14ac:dyDescent="0.25">
      <c r="A37" s="11"/>
      <c r="H37" s="62"/>
      <c r="N37" s="61" t="s">
        <v>53</v>
      </c>
      <c r="P37" s="70">
        <f>P35*2%</f>
        <v>113451.66</v>
      </c>
    </row>
    <row r="38" spans="1:16" ht="18" customHeight="1" x14ac:dyDescent="0.2">
      <c r="A38" s="11"/>
      <c r="H38" s="62"/>
      <c r="N38" s="65" t="s">
        <v>32</v>
      </c>
      <c r="O38" s="66"/>
      <c r="P38" s="69">
        <f>P35+P36-P37</f>
        <v>5615857.1699999999</v>
      </c>
    </row>
    <row r="40" spans="1:16" x14ac:dyDescent="0.2">
      <c r="A40" s="11"/>
      <c r="H40" s="62"/>
      <c r="P40" s="70"/>
    </row>
    <row r="41" spans="1:16" x14ac:dyDescent="0.2">
      <c r="A41" s="11"/>
      <c r="H41" s="62"/>
      <c r="O41" s="58"/>
      <c r="P41" s="70"/>
    </row>
    <row r="42" spans="1:16" s="3" customFormat="1" x14ac:dyDescent="0.25">
      <c r="A42" s="11"/>
      <c r="B42" s="2"/>
      <c r="C42" s="2"/>
      <c r="E42" s="12"/>
      <c r="H42" s="62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2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2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2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2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2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2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2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2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2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2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2"/>
      <c r="N53" s="15"/>
      <c r="O53" s="15"/>
      <c r="P53" s="15"/>
    </row>
  </sheetData>
  <mergeCells count="3">
    <mergeCell ref="A33:L33"/>
    <mergeCell ref="O33:P33"/>
    <mergeCell ref="Q3:Q32"/>
  </mergeCells>
  <conditionalFormatting sqref="B3">
    <cfRule type="duplicateValues" dxfId="191" priority="2"/>
  </conditionalFormatting>
  <conditionalFormatting sqref="B4">
    <cfRule type="duplicateValues" dxfId="190" priority="1"/>
  </conditionalFormatting>
  <conditionalFormatting sqref="B5:B32">
    <cfRule type="duplicateValues" dxfId="189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14" sqref="M14"/>
    </sheetView>
  </sheetViews>
  <sheetFormatPr defaultRowHeight="15" x14ac:dyDescent="0.2"/>
  <cols>
    <col min="1" max="1" width="7.28515625" style="4" customWidth="1"/>
    <col min="2" max="2" width="21.1406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7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406470</v>
      </c>
      <c r="B3" s="73" t="s">
        <v>115</v>
      </c>
      <c r="C3" s="9" t="s">
        <v>116</v>
      </c>
      <c r="D3" s="75" t="s">
        <v>62</v>
      </c>
      <c r="E3" s="13">
        <v>44542</v>
      </c>
      <c r="F3" s="75" t="s">
        <v>81</v>
      </c>
      <c r="G3" s="13">
        <v>44580</v>
      </c>
      <c r="H3" s="10" t="s">
        <v>82</v>
      </c>
      <c r="I3" s="1">
        <v>45</v>
      </c>
      <c r="J3" s="1">
        <v>45</v>
      </c>
      <c r="K3" s="1">
        <v>72</v>
      </c>
      <c r="L3" s="1">
        <v>14</v>
      </c>
      <c r="M3" s="79">
        <v>36.450000000000003</v>
      </c>
      <c r="N3" s="8">
        <v>37</v>
      </c>
      <c r="O3" s="63">
        <v>14000</v>
      </c>
      <c r="P3" s="64">
        <f>Table22457891011234567[[#This Row],[PEMBULATAN]]*O3</f>
        <v>518000</v>
      </c>
      <c r="Q3" s="99">
        <v>1</v>
      </c>
    </row>
    <row r="4" spans="1:17" ht="22.5" customHeight="1" x14ac:dyDescent="0.2">
      <c r="A4" s="166" t="s">
        <v>30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8"/>
      <c r="M4" s="78">
        <f>SUBTOTAL(109,Table22457891011234567[KG VOLUME])</f>
        <v>36.450000000000003</v>
      </c>
      <c r="N4" s="67">
        <f>SUM(N3:N3)</f>
        <v>37</v>
      </c>
      <c r="O4" s="169">
        <f>SUM(P3:P3)</f>
        <v>518000</v>
      </c>
      <c r="P4" s="170"/>
    </row>
    <row r="5" spans="1:17" ht="18" customHeight="1" x14ac:dyDescent="0.2">
      <c r="A5" s="85"/>
      <c r="B5" s="56" t="s">
        <v>42</v>
      </c>
      <c r="C5" s="55"/>
      <c r="D5" s="57" t="s">
        <v>43</v>
      </c>
      <c r="E5" s="85"/>
      <c r="F5" s="85"/>
      <c r="G5" s="85"/>
      <c r="H5" s="85"/>
      <c r="I5" s="85"/>
      <c r="J5" s="85"/>
      <c r="K5" s="85"/>
      <c r="L5" s="85"/>
      <c r="M5" s="86"/>
      <c r="N5" s="87" t="s">
        <v>51</v>
      </c>
      <c r="O5" s="88"/>
      <c r="P5" s="88">
        <f>O4*10%</f>
        <v>51800</v>
      </c>
    </row>
    <row r="6" spans="1:17" ht="18" customHeight="1" thickBot="1" x14ac:dyDescent="0.25">
      <c r="A6" s="85"/>
      <c r="B6" s="56"/>
      <c r="C6" s="55"/>
      <c r="D6" s="57"/>
      <c r="E6" s="85"/>
      <c r="F6" s="85"/>
      <c r="G6" s="85"/>
      <c r="H6" s="85"/>
      <c r="I6" s="85"/>
      <c r="J6" s="85"/>
      <c r="K6" s="85"/>
      <c r="L6" s="85"/>
      <c r="M6" s="86"/>
      <c r="N6" s="89" t="s">
        <v>52</v>
      </c>
      <c r="O6" s="90"/>
      <c r="P6" s="90">
        <f>O4-P5</f>
        <v>466200</v>
      </c>
    </row>
    <row r="7" spans="1:17" ht="18" customHeight="1" x14ac:dyDescent="0.2">
      <c r="A7" s="11"/>
      <c r="H7" s="62"/>
      <c r="N7" s="61" t="s">
        <v>31</v>
      </c>
      <c r="P7" s="68">
        <f>P6*1%</f>
        <v>4662</v>
      </c>
    </row>
    <row r="8" spans="1:17" ht="18" customHeight="1" thickBot="1" x14ac:dyDescent="0.25">
      <c r="A8" s="11"/>
      <c r="H8" s="62"/>
      <c r="N8" s="61" t="s">
        <v>53</v>
      </c>
      <c r="P8" s="70">
        <f>P6*2%</f>
        <v>9324</v>
      </c>
    </row>
    <row r="9" spans="1:17" ht="18" customHeight="1" x14ac:dyDescent="0.2">
      <c r="A9" s="11"/>
      <c r="H9" s="62"/>
      <c r="N9" s="65" t="s">
        <v>32</v>
      </c>
      <c r="O9" s="66"/>
      <c r="P9" s="69">
        <f>P6+P7-P8</f>
        <v>461538</v>
      </c>
    </row>
    <row r="11" spans="1:17" x14ac:dyDescent="0.2">
      <c r="A11" s="11"/>
      <c r="H11" s="62"/>
      <c r="P11" s="70"/>
    </row>
    <row r="12" spans="1:17" x14ac:dyDescent="0.2">
      <c r="A12" s="11"/>
      <c r="H12" s="62"/>
      <c r="O12" s="58"/>
      <c r="P12" s="70"/>
    </row>
    <row r="13" spans="1:17" s="3" customFormat="1" x14ac:dyDescent="0.25">
      <c r="A13" s="11"/>
      <c r="B13" s="2"/>
      <c r="C13" s="2"/>
      <c r="E13" s="12"/>
      <c r="H13" s="62"/>
      <c r="N13" s="15"/>
      <c r="O13" s="15"/>
      <c r="P13" s="15"/>
    </row>
    <row r="14" spans="1:17" s="3" customFormat="1" x14ac:dyDescent="0.25">
      <c r="A14" s="11"/>
      <c r="B14" s="2"/>
      <c r="C14" s="2"/>
      <c r="E14" s="12"/>
      <c r="H14" s="62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17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56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K39" sqref="K39"/>
    </sheetView>
  </sheetViews>
  <sheetFormatPr defaultRowHeight="15" x14ac:dyDescent="0.2"/>
  <cols>
    <col min="1" max="1" width="6.4257812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5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2">
        <v>402672</v>
      </c>
      <c r="B3" s="73" t="s">
        <v>117</v>
      </c>
      <c r="C3" s="9" t="s">
        <v>118</v>
      </c>
      <c r="D3" s="75" t="s">
        <v>62</v>
      </c>
      <c r="E3" s="13">
        <v>44546</v>
      </c>
      <c r="F3" s="75" t="s">
        <v>151</v>
      </c>
      <c r="G3" s="13">
        <v>44559</v>
      </c>
      <c r="H3" s="10" t="s">
        <v>152</v>
      </c>
      <c r="I3" s="1">
        <v>43</v>
      </c>
      <c r="J3" s="1">
        <v>32</v>
      </c>
      <c r="K3" s="1">
        <v>28</v>
      </c>
      <c r="L3" s="1">
        <v>10</v>
      </c>
      <c r="M3" s="79">
        <v>9.6319999999999997</v>
      </c>
      <c r="N3" s="97">
        <v>10</v>
      </c>
      <c r="O3" s="63">
        <v>14000</v>
      </c>
      <c r="P3" s="64">
        <f>Table224578910112345678[[#This Row],[PEMBULATAN]]*O3</f>
        <v>140000</v>
      </c>
      <c r="Q3" s="163">
        <v>33</v>
      </c>
    </row>
    <row r="4" spans="1:17" ht="26.25" customHeight="1" x14ac:dyDescent="0.2">
      <c r="A4" s="14"/>
      <c r="B4" s="74"/>
      <c r="C4" s="9" t="s">
        <v>119</v>
      </c>
      <c r="D4" s="75" t="s">
        <v>62</v>
      </c>
      <c r="E4" s="13">
        <v>44546</v>
      </c>
      <c r="F4" s="75" t="s">
        <v>151</v>
      </c>
      <c r="G4" s="13">
        <v>44559</v>
      </c>
      <c r="H4" s="10" t="s">
        <v>152</v>
      </c>
      <c r="I4" s="1">
        <v>43</v>
      </c>
      <c r="J4" s="1">
        <v>32</v>
      </c>
      <c r="K4" s="1">
        <v>28</v>
      </c>
      <c r="L4" s="1">
        <v>10</v>
      </c>
      <c r="M4" s="79">
        <v>9.6319999999999997</v>
      </c>
      <c r="N4" s="97">
        <v>10</v>
      </c>
      <c r="O4" s="63">
        <v>14000</v>
      </c>
      <c r="P4" s="64">
        <f>Table224578910112345678[[#This Row],[PEMBULATAN]]*O4</f>
        <v>140000</v>
      </c>
      <c r="Q4" s="164"/>
    </row>
    <row r="5" spans="1:17" ht="26.25" customHeight="1" x14ac:dyDescent="0.2">
      <c r="A5" s="14"/>
      <c r="B5" s="14"/>
      <c r="C5" s="9" t="s">
        <v>120</v>
      </c>
      <c r="D5" s="75" t="s">
        <v>62</v>
      </c>
      <c r="E5" s="13">
        <v>44546</v>
      </c>
      <c r="F5" s="75" t="s">
        <v>151</v>
      </c>
      <c r="G5" s="13">
        <v>44559</v>
      </c>
      <c r="H5" s="10" t="s">
        <v>152</v>
      </c>
      <c r="I5" s="1">
        <v>43</v>
      </c>
      <c r="J5" s="1">
        <v>32</v>
      </c>
      <c r="K5" s="1">
        <v>28</v>
      </c>
      <c r="L5" s="1">
        <v>10</v>
      </c>
      <c r="M5" s="79">
        <v>9.6319999999999997</v>
      </c>
      <c r="N5" s="97">
        <v>10</v>
      </c>
      <c r="O5" s="63">
        <v>14000</v>
      </c>
      <c r="P5" s="64">
        <f>Table224578910112345678[[#This Row],[PEMBULATAN]]*O5</f>
        <v>140000</v>
      </c>
      <c r="Q5" s="164"/>
    </row>
    <row r="6" spans="1:17" ht="26.25" customHeight="1" x14ac:dyDescent="0.2">
      <c r="A6" s="14"/>
      <c r="B6" s="14"/>
      <c r="C6" s="72" t="s">
        <v>121</v>
      </c>
      <c r="D6" s="77" t="s">
        <v>62</v>
      </c>
      <c r="E6" s="13">
        <v>44546</v>
      </c>
      <c r="F6" s="75" t="s">
        <v>151</v>
      </c>
      <c r="G6" s="13">
        <v>44559</v>
      </c>
      <c r="H6" s="76" t="s">
        <v>152</v>
      </c>
      <c r="I6" s="16">
        <v>55</v>
      </c>
      <c r="J6" s="16">
        <v>32</v>
      </c>
      <c r="K6" s="16">
        <v>6</v>
      </c>
      <c r="L6" s="16">
        <v>10</v>
      </c>
      <c r="M6" s="80">
        <v>2.64</v>
      </c>
      <c r="N6" s="97">
        <v>10</v>
      </c>
      <c r="O6" s="63">
        <v>14000</v>
      </c>
      <c r="P6" s="64">
        <f>Table224578910112345678[[#This Row],[PEMBULATAN]]*O6</f>
        <v>140000</v>
      </c>
      <c r="Q6" s="164"/>
    </row>
    <row r="7" spans="1:17" ht="26.25" customHeight="1" x14ac:dyDescent="0.2">
      <c r="A7" s="14"/>
      <c r="B7" s="14"/>
      <c r="C7" s="72" t="s">
        <v>122</v>
      </c>
      <c r="D7" s="77" t="s">
        <v>62</v>
      </c>
      <c r="E7" s="13">
        <v>44546</v>
      </c>
      <c r="F7" s="75" t="s">
        <v>151</v>
      </c>
      <c r="G7" s="13">
        <v>44559</v>
      </c>
      <c r="H7" s="76" t="s">
        <v>152</v>
      </c>
      <c r="I7" s="16">
        <v>55</v>
      </c>
      <c r="J7" s="16">
        <v>32</v>
      </c>
      <c r="K7" s="16">
        <v>6</v>
      </c>
      <c r="L7" s="16">
        <v>10</v>
      </c>
      <c r="M7" s="80">
        <v>2.64</v>
      </c>
      <c r="N7" s="97">
        <v>10</v>
      </c>
      <c r="O7" s="63">
        <v>14000</v>
      </c>
      <c r="P7" s="64">
        <f>Table224578910112345678[[#This Row],[PEMBULATAN]]*O7</f>
        <v>140000</v>
      </c>
      <c r="Q7" s="164"/>
    </row>
    <row r="8" spans="1:17" ht="26.25" customHeight="1" x14ac:dyDescent="0.2">
      <c r="A8" s="14"/>
      <c r="B8" s="14"/>
      <c r="C8" s="72" t="s">
        <v>123</v>
      </c>
      <c r="D8" s="77" t="s">
        <v>62</v>
      </c>
      <c r="E8" s="13">
        <v>44546</v>
      </c>
      <c r="F8" s="75" t="s">
        <v>151</v>
      </c>
      <c r="G8" s="13">
        <v>44559</v>
      </c>
      <c r="H8" s="76" t="s">
        <v>152</v>
      </c>
      <c r="I8" s="16">
        <v>55</v>
      </c>
      <c r="J8" s="16">
        <v>32</v>
      </c>
      <c r="K8" s="16">
        <v>6</v>
      </c>
      <c r="L8" s="16">
        <v>10</v>
      </c>
      <c r="M8" s="80">
        <v>2.64</v>
      </c>
      <c r="N8" s="97">
        <v>10</v>
      </c>
      <c r="O8" s="63">
        <v>14000</v>
      </c>
      <c r="P8" s="64">
        <f>Table224578910112345678[[#This Row],[PEMBULATAN]]*O8</f>
        <v>140000</v>
      </c>
      <c r="Q8" s="164"/>
    </row>
    <row r="9" spans="1:17" ht="26.25" customHeight="1" x14ac:dyDescent="0.2">
      <c r="A9" s="14"/>
      <c r="B9" s="14"/>
      <c r="C9" s="72" t="s">
        <v>124</v>
      </c>
      <c r="D9" s="77" t="s">
        <v>62</v>
      </c>
      <c r="E9" s="13">
        <v>44546</v>
      </c>
      <c r="F9" s="75" t="s">
        <v>151</v>
      </c>
      <c r="G9" s="13">
        <v>44559</v>
      </c>
      <c r="H9" s="76" t="s">
        <v>152</v>
      </c>
      <c r="I9" s="16">
        <v>55</v>
      </c>
      <c r="J9" s="16">
        <v>32</v>
      </c>
      <c r="K9" s="16">
        <v>6</v>
      </c>
      <c r="L9" s="16">
        <v>10</v>
      </c>
      <c r="M9" s="80">
        <v>2.64</v>
      </c>
      <c r="N9" s="97">
        <v>10</v>
      </c>
      <c r="O9" s="63">
        <v>14000</v>
      </c>
      <c r="P9" s="64">
        <f>Table224578910112345678[[#This Row],[PEMBULATAN]]*O9</f>
        <v>140000</v>
      </c>
      <c r="Q9" s="164"/>
    </row>
    <row r="10" spans="1:17" ht="26.25" customHeight="1" x14ac:dyDescent="0.2">
      <c r="A10" s="14"/>
      <c r="B10" s="14"/>
      <c r="C10" s="72" t="s">
        <v>125</v>
      </c>
      <c r="D10" s="77" t="s">
        <v>62</v>
      </c>
      <c r="E10" s="13">
        <v>44546</v>
      </c>
      <c r="F10" s="75" t="s">
        <v>151</v>
      </c>
      <c r="G10" s="13">
        <v>44559</v>
      </c>
      <c r="H10" s="76" t="s">
        <v>152</v>
      </c>
      <c r="I10" s="16">
        <v>55</v>
      </c>
      <c r="J10" s="16">
        <v>32</v>
      </c>
      <c r="K10" s="16">
        <v>6</v>
      </c>
      <c r="L10" s="16">
        <v>10</v>
      </c>
      <c r="M10" s="80">
        <v>2.64</v>
      </c>
      <c r="N10" s="97">
        <v>10</v>
      </c>
      <c r="O10" s="63">
        <v>14000</v>
      </c>
      <c r="P10" s="64">
        <f>Table224578910112345678[[#This Row],[PEMBULATAN]]*O10</f>
        <v>140000</v>
      </c>
      <c r="Q10" s="164"/>
    </row>
    <row r="11" spans="1:17" ht="26.25" customHeight="1" x14ac:dyDescent="0.2">
      <c r="A11" s="14"/>
      <c r="B11" s="14"/>
      <c r="C11" s="72" t="s">
        <v>126</v>
      </c>
      <c r="D11" s="77" t="s">
        <v>62</v>
      </c>
      <c r="E11" s="13">
        <v>44546</v>
      </c>
      <c r="F11" s="75" t="s">
        <v>151</v>
      </c>
      <c r="G11" s="13">
        <v>44559</v>
      </c>
      <c r="H11" s="76" t="s">
        <v>152</v>
      </c>
      <c r="I11" s="16">
        <v>55</v>
      </c>
      <c r="J11" s="16">
        <v>32</v>
      </c>
      <c r="K11" s="16">
        <v>6</v>
      </c>
      <c r="L11" s="16">
        <v>10</v>
      </c>
      <c r="M11" s="80">
        <v>2.64</v>
      </c>
      <c r="N11" s="97">
        <v>10</v>
      </c>
      <c r="O11" s="63">
        <v>14000</v>
      </c>
      <c r="P11" s="64">
        <f>Table224578910112345678[[#This Row],[PEMBULATAN]]*O11</f>
        <v>140000</v>
      </c>
      <c r="Q11" s="164"/>
    </row>
    <row r="12" spans="1:17" ht="26.25" customHeight="1" x14ac:dyDescent="0.2">
      <c r="A12" s="14"/>
      <c r="B12" s="14"/>
      <c r="C12" s="72" t="s">
        <v>127</v>
      </c>
      <c r="D12" s="77" t="s">
        <v>62</v>
      </c>
      <c r="E12" s="13">
        <v>44546</v>
      </c>
      <c r="F12" s="75" t="s">
        <v>151</v>
      </c>
      <c r="G12" s="13">
        <v>44559</v>
      </c>
      <c r="H12" s="76" t="s">
        <v>152</v>
      </c>
      <c r="I12" s="16">
        <v>37</v>
      </c>
      <c r="J12" s="16">
        <v>28</v>
      </c>
      <c r="K12" s="16">
        <v>13</v>
      </c>
      <c r="L12" s="16">
        <v>10</v>
      </c>
      <c r="M12" s="80">
        <v>3.367</v>
      </c>
      <c r="N12" s="97">
        <v>10</v>
      </c>
      <c r="O12" s="63">
        <v>14000</v>
      </c>
      <c r="P12" s="64">
        <f>Table224578910112345678[[#This Row],[PEMBULATAN]]*O12</f>
        <v>140000</v>
      </c>
      <c r="Q12" s="164"/>
    </row>
    <row r="13" spans="1:17" ht="26.25" customHeight="1" x14ac:dyDescent="0.2">
      <c r="A13" s="14"/>
      <c r="B13" s="14"/>
      <c r="C13" s="72" t="s">
        <v>128</v>
      </c>
      <c r="D13" s="77" t="s">
        <v>62</v>
      </c>
      <c r="E13" s="13">
        <v>44546</v>
      </c>
      <c r="F13" s="75" t="s">
        <v>151</v>
      </c>
      <c r="G13" s="13">
        <v>44559</v>
      </c>
      <c r="H13" s="76" t="s">
        <v>152</v>
      </c>
      <c r="I13" s="16">
        <v>37</v>
      </c>
      <c r="J13" s="16">
        <v>28</v>
      </c>
      <c r="K13" s="16">
        <v>13</v>
      </c>
      <c r="L13" s="16">
        <v>10</v>
      </c>
      <c r="M13" s="80">
        <v>3.367</v>
      </c>
      <c r="N13" s="97">
        <v>10</v>
      </c>
      <c r="O13" s="63">
        <v>14000</v>
      </c>
      <c r="P13" s="64">
        <f>Table224578910112345678[[#This Row],[PEMBULATAN]]*O13</f>
        <v>140000</v>
      </c>
      <c r="Q13" s="164"/>
    </row>
    <row r="14" spans="1:17" ht="26.25" customHeight="1" x14ac:dyDescent="0.2">
      <c r="A14" s="14"/>
      <c r="B14" s="14"/>
      <c r="C14" s="72" t="s">
        <v>129</v>
      </c>
      <c r="D14" s="77" t="s">
        <v>62</v>
      </c>
      <c r="E14" s="13">
        <v>44546</v>
      </c>
      <c r="F14" s="75" t="s">
        <v>151</v>
      </c>
      <c r="G14" s="13">
        <v>44559</v>
      </c>
      <c r="H14" s="76" t="s">
        <v>152</v>
      </c>
      <c r="I14" s="16">
        <v>37</v>
      </c>
      <c r="J14" s="16">
        <v>28</v>
      </c>
      <c r="K14" s="16">
        <v>13</v>
      </c>
      <c r="L14" s="16">
        <v>10</v>
      </c>
      <c r="M14" s="80">
        <v>3.367</v>
      </c>
      <c r="N14" s="97">
        <v>10</v>
      </c>
      <c r="O14" s="63">
        <v>14000</v>
      </c>
      <c r="P14" s="64">
        <f>Table224578910112345678[[#This Row],[PEMBULATAN]]*O14</f>
        <v>140000</v>
      </c>
      <c r="Q14" s="164"/>
    </row>
    <row r="15" spans="1:17" ht="26.25" customHeight="1" x14ac:dyDescent="0.2">
      <c r="A15" s="14"/>
      <c r="B15" s="14"/>
      <c r="C15" s="72" t="s">
        <v>130</v>
      </c>
      <c r="D15" s="77" t="s">
        <v>62</v>
      </c>
      <c r="E15" s="13">
        <v>44546</v>
      </c>
      <c r="F15" s="75" t="s">
        <v>151</v>
      </c>
      <c r="G15" s="13">
        <v>44559</v>
      </c>
      <c r="H15" s="76" t="s">
        <v>152</v>
      </c>
      <c r="I15" s="16">
        <v>37</v>
      </c>
      <c r="J15" s="16">
        <v>28</v>
      </c>
      <c r="K15" s="16">
        <v>13</v>
      </c>
      <c r="L15" s="16">
        <v>10</v>
      </c>
      <c r="M15" s="80">
        <v>3.367</v>
      </c>
      <c r="N15" s="97">
        <v>10</v>
      </c>
      <c r="O15" s="63">
        <v>14000</v>
      </c>
      <c r="P15" s="64">
        <f>Table224578910112345678[[#This Row],[PEMBULATAN]]*O15</f>
        <v>140000</v>
      </c>
      <c r="Q15" s="164"/>
    </row>
    <row r="16" spans="1:17" ht="26.25" customHeight="1" x14ac:dyDescent="0.2">
      <c r="A16" s="14"/>
      <c r="B16" s="14"/>
      <c r="C16" s="72" t="s">
        <v>131</v>
      </c>
      <c r="D16" s="77" t="s">
        <v>62</v>
      </c>
      <c r="E16" s="13">
        <v>44546</v>
      </c>
      <c r="F16" s="75" t="s">
        <v>151</v>
      </c>
      <c r="G16" s="13">
        <v>44559</v>
      </c>
      <c r="H16" s="76" t="s">
        <v>152</v>
      </c>
      <c r="I16" s="16">
        <v>56</v>
      </c>
      <c r="J16" s="16">
        <v>50</v>
      </c>
      <c r="K16" s="16">
        <v>10</v>
      </c>
      <c r="L16" s="16">
        <v>10</v>
      </c>
      <c r="M16" s="80">
        <v>7</v>
      </c>
      <c r="N16" s="97">
        <v>10</v>
      </c>
      <c r="O16" s="63">
        <v>14000</v>
      </c>
      <c r="P16" s="64">
        <f>Table224578910112345678[[#This Row],[PEMBULATAN]]*O16</f>
        <v>140000</v>
      </c>
      <c r="Q16" s="164"/>
    </row>
    <row r="17" spans="1:17" ht="26.25" customHeight="1" x14ac:dyDescent="0.2">
      <c r="A17" s="14"/>
      <c r="B17" s="14"/>
      <c r="C17" s="72" t="s">
        <v>132</v>
      </c>
      <c r="D17" s="77" t="s">
        <v>62</v>
      </c>
      <c r="E17" s="13">
        <v>44546</v>
      </c>
      <c r="F17" s="75" t="s">
        <v>151</v>
      </c>
      <c r="G17" s="13">
        <v>44559</v>
      </c>
      <c r="H17" s="76" t="s">
        <v>152</v>
      </c>
      <c r="I17" s="16">
        <v>56</v>
      </c>
      <c r="J17" s="16">
        <v>50</v>
      </c>
      <c r="K17" s="16">
        <v>10</v>
      </c>
      <c r="L17" s="16">
        <v>10</v>
      </c>
      <c r="M17" s="80">
        <v>7</v>
      </c>
      <c r="N17" s="97">
        <v>10</v>
      </c>
      <c r="O17" s="63">
        <v>14000</v>
      </c>
      <c r="P17" s="64">
        <f>Table224578910112345678[[#This Row],[PEMBULATAN]]*O17</f>
        <v>140000</v>
      </c>
      <c r="Q17" s="164"/>
    </row>
    <row r="18" spans="1:17" ht="26.25" customHeight="1" x14ac:dyDescent="0.2">
      <c r="A18" s="14"/>
      <c r="B18" s="14"/>
      <c r="C18" s="72" t="s">
        <v>133</v>
      </c>
      <c r="D18" s="77" t="s">
        <v>62</v>
      </c>
      <c r="E18" s="13">
        <v>44546</v>
      </c>
      <c r="F18" s="75" t="s">
        <v>151</v>
      </c>
      <c r="G18" s="13">
        <v>44559</v>
      </c>
      <c r="H18" s="76" t="s">
        <v>152</v>
      </c>
      <c r="I18" s="16">
        <v>56</v>
      </c>
      <c r="J18" s="16">
        <v>50</v>
      </c>
      <c r="K18" s="16">
        <v>10</v>
      </c>
      <c r="L18" s="16">
        <v>10</v>
      </c>
      <c r="M18" s="80">
        <v>7</v>
      </c>
      <c r="N18" s="97">
        <v>10</v>
      </c>
      <c r="O18" s="63">
        <v>14000</v>
      </c>
      <c r="P18" s="64">
        <f>Table224578910112345678[[#This Row],[PEMBULATAN]]*O18</f>
        <v>140000</v>
      </c>
      <c r="Q18" s="164"/>
    </row>
    <row r="19" spans="1:17" ht="26.25" customHeight="1" x14ac:dyDescent="0.2">
      <c r="A19" s="14"/>
      <c r="B19" s="14"/>
      <c r="C19" s="72" t="s">
        <v>134</v>
      </c>
      <c r="D19" s="77" t="s">
        <v>62</v>
      </c>
      <c r="E19" s="13">
        <v>44546</v>
      </c>
      <c r="F19" s="75" t="s">
        <v>151</v>
      </c>
      <c r="G19" s="13">
        <v>44559</v>
      </c>
      <c r="H19" s="76" t="s">
        <v>152</v>
      </c>
      <c r="I19" s="16">
        <v>56</v>
      </c>
      <c r="J19" s="16">
        <v>50</v>
      </c>
      <c r="K19" s="16">
        <v>10</v>
      </c>
      <c r="L19" s="16">
        <v>10</v>
      </c>
      <c r="M19" s="80">
        <v>7</v>
      </c>
      <c r="N19" s="97">
        <v>10</v>
      </c>
      <c r="O19" s="63">
        <v>14000</v>
      </c>
      <c r="P19" s="64">
        <f>Table224578910112345678[[#This Row],[PEMBULATAN]]*O19</f>
        <v>140000</v>
      </c>
      <c r="Q19" s="164"/>
    </row>
    <row r="20" spans="1:17" ht="26.25" customHeight="1" x14ac:dyDescent="0.2">
      <c r="A20" s="14"/>
      <c r="B20" s="14"/>
      <c r="C20" s="72" t="s">
        <v>135</v>
      </c>
      <c r="D20" s="77" t="s">
        <v>62</v>
      </c>
      <c r="E20" s="13">
        <v>44546</v>
      </c>
      <c r="F20" s="75" t="s">
        <v>151</v>
      </c>
      <c r="G20" s="13">
        <v>44559</v>
      </c>
      <c r="H20" s="76" t="s">
        <v>152</v>
      </c>
      <c r="I20" s="16">
        <v>37</v>
      </c>
      <c r="J20" s="16">
        <v>28</v>
      </c>
      <c r="K20" s="16">
        <v>13</v>
      </c>
      <c r="L20" s="16">
        <v>10</v>
      </c>
      <c r="M20" s="80">
        <v>3.367</v>
      </c>
      <c r="N20" s="97">
        <v>10</v>
      </c>
      <c r="O20" s="63">
        <v>14000</v>
      </c>
      <c r="P20" s="64">
        <f>Table224578910112345678[[#This Row],[PEMBULATAN]]*O20</f>
        <v>140000</v>
      </c>
      <c r="Q20" s="164"/>
    </row>
    <row r="21" spans="1:17" ht="26.25" customHeight="1" x14ac:dyDescent="0.2">
      <c r="A21" s="14"/>
      <c r="B21" s="14"/>
      <c r="C21" s="72" t="s">
        <v>136</v>
      </c>
      <c r="D21" s="77" t="s">
        <v>62</v>
      </c>
      <c r="E21" s="13">
        <v>44546</v>
      </c>
      <c r="F21" s="75" t="s">
        <v>151</v>
      </c>
      <c r="G21" s="13">
        <v>44559</v>
      </c>
      <c r="H21" s="76" t="s">
        <v>152</v>
      </c>
      <c r="I21" s="16">
        <v>43</v>
      </c>
      <c r="J21" s="16">
        <v>32</v>
      </c>
      <c r="K21" s="16">
        <v>28</v>
      </c>
      <c r="L21" s="16">
        <v>10</v>
      </c>
      <c r="M21" s="80">
        <v>9.6319999999999997</v>
      </c>
      <c r="N21" s="97">
        <v>10</v>
      </c>
      <c r="O21" s="63">
        <v>14000</v>
      </c>
      <c r="P21" s="64">
        <f>Table224578910112345678[[#This Row],[PEMBULATAN]]*O21</f>
        <v>140000</v>
      </c>
      <c r="Q21" s="164"/>
    </row>
    <row r="22" spans="1:17" ht="26.25" customHeight="1" x14ac:dyDescent="0.2">
      <c r="A22" s="14"/>
      <c r="B22" s="14"/>
      <c r="C22" s="72" t="s">
        <v>137</v>
      </c>
      <c r="D22" s="77" t="s">
        <v>62</v>
      </c>
      <c r="E22" s="13">
        <v>44546</v>
      </c>
      <c r="F22" s="75" t="s">
        <v>151</v>
      </c>
      <c r="G22" s="13">
        <v>44559</v>
      </c>
      <c r="H22" s="76" t="s">
        <v>152</v>
      </c>
      <c r="I22" s="16">
        <v>43</v>
      </c>
      <c r="J22" s="16">
        <v>32</v>
      </c>
      <c r="K22" s="16">
        <v>28</v>
      </c>
      <c r="L22" s="16">
        <v>10</v>
      </c>
      <c r="M22" s="80">
        <v>9.6319999999999997</v>
      </c>
      <c r="N22" s="97">
        <v>10</v>
      </c>
      <c r="O22" s="63">
        <v>14000</v>
      </c>
      <c r="P22" s="64">
        <f>Table224578910112345678[[#This Row],[PEMBULATAN]]*O22</f>
        <v>140000</v>
      </c>
      <c r="Q22" s="164"/>
    </row>
    <row r="23" spans="1:17" ht="26.25" customHeight="1" x14ac:dyDescent="0.2">
      <c r="A23" s="14"/>
      <c r="B23" s="14"/>
      <c r="C23" s="72" t="s">
        <v>138</v>
      </c>
      <c r="D23" s="77" t="s">
        <v>62</v>
      </c>
      <c r="E23" s="13">
        <v>44546</v>
      </c>
      <c r="F23" s="75" t="s">
        <v>151</v>
      </c>
      <c r="G23" s="13">
        <v>44559</v>
      </c>
      <c r="H23" s="76" t="s">
        <v>152</v>
      </c>
      <c r="I23" s="16">
        <v>43</v>
      </c>
      <c r="J23" s="16">
        <v>32</v>
      </c>
      <c r="K23" s="16">
        <v>28</v>
      </c>
      <c r="L23" s="16">
        <v>10</v>
      </c>
      <c r="M23" s="80">
        <v>9.6319999999999997</v>
      </c>
      <c r="N23" s="97">
        <v>10</v>
      </c>
      <c r="O23" s="63">
        <v>14000</v>
      </c>
      <c r="P23" s="64">
        <f>Table224578910112345678[[#This Row],[PEMBULATAN]]*O23</f>
        <v>140000</v>
      </c>
      <c r="Q23" s="164"/>
    </row>
    <row r="24" spans="1:17" ht="26.25" customHeight="1" x14ac:dyDescent="0.2">
      <c r="A24" s="14"/>
      <c r="B24" s="14"/>
      <c r="C24" s="72" t="s">
        <v>139</v>
      </c>
      <c r="D24" s="77" t="s">
        <v>62</v>
      </c>
      <c r="E24" s="13">
        <v>44546</v>
      </c>
      <c r="F24" s="75" t="s">
        <v>151</v>
      </c>
      <c r="G24" s="13">
        <v>44559</v>
      </c>
      <c r="H24" s="76" t="s">
        <v>152</v>
      </c>
      <c r="I24" s="16">
        <v>35</v>
      </c>
      <c r="J24" s="16">
        <v>35</v>
      </c>
      <c r="K24" s="16">
        <v>17</v>
      </c>
      <c r="L24" s="16">
        <v>12</v>
      </c>
      <c r="M24" s="80">
        <v>5.2062499999999998</v>
      </c>
      <c r="N24" s="97">
        <v>12</v>
      </c>
      <c r="O24" s="63">
        <v>14000</v>
      </c>
      <c r="P24" s="64">
        <f>Table224578910112345678[[#This Row],[PEMBULATAN]]*O24</f>
        <v>168000</v>
      </c>
      <c r="Q24" s="164"/>
    </row>
    <row r="25" spans="1:17" ht="26.25" customHeight="1" x14ac:dyDescent="0.2">
      <c r="A25" s="14"/>
      <c r="B25" s="14"/>
      <c r="C25" s="72" t="s">
        <v>140</v>
      </c>
      <c r="D25" s="77" t="s">
        <v>62</v>
      </c>
      <c r="E25" s="13">
        <v>44546</v>
      </c>
      <c r="F25" s="75" t="s">
        <v>151</v>
      </c>
      <c r="G25" s="13">
        <v>44559</v>
      </c>
      <c r="H25" s="76" t="s">
        <v>152</v>
      </c>
      <c r="I25" s="16">
        <v>35</v>
      </c>
      <c r="J25" s="16">
        <v>35</v>
      </c>
      <c r="K25" s="16">
        <v>17</v>
      </c>
      <c r="L25" s="16">
        <v>12</v>
      </c>
      <c r="M25" s="80">
        <v>5.2062499999999998</v>
      </c>
      <c r="N25" s="97">
        <v>12</v>
      </c>
      <c r="O25" s="63">
        <v>14000</v>
      </c>
      <c r="P25" s="64">
        <f>Table224578910112345678[[#This Row],[PEMBULATAN]]*O25</f>
        <v>168000</v>
      </c>
      <c r="Q25" s="164"/>
    </row>
    <row r="26" spans="1:17" ht="26.25" customHeight="1" x14ac:dyDescent="0.2">
      <c r="A26" s="14"/>
      <c r="B26" s="14"/>
      <c r="C26" s="72" t="s">
        <v>141</v>
      </c>
      <c r="D26" s="77" t="s">
        <v>62</v>
      </c>
      <c r="E26" s="13">
        <v>44546</v>
      </c>
      <c r="F26" s="75" t="s">
        <v>151</v>
      </c>
      <c r="G26" s="13">
        <v>44559</v>
      </c>
      <c r="H26" s="76" t="s">
        <v>152</v>
      </c>
      <c r="I26" s="16">
        <v>35</v>
      </c>
      <c r="J26" s="16">
        <v>35</v>
      </c>
      <c r="K26" s="16">
        <v>17</v>
      </c>
      <c r="L26" s="16">
        <v>12</v>
      </c>
      <c r="M26" s="80">
        <v>5.2062499999999998</v>
      </c>
      <c r="N26" s="97">
        <v>12</v>
      </c>
      <c r="O26" s="63">
        <v>14000</v>
      </c>
      <c r="P26" s="64">
        <f>Table224578910112345678[[#This Row],[PEMBULATAN]]*O26</f>
        <v>168000</v>
      </c>
      <c r="Q26" s="164"/>
    </row>
    <row r="27" spans="1:17" ht="26.25" customHeight="1" x14ac:dyDescent="0.2">
      <c r="A27" s="14"/>
      <c r="B27" s="14"/>
      <c r="C27" s="72" t="s">
        <v>142</v>
      </c>
      <c r="D27" s="77" t="s">
        <v>62</v>
      </c>
      <c r="E27" s="13">
        <v>44546</v>
      </c>
      <c r="F27" s="75" t="s">
        <v>151</v>
      </c>
      <c r="G27" s="13">
        <v>44559</v>
      </c>
      <c r="H27" s="76" t="s">
        <v>152</v>
      </c>
      <c r="I27" s="16">
        <v>55</v>
      </c>
      <c r="J27" s="16">
        <v>32</v>
      </c>
      <c r="K27" s="16">
        <v>6</v>
      </c>
      <c r="L27" s="16">
        <v>10</v>
      </c>
      <c r="M27" s="80">
        <v>2.64</v>
      </c>
      <c r="N27" s="97">
        <v>10</v>
      </c>
      <c r="O27" s="63">
        <v>14000</v>
      </c>
      <c r="P27" s="64">
        <f>Table224578910112345678[[#This Row],[PEMBULATAN]]*O27</f>
        <v>140000</v>
      </c>
      <c r="Q27" s="164"/>
    </row>
    <row r="28" spans="1:17" ht="26.25" customHeight="1" x14ac:dyDescent="0.2">
      <c r="A28" s="14"/>
      <c r="B28" s="14"/>
      <c r="C28" s="72" t="s">
        <v>143</v>
      </c>
      <c r="D28" s="77" t="s">
        <v>62</v>
      </c>
      <c r="E28" s="13">
        <v>44546</v>
      </c>
      <c r="F28" s="75" t="s">
        <v>151</v>
      </c>
      <c r="G28" s="13">
        <v>44559</v>
      </c>
      <c r="H28" s="76" t="s">
        <v>152</v>
      </c>
      <c r="I28" s="16">
        <v>55</v>
      </c>
      <c r="J28" s="16">
        <v>32</v>
      </c>
      <c r="K28" s="16">
        <v>6</v>
      </c>
      <c r="L28" s="16">
        <v>10</v>
      </c>
      <c r="M28" s="80">
        <v>2.64</v>
      </c>
      <c r="N28" s="97">
        <v>10</v>
      </c>
      <c r="O28" s="63">
        <v>14000</v>
      </c>
      <c r="P28" s="64">
        <f>Table224578910112345678[[#This Row],[PEMBULATAN]]*O28</f>
        <v>140000</v>
      </c>
      <c r="Q28" s="164"/>
    </row>
    <row r="29" spans="1:17" ht="26.25" customHeight="1" x14ac:dyDescent="0.2">
      <c r="A29" s="14"/>
      <c r="B29" s="14"/>
      <c r="C29" s="72" t="s">
        <v>144</v>
      </c>
      <c r="D29" s="77" t="s">
        <v>62</v>
      </c>
      <c r="E29" s="13">
        <v>44546</v>
      </c>
      <c r="F29" s="75" t="s">
        <v>151</v>
      </c>
      <c r="G29" s="13">
        <v>44559</v>
      </c>
      <c r="H29" s="76" t="s">
        <v>152</v>
      </c>
      <c r="I29" s="16">
        <v>35</v>
      </c>
      <c r="J29" s="16">
        <v>35</v>
      </c>
      <c r="K29" s="16">
        <v>17</v>
      </c>
      <c r="L29" s="16">
        <v>10</v>
      </c>
      <c r="M29" s="80">
        <v>5.2062499999999998</v>
      </c>
      <c r="N29" s="97">
        <v>10</v>
      </c>
      <c r="O29" s="63">
        <v>14000</v>
      </c>
      <c r="P29" s="64">
        <f>Table224578910112345678[[#This Row],[PEMBULATAN]]*O29</f>
        <v>140000</v>
      </c>
      <c r="Q29" s="164"/>
    </row>
    <row r="30" spans="1:17" ht="26.25" customHeight="1" x14ac:dyDescent="0.2">
      <c r="A30" s="14"/>
      <c r="B30" s="14"/>
      <c r="C30" s="72" t="s">
        <v>145</v>
      </c>
      <c r="D30" s="77" t="s">
        <v>62</v>
      </c>
      <c r="E30" s="13">
        <v>44546</v>
      </c>
      <c r="F30" s="75" t="s">
        <v>151</v>
      </c>
      <c r="G30" s="13">
        <v>44559</v>
      </c>
      <c r="H30" s="76" t="s">
        <v>152</v>
      </c>
      <c r="I30" s="16">
        <v>35</v>
      </c>
      <c r="J30" s="16">
        <v>35</v>
      </c>
      <c r="K30" s="16">
        <v>17</v>
      </c>
      <c r="L30" s="16">
        <v>10</v>
      </c>
      <c r="M30" s="80">
        <v>5.2062499999999998</v>
      </c>
      <c r="N30" s="97">
        <v>10</v>
      </c>
      <c r="O30" s="63">
        <v>14000</v>
      </c>
      <c r="P30" s="64">
        <f>Table224578910112345678[[#This Row],[PEMBULATAN]]*O30</f>
        <v>140000</v>
      </c>
      <c r="Q30" s="164"/>
    </row>
    <row r="31" spans="1:17" ht="26.25" customHeight="1" x14ac:dyDescent="0.2">
      <c r="A31" s="14"/>
      <c r="B31" s="14"/>
      <c r="C31" s="72" t="s">
        <v>146</v>
      </c>
      <c r="D31" s="77" t="s">
        <v>62</v>
      </c>
      <c r="E31" s="13">
        <v>44546</v>
      </c>
      <c r="F31" s="75" t="s">
        <v>151</v>
      </c>
      <c r="G31" s="13">
        <v>44559</v>
      </c>
      <c r="H31" s="76" t="s">
        <v>152</v>
      </c>
      <c r="I31" s="16">
        <v>35</v>
      </c>
      <c r="J31" s="16">
        <v>35</v>
      </c>
      <c r="K31" s="16">
        <v>17</v>
      </c>
      <c r="L31" s="16">
        <v>10</v>
      </c>
      <c r="M31" s="80">
        <v>5.2062499999999998</v>
      </c>
      <c r="N31" s="97">
        <v>10</v>
      </c>
      <c r="O31" s="63">
        <v>14000</v>
      </c>
      <c r="P31" s="64">
        <f>Table224578910112345678[[#This Row],[PEMBULATAN]]*O31</f>
        <v>140000</v>
      </c>
      <c r="Q31" s="164"/>
    </row>
    <row r="32" spans="1:17" ht="26.25" customHeight="1" x14ac:dyDescent="0.2">
      <c r="A32" s="14"/>
      <c r="B32" s="14"/>
      <c r="C32" s="72" t="s">
        <v>147</v>
      </c>
      <c r="D32" s="77" t="s">
        <v>62</v>
      </c>
      <c r="E32" s="13">
        <v>44546</v>
      </c>
      <c r="F32" s="75" t="s">
        <v>151</v>
      </c>
      <c r="G32" s="13">
        <v>44559</v>
      </c>
      <c r="H32" s="76" t="s">
        <v>152</v>
      </c>
      <c r="I32" s="16">
        <v>36</v>
      </c>
      <c r="J32" s="16">
        <v>24</v>
      </c>
      <c r="K32" s="16">
        <v>24</v>
      </c>
      <c r="L32" s="16">
        <v>7</v>
      </c>
      <c r="M32" s="80">
        <v>5.1840000000000002</v>
      </c>
      <c r="N32" s="97">
        <v>7</v>
      </c>
      <c r="O32" s="63">
        <v>14000</v>
      </c>
      <c r="P32" s="64">
        <f>Table224578910112345678[[#This Row],[PEMBULATAN]]*O32</f>
        <v>98000</v>
      </c>
      <c r="Q32" s="164"/>
    </row>
    <row r="33" spans="1:17" ht="26.25" customHeight="1" x14ac:dyDescent="0.2">
      <c r="A33" s="14"/>
      <c r="B33" s="14"/>
      <c r="C33" s="72" t="s">
        <v>148</v>
      </c>
      <c r="D33" s="77" t="s">
        <v>62</v>
      </c>
      <c r="E33" s="13">
        <v>44546</v>
      </c>
      <c r="F33" s="75" t="s">
        <v>151</v>
      </c>
      <c r="G33" s="13">
        <v>44559</v>
      </c>
      <c r="H33" s="76" t="s">
        <v>152</v>
      </c>
      <c r="I33" s="16">
        <v>35</v>
      </c>
      <c r="J33" s="16">
        <v>25</v>
      </c>
      <c r="K33" s="16">
        <v>15</v>
      </c>
      <c r="L33" s="16">
        <v>6</v>
      </c>
      <c r="M33" s="80">
        <v>3.28125</v>
      </c>
      <c r="N33" s="97">
        <v>6</v>
      </c>
      <c r="O33" s="63">
        <v>14000</v>
      </c>
      <c r="P33" s="64">
        <f>Table224578910112345678[[#This Row],[PEMBULATAN]]*O33</f>
        <v>84000</v>
      </c>
      <c r="Q33" s="164"/>
    </row>
    <row r="34" spans="1:17" ht="26.25" customHeight="1" x14ac:dyDescent="0.2">
      <c r="A34" s="14"/>
      <c r="B34" s="14"/>
      <c r="C34" s="72" t="s">
        <v>149</v>
      </c>
      <c r="D34" s="77" t="s">
        <v>62</v>
      </c>
      <c r="E34" s="13">
        <v>44546</v>
      </c>
      <c r="F34" s="75" t="s">
        <v>151</v>
      </c>
      <c r="G34" s="13">
        <v>44559</v>
      </c>
      <c r="H34" s="76" t="s">
        <v>152</v>
      </c>
      <c r="I34" s="16">
        <v>35</v>
      </c>
      <c r="J34" s="16">
        <v>35</v>
      </c>
      <c r="K34" s="16">
        <v>71</v>
      </c>
      <c r="L34" s="16">
        <v>14</v>
      </c>
      <c r="M34" s="80">
        <v>21.743749999999999</v>
      </c>
      <c r="N34" s="97">
        <v>21.743749999999999</v>
      </c>
      <c r="O34" s="63">
        <v>14000</v>
      </c>
      <c r="P34" s="64">
        <f>Table224578910112345678[[#This Row],[PEMBULATAN]]*O34</f>
        <v>304412.5</v>
      </c>
      <c r="Q34" s="164"/>
    </row>
    <row r="35" spans="1:17" ht="26.25" customHeight="1" x14ac:dyDescent="0.2">
      <c r="A35" s="14"/>
      <c r="B35" s="14"/>
      <c r="C35" s="72" t="s">
        <v>150</v>
      </c>
      <c r="D35" s="77" t="s">
        <v>62</v>
      </c>
      <c r="E35" s="13">
        <v>44546</v>
      </c>
      <c r="F35" s="75" t="s">
        <v>151</v>
      </c>
      <c r="G35" s="13">
        <v>44559</v>
      </c>
      <c r="H35" s="76" t="s">
        <v>152</v>
      </c>
      <c r="I35" s="16">
        <v>35</v>
      </c>
      <c r="J35" s="16">
        <v>35</v>
      </c>
      <c r="K35" s="16">
        <v>75</v>
      </c>
      <c r="L35" s="16">
        <v>14</v>
      </c>
      <c r="M35" s="80">
        <v>22.96875</v>
      </c>
      <c r="N35" s="97">
        <v>22.96875</v>
      </c>
      <c r="O35" s="63">
        <v>14000</v>
      </c>
      <c r="P35" s="64">
        <f>Table224578910112345678[[#This Row],[PEMBULATAN]]*O35</f>
        <v>321562.5</v>
      </c>
      <c r="Q35" s="171"/>
    </row>
    <row r="36" spans="1:17" ht="22.5" customHeight="1" x14ac:dyDescent="0.2">
      <c r="A36" s="166" t="s">
        <v>30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8"/>
      <c r="M36" s="100">
        <f>SUBTOTAL(109,Table224578910112345678[KG VOLUME])</f>
        <v>208.16225000000003</v>
      </c>
      <c r="N36" s="67">
        <f>SUM(N3:N35)</f>
        <v>353.71249999999998</v>
      </c>
      <c r="O36" s="169">
        <f>SUM(P3:P35)</f>
        <v>4951975</v>
      </c>
      <c r="P36" s="170"/>
    </row>
    <row r="37" spans="1:17" ht="18" customHeight="1" x14ac:dyDescent="0.2">
      <c r="A37" s="85"/>
      <c r="B37" s="56" t="s">
        <v>42</v>
      </c>
      <c r="C37" s="55"/>
      <c r="D37" s="57" t="s">
        <v>43</v>
      </c>
      <c r="E37" s="85"/>
      <c r="F37" s="85"/>
      <c r="G37" s="85"/>
      <c r="H37" s="85"/>
      <c r="I37" s="85"/>
      <c r="J37" s="85"/>
      <c r="K37" s="85"/>
      <c r="L37" s="85"/>
      <c r="M37" s="86"/>
      <c r="N37" s="87" t="s">
        <v>51</v>
      </c>
      <c r="O37" s="88"/>
      <c r="P37" s="88">
        <f>O36*10%</f>
        <v>495197.5</v>
      </c>
    </row>
    <row r="38" spans="1:17" ht="18" customHeight="1" thickBot="1" x14ac:dyDescent="0.25">
      <c r="A38" s="85"/>
      <c r="B38" s="56"/>
      <c r="C38" s="55"/>
      <c r="D38" s="57"/>
      <c r="E38" s="85"/>
      <c r="F38" s="85"/>
      <c r="G38" s="85"/>
      <c r="H38" s="85"/>
      <c r="I38" s="85"/>
      <c r="J38" s="85"/>
      <c r="K38" s="85"/>
      <c r="L38" s="85"/>
      <c r="M38" s="86"/>
      <c r="N38" s="89" t="s">
        <v>52</v>
      </c>
      <c r="O38" s="90"/>
      <c r="P38" s="90">
        <f>O36-P37</f>
        <v>4456777.5</v>
      </c>
    </row>
    <row r="39" spans="1:17" ht="18" customHeight="1" x14ac:dyDescent="0.2">
      <c r="A39" s="11"/>
      <c r="H39" s="62"/>
      <c r="N39" s="61" t="s">
        <v>31</v>
      </c>
      <c r="P39" s="68">
        <f>P38*1%</f>
        <v>44567.775000000001</v>
      </c>
    </row>
    <row r="40" spans="1:17" ht="18" customHeight="1" thickBot="1" x14ac:dyDescent="0.25">
      <c r="A40" s="11"/>
      <c r="H40" s="62"/>
      <c r="N40" s="61" t="s">
        <v>53</v>
      </c>
      <c r="P40" s="70">
        <f>P38*2%</f>
        <v>89135.55</v>
      </c>
    </row>
    <row r="41" spans="1:17" ht="18" customHeight="1" x14ac:dyDescent="0.2">
      <c r="A41" s="11"/>
      <c r="H41" s="62"/>
      <c r="N41" s="65" t="s">
        <v>32</v>
      </c>
      <c r="O41" s="66"/>
      <c r="P41" s="69">
        <f>P38+P39-P40</f>
        <v>4412209.7250000006</v>
      </c>
    </row>
    <row r="43" spans="1:17" x14ac:dyDescent="0.2">
      <c r="A43" s="11"/>
      <c r="H43" s="62"/>
      <c r="P43" s="70"/>
    </row>
    <row r="44" spans="1:17" x14ac:dyDescent="0.2">
      <c r="A44" s="11"/>
      <c r="H44" s="62"/>
      <c r="O44" s="58"/>
      <c r="P44" s="70"/>
    </row>
    <row r="45" spans="1:17" s="3" customFormat="1" x14ac:dyDescent="0.25">
      <c r="A45" s="11"/>
      <c r="B45" s="2"/>
      <c r="C45" s="2"/>
      <c r="E45" s="12"/>
      <c r="H45" s="62"/>
      <c r="N45" s="15"/>
      <c r="O45" s="15"/>
      <c r="P45" s="15"/>
    </row>
    <row r="46" spans="1:17" s="3" customFormat="1" x14ac:dyDescent="0.25">
      <c r="A46" s="11"/>
      <c r="B46" s="2"/>
      <c r="C46" s="2"/>
      <c r="E46" s="12"/>
      <c r="H46" s="62"/>
      <c r="N46" s="15"/>
      <c r="O46" s="15"/>
      <c r="P46" s="15"/>
    </row>
    <row r="47" spans="1:17" s="3" customFormat="1" x14ac:dyDescent="0.25">
      <c r="A47" s="11"/>
      <c r="B47" s="2"/>
      <c r="C47" s="2"/>
      <c r="E47" s="12"/>
      <c r="H47" s="62"/>
      <c r="N47" s="15"/>
      <c r="O47" s="15"/>
      <c r="P47" s="15"/>
    </row>
    <row r="48" spans="1:17" s="3" customFormat="1" x14ac:dyDescent="0.25">
      <c r="A48" s="11"/>
      <c r="B48" s="2"/>
      <c r="C48" s="2"/>
      <c r="E48" s="12"/>
      <c r="H48" s="62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2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2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2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2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2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2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2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2"/>
      <c r="N56" s="15"/>
      <c r="O56" s="15"/>
      <c r="P56" s="15"/>
    </row>
  </sheetData>
  <mergeCells count="3">
    <mergeCell ref="A36:L36"/>
    <mergeCell ref="O36:P36"/>
    <mergeCell ref="Q3:Q35"/>
  </mergeCells>
  <conditionalFormatting sqref="B3">
    <cfRule type="duplicateValues" dxfId="157" priority="2"/>
  </conditionalFormatting>
  <conditionalFormatting sqref="B4">
    <cfRule type="duplicateValues" dxfId="156" priority="1"/>
  </conditionalFormatting>
  <conditionalFormatting sqref="B5:B35">
    <cfRule type="duplicateValues" dxfId="155" priority="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Sicepat_Jayapura Des 2021</vt:lpstr>
      <vt:lpstr>ALL</vt:lpstr>
      <vt:lpstr>405806</vt:lpstr>
      <vt:lpstr>405823</vt:lpstr>
      <vt:lpstr>405835</vt:lpstr>
      <vt:lpstr>405845</vt:lpstr>
      <vt:lpstr>406461</vt:lpstr>
      <vt:lpstr>406470</vt:lpstr>
      <vt:lpstr>402672</vt:lpstr>
      <vt:lpstr>402679</vt:lpstr>
      <vt:lpstr>402691</vt:lpstr>
      <vt:lpstr>402702</vt:lpstr>
      <vt:lpstr>402707</vt:lpstr>
      <vt:lpstr>402718</vt:lpstr>
      <vt:lpstr>402726</vt:lpstr>
      <vt:lpstr>402751</vt:lpstr>
      <vt:lpstr>403009</vt:lpstr>
      <vt:lpstr>'402672'!Print_Titles</vt:lpstr>
      <vt:lpstr>'402679'!Print_Titles</vt:lpstr>
      <vt:lpstr>'402691'!Print_Titles</vt:lpstr>
      <vt:lpstr>'402702'!Print_Titles</vt:lpstr>
      <vt:lpstr>'402707'!Print_Titles</vt:lpstr>
      <vt:lpstr>'402718'!Print_Titles</vt:lpstr>
      <vt:lpstr>'402726'!Print_Titles</vt:lpstr>
      <vt:lpstr>'402751'!Print_Titles</vt:lpstr>
      <vt:lpstr>'403009'!Print_Titles</vt:lpstr>
      <vt:lpstr>'405806'!Print_Titles</vt:lpstr>
      <vt:lpstr>'405823'!Print_Titles</vt:lpstr>
      <vt:lpstr>'405835'!Print_Titles</vt:lpstr>
      <vt:lpstr>'405845'!Print_Titles</vt:lpstr>
      <vt:lpstr>'406461'!Print_Titles</vt:lpstr>
      <vt:lpstr>'406470'!Print_Titles</vt:lpstr>
      <vt:lpstr>ALL!Print_Titles</vt:lpstr>
      <vt:lpstr>'Sicepat_Jayapura Des 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2022-02-03T10:32:16Z</cp:lastPrinted>
  <dcterms:created xsi:type="dcterms:W3CDTF">2021-07-02T11:08:00Z</dcterms:created>
  <dcterms:modified xsi:type="dcterms:W3CDTF">2022-02-09T02:47:44Z</dcterms:modified>
</cp:coreProperties>
</file>