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 activeTab="3"/>
  </bookViews>
  <sheets>
    <sheet name="Timika_Desember 2021" sheetId="2" r:id="rId1"/>
    <sheet name="ALL" sheetId="58" r:id="rId2"/>
    <sheet name="403827" sheetId="26" r:id="rId3"/>
    <sheet name="402709" sheetId="57" r:id="rId4"/>
  </sheets>
  <definedNames>
    <definedName name="_xlnm.Print_Titles" localSheetId="3">'402709'!$2:$2</definedName>
    <definedName name="_xlnm.Print_Titles" localSheetId="2">'403827'!$2:$2</definedName>
    <definedName name="_xlnm.Print_Titles" localSheetId="1">ALL!$2:$2</definedName>
    <definedName name="_xlnm.Print_Titles" localSheetId="0">'Timika_Desember 2021'!$2:$17</definedName>
  </definedNames>
  <calcPr calcId="162913"/>
</workbook>
</file>

<file path=xl/calcChain.xml><?xml version="1.0" encoding="utf-8"?>
<calcChain xmlns="http://schemas.openxmlformats.org/spreadsheetml/2006/main">
  <c r="N4" i="57" l="1"/>
  <c r="M4" i="57"/>
  <c r="N9" i="26"/>
  <c r="M9" i="26"/>
  <c r="O10" i="58"/>
  <c r="Q10" i="58"/>
  <c r="N10" i="58"/>
  <c r="M10" i="58"/>
  <c r="P9" i="58" l="1"/>
  <c r="P8" i="58"/>
  <c r="P7" i="58"/>
  <c r="P6" i="58"/>
  <c r="P5" i="58"/>
  <c r="P4" i="58"/>
  <c r="P3" i="58"/>
  <c r="P11" i="58" s="1"/>
  <c r="P5" i="57"/>
  <c r="P4" i="26"/>
  <c r="P5" i="26"/>
  <c r="P6" i="26"/>
  <c r="P7" i="26"/>
  <c r="P8" i="26"/>
  <c r="P3" i="26"/>
  <c r="B19" i="2" l="1"/>
  <c r="B18" i="2"/>
  <c r="C19" i="2" l="1"/>
  <c r="C18" i="2"/>
  <c r="P3" i="57"/>
  <c r="P12" i="58" l="1"/>
  <c r="P14" i="58" s="1"/>
  <c r="O4" i="57"/>
  <c r="P6" i="57" s="1"/>
  <c r="P7" i="57" s="1"/>
  <c r="P13" i="58" l="1"/>
  <c r="P15" i="58" s="1"/>
  <c r="P8" i="57"/>
  <c r="P9" i="57" s="1"/>
  <c r="I25" i="2"/>
  <c r="I24" i="2"/>
  <c r="I26" i="2" s="1"/>
  <c r="G18" i="2" l="1"/>
  <c r="O9" i="26" l="1"/>
  <c r="P10" i="26" l="1"/>
  <c r="P11" i="26" s="1"/>
  <c r="P13" i="26" l="1"/>
  <c r="P12" i="26"/>
  <c r="P14" i="26"/>
  <c r="A19" i="2"/>
  <c r="J19" i="2"/>
  <c r="I37" i="2" l="1"/>
  <c r="J18" i="2"/>
  <c r="J20" i="2" l="1"/>
  <c r="J22" i="2" l="1"/>
  <c r="J23" i="2" s="1"/>
  <c r="J24" i="2" l="1"/>
  <c r="J25" i="2"/>
  <c r="J26" i="2" l="1"/>
</calcChain>
</file>

<file path=xl/sharedStrings.xml><?xml version="1.0" encoding="utf-8"?>
<sst xmlns="http://schemas.openxmlformats.org/spreadsheetml/2006/main" count="182" uniqueCount="73">
  <si>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</si>
  <si>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</si>
  <si>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</si>
  <si>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</si>
  <si>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</si>
  <si>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</si>
  <si>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</si>
  <si>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</si>
  <si>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</si>
  <si>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</si>
  <si>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</si>
  <si>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</si>
  <si>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</si>
  <si>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</si>
  <si>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</si>
  <si>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</si>
  <si>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</si>
  <si>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</si>
  <si>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</si>
  <si>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</si>
  <si>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</si>
  <si>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</si>
  <si>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</si>
  <si>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</si>
  <si>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</si>
  <si>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</si>
  <si>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</si>
  <si>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</si>
  <si>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</si>
  <si>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</si>
  <si>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</si>
  <si>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</si>
  <si>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</si>
  <si>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</si>
  <si>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</si>
  <si>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</si>
  <si>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</si>
  <si>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</si>
  <si>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</si>
  <si>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</si>
  <si>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</si>
  <si>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</si>
  <si>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</si>
  <si>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</si>
  <si>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</si>
  <si>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</si>
  <si>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</si>
  <si>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</si>
  <si>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</si>
  <si>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Periode</t>
  </si>
  <si>
    <t>Discount 10%</t>
  </si>
  <si>
    <t>Total Setelah Discount</t>
  </si>
  <si>
    <t>PPh 23  2%</t>
  </si>
  <si>
    <t>PPh 23 2%</t>
  </si>
  <si>
    <t>TOTAL</t>
  </si>
  <si>
    <t>DMD/2112/17/VEYW6081</t>
  </si>
  <si>
    <t>GSK211217UVC103</t>
  </si>
  <si>
    <t>GSK211217XAD572</t>
  </si>
  <si>
    <t>GSK211130DBU586</t>
  </si>
  <si>
    <t>GSK211217NRI178</t>
  </si>
  <si>
    <t>GSK211217CJH065</t>
  </si>
  <si>
    <t>GSK211130BFS385</t>
  </si>
  <si>
    <t>DMP TIM (TIMIKA)</t>
  </si>
  <si>
    <t>KM LEUSER</t>
  </si>
  <si>
    <t>01/18/2022 PRIYADI</t>
  </si>
  <si>
    <t>DMD/2112/21/GZUB9208</t>
  </si>
  <si>
    <t>GSK211221YUA752</t>
  </si>
  <si>
    <t>PENGIRIMAN BARANG TUJUAN TIMIKA</t>
  </si>
  <si>
    <t>TIMIKA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</si>
  <si>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Lima Puluh Tiga Ribu Dua Ratus Tujuh Puluh Delapan Rupiah.</t>
    </r>
  </si>
  <si>
    <t>Invoice Performa</t>
  </si>
  <si>
    <t>DESEMBER 21</t>
  </si>
  <si>
    <t xml:space="preserve"> 29 Januari 20222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</si>
</sst>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67" fontId="9" fillId="0" borderId="0" xfId="3" applyNumberFormat="1" applyFont="1" applyAlignment="1">
      <alignment horizontal="left"/>
    </xf>
    <xf numFmtId="1" fontId="3" fillId="0" borderId="1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vertical="center" wrapText="1"/>
    </xf>
    <xf numFmtId="0" fontId="2" fillId="0" borderId="25" xfId="0" applyFont="1" applyFill="1" applyBorder="1" applyAlignment="1">
      <alignment vertical="center"/>
    </xf>
    <xf numFmtId="0" fontId="2" fillId="0" borderId="25" xfId="0" applyFont="1" applyFill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166" fontId="2" fillId="0" borderId="25" xfId="0" applyNumberFormat="1" applyFont="1" applyFill="1" applyBorder="1" applyAlignment="1">
      <alignment vertical="center" wrapText="1"/>
    </xf>
    <xf numFmtId="0" fontId="2" fillId="0" borderId="25" xfId="0" applyFont="1" applyFill="1" applyBorder="1" applyAlignment="1">
      <alignment horizontal="center" vertical="center"/>
    </xf>
    <xf numFmtId="2" fontId="2" fillId="0" borderId="25" xfId="0" applyNumberFormat="1" applyFont="1" applyFill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64" fontId="3" fillId="0" borderId="25" xfId="2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2" fillId="0" borderId="26" xfId="0" applyFont="1" applyBorder="1" applyAlignment="1">
      <alignment vertical="center"/>
    </xf>
    <xf numFmtId="0" fontId="2" fillId="0" borderId="26" xfId="0" applyFont="1" applyBorder="1" applyAlignment="1">
      <alignment horizontal="center" vertical="center" wrapText="1"/>
    </xf>
    <xf numFmtId="166" fontId="2" fillId="0" borderId="26" xfId="0" applyNumberFormat="1" applyFont="1" applyBorder="1" applyAlignment="1">
      <alignment horizontal="center" vertical="center"/>
    </xf>
    <xf numFmtId="166" fontId="2" fillId="0" borderId="26" xfId="0" applyNumberFormat="1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64" fontId="3" fillId="0" borderId="26" xfId="2" applyFont="1" applyBorder="1" applyAlignment="1">
      <alignment horizontal="center" vertical="center"/>
    </xf>
    <xf numFmtId="167" fontId="3" fillId="0" borderId="26" xfId="1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9" fillId="0" borderId="0" xfId="0" quotePrefix="1" applyFont="1"/>
    <xf numFmtId="0" fontId="15" fillId="0" borderId="3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7" fontId="5" fillId="0" borderId="4" xfId="1" applyNumberFormat="1" applyFont="1" applyBorder="1" applyAlignment="1">
      <alignment vertical="center"/>
    </xf>
    <xf numFmtId="2" fontId="5" fillId="0" borderId="4" xfId="0" applyNumberFormat="1" applyFont="1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67" fontId="5" fillId="0" borderId="27" xfId="1" applyNumberFormat="1" applyFont="1" applyBorder="1" applyAlignment="1">
      <alignment horizontal="center" vertical="center"/>
    </xf>
    <xf numFmtId="167" fontId="5" fillId="0" borderId="28" xfId="1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" name="Table22457891011234" displayName="Table22457891011234" ref="C2:N9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8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789101123" displayName="Table2245789101123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4"/>
  <sheetViews>
    <sheetView topLeftCell="A19" workbookViewId="0">
      <selection activeCell="L18" sqref="L18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29" t="s">
        <v>14</v>
      </c>
      <c r="B10" s="130"/>
      <c r="C10" s="130"/>
      <c r="D10" s="130"/>
      <c r="E10" s="130"/>
      <c r="F10" s="130"/>
      <c r="G10" s="130"/>
      <c r="H10" s="130"/>
      <c r="I10" s="130"/>
      <c r="J10" s="131"/>
    </row>
    <row r="12" spans="1:10" x14ac:dyDescent="0.25">
      <c r="A12" s="17" t="s">
        <v>15</v>
      </c>
      <c r="B12" s="17" t="s">
        <v>16</v>
      </c>
      <c r="G12" s="17" t="s">
        <v>70</v>
      </c>
      <c r="I12" s="18" t="s">
        <v>17</v>
      </c>
    </row>
    <row r="13" spans="1:10" x14ac:dyDescent="0.25">
      <c r="G13" s="94" t="s">
        <v>18</v>
      </c>
      <c r="H13" s="94"/>
      <c r="I13" s="22" t="s">
        <v>17</v>
      </c>
      <c r="J13" s="24" t="s">
        <v>72</v>
      </c>
    </row>
    <row r="14" spans="1:10" x14ac:dyDescent="0.25">
      <c r="G14" s="94" t="s">
        <v>49</v>
      </c>
      <c r="H14" s="94"/>
      <c r="I14" s="22" t="s">
        <v>17</v>
      </c>
      <c r="J14" s="17" t="s">
        <v>68</v>
      </c>
    </row>
    <row r="15" spans="1:10" x14ac:dyDescent="0.25">
      <c r="A15" s="17" t="s">
        <v>19</v>
      </c>
      <c r="B15" s="23" t="s">
        <v>20</v>
      </c>
      <c r="C15" s="23"/>
      <c r="I15" s="22"/>
      <c r="J15" s="120" t="s">
        <v>71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32" t="s">
        <v>28</v>
      </c>
      <c r="I17" s="133"/>
      <c r="J17" s="28" t="s">
        <v>29</v>
      </c>
    </row>
    <row r="18" spans="1:12" ht="48" customHeight="1" x14ac:dyDescent="0.25">
      <c r="A18" s="29">
        <v>1</v>
      </c>
      <c r="B18" s="30">
        <f>'403827'!E3</f>
        <v>44547</v>
      </c>
      <c r="C18" s="82">
        <f>'403827'!A3</f>
        <v>403827</v>
      </c>
      <c r="D18" s="31" t="s">
        <v>67</v>
      </c>
      <c r="E18" s="31" t="s">
        <v>62</v>
      </c>
      <c r="F18" s="32">
        <v>6</v>
      </c>
      <c r="G18" s="118">
        <f>'403827'!N9</f>
        <v>115.8</v>
      </c>
      <c r="H18" s="134">
        <v>19000</v>
      </c>
      <c r="I18" s="135"/>
      <c r="J18" s="33">
        <f>G18*H18</f>
        <v>2200200</v>
      </c>
      <c r="L18"/>
    </row>
    <row r="19" spans="1:12" ht="48" customHeight="1" x14ac:dyDescent="0.25">
      <c r="A19" s="29">
        <f>A18+1</f>
        <v>2</v>
      </c>
      <c r="B19" s="30">
        <f>'402709'!E3</f>
        <v>44551</v>
      </c>
      <c r="C19" s="82">
        <f>'402709'!A3</f>
        <v>402709</v>
      </c>
      <c r="D19" s="31" t="s">
        <v>67</v>
      </c>
      <c r="E19" s="31" t="s">
        <v>62</v>
      </c>
      <c r="F19" s="32">
        <v>1</v>
      </c>
      <c r="G19" s="119">
        <v>100</v>
      </c>
      <c r="H19" s="134">
        <v>19000</v>
      </c>
      <c r="I19" s="135"/>
      <c r="J19" s="33">
        <f t="shared" ref="J19" si="0">G19*H19</f>
        <v>1900000</v>
      </c>
      <c r="L19"/>
    </row>
    <row r="20" spans="1:12" ht="32.25" customHeight="1" thickBot="1" x14ac:dyDescent="0.3">
      <c r="A20" s="136" t="s">
        <v>30</v>
      </c>
      <c r="B20" s="137"/>
      <c r="C20" s="137"/>
      <c r="D20" s="137"/>
      <c r="E20" s="137"/>
      <c r="F20" s="137"/>
      <c r="G20" s="137"/>
      <c r="H20" s="137"/>
      <c r="I20" s="138"/>
      <c r="J20" s="34">
        <f>SUM(J18:J19)</f>
        <v>4100200</v>
      </c>
      <c r="L20" s="80"/>
    </row>
    <row r="21" spans="1:12" x14ac:dyDescent="0.25">
      <c r="A21" s="139"/>
      <c r="B21" s="139"/>
      <c r="C21" s="35"/>
      <c r="D21" s="35"/>
      <c r="E21" s="35"/>
      <c r="F21" s="35"/>
      <c r="G21" s="35"/>
      <c r="H21" s="36"/>
      <c r="I21" s="36"/>
      <c r="J21" s="37"/>
    </row>
    <row r="22" spans="1:12" x14ac:dyDescent="0.25">
      <c r="A22" s="83"/>
      <c r="B22" s="83"/>
      <c r="C22" s="83"/>
      <c r="D22" s="83"/>
      <c r="E22" s="83"/>
      <c r="F22" s="83"/>
      <c r="G22" s="38" t="s">
        <v>50</v>
      </c>
      <c r="H22" s="38"/>
      <c r="I22" s="36"/>
      <c r="J22" s="37">
        <f>J20*10%</f>
        <v>410020</v>
      </c>
      <c r="L22" s="39"/>
    </row>
    <row r="23" spans="1:12" x14ac:dyDescent="0.25">
      <c r="A23" s="83"/>
      <c r="B23" s="83"/>
      <c r="C23" s="83"/>
      <c r="D23" s="83"/>
      <c r="E23" s="83"/>
      <c r="F23" s="83"/>
      <c r="G23" s="90" t="s">
        <v>51</v>
      </c>
      <c r="H23" s="90"/>
      <c r="I23" s="91"/>
      <c r="J23" s="93">
        <f>J20-J22</f>
        <v>3690180</v>
      </c>
      <c r="L23" s="39"/>
    </row>
    <row r="24" spans="1:12" x14ac:dyDescent="0.25">
      <c r="A24" s="83"/>
      <c r="B24" s="83"/>
      <c r="C24" s="83"/>
      <c r="D24" s="83"/>
      <c r="E24" s="83"/>
      <c r="F24" s="83"/>
      <c r="G24" s="38" t="s">
        <v>31</v>
      </c>
      <c r="H24" s="38"/>
      <c r="I24" s="39" t="e">
        <f>#REF!*1%</f>
        <v>#REF!</v>
      </c>
      <c r="J24" s="37">
        <f>J23*1%</f>
        <v>36901.800000000003</v>
      </c>
    </row>
    <row r="25" spans="1:12" ht="16.5" thickBot="1" x14ac:dyDescent="0.3">
      <c r="A25" s="83"/>
      <c r="B25" s="83"/>
      <c r="C25" s="83"/>
      <c r="D25" s="83"/>
      <c r="E25" s="83"/>
      <c r="F25" s="83"/>
      <c r="G25" s="92" t="s">
        <v>53</v>
      </c>
      <c r="H25" s="92"/>
      <c r="I25" s="40">
        <f>I21*10%</f>
        <v>0</v>
      </c>
      <c r="J25" s="40">
        <f>J23*2%</f>
        <v>73803.600000000006</v>
      </c>
    </row>
    <row r="26" spans="1:12" x14ac:dyDescent="0.25">
      <c r="E26" s="16"/>
      <c r="F26" s="16"/>
      <c r="G26" s="41" t="s">
        <v>54</v>
      </c>
      <c r="H26" s="41"/>
      <c r="I26" s="42" t="e">
        <f>I20+I24</f>
        <v>#REF!</v>
      </c>
      <c r="J26" s="42">
        <f>J23+J24-J25</f>
        <v>3653278.1999999997</v>
      </c>
    </row>
    <row r="27" spans="1:12" x14ac:dyDescent="0.25">
      <c r="E27" s="16"/>
      <c r="F27" s="16"/>
      <c r="G27" s="41"/>
      <c r="H27" s="41"/>
      <c r="I27" s="42"/>
      <c r="J27" s="42"/>
    </row>
    <row r="28" spans="1:12" x14ac:dyDescent="0.25">
      <c r="A28" s="16" t="s">
        <v>69</v>
      </c>
      <c r="D28" s="16"/>
      <c r="E28" s="16"/>
      <c r="F28" s="16"/>
      <c r="G28" s="16"/>
      <c r="H28" s="41"/>
      <c r="I28" s="41"/>
      <c r="J28" s="42"/>
    </row>
    <row r="29" spans="1:12" x14ac:dyDescent="0.25">
      <c r="A29" s="43"/>
      <c r="D29" s="16"/>
      <c r="E29" s="16"/>
      <c r="F29" s="16"/>
      <c r="G29" s="16"/>
      <c r="H29" s="41"/>
      <c r="I29" s="41"/>
      <c r="J29" s="42"/>
    </row>
    <row r="30" spans="1:12" x14ac:dyDescent="0.25">
      <c r="D30" s="16"/>
      <c r="E30" s="16"/>
      <c r="F30" s="16"/>
      <c r="G30" s="16"/>
      <c r="H30" s="41"/>
      <c r="I30" s="41"/>
      <c r="J30" s="42"/>
    </row>
    <row r="31" spans="1:12" x14ac:dyDescent="0.25">
      <c r="A31" s="44" t="s">
        <v>33</v>
      </c>
    </row>
    <row r="32" spans="1:12" x14ac:dyDescent="0.25">
      <c r="A32" s="45" t="s">
        <v>34</v>
      </c>
      <c r="B32" s="46"/>
      <c r="C32" s="46"/>
      <c r="D32" s="47"/>
      <c r="E32" s="47"/>
      <c r="F32" s="47"/>
      <c r="G32" s="47"/>
    </row>
    <row r="33" spans="1:10" x14ac:dyDescent="0.25">
      <c r="A33" s="45" t="s">
        <v>35</v>
      </c>
      <c r="B33" s="46"/>
      <c r="C33" s="46"/>
      <c r="D33" s="47"/>
      <c r="E33" s="47"/>
      <c r="F33" s="47"/>
      <c r="G33" s="47"/>
    </row>
    <row r="34" spans="1:10" x14ac:dyDescent="0.25">
      <c r="A34" s="48" t="s">
        <v>36</v>
      </c>
      <c r="B34" s="49"/>
      <c r="C34" s="49"/>
      <c r="D34" s="47"/>
      <c r="E34" s="47"/>
      <c r="F34" s="47"/>
      <c r="G34" s="47"/>
    </row>
    <row r="35" spans="1:10" x14ac:dyDescent="0.25">
      <c r="A35" s="50" t="s">
        <v>8</v>
      </c>
      <c r="B35" s="51"/>
      <c r="C35" s="51"/>
      <c r="D35" s="47"/>
      <c r="E35" s="47"/>
      <c r="F35" s="47"/>
      <c r="G35" s="47"/>
    </row>
    <row r="36" spans="1:10" x14ac:dyDescent="0.25">
      <c r="A36" s="52"/>
      <c r="B36" s="52"/>
      <c r="C36" s="52"/>
    </row>
    <row r="37" spans="1:10" x14ac:dyDescent="0.25">
      <c r="H37" s="53" t="s">
        <v>37</v>
      </c>
      <c r="I37" s="126" t="str">
        <f>+J14</f>
        <v>TIMIKA</v>
      </c>
      <c r="J37" s="127"/>
    </row>
    <row r="41" spans="1:10" ht="18" customHeight="1" x14ac:dyDescent="0.25"/>
    <row r="42" spans="1:10" ht="17.25" customHeight="1" x14ac:dyDescent="0.25"/>
    <row r="44" spans="1:10" x14ac:dyDescent="0.25">
      <c r="H44" s="128" t="s">
        <v>38</v>
      </c>
      <c r="I44" s="128"/>
      <c r="J44" s="128"/>
    </row>
  </sheetData>
  <mergeCells count="8">
    <mergeCell ref="I37:J37"/>
    <mergeCell ref="H44:J44"/>
    <mergeCell ref="A10:J10"/>
    <mergeCell ref="H17:I17"/>
    <mergeCell ref="H18:I18"/>
    <mergeCell ref="A20:I20"/>
    <mergeCell ref="A21:B21"/>
    <mergeCell ref="H19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7" x14ac:dyDescent="0.2">
      <c r="H1" s="5"/>
    </row>
    <row r="2" spans="1:17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1">
        <v>403827</v>
      </c>
      <c r="B3" s="72" t="s">
        <v>55</v>
      </c>
      <c r="C3" s="8" t="s">
        <v>56</v>
      </c>
      <c r="D3" s="74" t="s">
        <v>62</v>
      </c>
      <c r="E3" s="12">
        <v>44547</v>
      </c>
      <c r="F3" s="74" t="s">
        <v>63</v>
      </c>
      <c r="G3" s="12">
        <v>44575</v>
      </c>
      <c r="H3" s="9" t="s">
        <v>64</v>
      </c>
      <c r="I3" s="1">
        <v>82</v>
      </c>
      <c r="J3" s="1">
        <v>80</v>
      </c>
      <c r="K3" s="1">
        <v>12</v>
      </c>
      <c r="L3" s="1">
        <v>17</v>
      </c>
      <c r="M3" s="78">
        <v>19.68</v>
      </c>
      <c r="N3" s="95">
        <v>19.68</v>
      </c>
      <c r="O3" s="63">
        <v>19000</v>
      </c>
      <c r="P3" s="64">
        <f>Table224578910112[[#This Row],[PEMBULATAN]]*O3</f>
        <v>373920</v>
      </c>
      <c r="Q3" s="145">
        <v>6</v>
      </c>
    </row>
    <row r="4" spans="1:17" ht="26.25" customHeight="1" x14ac:dyDescent="0.2">
      <c r="A4" s="13"/>
      <c r="B4" s="73"/>
      <c r="C4" s="8" t="s">
        <v>57</v>
      </c>
      <c r="D4" s="74" t="s">
        <v>62</v>
      </c>
      <c r="E4" s="12">
        <v>44547</v>
      </c>
      <c r="F4" s="74" t="s">
        <v>63</v>
      </c>
      <c r="G4" s="12">
        <v>44575</v>
      </c>
      <c r="H4" s="9" t="s">
        <v>64</v>
      </c>
      <c r="I4" s="1">
        <v>82</v>
      </c>
      <c r="J4" s="1">
        <v>80</v>
      </c>
      <c r="K4" s="1">
        <v>12</v>
      </c>
      <c r="L4" s="1">
        <v>17</v>
      </c>
      <c r="M4" s="78">
        <v>19.68</v>
      </c>
      <c r="N4" s="95">
        <v>19.68</v>
      </c>
      <c r="O4" s="63">
        <v>19000</v>
      </c>
      <c r="P4" s="64">
        <f>Table224578910112[[#This Row],[PEMBULATAN]]*O4</f>
        <v>373920</v>
      </c>
      <c r="Q4" s="146"/>
    </row>
    <row r="5" spans="1:17" ht="26.25" customHeight="1" x14ac:dyDescent="0.2">
      <c r="A5" s="13"/>
      <c r="B5" s="13"/>
      <c r="C5" s="8" t="s">
        <v>58</v>
      </c>
      <c r="D5" s="74" t="s">
        <v>62</v>
      </c>
      <c r="E5" s="12">
        <v>44547</v>
      </c>
      <c r="F5" s="74" t="s">
        <v>63</v>
      </c>
      <c r="G5" s="12">
        <v>44575</v>
      </c>
      <c r="H5" s="9" t="s">
        <v>64</v>
      </c>
      <c r="I5" s="1">
        <v>65</v>
      </c>
      <c r="J5" s="1">
        <v>56</v>
      </c>
      <c r="K5" s="1">
        <v>21</v>
      </c>
      <c r="L5" s="1">
        <v>12</v>
      </c>
      <c r="M5" s="78">
        <v>19.11</v>
      </c>
      <c r="N5" s="95">
        <v>19.11</v>
      </c>
      <c r="O5" s="63">
        <v>19000</v>
      </c>
      <c r="P5" s="64">
        <f>Table224578910112[[#This Row],[PEMBULATAN]]*O5</f>
        <v>363090</v>
      </c>
      <c r="Q5" s="146"/>
    </row>
    <row r="6" spans="1:17" ht="26.25" customHeight="1" x14ac:dyDescent="0.2">
      <c r="A6" s="13"/>
      <c r="B6" s="13"/>
      <c r="C6" s="71" t="s">
        <v>59</v>
      </c>
      <c r="D6" s="76" t="s">
        <v>62</v>
      </c>
      <c r="E6" s="12">
        <v>44547</v>
      </c>
      <c r="F6" s="74" t="s">
        <v>63</v>
      </c>
      <c r="G6" s="12">
        <v>44575</v>
      </c>
      <c r="H6" s="75" t="s">
        <v>64</v>
      </c>
      <c r="I6" s="15">
        <v>65</v>
      </c>
      <c r="J6" s="15">
        <v>56</v>
      </c>
      <c r="K6" s="15">
        <v>21</v>
      </c>
      <c r="L6" s="15">
        <v>12</v>
      </c>
      <c r="M6" s="79">
        <v>19.11</v>
      </c>
      <c r="N6" s="95">
        <v>19.11</v>
      </c>
      <c r="O6" s="63">
        <v>19000</v>
      </c>
      <c r="P6" s="64">
        <f>Table224578910112[[#This Row],[PEMBULATAN]]*O6</f>
        <v>363090</v>
      </c>
      <c r="Q6" s="146"/>
    </row>
    <row r="7" spans="1:17" ht="26.25" customHeight="1" x14ac:dyDescent="0.2">
      <c r="A7" s="13"/>
      <c r="B7" s="13"/>
      <c r="C7" s="71" t="s">
        <v>60</v>
      </c>
      <c r="D7" s="76" t="s">
        <v>62</v>
      </c>
      <c r="E7" s="12">
        <v>44547</v>
      </c>
      <c r="F7" s="74" t="s">
        <v>63</v>
      </c>
      <c r="G7" s="12">
        <v>44575</v>
      </c>
      <c r="H7" s="75" t="s">
        <v>64</v>
      </c>
      <c r="I7" s="15">
        <v>65</v>
      </c>
      <c r="J7" s="15">
        <v>56</v>
      </c>
      <c r="K7" s="15">
        <v>21</v>
      </c>
      <c r="L7" s="15">
        <v>12</v>
      </c>
      <c r="M7" s="79">
        <v>19.11</v>
      </c>
      <c r="N7" s="95">
        <v>19.11</v>
      </c>
      <c r="O7" s="63">
        <v>19000</v>
      </c>
      <c r="P7" s="64">
        <f>Table224578910112[[#This Row],[PEMBULATAN]]*O7</f>
        <v>363090</v>
      </c>
      <c r="Q7" s="146"/>
    </row>
    <row r="8" spans="1:17" ht="26.25" customHeight="1" thickBot="1" x14ac:dyDescent="0.25">
      <c r="A8" s="96"/>
      <c r="B8" s="96"/>
      <c r="C8" s="97" t="s">
        <v>61</v>
      </c>
      <c r="D8" s="98" t="s">
        <v>62</v>
      </c>
      <c r="E8" s="99">
        <v>44547</v>
      </c>
      <c r="F8" s="100" t="s">
        <v>63</v>
      </c>
      <c r="G8" s="99">
        <v>44575</v>
      </c>
      <c r="H8" s="101" t="s">
        <v>64</v>
      </c>
      <c r="I8" s="102">
        <v>65</v>
      </c>
      <c r="J8" s="102">
        <v>56</v>
      </c>
      <c r="K8" s="102">
        <v>21</v>
      </c>
      <c r="L8" s="102">
        <v>12</v>
      </c>
      <c r="M8" s="103">
        <v>19.11</v>
      </c>
      <c r="N8" s="104">
        <v>19.11</v>
      </c>
      <c r="O8" s="105">
        <v>19000</v>
      </c>
      <c r="P8" s="106">
        <f>Table224578910112[[#This Row],[PEMBULATAN]]*O8</f>
        <v>363090</v>
      </c>
      <c r="Q8" s="147"/>
    </row>
    <row r="9" spans="1:17" ht="26.25" customHeight="1" thickBot="1" x14ac:dyDescent="0.25">
      <c r="A9" s="107">
        <v>402709</v>
      </c>
      <c r="B9" s="108" t="s">
        <v>65</v>
      </c>
      <c r="C9" s="109" t="s">
        <v>66</v>
      </c>
      <c r="D9" s="110" t="s">
        <v>62</v>
      </c>
      <c r="E9" s="111">
        <v>44551</v>
      </c>
      <c r="F9" s="110" t="s">
        <v>63</v>
      </c>
      <c r="G9" s="111">
        <v>44575</v>
      </c>
      <c r="H9" s="112" t="s">
        <v>64</v>
      </c>
      <c r="I9" s="113">
        <v>150</v>
      </c>
      <c r="J9" s="113">
        <v>66</v>
      </c>
      <c r="K9" s="113">
        <v>13</v>
      </c>
      <c r="L9" s="113">
        <v>17</v>
      </c>
      <c r="M9" s="114">
        <v>32.174999999999997</v>
      </c>
      <c r="N9" s="115">
        <v>32.174999999999997</v>
      </c>
      <c r="O9" s="116">
        <v>19000</v>
      </c>
      <c r="P9" s="117">
        <f>Table22457891011234[[#This Row],[PEMBULATAN]]*O9</f>
        <v>611325</v>
      </c>
      <c r="Q9" s="121">
        <v>1</v>
      </c>
    </row>
    <row r="10" spans="1:17" ht="22.5" customHeight="1" thickBot="1" x14ac:dyDescent="0.25">
      <c r="A10" s="140" t="s">
        <v>30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2"/>
      <c r="M10" s="124">
        <f>SUBTOTAL(109,Table22457891011234[KG VOLUME])</f>
        <v>147.97499999999999</v>
      </c>
      <c r="N10" s="123">
        <f>SUM(N3:N9)</f>
        <v>147.97499999999999</v>
      </c>
      <c r="O10" s="143">
        <f>SUM(P3:P9)</f>
        <v>2811525</v>
      </c>
      <c r="P10" s="144"/>
      <c r="Q10" s="125">
        <f>SUM(Q3:Q9)</f>
        <v>7</v>
      </c>
    </row>
    <row r="11" spans="1:17" ht="18" customHeight="1" x14ac:dyDescent="0.2">
      <c r="A11" s="84"/>
      <c r="B11" s="55" t="s">
        <v>42</v>
      </c>
      <c r="C11" s="54"/>
      <c r="D11" s="56" t="s">
        <v>43</v>
      </c>
      <c r="E11" s="84"/>
      <c r="F11" s="84"/>
      <c r="G11" s="84"/>
      <c r="H11" s="84"/>
      <c r="I11" s="84"/>
      <c r="J11" s="84"/>
      <c r="K11" s="84"/>
      <c r="L11" s="84"/>
      <c r="M11" s="85"/>
      <c r="N11" s="86" t="s">
        <v>50</v>
      </c>
      <c r="O11" s="87"/>
      <c r="P11" s="87">
        <f>O10*10%</f>
        <v>281152.5</v>
      </c>
    </row>
    <row r="12" spans="1:17" ht="18" customHeight="1" thickBot="1" x14ac:dyDescent="0.25">
      <c r="A12" s="84"/>
      <c r="B12" s="55"/>
      <c r="C12" s="54"/>
      <c r="D12" s="56"/>
      <c r="E12" s="84"/>
      <c r="F12" s="84"/>
      <c r="G12" s="84"/>
      <c r="H12" s="84"/>
      <c r="I12" s="84"/>
      <c r="J12" s="84"/>
      <c r="K12" s="84"/>
      <c r="L12" s="84"/>
      <c r="M12" s="85"/>
      <c r="N12" s="88" t="s">
        <v>51</v>
      </c>
      <c r="O12" s="89"/>
      <c r="P12" s="89">
        <f>O10-P11</f>
        <v>2530372.5</v>
      </c>
    </row>
    <row r="13" spans="1:17" ht="18" customHeight="1" x14ac:dyDescent="0.2">
      <c r="A13" s="10"/>
      <c r="H13" s="62"/>
      <c r="N13" s="61" t="s">
        <v>31</v>
      </c>
      <c r="P13" s="68">
        <f>P12*1%</f>
        <v>25303.725000000002</v>
      </c>
    </row>
    <row r="14" spans="1:17" ht="18" customHeight="1" thickBot="1" x14ac:dyDescent="0.25">
      <c r="A14" s="10"/>
      <c r="H14" s="62"/>
      <c r="N14" s="61" t="s">
        <v>52</v>
      </c>
      <c r="P14" s="70">
        <f>P12*2%</f>
        <v>50607.450000000004</v>
      </c>
    </row>
    <row r="15" spans="1:17" ht="18" customHeight="1" x14ac:dyDescent="0.2">
      <c r="A15" s="10"/>
      <c r="H15" s="62"/>
      <c r="N15" s="65" t="s">
        <v>32</v>
      </c>
      <c r="O15" s="66"/>
      <c r="P15" s="69">
        <f>P12+P13-P14</f>
        <v>2505068.7749999999</v>
      </c>
    </row>
    <row r="17" spans="1:16" x14ac:dyDescent="0.2">
      <c r="A17" s="10"/>
      <c r="H17" s="62"/>
      <c r="P17" s="70"/>
    </row>
    <row r="18" spans="1:16" x14ac:dyDescent="0.2">
      <c r="A18" s="10"/>
      <c r="H18" s="62"/>
      <c r="O18" s="57"/>
      <c r="P18" s="70"/>
    </row>
    <row r="19" spans="1:16" s="3" customFormat="1" x14ac:dyDescent="0.25">
      <c r="A19" s="10"/>
      <c r="B19" s="2"/>
      <c r="C19" s="2"/>
      <c r="E19" s="11"/>
      <c r="H19" s="62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2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2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2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2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2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2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2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2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2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2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2"/>
      <c r="N30" s="14"/>
      <c r="O30" s="14"/>
      <c r="P30" s="14"/>
    </row>
  </sheetData>
  <mergeCells count="3">
    <mergeCell ref="A10:L10"/>
    <mergeCell ref="O10:P10"/>
    <mergeCell ref="Q3:Q8"/>
  </mergeCells>
  <conditionalFormatting sqref="B3">
    <cfRule type="duplicateValues" dxfId="52" priority="3"/>
  </conditionalFormatting>
  <conditionalFormatting sqref="B4">
    <cfRule type="duplicateValues" dxfId="51" priority="2"/>
  </conditionalFormatting>
  <conditionalFormatting sqref="B5:B8">
    <cfRule type="duplicateValues" dxfId="50" priority="4"/>
  </conditionalFormatting>
  <conditionalFormatting sqref="B9">
    <cfRule type="duplicateValues" dxfId="4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9"/>
  <sheetViews>
    <sheetView zoomScale="110" zoomScaleNormal="110" workbookViewId="0">
      <pane xSplit="3" ySplit="2" topLeftCell="D3" activePane="bottomRight" state="frozen"/>
      <selection activeCell="I14" sqref="I14"/>
      <selection pane="topRight" activeCell="I14" sqref="I14"/>
      <selection pane="bottomLeft" activeCell="I14" sqref="I14"/>
      <selection pane="bottomRight" activeCell="Q10" sqref="Q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7" x14ac:dyDescent="0.2">
      <c r="H1" s="5"/>
    </row>
    <row r="2" spans="1:17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1">
        <v>403827</v>
      </c>
      <c r="B3" s="72" t="s">
        <v>55</v>
      </c>
      <c r="C3" s="8" t="s">
        <v>56</v>
      </c>
      <c r="D3" s="74" t="s">
        <v>62</v>
      </c>
      <c r="E3" s="12">
        <v>44547</v>
      </c>
      <c r="F3" s="74" t="s">
        <v>63</v>
      </c>
      <c r="G3" s="12">
        <v>44575</v>
      </c>
      <c r="H3" s="9" t="s">
        <v>64</v>
      </c>
      <c r="I3" s="1">
        <v>82</v>
      </c>
      <c r="J3" s="1">
        <v>80</v>
      </c>
      <c r="K3" s="1">
        <v>12</v>
      </c>
      <c r="L3" s="1">
        <v>17</v>
      </c>
      <c r="M3" s="78">
        <v>19.68</v>
      </c>
      <c r="N3" s="95">
        <v>19.68</v>
      </c>
      <c r="O3" s="63">
        <v>19000</v>
      </c>
      <c r="P3" s="64">
        <f>Table224578910112[[#This Row],[PEMBULATAN]]*O3</f>
        <v>373920</v>
      </c>
      <c r="Q3" s="153">
        <v>6</v>
      </c>
    </row>
    <row r="4" spans="1:17" ht="26.25" customHeight="1" x14ac:dyDescent="0.2">
      <c r="A4" s="13"/>
      <c r="B4" s="73"/>
      <c r="C4" s="8" t="s">
        <v>57</v>
      </c>
      <c r="D4" s="74" t="s">
        <v>62</v>
      </c>
      <c r="E4" s="12">
        <v>44547</v>
      </c>
      <c r="F4" s="74" t="s">
        <v>63</v>
      </c>
      <c r="G4" s="12">
        <v>44575</v>
      </c>
      <c r="H4" s="9" t="s">
        <v>64</v>
      </c>
      <c r="I4" s="1">
        <v>82</v>
      </c>
      <c r="J4" s="1">
        <v>80</v>
      </c>
      <c r="K4" s="1">
        <v>12</v>
      </c>
      <c r="L4" s="1">
        <v>17</v>
      </c>
      <c r="M4" s="78">
        <v>19.68</v>
      </c>
      <c r="N4" s="95">
        <v>19.68</v>
      </c>
      <c r="O4" s="63">
        <v>19000</v>
      </c>
      <c r="P4" s="64">
        <f>Table224578910112[[#This Row],[PEMBULATAN]]*O4</f>
        <v>373920</v>
      </c>
      <c r="Q4" s="153"/>
    </row>
    <row r="5" spans="1:17" ht="26.25" customHeight="1" x14ac:dyDescent="0.2">
      <c r="A5" s="13"/>
      <c r="B5" s="13"/>
      <c r="C5" s="8" t="s">
        <v>58</v>
      </c>
      <c r="D5" s="74" t="s">
        <v>62</v>
      </c>
      <c r="E5" s="12">
        <v>44547</v>
      </c>
      <c r="F5" s="74" t="s">
        <v>63</v>
      </c>
      <c r="G5" s="12">
        <v>44575</v>
      </c>
      <c r="H5" s="9" t="s">
        <v>64</v>
      </c>
      <c r="I5" s="1">
        <v>65</v>
      </c>
      <c r="J5" s="1">
        <v>56</v>
      </c>
      <c r="K5" s="1">
        <v>21</v>
      </c>
      <c r="L5" s="1">
        <v>12</v>
      </c>
      <c r="M5" s="78">
        <v>19.11</v>
      </c>
      <c r="N5" s="95">
        <v>19.11</v>
      </c>
      <c r="O5" s="63">
        <v>19000</v>
      </c>
      <c r="P5" s="64">
        <f>Table224578910112[[#This Row],[PEMBULATAN]]*O5</f>
        <v>363090</v>
      </c>
      <c r="Q5" s="153"/>
    </row>
    <row r="6" spans="1:17" ht="26.25" customHeight="1" x14ac:dyDescent="0.2">
      <c r="A6" s="13"/>
      <c r="B6" s="13"/>
      <c r="C6" s="71" t="s">
        <v>59</v>
      </c>
      <c r="D6" s="76" t="s">
        <v>62</v>
      </c>
      <c r="E6" s="12">
        <v>44547</v>
      </c>
      <c r="F6" s="74" t="s">
        <v>63</v>
      </c>
      <c r="G6" s="12">
        <v>44575</v>
      </c>
      <c r="H6" s="75" t="s">
        <v>64</v>
      </c>
      <c r="I6" s="15">
        <v>65</v>
      </c>
      <c r="J6" s="15">
        <v>56</v>
      </c>
      <c r="K6" s="15">
        <v>21</v>
      </c>
      <c r="L6" s="15">
        <v>12</v>
      </c>
      <c r="M6" s="79">
        <v>19.11</v>
      </c>
      <c r="N6" s="95">
        <v>19.11</v>
      </c>
      <c r="O6" s="63">
        <v>19000</v>
      </c>
      <c r="P6" s="64">
        <f>Table224578910112[[#This Row],[PEMBULATAN]]*O6</f>
        <v>363090</v>
      </c>
      <c r="Q6" s="153"/>
    </row>
    <row r="7" spans="1:17" ht="26.25" customHeight="1" x14ac:dyDescent="0.2">
      <c r="A7" s="13"/>
      <c r="B7" s="13"/>
      <c r="C7" s="71" t="s">
        <v>60</v>
      </c>
      <c r="D7" s="76" t="s">
        <v>62</v>
      </c>
      <c r="E7" s="12">
        <v>44547</v>
      </c>
      <c r="F7" s="74" t="s">
        <v>63</v>
      </c>
      <c r="G7" s="12">
        <v>44575</v>
      </c>
      <c r="H7" s="75" t="s">
        <v>64</v>
      </c>
      <c r="I7" s="15">
        <v>65</v>
      </c>
      <c r="J7" s="15">
        <v>56</v>
      </c>
      <c r="K7" s="15">
        <v>21</v>
      </c>
      <c r="L7" s="15">
        <v>12</v>
      </c>
      <c r="M7" s="79">
        <v>19.11</v>
      </c>
      <c r="N7" s="95">
        <v>19.11</v>
      </c>
      <c r="O7" s="63">
        <v>19000</v>
      </c>
      <c r="P7" s="64">
        <f>Table224578910112[[#This Row],[PEMBULATAN]]*O7</f>
        <v>363090</v>
      </c>
      <c r="Q7" s="153"/>
    </row>
    <row r="8" spans="1:17" ht="26.25" customHeight="1" x14ac:dyDescent="0.2">
      <c r="A8" s="13"/>
      <c r="B8" s="13"/>
      <c r="C8" s="71" t="s">
        <v>61</v>
      </c>
      <c r="D8" s="76" t="s">
        <v>62</v>
      </c>
      <c r="E8" s="12">
        <v>44547</v>
      </c>
      <c r="F8" s="74" t="s">
        <v>63</v>
      </c>
      <c r="G8" s="12">
        <v>44575</v>
      </c>
      <c r="H8" s="75" t="s">
        <v>64</v>
      </c>
      <c r="I8" s="15">
        <v>65</v>
      </c>
      <c r="J8" s="15">
        <v>56</v>
      </c>
      <c r="K8" s="15">
        <v>21</v>
      </c>
      <c r="L8" s="15">
        <v>12</v>
      </c>
      <c r="M8" s="79">
        <v>19.11</v>
      </c>
      <c r="N8" s="95">
        <v>19.11</v>
      </c>
      <c r="O8" s="63">
        <v>19000</v>
      </c>
      <c r="P8" s="64">
        <f>Table224578910112[[#This Row],[PEMBULATAN]]*O8</f>
        <v>363090</v>
      </c>
      <c r="Q8" s="153"/>
    </row>
    <row r="9" spans="1:17" ht="22.5" customHeight="1" x14ac:dyDescent="0.2">
      <c r="A9" s="148" t="s">
        <v>30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50"/>
      <c r="M9" s="77">
        <f>SUBTOTAL(109,Table224578910112[KG VOLUME])</f>
        <v>115.8</v>
      </c>
      <c r="N9" s="67">
        <f>SUM(N3:N8)</f>
        <v>115.8</v>
      </c>
      <c r="O9" s="151">
        <f>SUM(P3:P8)</f>
        <v>2200200</v>
      </c>
      <c r="P9" s="152"/>
    </row>
    <row r="10" spans="1:17" ht="18" customHeight="1" x14ac:dyDescent="0.2">
      <c r="A10" s="84"/>
      <c r="B10" s="55" t="s">
        <v>42</v>
      </c>
      <c r="C10" s="54"/>
      <c r="D10" s="56" t="s">
        <v>43</v>
      </c>
      <c r="E10" s="84"/>
      <c r="F10" s="84"/>
      <c r="G10" s="84"/>
      <c r="H10" s="84"/>
      <c r="I10" s="84"/>
      <c r="J10" s="84"/>
      <c r="K10" s="84"/>
      <c r="L10" s="84"/>
      <c r="M10" s="85"/>
      <c r="N10" s="86" t="s">
        <v>50</v>
      </c>
      <c r="O10" s="87"/>
      <c r="P10" s="87">
        <f>O9*10%</f>
        <v>220020</v>
      </c>
    </row>
    <row r="11" spans="1:17" ht="18" customHeight="1" thickBot="1" x14ac:dyDescent="0.25">
      <c r="A11" s="84"/>
      <c r="B11" s="55"/>
      <c r="C11" s="54"/>
      <c r="D11" s="56"/>
      <c r="E11" s="84"/>
      <c r="F11" s="84"/>
      <c r="G11" s="84"/>
      <c r="H11" s="84"/>
      <c r="I11" s="84"/>
      <c r="J11" s="84"/>
      <c r="K11" s="84"/>
      <c r="L11" s="84"/>
      <c r="M11" s="85"/>
      <c r="N11" s="88" t="s">
        <v>51</v>
      </c>
      <c r="O11" s="89"/>
      <c r="P11" s="89">
        <f>O9-P10</f>
        <v>1980180</v>
      </c>
    </row>
    <row r="12" spans="1:17" ht="18" customHeight="1" x14ac:dyDescent="0.2">
      <c r="A12" s="10"/>
      <c r="H12" s="62"/>
      <c r="N12" s="61" t="s">
        <v>31</v>
      </c>
      <c r="P12" s="68">
        <f>P11*1%</f>
        <v>19801.8</v>
      </c>
    </row>
    <row r="13" spans="1:17" ht="18" customHeight="1" thickBot="1" x14ac:dyDescent="0.25">
      <c r="A13" s="10"/>
      <c r="H13" s="62"/>
      <c r="N13" s="61" t="s">
        <v>52</v>
      </c>
      <c r="P13" s="70">
        <f>P11*2%</f>
        <v>39603.599999999999</v>
      </c>
    </row>
    <row r="14" spans="1:17" ht="18" customHeight="1" x14ac:dyDescent="0.2">
      <c r="A14" s="10"/>
      <c r="H14" s="62"/>
      <c r="N14" s="65" t="s">
        <v>32</v>
      </c>
      <c r="O14" s="66"/>
      <c r="P14" s="69">
        <f>P11+P12-P13</f>
        <v>1960378.2</v>
      </c>
    </row>
    <row r="16" spans="1:17" x14ac:dyDescent="0.2">
      <c r="A16" s="10"/>
      <c r="H16" s="62"/>
      <c r="P16" s="70"/>
    </row>
    <row r="17" spans="1:16" x14ac:dyDescent="0.2">
      <c r="A17" s="10"/>
      <c r="H17" s="62"/>
      <c r="O17" s="57"/>
      <c r="P17" s="70"/>
    </row>
    <row r="18" spans="1:16" s="3" customFormat="1" x14ac:dyDescent="0.25">
      <c r="A18" s="10"/>
      <c r="B18" s="2"/>
      <c r="C18" s="2"/>
      <c r="E18" s="11"/>
      <c r="H18" s="62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2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2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2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2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2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2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2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2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2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2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2"/>
      <c r="N29" s="14"/>
      <c r="O29" s="14"/>
      <c r="P29" s="14"/>
    </row>
  </sheetData>
  <mergeCells count="3">
    <mergeCell ref="A9:L9"/>
    <mergeCell ref="O9:P9"/>
    <mergeCell ref="Q3:Q8"/>
  </mergeCells>
  <conditionalFormatting sqref="B3">
    <cfRule type="duplicateValues" dxfId="33" priority="2"/>
  </conditionalFormatting>
  <conditionalFormatting sqref="B4">
    <cfRule type="duplicateValues" dxfId="32" priority="1"/>
  </conditionalFormatting>
  <conditionalFormatting sqref="B5:B8">
    <cfRule type="duplicateValues" dxfId="31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tabSelected="1" zoomScale="110" zoomScaleNormal="110" workbookViewId="0">
      <pane xSplit="3" ySplit="2" topLeftCell="D3" activePane="bottomRight" state="frozen"/>
      <selection activeCell="H8" sqref="H8"/>
      <selection pane="topRight" activeCell="H8" sqref="H8"/>
      <selection pane="bottomLeft" activeCell="H8" sqref="H8"/>
      <selection pane="bottomRight" activeCell="K11" sqref="K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7" x14ac:dyDescent="0.2">
      <c r="H1" s="5"/>
    </row>
    <row r="2" spans="1:17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1">
        <v>402709</v>
      </c>
      <c r="B3" s="72" t="s">
        <v>65</v>
      </c>
      <c r="C3" s="8" t="s">
        <v>66</v>
      </c>
      <c r="D3" s="74" t="s">
        <v>62</v>
      </c>
      <c r="E3" s="12">
        <v>44551</v>
      </c>
      <c r="F3" s="74" t="s">
        <v>63</v>
      </c>
      <c r="G3" s="12">
        <v>44575</v>
      </c>
      <c r="H3" s="9" t="s">
        <v>64</v>
      </c>
      <c r="I3" s="1">
        <v>150</v>
      </c>
      <c r="J3" s="1">
        <v>66</v>
      </c>
      <c r="K3" s="1">
        <v>13</v>
      </c>
      <c r="L3" s="1">
        <v>17</v>
      </c>
      <c r="M3" s="78">
        <v>32.174999999999997</v>
      </c>
      <c r="N3" s="95">
        <v>32.174999999999997</v>
      </c>
      <c r="O3" s="63">
        <v>19000</v>
      </c>
      <c r="P3" s="64">
        <f>Table2245789101123[[#This Row],[PEMBULATAN]]*O3</f>
        <v>611325</v>
      </c>
      <c r="Q3" s="122">
        <v>1</v>
      </c>
    </row>
    <row r="4" spans="1:17" ht="22.5" customHeight="1" x14ac:dyDescent="0.2">
      <c r="A4" s="148" t="s">
        <v>30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50"/>
      <c r="M4" s="77">
        <f>SUBTOTAL(109,Table2245789101123[KG VOLUME])</f>
        <v>32.174999999999997</v>
      </c>
      <c r="N4" s="67">
        <f>SUM(N3:N3)</f>
        <v>32.174999999999997</v>
      </c>
      <c r="O4" s="151">
        <f>SUM(P3:P3)</f>
        <v>611325</v>
      </c>
      <c r="P4" s="152"/>
    </row>
    <row r="5" spans="1:17" ht="18" customHeight="1" x14ac:dyDescent="0.2">
      <c r="A5" s="84"/>
      <c r="B5" s="55" t="s">
        <v>42</v>
      </c>
      <c r="C5" s="54"/>
      <c r="D5" s="56" t="s">
        <v>43</v>
      </c>
      <c r="E5" s="84"/>
      <c r="F5" s="84"/>
      <c r="G5" s="84"/>
      <c r="H5" s="84"/>
      <c r="I5" s="84"/>
      <c r="J5" s="84"/>
      <c r="K5" s="84"/>
      <c r="L5" s="84"/>
      <c r="M5" s="85"/>
      <c r="N5" s="86" t="s">
        <v>50</v>
      </c>
      <c r="O5" s="87"/>
      <c r="P5" s="87">
        <f>O4*10%</f>
        <v>61132.5</v>
      </c>
    </row>
    <row r="6" spans="1:17" ht="18" customHeight="1" thickBot="1" x14ac:dyDescent="0.25">
      <c r="A6" s="84"/>
      <c r="B6" s="55"/>
      <c r="C6" s="54"/>
      <c r="D6" s="56"/>
      <c r="E6" s="84"/>
      <c r="F6" s="84"/>
      <c r="G6" s="84"/>
      <c r="H6" s="84"/>
      <c r="I6" s="84"/>
      <c r="J6" s="84"/>
      <c r="K6" s="84"/>
      <c r="L6" s="84"/>
      <c r="M6" s="85"/>
      <c r="N6" s="88" t="s">
        <v>51</v>
      </c>
      <c r="O6" s="89"/>
      <c r="P6" s="89">
        <f>O4-P5</f>
        <v>550192.5</v>
      </c>
    </row>
    <row r="7" spans="1:17" ht="18" customHeight="1" x14ac:dyDescent="0.2">
      <c r="A7" s="10"/>
      <c r="H7" s="62"/>
      <c r="N7" s="61" t="s">
        <v>31</v>
      </c>
      <c r="P7" s="68">
        <f>P6*1%</f>
        <v>5501.9250000000002</v>
      </c>
    </row>
    <row r="8" spans="1:17" ht="18" customHeight="1" thickBot="1" x14ac:dyDescent="0.25">
      <c r="A8" s="10"/>
      <c r="H8" s="62"/>
      <c r="N8" s="61" t="s">
        <v>52</v>
      </c>
      <c r="P8" s="70">
        <f>P6*2%</f>
        <v>11003.85</v>
      </c>
    </row>
    <row r="9" spans="1:17" ht="18" customHeight="1" x14ac:dyDescent="0.2">
      <c r="A9" s="10"/>
      <c r="H9" s="62"/>
      <c r="N9" s="65" t="s">
        <v>32</v>
      </c>
      <c r="O9" s="66"/>
      <c r="P9" s="69">
        <f>P6+P7-P8</f>
        <v>544690.57500000007</v>
      </c>
    </row>
    <row r="11" spans="1:17" x14ac:dyDescent="0.2">
      <c r="A11" s="10"/>
      <c r="H11" s="62"/>
      <c r="P11" s="70"/>
    </row>
    <row r="12" spans="1:17" x14ac:dyDescent="0.2">
      <c r="A12" s="10"/>
      <c r="H12" s="62"/>
      <c r="O12" s="57"/>
      <c r="P12" s="70"/>
    </row>
    <row r="13" spans="1:17" s="3" customFormat="1" x14ac:dyDescent="0.25">
      <c r="A13" s="10"/>
      <c r="B13" s="2"/>
      <c r="C13" s="2"/>
      <c r="E13" s="11"/>
      <c r="H13" s="62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2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2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2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2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2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2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2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2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2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2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2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Timika_Desember 2021</vt:lpstr>
      <vt:lpstr>ALL</vt:lpstr>
      <vt:lpstr>403827</vt:lpstr>
      <vt:lpstr>402709</vt:lpstr>
      <vt:lpstr>'402709'!Print_Titles</vt:lpstr>
      <vt:lpstr>'403827'!Print_Titles</vt:lpstr>
      <vt:lpstr>ALL!Print_Titles</vt:lpstr>
      <vt:lpstr>'Timika_Desember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2021-10-06T07:28:34Z</cp:lastPrinted>
  <dcterms:created xsi:type="dcterms:W3CDTF">2021-07-02T11:08:00Z</dcterms:created>
  <dcterms:modified xsi:type="dcterms:W3CDTF">2022-01-29T03:00:40Z</dcterms:modified>
</cp:coreProperties>
</file>