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CI-DEDE\Users\Public\PT. PERISAI CAKRAWALA INDONESIA\INVOICE\Performa\2021\Sicepat\"/>
    </mc:Choice>
  </mc:AlternateContent>
  <bookViews>
    <workbookView xWindow="0" yWindow="0" windowWidth="20490" windowHeight="7320" tabRatio="842"/>
  </bookViews>
  <sheets>
    <sheet name="Sicepat_Ternate Des 2021" sheetId="2" r:id="rId1"/>
    <sheet name="ALL" sheetId="89" r:id="rId2"/>
    <sheet name="405805" sheetId="58" r:id="rId3"/>
    <sheet name="405822" sheetId="59" r:id="rId4"/>
    <sheet name="405816" sheetId="60" r:id="rId5"/>
    <sheet name="405836" sheetId="61" r:id="rId6"/>
    <sheet name="405844" sheetId="62" r:id="rId7"/>
    <sheet name="406458" sheetId="63" r:id="rId8"/>
    <sheet name="406465" sheetId="64" r:id="rId9"/>
    <sheet name="402656" sheetId="65" r:id="rId10"/>
    <sheet name="402670" sheetId="66" r:id="rId11"/>
    <sheet name="402676" sheetId="67" r:id="rId12"/>
    <sheet name="402693" sheetId="68" r:id="rId13"/>
    <sheet name="402701" sheetId="69" r:id="rId14"/>
    <sheet name="402710" sheetId="70" r:id="rId15"/>
    <sheet name="402719" sheetId="71" r:id="rId16"/>
    <sheet name="402730" sheetId="72" r:id="rId17"/>
    <sheet name="402735" sheetId="74" r:id="rId18"/>
    <sheet name="402739" sheetId="73" r:id="rId19"/>
    <sheet name="402755" sheetId="75" r:id="rId20"/>
    <sheet name="402759" sheetId="76" r:id="rId21"/>
  </sheets>
  <definedNames>
    <definedName name="_xlnm.Print_Titles" localSheetId="9">'402656'!$2:$2</definedName>
    <definedName name="_xlnm.Print_Titles" localSheetId="10">'402670'!$2:$2</definedName>
    <definedName name="_xlnm.Print_Titles" localSheetId="11">'402676'!$2:$2</definedName>
    <definedName name="_xlnm.Print_Titles" localSheetId="12">'402693'!$2:$2</definedName>
    <definedName name="_xlnm.Print_Titles" localSheetId="13">'402701'!$2:$2</definedName>
    <definedName name="_xlnm.Print_Titles" localSheetId="14">'402710'!$2:$2</definedName>
    <definedName name="_xlnm.Print_Titles" localSheetId="15">'402719'!$2:$2</definedName>
    <definedName name="_xlnm.Print_Titles" localSheetId="16">'402730'!$2:$2</definedName>
    <definedName name="_xlnm.Print_Titles" localSheetId="17">'402735'!$2:$2</definedName>
    <definedName name="_xlnm.Print_Titles" localSheetId="18">'402739'!$2:$2</definedName>
    <definedName name="_xlnm.Print_Titles" localSheetId="19">'402755'!$2:$2</definedName>
    <definedName name="_xlnm.Print_Titles" localSheetId="20">'402759'!$2:$2</definedName>
    <definedName name="_xlnm.Print_Titles" localSheetId="2">'405805'!$2:$2</definedName>
    <definedName name="_xlnm.Print_Titles" localSheetId="4">'405816'!$2:$2</definedName>
    <definedName name="_xlnm.Print_Titles" localSheetId="3">'405822'!$2:$2</definedName>
    <definedName name="_xlnm.Print_Titles" localSheetId="5">'405836'!$2:$2</definedName>
    <definedName name="_xlnm.Print_Titles" localSheetId="6">'405844'!$2:$2</definedName>
    <definedName name="_xlnm.Print_Titles" localSheetId="7">'406458'!$2:$2</definedName>
    <definedName name="_xlnm.Print_Titles" localSheetId="8">'406465'!$2:$2</definedName>
    <definedName name="_xlnm.Print_Titles" localSheetId="1">ALL!$2:$2</definedName>
    <definedName name="_xlnm.Print_Titles" localSheetId="0">'Sicepat_Ternate Des 2021'!$2:$17</definedName>
  </definedNames>
  <calcPr calcId="162913"/>
</workbook>
</file>

<file path=xl/calcChain.xml><?xml version="1.0" encoding="utf-8"?>
<calcChain xmlns="http://schemas.openxmlformats.org/spreadsheetml/2006/main">
  <c r="P8" i="76" l="1"/>
  <c r="P10" i="75"/>
  <c r="P5" i="73"/>
  <c r="P5" i="74"/>
  <c r="P13" i="72"/>
  <c r="P17" i="71"/>
  <c r="P5" i="70"/>
  <c r="P5" i="69"/>
  <c r="P15" i="68"/>
  <c r="P6" i="67"/>
  <c r="P7" i="66"/>
  <c r="P5" i="65"/>
  <c r="P14" i="64"/>
  <c r="P11" i="63"/>
  <c r="P7" i="62"/>
  <c r="P12" i="61"/>
  <c r="P11" i="60"/>
  <c r="P6" i="59"/>
  <c r="P6" i="58"/>
  <c r="J19" i="2" l="1"/>
  <c r="J20" i="2"/>
  <c r="J21" i="2"/>
  <c r="J22" i="2"/>
  <c r="J23" i="2"/>
  <c r="J24" i="2"/>
  <c r="J25" i="2"/>
  <c r="J26" i="2"/>
  <c r="J27" i="2"/>
  <c r="J28" i="2"/>
  <c r="J29" i="2"/>
  <c r="J30" i="2"/>
  <c r="J32" i="2"/>
  <c r="J33" i="2"/>
  <c r="J34" i="2"/>
  <c r="J35" i="2"/>
  <c r="J36" i="2"/>
  <c r="J18" i="2"/>
  <c r="N95" i="89"/>
  <c r="M95" i="89"/>
  <c r="Q95" i="89"/>
  <c r="P94" i="89"/>
  <c r="P93" i="89"/>
  <c r="P92" i="89"/>
  <c r="P91" i="89"/>
  <c r="P90" i="89"/>
  <c r="P89" i="89"/>
  <c r="P88" i="89"/>
  <c r="P87" i="89"/>
  <c r="P86" i="89"/>
  <c r="P85" i="89"/>
  <c r="P84" i="89"/>
  <c r="P83" i="89"/>
  <c r="P82" i="89"/>
  <c r="P81" i="89"/>
  <c r="P80" i="89"/>
  <c r="P79" i="89"/>
  <c r="P78" i="89"/>
  <c r="P77" i="89"/>
  <c r="P76" i="89"/>
  <c r="P75" i="89"/>
  <c r="P74" i="89"/>
  <c r="P73" i="89"/>
  <c r="P72" i="89"/>
  <c r="P71" i="89"/>
  <c r="P70" i="89"/>
  <c r="P69" i="89"/>
  <c r="P68" i="89"/>
  <c r="P67" i="89"/>
  <c r="P66" i="89"/>
  <c r="P65" i="89"/>
  <c r="P64" i="89"/>
  <c r="P63" i="89"/>
  <c r="P62" i="89"/>
  <c r="P61" i="89"/>
  <c r="P60" i="89"/>
  <c r="P59" i="89"/>
  <c r="P58" i="89"/>
  <c r="P57" i="89"/>
  <c r="P56" i="89"/>
  <c r="P55" i="89"/>
  <c r="P54" i="89"/>
  <c r="P53" i="89"/>
  <c r="P52" i="89"/>
  <c r="P51" i="89"/>
  <c r="P50" i="89"/>
  <c r="P49" i="89"/>
  <c r="P48" i="89"/>
  <c r="P47" i="89"/>
  <c r="P46" i="89"/>
  <c r="P45" i="89"/>
  <c r="P44" i="89"/>
  <c r="P43" i="89"/>
  <c r="P42" i="89"/>
  <c r="P41" i="89"/>
  <c r="P40" i="89"/>
  <c r="P39" i="89"/>
  <c r="P38" i="89"/>
  <c r="P37" i="89"/>
  <c r="P36" i="89"/>
  <c r="P35" i="89"/>
  <c r="P34" i="89"/>
  <c r="P33" i="89"/>
  <c r="P32" i="89"/>
  <c r="P31" i="89"/>
  <c r="P30" i="89"/>
  <c r="P29" i="89"/>
  <c r="P28" i="89"/>
  <c r="P27" i="89"/>
  <c r="P26" i="89"/>
  <c r="P25" i="89"/>
  <c r="P24" i="89"/>
  <c r="P23" i="89"/>
  <c r="P22" i="89"/>
  <c r="P21" i="89"/>
  <c r="P20" i="89"/>
  <c r="P19" i="89"/>
  <c r="P18" i="89"/>
  <c r="P17" i="89"/>
  <c r="P16" i="89"/>
  <c r="P15" i="89"/>
  <c r="P14" i="89"/>
  <c r="P13" i="89"/>
  <c r="P12" i="89"/>
  <c r="P11" i="89"/>
  <c r="P10" i="89"/>
  <c r="P9" i="89"/>
  <c r="P8" i="89"/>
  <c r="P7" i="89"/>
  <c r="P6" i="89"/>
  <c r="P4" i="89"/>
  <c r="O95" i="89" s="1"/>
  <c r="P96" i="89" s="1"/>
  <c r="P3" i="89"/>
  <c r="P5" i="89"/>
  <c r="B36" i="2"/>
  <c r="C36" i="2"/>
  <c r="G35" i="2"/>
  <c r="B35" i="2"/>
  <c r="C35" i="2"/>
  <c r="B34" i="2"/>
  <c r="C34" i="2"/>
  <c r="B33" i="2"/>
  <c r="C33" i="2"/>
  <c r="B32" i="2"/>
  <c r="C32" i="2"/>
  <c r="B31" i="2"/>
  <c r="C31" i="2"/>
  <c r="B30" i="2"/>
  <c r="C30" i="2"/>
  <c r="G29" i="2"/>
  <c r="B29" i="2"/>
  <c r="C29" i="2"/>
  <c r="G28" i="2"/>
  <c r="B28" i="2"/>
  <c r="C28" i="2"/>
  <c r="B27" i="2"/>
  <c r="C27" i="2"/>
  <c r="B26" i="2"/>
  <c r="C26" i="2"/>
  <c r="G25" i="2"/>
  <c r="B25" i="2"/>
  <c r="C25" i="2"/>
  <c r="G24" i="2"/>
  <c r="B24" i="2"/>
  <c r="C24" i="2"/>
  <c r="G23" i="2"/>
  <c r="B23" i="2"/>
  <c r="C23" i="2"/>
  <c r="G22" i="2"/>
  <c r="B22" i="2"/>
  <c r="C22" i="2"/>
  <c r="G21" i="2"/>
  <c r="B21" i="2"/>
  <c r="C21" i="2"/>
  <c r="C20" i="2"/>
  <c r="B20" i="2"/>
  <c r="C19" i="2"/>
  <c r="B19" i="2"/>
  <c r="G18" i="2"/>
  <c r="C18" i="2"/>
  <c r="B18" i="2"/>
  <c r="M12" i="72"/>
  <c r="N12" i="72"/>
  <c r="N5" i="67"/>
  <c r="N6" i="66"/>
  <c r="N13" i="64"/>
  <c r="O10" i="63"/>
  <c r="N10" i="63"/>
  <c r="N11" i="61"/>
  <c r="P97" i="89" l="1"/>
  <c r="P99" i="89" s="1"/>
  <c r="P98" i="89" l="1"/>
  <c r="P100" i="89" s="1"/>
  <c r="P4" i="62" l="1"/>
  <c r="P5" i="62"/>
  <c r="N7" i="76" l="1"/>
  <c r="M7" i="76"/>
  <c r="P6" i="76"/>
  <c r="P5" i="76"/>
  <c r="P4" i="76"/>
  <c r="P3" i="76"/>
  <c r="N9" i="75"/>
  <c r="M9" i="75"/>
  <c r="P8" i="75"/>
  <c r="P7" i="75"/>
  <c r="P6" i="75"/>
  <c r="P5" i="75"/>
  <c r="P4" i="75"/>
  <c r="P3" i="75"/>
  <c r="N4" i="74"/>
  <c r="M4" i="74"/>
  <c r="P3" i="74"/>
  <c r="N4" i="73"/>
  <c r="M4" i="73"/>
  <c r="P3" i="73"/>
  <c r="O4" i="73" s="1"/>
  <c r="P6" i="73" s="1"/>
  <c r="P11" i="72"/>
  <c r="P10" i="72"/>
  <c r="P9" i="72"/>
  <c r="P8" i="72"/>
  <c r="P7" i="72"/>
  <c r="P6" i="72"/>
  <c r="P5" i="72"/>
  <c r="P4" i="72"/>
  <c r="P3" i="72"/>
  <c r="N16" i="71"/>
  <c r="G31" i="2" s="1"/>
  <c r="J31" i="2" s="1"/>
  <c r="J37" i="2" s="1"/>
  <c r="J39" i="2" s="1"/>
  <c r="M16" i="71"/>
  <c r="P15" i="71"/>
  <c r="P14" i="71"/>
  <c r="P13" i="71"/>
  <c r="P12" i="71"/>
  <c r="P11" i="71"/>
  <c r="P10" i="71"/>
  <c r="P9" i="71"/>
  <c r="P8" i="71"/>
  <c r="P7" i="71"/>
  <c r="P6" i="71"/>
  <c r="P5" i="71"/>
  <c r="P4" i="71"/>
  <c r="P3" i="71"/>
  <c r="N4" i="70"/>
  <c r="M4" i="70"/>
  <c r="P3" i="70"/>
  <c r="O4" i="70" s="1"/>
  <c r="P6" i="70" s="1"/>
  <c r="N4" i="69"/>
  <c r="M4" i="69"/>
  <c r="P3" i="69"/>
  <c r="O4" i="69" s="1"/>
  <c r="P6" i="69" s="1"/>
  <c r="N14" i="68"/>
  <c r="M14" i="68"/>
  <c r="P13" i="68"/>
  <c r="P12" i="68"/>
  <c r="P11" i="68"/>
  <c r="P10" i="68"/>
  <c r="P9" i="68"/>
  <c r="P8" i="68"/>
  <c r="P7" i="68"/>
  <c r="P6" i="68"/>
  <c r="P5" i="68"/>
  <c r="P4" i="68"/>
  <c r="P3" i="68"/>
  <c r="M5" i="67"/>
  <c r="P4" i="67"/>
  <c r="P3" i="67"/>
  <c r="M6" i="66"/>
  <c r="P5" i="66"/>
  <c r="P4" i="66"/>
  <c r="P3" i="66"/>
  <c r="N4" i="65"/>
  <c r="M4" i="65"/>
  <c r="P3" i="65"/>
  <c r="O4" i="65" s="1"/>
  <c r="P6" i="65" s="1"/>
  <c r="M13" i="64"/>
  <c r="P12" i="64"/>
  <c r="P11" i="64"/>
  <c r="P10" i="64"/>
  <c r="P9" i="64"/>
  <c r="P8" i="64"/>
  <c r="P7" i="64"/>
  <c r="P6" i="64"/>
  <c r="P5" i="64"/>
  <c r="P4" i="64"/>
  <c r="P3" i="64"/>
  <c r="M10" i="63"/>
  <c r="P9" i="63"/>
  <c r="P8" i="63"/>
  <c r="P7" i="63"/>
  <c r="P6" i="63"/>
  <c r="P5" i="63"/>
  <c r="P4" i="63"/>
  <c r="P3" i="63"/>
  <c r="N6" i="62"/>
  <c r="M6" i="62"/>
  <c r="P3" i="62"/>
  <c r="M11" i="61"/>
  <c r="P10" i="61"/>
  <c r="P9" i="61"/>
  <c r="P8" i="61"/>
  <c r="P7" i="61"/>
  <c r="P6" i="61"/>
  <c r="P5" i="61"/>
  <c r="P4" i="61"/>
  <c r="P3" i="61"/>
  <c r="N10" i="60"/>
  <c r="M10" i="60"/>
  <c r="P9" i="60"/>
  <c r="P8" i="60"/>
  <c r="P7" i="60"/>
  <c r="P6" i="60"/>
  <c r="P5" i="60"/>
  <c r="P4" i="60"/>
  <c r="P3" i="60"/>
  <c r="N5" i="59"/>
  <c r="M5" i="59"/>
  <c r="P4" i="59"/>
  <c r="P3" i="59"/>
  <c r="N5" i="58"/>
  <c r="M5" i="58"/>
  <c r="P4" i="58"/>
  <c r="P3" i="58"/>
  <c r="O12" i="72" l="1"/>
  <c r="O7" i="76"/>
  <c r="P9" i="76" s="1"/>
  <c r="P11" i="76" s="1"/>
  <c r="O9" i="75"/>
  <c r="P11" i="75" s="1"/>
  <c r="P12" i="75" s="1"/>
  <c r="O4" i="74"/>
  <c r="P6" i="74" s="1"/>
  <c r="P8" i="74" s="1"/>
  <c r="P14" i="72"/>
  <c r="P15" i="72" s="1"/>
  <c r="O16" i="71"/>
  <c r="P18" i="71" s="1"/>
  <c r="P20" i="71" s="1"/>
  <c r="O14" i="68"/>
  <c r="P16" i="68" s="1"/>
  <c r="P18" i="68" s="1"/>
  <c r="O5" i="67"/>
  <c r="P7" i="67" s="1"/>
  <c r="P9" i="67" s="1"/>
  <c r="O6" i="66"/>
  <c r="P8" i="66" s="1"/>
  <c r="P9" i="66" s="1"/>
  <c r="O13" i="64"/>
  <c r="P15" i="64" s="1"/>
  <c r="P17" i="64" s="1"/>
  <c r="P12" i="63"/>
  <c r="P14" i="63" s="1"/>
  <c r="O6" i="62"/>
  <c r="P8" i="62" s="1"/>
  <c r="P9" i="62" s="1"/>
  <c r="O11" i="61"/>
  <c r="P13" i="61" s="1"/>
  <c r="P14" i="61" s="1"/>
  <c r="O10" i="60"/>
  <c r="P12" i="60" s="1"/>
  <c r="P13" i="60" s="1"/>
  <c r="O5" i="59"/>
  <c r="P7" i="59" s="1"/>
  <c r="P9" i="59" s="1"/>
  <c r="O5" i="58"/>
  <c r="P7" i="58" s="1"/>
  <c r="P9" i="58" s="1"/>
  <c r="P8" i="73"/>
  <c r="P7" i="73"/>
  <c r="P8" i="70"/>
  <c r="P7" i="70"/>
  <c r="P8" i="69"/>
  <c r="P7" i="69"/>
  <c r="P8" i="65"/>
  <c r="P7" i="65"/>
  <c r="P16" i="64" l="1"/>
  <c r="P10" i="76"/>
  <c r="P9" i="70"/>
  <c r="P9" i="65"/>
  <c r="P14" i="60"/>
  <c r="P15" i="60" s="1"/>
  <c r="P18" i="64"/>
  <c r="P12" i="76"/>
  <c r="P13" i="75"/>
  <c r="P14" i="75" s="1"/>
  <c r="P7" i="74"/>
  <c r="P9" i="74" s="1"/>
  <c r="P9" i="73"/>
  <c r="P16" i="72"/>
  <c r="P17" i="72" s="1"/>
  <c r="P19" i="71"/>
  <c r="P21" i="71" s="1"/>
  <c r="P9" i="69"/>
  <c r="P17" i="68"/>
  <c r="P19" i="68" s="1"/>
  <c r="P8" i="67"/>
  <c r="P10" i="67" s="1"/>
  <c r="P10" i="66"/>
  <c r="P11" i="66" s="1"/>
  <c r="P13" i="63"/>
  <c r="P15" i="63" s="1"/>
  <c r="P10" i="62"/>
  <c r="P11" i="62" s="1"/>
  <c r="P15" i="61"/>
  <c r="P16" i="61" s="1"/>
  <c r="P8" i="59"/>
  <c r="P10" i="59" s="1"/>
  <c r="P8" i="58"/>
  <c r="P10" i="58" s="1"/>
  <c r="I42" i="2"/>
  <c r="I41" i="2"/>
  <c r="I43" i="2" s="1"/>
  <c r="A19" i="2" l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I54" i="2" l="1"/>
  <c r="J40" i="2" l="1"/>
  <c r="J42" i="2" l="1"/>
  <c r="J41" i="2"/>
  <c r="J43" i="2" l="1"/>
</calcChain>
</file>

<file path=xl/sharedStrings.xml><?xml version="1.0" encoding="utf-8"?>
<sst xmlns="http://schemas.openxmlformats.org/spreadsheetml/2006/main" count="1367" uniqueCount="184">
  <si>
    <t>NOMOR</t>
  </si>
  <si>
    <t>TUJUAN</t>
  </si>
  <si>
    <t>KETERANGAN</t>
  </si>
  <si>
    <t>KAPAL</t>
  </si>
  <si>
    <t>Pick Up</t>
  </si>
  <si>
    <t>ETD Kapal</t>
  </si>
  <si>
    <t>PEMBULATAN</t>
  </si>
  <si>
    <t>Surat Muatan Darat</t>
  </si>
  <si>
    <t>PT. PERISAI CAKRAWALA INDONESIA</t>
  </si>
  <si>
    <t>Ruko Ifolia Blok HY47 No. 26</t>
  </si>
  <si>
    <t>Harapan Indah - Bekasi 17214</t>
  </si>
  <si>
    <t>Jawa Barat - Indonesia</t>
  </si>
  <si>
    <t>Telp/Fax : +6221 - 8944 5283</t>
  </si>
  <si>
    <t>Email : sales@pciexpress.id</t>
  </si>
  <si>
    <t>PERFORMA INVOICE</t>
  </si>
  <si>
    <t>To</t>
  </si>
  <si>
    <t>: PT. Sicepat Express Indonesia</t>
  </si>
  <si>
    <t>:</t>
  </si>
  <si>
    <t>Invoice Date</t>
  </si>
  <si>
    <t>Attn</t>
  </si>
  <si>
    <t>:  Finance Dept</t>
  </si>
  <si>
    <t>NO</t>
  </si>
  <si>
    <t>DATE</t>
  </si>
  <si>
    <t>AWB</t>
  </si>
  <si>
    <t>DESCRIPTION</t>
  </si>
  <si>
    <t>DESNATION</t>
  </si>
  <si>
    <t>COLLY</t>
  </si>
  <si>
    <t>KG</t>
  </si>
  <si>
    <t>UNIT PRICE</t>
  </si>
  <si>
    <t>AMOUNT</t>
  </si>
  <si>
    <t>SUB TOTAL</t>
  </si>
  <si>
    <t>PPN 1%</t>
  </si>
  <si>
    <t>Total</t>
  </si>
  <si>
    <t>Payment Instructions</t>
  </si>
  <si>
    <t>Pay Cheque or Transfer to :</t>
  </si>
  <si>
    <t>BANK CENTRAL ASIA (BCA)</t>
  </si>
  <si>
    <t>521-1322-455</t>
  </si>
  <si>
    <t>Bekasi,</t>
  </si>
  <si>
    <t>Dede Komalasari</t>
  </si>
  <si>
    <t>P</t>
  </si>
  <si>
    <t>L</t>
  </si>
  <si>
    <t>T</t>
  </si>
  <si>
    <t>Mengetahui,</t>
  </si>
  <si>
    <t>Menyatakan,</t>
  </si>
  <si>
    <t>AWB PCI</t>
  </si>
  <si>
    <t>ACT KG</t>
  </si>
  <si>
    <t>KG VOLUME</t>
  </si>
  <si>
    <t>RATE (Rp/KG)</t>
  </si>
  <si>
    <t>AMOUNT (Rp)</t>
  </si>
  <si>
    <t>Invoice Performa</t>
  </si>
  <si>
    <t>Periode</t>
  </si>
  <si>
    <t>Discount 10%</t>
  </si>
  <si>
    <t>Total Setelah Discount</t>
  </si>
  <si>
    <t>PPh 23  2%</t>
  </si>
  <si>
    <t>PPh 23 2%</t>
  </si>
  <si>
    <t>TOTAL</t>
  </si>
  <si>
    <t xml:space="preserve"> DESEMBER 2021</t>
  </si>
  <si>
    <t>DMD/2112/03/FQIX5840</t>
  </si>
  <si>
    <t>GSK211203ZEJ359</t>
  </si>
  <si>
    <t>GSK211203GMW246</t>
  </si>
  <si>
    <t>DMP TTE (TERNATE)</t>
  </si>
  <si>
    <t>KM DOROLONDA</t>
  </si>
  <si>
    <t>12/24/2021 SANDI</t>
  </si>
  <si>
    <t>DMD/2112/05/HEFB3684</t>
  </si>
  <si>
    <t>GSK211205JOK390</t>
  </si>
  <si>
    <t>GSK211205VIK173</t>
  </si>
  <si>
    <t>DMD/2112/04/LCAS7312</t>
  </si>
  <si>
    <t>GSK211204DXJ457</t>
  </si>
  <si>
    <t>GSK211204TAX319</t>
  </si>
  <si>
    <t>GSK211204HOT461</t>
  </si>
  <si>
    <t>GSK211204FXQ457</t>
  </si>
  <si>
    <t>GSK211204FYL064</t>
  </si>
  <si>
    <t>GSK211204QPX109</t>
  </si>
  <si>
    <t>GSK211204JDU568</t>
  </si>
  <si>
    <t>DMD/2112/07/GJZV5907</t>
  </si>
  <si>
    <t>GSK211207BJM807</t>
  </si>
  <si>
    <t>GSK211207FOR256</t>
  </si>
  <si>
    <t>GSK211207ZQI492</t>
  </si>
  <si>
    <t>GSK211207MRV503</t>
  </si>
  <si>
    <t>GSK211207NSL650</t>
  </si>
  <si>
    <t>GSK211207PMX627</t>
  </si>
  <si>
    <t>GSK211207UHI302</t>
  </si>
  <si>
    <t>GSK211207PZO269</t>
  </si>
  <si>
    <t>DMD/2112/08/OJKS2958</t>
  </si>
  <si>
    <t>GSK211208TPS356</t>
  </si>
  <si>
    <t>GSK211208ENI438</t>
  </si>
  <si>
    <t>GSK211208JKW603</t>
  </si>
  <si>
    <t>DMD/2112/10/BULF9318</t>
  </si>
  <si>
    <t>GSK211210UMG196</t>
  </si>
  <si>
    <t>GSK211210PEB438</t>
  </si>
  <si>
    <t>GSK211210VSE178</t>
  </si>
  <si>
    <t>GSK211210EHA843</t>
  </si>
  <si>
    <t>GSK211210VLT743</t>
  </si>
  <si>
    <t>GSK211210DKB854</t>
  </si>
  <si>
    <t>DMD/2112/10/QUWR3084</t>
  </si>
  <si>
    <t>GSK211210OQW319</t>
  </si>
  <si>
    <t>DMD/2112/11/OCEN4253</t>
  </si>
  <si>
    <t>GSK211211QVN783</t>
  </si>
  <si>
    <t>GSK211211FIR720</t>
  </si>
  <si>
    <t>GSK211211SKR176</t>
  </si>
  <si>
    <t>GSK211211DNS906</t>
  </si>
  <si>
    <t>GSK211211HPK865</t>
  </si>
  <si>
    <t>GSK211211XDR370</t>
  </si>
  <si>
    <t>GSK211211TVL345</t>
  </si>
  <si>
    <t>GSK211211TQZ452</t>
  </si>
  <si>
    <t>GSK211211HSZ519</t>
  </si>
  <si>
    <t>DMD/2112/11/OMIU9872</t>
  </si>
  <si>
    <t>GSK211211UHP860</t>
  </si>
  <si>
    <t>DMD/2112/13/TQVR7182</t>
  </si>
  <si>
    <t>GSK211212EPT178</t>
  </si>
  <si>
    <t>DMD/2112/16/SYOF8510</t>
  </si>
  <si>
    <t>GSK211127CNS562</t>
  </si>
  <si>
    <t>GSK211216VOA710</t>
  </si>
  <si>
    <t>GSK211216KRZ921</t>
  </si>
  <si>
    <t>01/07/2022 HESTY</t>
  </si>
  <si>
    <t>DMD/2112/17/TGSX0976</t>
  </si>
  <si>
    <t>GSK211217KVP730</t>
  </si>
  <si>
    <t>GSK211217OEJ801</t>
  </si>
  <si>
    <t>DMD/2112/18/IJPF0423</t>
  </si>
  <si>
    <t>GSK211218GLI375</t>
  </si>
  <si>
    <t>GSK211218MEN780</t>
  </si>
  <si>
    <t>GSK211218KTE063</t>
  </si>
  <si>
    <t>GSK211218MET796</t>
  </si>
  <si>
    <t>GSK211218OZP068</t>
  </si>
  <si>
    <t>GSK211218ZDC901</t>
  </si>
  <si>
    <t>GSK211218HEG281</t>
  </si>
  <si>
    <t>GSK211218IKP718</t>
  </si>
  <si>
    <t>GSK211218TSV843</t>
  </si>
  <si>
    <t>GSK211218KXB539</t>
  </si>
  <si>
    <t>DMD/2112/18/MTBF0352</t>
  </si>
  <si>
    <t>GSK211218LJW265</t>
  </si>
  <si>
    <t>DMD/2112/20/QSRP2134</t>
  </si>
  <si>
    <t>GSK211220NDO358</t>
  </si>
  <si>
    <t>DMD/2112/21/HGWT9428</t>
  </si>
  <si>
    <t>GSK211221XKT072</t>
  </si>
  <si>
    <t>DMD/2112/23/BFZR0312</t>
  </si>
  <si>
    <t>GSK211223SQE901</t>
  </si>
  <si>
    <t>GSK211223HVX594</t>
  </si>
  <si>
    <t>DMD/2112/23/UOSD1953</t>
  </si>
  <si>
    <t>GSK211223KPB874</t>
  </si>
  <si>
    <t>DMD/2112/23/KNSV3241</t>
  </si>
  <si>
    <t>GSK211223ZTP569</t>
  </si>
  <si>
    <t>GSK211223OGR405</t>
  </si>
  <si>
    <t>GSK211223UBF642</t>
  </si>
  <si>
    <t>GSK211223DRS957</t>
  </si>
  <si>
    <t>GSK211223CBD581</t>
  </si>
  <si>
    <t>GSK211223HIM135</t>
  </si>
  <si>
    <t>GSK211223DOY952</t>
  </si>
  <si>
    <t>GSK211223AHO643</t>
  </si>
  <si>
    <t>GSK211223MYR210</t>
  </si>
  <si>
    <t>DMD/2112/24/XUMS8926</t>
  </si>
  <si>
    <t>GSK211223WEA517</t>
  </si>
  <si>
    <t>DMD/2112/24/CGUY1347</t>
  </si>
  <si>
    <t>GSK211224WOY014</t>
  </si>
  <si>
    <t>GSK211224UKS978</t>
  </si>
  <si>
    <t>GSK211224IGB826</t>
  </si>
  <si>
    <t>GSK211224FGT457</t>
  </si>
  <si>
    <t>GSK211224EJZ372</t>
  </si>
  <si>
    <t>GSK211224YUZ149</t>
  </si>
  <si>
    <t>GSK211224GIW583</t>
  </si>
  <si>
    <t>GSK211224CEW953</t>
  </si>
  <si>
    <t>GSK211224LBR536</t>
  </si>
  <si>
    <t>DMD/2112/25/GQAH7493</t>
  </si>
  <si>
    <t>GSK211225XOR283</t>
  </si>
  <si>
    <t>DMD/2112/26/GZOH8126</t>
  </si>
  <si>
    <t>GSK211226ALH083</t>
  </si>
  <si>
    <t>DMD/2112/30/BDVZ5072</t>
  </si>
  <si>
    <t>GSK211230JNV873</t>
  </si>
  <si>
    <t>GSK211230MXG961</t>
  </si>
  <si>
    <t>GSK211230VJG923</t>
  </si>
  <si>
    <t>GSK211230YFO470</t>
  </si>
  <si>
    <t>GSK211230DLP039</t>
  </si>
  <si>
    <t>GSK211230CPB297</t>
  </si>
  <si>
    <t>02/04/2022 ILHAM</t>
  </si>
  <si>
    <t>GSK211230VEL143</t>
  </si>
  <si>
    <t>GSK211230QHR910</t>
  </si>
  <si>
    <t>GSK211230CVG562</t>
  </si>
  <si>
    <t>GSK211230WPE572</t>
  </si>
  <si>
    <t>s</t>
  </si>
  <si>
    <t>PENGIRIMAN BARANG TUJUAN TERNATE</t>
  </si>
  <si>
    <t>TERNATE</t>
  </si>
  <si>
    <t>DMD/2112/31/QKSB5267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</si>
  <si>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Puluh Enam Juta Tiga Ratus Tujuh Puluh Enam Ribu Seratus Tiga Puluh Rupiah.</t>
    </r>
  </si>
  <si>
    <t xml:space="preserve"> 11 Februari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</si>
</sst>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_);_(* \(#,##0\);_(* &quot;-&quot;_);_(@_)"/>
    <numFmt numFmtId="165" formatCode="_(* #,##0.00_);_(* \(#,##0.00\);_(* &quot;-&quot;??_);_(@_)"/>
    <numFmt numFmtId="166" formatCode="dd/mm/yy;@"/>
    <numFmt numFmtId="167" formatCode="_(* #,##0_);_(* \(#,##0\);_(* &quot;-&quot;??_);_(@_)"/>
    <numFmt numFmtId="168" formatCode="[$-F800]dddd\,\ mmmm\ dd\,\ yyyy"/>
    <numFmt numFmtId="169" formatCode="_(&quot;Rp&quot;* #,##0_);_(&quot;Rp&quot;* \(#,##0\);_(&quot;Rp&quot;* &quot;-&quot;_);_(@_)"/>
  </numFmts>
  <fonts count="1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</cellStyleXfs>
  <cellXfs count="22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66" fontId="1" fillId="0" borderId="0" xfId="0" applyNumberFormat="1" applyFont="1" applyAlignment="1">
      <alignment horizontal="left" vertical="center"/>
    </xf>
    <xf numFmtId="166" fontId="1" fillId="0" borderId="0" xfId="0" applyNumberFormat="1" applyFont="1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6" fontId="2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167" fontId="9" fillId="0" borderId="0" xfId="3" applyNumberFormat="1" applyFont="1"/>
    <xf numFmtId="0" fontId="10" fillId="0" borderId="0" xfId="0" applyFont="1"/>
    <xf numFmtId="0" fontId="9" fillId="0" borderId="5" xfId="0" applyFont="1" applyBorder="1"/>
    <xf numFmtId="167" fontId="9" fillId="0" borderId="5" xfId="3" applyNumberFormat="1" applyFont="1" applyBorder="1"/>
    <xf numFmtId="167" fontId="9" fillId="0" borderId="0" xfId="3" applyNumberFormat="1" applyFont="1" applyAlignment="1">
      <alignment horizontal="center"/>
    </xf>
    <xf numFmtId="0" fontId="12" fillId="0" borderId="0" xfId="0" applyFont="1"/>
    <xf numFmtId="168" fontId="9" fillId="0" borderId="0" xfId="0" quotePrefix="1" applyNumberFormat="1" applyFont="1"/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15" fontId="9" fillId="4" borderId="1" xfId="0" quotePrefix="1" applyNumberFormat="1" applyFont="1" applyFill="1" applyBorder="1" applyAlignment="1">
      <alignment horizontal="center" vertical="center"/>
    </xf>
    <xf numFmtId="167" fontId="9" fillId="4" borderId="1" xfId="3" applyNumberFormat="1" applyFont="1" applyFill="1" applyBorder="1" applyAlignment="1">
      <alignment horizontal="center" vertical="center" wrapText="1"/>
    </xf>
    <xf numFmtId="0" fontId="9" fillId="4" borderId="4" xfId="3" applyNumberFormat="1" applyFont="1" applyFill="1" applyBorder="1" applyAlignment="1">
      <alignment horizontal="center" vertical="center" wrapText="1"/>
    </xf>
    <xf numFmtId="167" fontId="9" fillId="0" borderId="17" xfId="3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7" fontId="9" fillId="0" borderId="0" xfId="3" applyNumberFormat="1" applyFont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7" fontId="8" fillId="0" borderId="0" xfId="3" applyNumberFormat="1" applyFont="1" applyAlignment="1">
      <alignment horizontal="left" vertical="center"/>
    </xf>
    <xf numFmtId="164" fontId="9" fillId="0" borderId="0" xfId="0" applyNumberFormat="1" applyFont="1"/>
    <xf numFmtId="169" fontId="9" fillId="0" borderId="5" xfId="0" applyNumberFormat="1" applyFont="1" applyBorder="1" applyAlignment="1">
      <alignment horizontal="center" vertical="center"/>
    </xf>
    <xf numFmtId="167" fontId="8" fillId="0" borderId="0" xfId="3" applyNumberFormat="1" applyFont="1"/>
    <xf numFmtId="169" fontId="8" fillId="0" borderId="0" xfId="0" applyNumberFormat="1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8" fillId="0" borderId="0" xfId="0" applyFont="1" applyBorder="1"/>
    <xf numFmtId="0" fontId="9" fillId="0" borderId="0" xfId="0" applyFont="1" applyBorder="1"/>
    <xf numFmtId="0" fontId="15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15" fillId="0" borderId="0" xfId="0" quotePrefix="1" applyFont="1" applyAlignment="1">
      <alignment horizontal="left"/>
    </xf>
    <xf numFmtId="0" fontId="8" fillId="0" borderId="0" xfId="0" quotePrefix="1" applyFont="1" applyBorder="1" applyAlignment="1">
      <alignment horizontal="left"/>
    </xf>
    <xf numFmtId="0" fontId="8" fillId="0" borderId="0" xfId="0" quotePrefix="1" applyFont="1" applyAlignment="1">
      <alignment horizontal="left"/>
    </xf>
    <xf numFmtId="0" fontId="9" fillId="0" borderId="0" xfId="0" applyFont="1" applyAlignment="1">
      <alignment horizontal="right"/>
    </xf>
    <xf numFmtId="166" fontId="7" fillId="0" borderId="0" xfId="0" applyNumberFormat="1" applyFont="1"/>
    <xf numFmtId="166" fontId="16" fillId="0" borderId="0" xfId="0" applyNumberFormat="1" applyFont="1"/>
    <xf numFmtId="0" fontId="16" fillId="0" borderId="0" xfId="0" applyFont="1"/>
    <xf numFmtId="164" fontId="5" fillId="0" borderId="0" xfId="0" applyNumberFormat="1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166" fontId="1" fillId="0" borderId="0" xfId="0" applyNumberFormat="1" applyFont="1" applyAlignment="1">
      <alignment vertical="center"/>
    </xf>
    <xf numFmtId="164" fontId="3" fillId="0" borderId="1" xfId="2" applyFont="1" applyBorder="1" applyAlignment="1">
      <alignment horizontal="center" vertical="center"/>
    </xf>
    <xf numFmtId="167" fontId="3" fillId="0" borderId="1" xfId="1" applyNumberFormat="1" applyFont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0" fontId="5" fillId="0" borderId="23" xfId="0" applyFont="1" applyBorder="1" applyAlignment="1">
      <alignment horizontal="center" vertical="center"/>
    </xf>
    <xf numFmtId="167" fontId="5" fillId="0" borderId="1" xfId="1" applyNumberFormat="1" applyFont="1" applyBorder="1" applyAlignment="1">
      <alignment vertical="center"/>
    </xf>
    <xf numFmtId="167" fontId="5" fillId="0" borderId="0" xfId="0" applyNumberFormat="1" applyFont="1" applyAlignment="1">
      <alignment horizontal="center" vertical="center"/>
    </xf>
    <xf numFmtId="167" fontId="5" fillId="0" borderId="23" xfId="0" applyNumberFormat="1" applyFont="1" applyBorder="1" applyAlignment="1">
      <alignment horizontal="center" vertical="center"/>
    </xf>
    <xf numFmtId="167" fontId="5" fillId="0" borderId="0" xfId="1" applyNumberFormat="1" applyFont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66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2" fontId="0" fillId="0" borderId="1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167" fontId="9" fillId="0" borderId="0" xfId="1" applyNumberFormat="1" applyFont="1"/>
    <xf numFmtId="0" fontId="1" fillId="0" borderId="2" xfId="0" applyFont="1" applyBorder="1" applyAlignment="1">
      <alignment vertical="center" wrapText="1"/>
    </xf>
    <xf numFmtId="0" fontId="9" fillId="4" borderId="1" xfId="0" quotePrefix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vertical="center"/>
    </xf>
    <xf numFmtId="0" fontId="5" fillId="0" borderId="0" xfId="1" applyNumberFormat="1" applyFont="1" applyBorder="1" applyAlignment="1">
      <alignment horizontal="left" vertical="center"/>
    </xf>
    <xf numFmtId="167" fontId="5" fillId="0" borderId="0" xfId="1" applyNumberFormat="1" applyFont="1" applyBorder="1" applyAlignment="1">
      <alignment horizontal="center" vertical="center"/>
    </xf>
    <xf numFmtId="0" fontId="5" fillId="0" borderId="5" xfId="1" applyNumberFormat="1" applyFont="1" applyBorder="1" applyAlignment="1">
      <alignment horizontal="left" vertical="center"/>
    </xf>
    <xf numFmtId="167" fontId="5" fillId="0" borderId="5" xfId="1" applyNumberFormat="1" applyFont="1" applyBorder="1" applyAlignment="1">
      <alignment horizontal="center" vertical="center"/>
    </xf>
    <xf numFmtId="167" fontId="17" fillId="0" borderId="0" xfId="3" applyNumberFormat="1" applyFont="1" applyBorder="1" applyAlignment="1">
      <alignment horizontal="left" vertical="center"/>
    </xf>
    <xf numFmtId="167" fontId="9" fillId="0" borderId="0" xfId="3" applyNumberFormat="1" applyFont="1" applyBorder="1" applyAlignment="1">
      <alignment horizontal="center" vertical="center"/>
    </xf>
    <xf numFmtId="167" fontId="8" fillId="0" borderId="5" xfId="3" applyNumberFormat="1" applyFont="1" applyBorder="1" applyAlignment="1">
      <alignment horizontal="left" vertical="center"/>
    </xf>
    <xf numFmtId="169" fontId="8" fillId="0" borderId="0" xfId="0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 wrapText="1"/>
    </xf>
    <xf numFmtId="0" fontId="1" fillId="0" borderId="0" xfId="0" applyFont="1" applyBorder="1"/>
    <xf numFmtId="166" fontId="3" fillId="2" borderId="1" xfId="0" applyNumberFormat="1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66" fontId="2" fillId="0" borderId="4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/>
    </xf>
    <xf numFmtId="164" fontId="3" fillId="0" borderId="4" xfId="2" applyFont="1" applyBorder="1" applyAlignment="1">
      <alignment horizontal="center" vertical="center"/>
    </xf>
    <xf numFmtId="167" fontId="3" fillId="0" borderId="4" xfId="1" applyNumberFormat="1" applyFont="1" applyBorder="1" applyAlignment="1">
      <alignment horizontal="center" vertical="center"/>
    </xf>
    <xf numFmtId="0" fontId="1" fillId="0" borderId="4" xfId="0" applyFont="1" applyBorder="1" applyAlignment="1">
      <alignment vertical="center" wrapText="1"/>
    </xf>
    <xf numFmtId="0" fontId="2" fillId="0" borderId="4" xfId="0" applyFont="1" applyFill="1" applyBorder="1" applyAlignment="1">
      <alignment vertical="center"/>
    </xf>
    <xf numFmtId="0" fontId="2" fillId="0" borderId="4" xfId="0" applyFont="1" applyFill="1" applyBorder="1" applyAlignment="1">
      <alignment horizontal="center" vertical="center" wrapText="1"/>
    </xf>
    <xf numFmtId="166" fontId="2" fillId="0" borderId="4" xfId="0" applyNumberFormat="1" applyFont="1" applyFill="1" applyBorder="1" applyAlignment="1">
      <alignment vertical="center" wrapText="1"/>
    </xf>
    <xf numFmtId="0" fontId="2" fillId="0" borderId="4" xfId="0" applyFont="1" applyFill="1" applyBorder="1" applyAlignment="1">
      <alignment horizontal="center" vertical="center"/>
    </xf>
    <xf numFmtId="2" fontId="2" fillId="0" borderId="4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2" fillId="0" borderId="16" xfId="0" applyFont="1" applyBorder="1" applyAlignmen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vertical="center"/>
    </xf>
    <xf numFmtId="167" fontId="5" fillId="0" borderId="4" xfId="1" applyNumberFormat="1" applyFont="1" applyBorder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1" fontId="9" fillId="4" borderId="1" xfId="3" applyNumberFormat="1" applyFont="1" applyFill="1" applyBorder="1" applyAlignment="1">
      <alignment horizontal="center" vertical="center" wrapText="1"/>
    </xf>
    <xf numFmtId="1" fontId="9" fillId="4" borderId="4" xfId="3" applyNumberFormat="1" applyFont="1" applyFill="1" applyBorder="1" applyAlignment="1">
      <alignment horizontal="center" vertical="center" wrapText="1"/>
    </xf>
    <xf numFmtId="0" fontId="2" fillId="0" borderId="4" xfId="0" applyFont="1" applyBorder="1" applyAlignment="1">
      <alignment vertical="center"/>
    </xf>
    <xf numFmtId="166" fontId="2" fillId="0" borderId="4" xfId="0" applyNumberFormat="1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0" fontId="1" fillId="0" borderId="28" xfId="0" applyFont="1" applyBorder="1" applyAlignment="1">
      <alignment vertical="center" wrapText="1"/>
    </xf>
    <xf numFmtId="0" fontId="2" fillId="0" borderId="20" xfId="0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6" fontId="2" fillId="0" borderId="27" xfId="0" applyNumberFormat="1" applyFont="1" applyBorder="1" applyAlignment="1">
      <alignment horizontal="center" vertical="center"/>
    </xf>
    <xf numFmtId="166" fontId="2" fillId="0" borderId="27" xfId="0" applyNumberFormat="1" applyFont="1" applyBorder="1" applyAlignment="1">
      <alignment vertical="center" wrapText="1"/>
    </xf>
    <xf numFmtId="0" fontId="2" fillId="0" borderId="27" xfId="0" applyFont="1" applyBorder="1" applyAlignment="1">
      <alignment horizontal="center" vertical="center"/>
    </xf>
    <xf numFmtId="2" fontId="2" fillId="0" borderId="27" xfId="0" applyNumberFormat="1" applyFont="1" applyBorder="1" applyAlignment="1">
      <alignment horizontal="center" vertical="center"/>
    </xf>
    <xf numFmtId="1" fontId="3" fillId="0" borderId="27" xfId="0" applyNumberFormat="1" applyFont="1" applyBorder="1" applyAlignment="1">
      <alignment horizontal="center" vertical="center"/>
    </xf>
    <xf numFmtId="164" fontId="3" fillId="0" borderId="27" xfId="2" applyFont="1" applyBorder="1" applyAlignment="1">
      <alignment horizontal="center" vertical="center"/>
    </xf>
    <xf numFmtId="167" fontId="3" fillId="0" borderId="27" xfId="1" applyNumberFormat="1" applyFont="1" applyBorder="1" applyAlignment="1">
      <alignment horizontal="center" vertical="center"/>
    </xf>
    <xf numFmtId="0" fontId="1" fillId="0" borderId="30" xfId="0" applyFont="1" applyBorder="1" applyAlignment="1">
      <alignment vertical="center" wrapText="1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horizontal="center" vertical="center" wrapText="1"/>
    </xf>
    <xf numFmtId="166" fontId="2" fillId="0" borderId="10" xfId="0" applyNumberFormat="1" applyFont="1" applyBorder="1" applyAlignment="1">
      <alignment horizontal="center" vertical="center"/>
    </xf>
    <xf numFmtId="166" fontId="2" fillId="0" borderId="10" xfId="0" applyNumberFormat="1" applyFont="1" applyBorder="1" applyAlignment="1">
      <alignment vertical="center" wrapText="1"/>
    </xf>
    <xf numFmtId="0" fontId="2" fillId="0" borderId="10" xfId="0" applyFont="1" applyBorder="1" applyAlignment="1">
      <alignment horizontal="center" vertical="center"/>
    </xf>
    <xf numFmtId="2" fontId="2" fillId="0" borderId="10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64" fontId="3" fillId="0" borderId="10" xfId="2" applyFont="1" applyBorder="1" applyAlignment="1">
      <alignment horizontal="center" vertical="center"/>
    </xf>
    <xf numFmtId="167" fontId="3" fillId="0" borderId="10" xfId="1" applyNumberFormat="1" applyFont="1" applyBorder="1" applyAlignment="1">
      <alignment horizontal="center" vertical="center"/>
    </xf>
    <xf numFmtId="0" fontId="2" fillId="0" borderId="27" xfId="0" applyFont="1" applyBorder="1" applyAlignment="1">
      <alignment vertical="center"/>
    </xf>
    <xf numFmtId="0" fontId="3" fillId="0" borderId="27" xfId="0" applyFont="1" applyBorder="1" applyAlignment="1">
      <alignment horizontal="center" vertical="center"/>
    </xf>
    <xf numFmtId="0" fontId="2" fillId="0" borderId="27" xfId="0" applyFont="1" applyFill="1" applyBorder="1" applyAlignment="1">
      <alignment vertical="center"/>
    </xf>
    <xf numFmtId="0" fontId="2" fillId="0" borderId="27" xfId="0" applyFont="1" applyFill="1" applyBorder="1" applyAlignment="1">
      <alignment horizontal="center" vertical="center" wrapText="1"/>
    </xf>
    <xf numFmtId="166" fontId="2" fillId="0" borderId="27" xfId="0" applyNumberFormat="1" applyFont="1" applyFill="1" applyBorder="1" applyAlignment="1">
      <alignment vertical="center" wrapText="1"/>
    </xf>
    <xf numFmtId="0" fontId="2" fillId="0" borderId="27" xfId="0" applyFont="1" applyFill="1" applyBorder="1" applyAlignment="1">
      <alignment horizontal="center" vertical="center"/>
    </xf>
    <xf numFmtId="2" fontId="2" fillId="0" borderId="27" xfId="0" applyNumberFormat="1" applyFont="1" applyFill="1" applyBorder="1" applyAlignment="1">
      <alignment horizontal="center" vertical="center"/>
    </xf>
    <xf numFmtId="0" fontId="3" fillId="0" borderId="27" xfId="0" applyNumberFormat="1" applyFont="1" applyBorder="1" applyAlignment="1">
      <alignment horizontal="center" vertical="center"/>
    </xf>
    <xf numFmtId="1" fontId="3" fillId="0" borderId="10" xfId="0" applyNumberFormat="1" applyFont="1" applyBorder="1" applyAlignment="1">
      <alignment horizontal="center" vertical="center"/>
    </xf>
    <xf numFmtId="0" fontId="1" fillId="0" borderId="27" xfId="0" applyFont="1" applyBorder="1" applyAlignment="1">
      <alignment vertical="center" wrapText="1"/>
    </xf>
    <xf numFmtId="0" fontId="15" fillId="0" borderId="4" xfId="0" applyFont="1" applyBorder="1" applyAlignment="1">
      <alignment horizontal="center" vertical="center"/>
    </xf>
    <xf numFmtId="0" fontId="1" fillId="0" borderId="29" xfId="0" applyFont="1" applyBorder="1" applyAlignment="1">
      <alignment vertical="center" wrapText="1"/>
    </xf>
    <xf numFmtId="0" fontId="1" fillId="0" borderId="29" xfId="0" applyFont="1" applyBorder="1" applyAlignment="1">
      <alignment horizontal="left" vertical="center" wrapText="1"/>
    </xf>
    <xf numFmtId="0" fontId="2" fillId="0" borderId="29" xfId="0" applyFont="1" applyBorder="1" applyAlignment="1">
      <alignment vertical="center"/>
    </xf>
    <xf numFmtId="0" fontId="2" fillId="0" borderId="29" xfId="0" applyFont="1" applyBorder="1" applyAlignment="1">
      <alignment horizontal="center" vertical="center" wrapText="1"/>
    </xf>
    <xf numFmtId="166" fontId="2" fillId="0" borderId="29" xfId="0" applyNumberFormat="1" applyFont="1" applyBorder="1" applyAlignment="1">
      <alignment horizontal="center" vertical="center"/>
    </xf>
    <xf numFmtId="166" fontId="2" fillId="0" borderId="29" xfId="0" applyNumberFormat="1" applyFont="1" applyBorder="1" applyAlignment="1">
      <alignment vertical="center" wrapText="1"/>
    </xf>
    <xf numFmtId="0" fontId="2" fillId="0" borderId="29" xfId="0" applyFont="1" applyBorder="1" applyAlignment="1">
      <alignment horizontal="center" vertical="center"/>
    </xf>
    <xf numFmtId="2" fontId="2" fillId="0" borderId="29" xfId="0" applyNumberFormat="1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164" fontId="3" fillId="0" borderId="29" xfId="2" applyFont="1" applyBorder="1" applyAlignment="1">
      <alignment horizontal="center" vertical="center"/>
    </xf>
    <xf numFmtId="167" fontId="3" fillId="0" borderId="29" xfId="1" applyNumberFormat="1" applyFont="1" applyBorder="1" applyAlignment="1">
      <alignment horizontal="center" vertical="center"/>
    </xf>
    <xf numFmtId="0" fontId="15" fillId="0" borderId="29" xfId="0" applyFont="1" applyBorder="1" applyAlignment="1">
      <alignment horizontal="center" vertical="center"/>
    </xf>
    <xf numFmtId="1" fontId="3" fillId="0" borderId="29" xfId="0" applyNumberFormat="1" applyFont="1" applyBorder="1" applyAlignment="1">
      <alignment horizontal="center" vertical="center"/>
    </xf>
    <xf numFmtId="0" fontId="2" fillId="0" borderId="28" xfId="0" applyFont="1" applyFill="1" applyBorder="1" applyAlignment="1">
      <alignment vertical="center"/>
    </xf>
    <xf numFmtId="0" fontId="2" fillId="0" borderId="28" xfId="0" applyFont="1" applyFill="1" applyBorder="1" applyAlignment="1">
      <alignment horizontal="center" vertical="center" wrapText="1"/>
    </xf>
    <xf numFmtId="166" fontId="2" fillId="0" borderId="28" xfId="0" applyNumberFormat="1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 wrapText="1"/>
    </xf>
    <xf numFmtId="166" fontId="2" fillId="0" borderId="28" xfId="0" applyNumberFormat="1" applyFont="1" applyFill="1" applyBorder="1" applyAlignment="1">
      <alignment vertical="center" wrapText="1"/>
    </xf>
    <xf numFmtId="0" fontId="2" fillId="0" borderId="28" xfId="0" applyFont="1" applyFill="1" applyBorder="1" applyAlignment="1">
      <alignment horizontal="center" vertical="center"/>
    </xf>
    <xf numFmtId="2" fontId="2" fillId="0" borderId="28" xfId="0" applyNumberFormat="1" applyFont="1" applyFill="1" applyBorder="1" applyAlignment="1">
      <alignment horizontal="center" vertical="center"/>
    </xf>
    <xf numFmtId="1" fontId="3" fillId="0" borderId="28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2" fontId="0" fillId="0" borderId="29" xfId="0" applyNumberFormat="1" applyFont="1" applyBorder="1" applyAlignment="1">
      <alignment vertical="center"/>
    </xf>
    <xf numFmtId="167" fontId="5" fillId="0" borderId="29" xfId="1" applyNumberFormat="1" applyFont="1" applyBorder="1" applyAlignment="1">
      <alignment vertical="center"/>
    </xf>
    <xf numFmtId="0" fontId="15" fillId="0" borderId="1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167" fontId="9" fillId="0" borderId="15" xfId="3" applyNumberFormat="1" applyFont="1" applyBorder="1" applyAlignment="1">
      <alignment horizontal="center" vertical="center"/>
    </xf>
    <xf numFmtId="167" fontId="9" fillId="0" borderId="16" xfId="3" applyNumberFormat="1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8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7" fontId="9" fillId="0" borderId="0" xfId="3" applyNumberFormat="1" applyFont="1" applyAlignment="1">
      <alignment horizontal="left"/>
    </xf>
    <xf numFmtId="0" fontId="15" fillId="0" borderId="1" xfId="0" applyFont="1" applyBorder="1" applyAlignment="1">
      <alignment horizontal="center" vertical="center"/>
    </xf>
    <xf numFmtId="0" fontId="15" fillId="0" borderId="27" xfId="0" applyFont="1" applyBorder="1" applyAlignment="1">
      <alignment horizontal="center" vertical="center"/>
    </xf>
    <xf numFmtId="0" fontId="15" fillId="0" borderId="31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32" xfId="0" applyFont="1" applyBorder="1" applyAlignment="1">
      <alignment horizontal="center" vertical="center"/>
    </xf>
    <xf numFmtId="167" fontId="5" fillId="0" borderId="31" xfId="1" applyNumberFormat="1" applyFont="1" applyBorder="1" applyAlignment="1">
      <alignment horizontal="center" vertical="center"/>
    </xf>
    <xf numFmtId="167" fontId="5" fillId="0" borderId="32" xfId="1" applyNumberFormat="1" applyFont="1" applyBorder="1" applyAlignment="1">
      <alignment horizontal="center" vertical="center"/>
    </xf>
    <xf numFmtId="0" fontId="15" fillId="0" borderId="30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167" fontId="5" fillId="0" borderId="15" xfId="1" applyNumberFormat="1" applyFont="1" applyBorder="1" applyAlignment="1">
      <alignment horizontal="center" vertical="center"/>
    </xf>
    <xf numFmtId="167" fontId="5" fillId="0" borderId="16" xfId="1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167" fontId="5" fillId="0" borderId="24" xfId="1" applyNumberFormat="1" applyFont="1" applyBorder="1" applyAlignment="1">
      <alignment horizontal="center" vertical="center"/>
    </xf>
    <xf numFmtId="167" fontId="5" fillId="0" borderId="26" xfId="1" applyNumberFormat="1" applyFont="1" applyBorder="1" applyAlignment="1">
      <alignment horizontal="center" vertical="center"/>
    </xf>
  </cellXfs>
  <cellStyles count="4">
    <cellStyle name="Comma" xfId="1" builtinId="3"/>
    <cellStyle name="Comma [0]" xfId="2" builtinId="6"/>
    <cellStyle name="Comma 2" xfId="3"/>
    <cellStyle name="Normal" xfId="0" builtinId="0"/>
  </cellStyles>
  <dxfs count="358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indexed="64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id="1" name="Table224578910112342" displayName="Table224578910112342" ref="C2:N4" totalsRowShown="0" headerRowDxfId="328" dataDxfId="326" headerRowBorderDxfId="327">
  <tableColumns count="12">
    <tableColumn id="1" name="NOMOR" dataDxfId="325" dataCellStyle="Normal"/>
    <tableColumn id="3" name="TUJUAN" dataDxfId="324" dataCellStyle="Normal"/>
    <tableColumn id="16" name="Pick Up" dataDxfId="323"/>
    <tableColumn id="14" name="KAPAL" dataDxfId="322"/>
    <tableColumn id="15" name="ETD Kapal" dataDxfId="321"/>
    <tableColumn id="10" name="KETERANGAN" dataDxfId="320" dataCellStyle="Normal"/>
    <tableColumn id="5" name="P" dataDxfId="319" dataCellStyle="Normal"/>
    <tableColumn id="6" name="L" dataDxfId="318" dataCellStyle="Normal"/>
    <tableColumn id="7" name="T" dataDxfId="317" dataCellStyle="Normal"/>
    <tableColumn id="4" name="ACT KG" dataDxfId="316" dataCellStyle="Normal"/>
    <tableColumn id="8" name="KG VOLUME" dataDxfId="315" dataCellStyle="Normal"/>
    <tableColumn id="19" name="PEMBULATAN" dataDxfId="314"/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Table2245789101123456789101112" displayName="Table2245789101123456789101112" ref="C2:N5" totalsRowShown="0" headerRowDxfId="182" dataDxfId="180" headerRowBorderDxfId="181">
  <tableColumns count="12">
    <tableColumn id="1" name="NOMOR" dataDxfId="179" dataCellStyle="Normal"/>
    <tableColumn id="3" name="TUJUAN" dataDxfId="178" dataCellStyle="Normal"/>
    <tableColumn id="16" name="Pick Up" dataDxfId="177"/>
    <tableColumn id="14" name="KAPAL" dataDxfId="176"/>
    <tableColumn id="15" name="ETD Kapal" dataDxfId="175"/>
    <tableColumn id="10" name="KETERANGAN" dataDxfId="174" dataCellStyle="Normal"/>
    <tableColumn id="5" name="P" dataDxfId="173" dataCellStyle="Normal"/>
    <tableColumn id="6" name="L" dataDxfId="172" dataCellStyle="Normal"/>
    <tableColumn id="7" name="T" dataDxfId="171" dataCellStyle="Normal"/>
    <tableColumn id="4" name="ACT KG" dataDxfId="170" dataCellStyle="Normal"/>
    <tableColumn id="8" name="KG VOLUME" dataDxfId="169" dataCellStyle="Normal"/>
    <tableColumn id="19" name="PEMBULATAN" dataDxfId="168"/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Table224578910112345678910111213" displayName="Table224578910112345678910111213" ref="C2:N4" totalsRowShown="0" headerRowDxfId="166" dataDxfId="164" headerRowBorderDxfId="165">
  <tableColumns count="12">
    <tableColumn id="1" name="NOMOR" dataDxfId="163" dataCellStyle="Normal"/>
    <tableColumn id="3" name="TUJUAN" dataDxfId="162" dataCellStyle="Normal"/>
    <tableColumn id="16" name="Pick Up" dataDxfId="161"/>
    <tableColumn id="14" name="KAPAL" dataDxfId="160"/>
    <tableColumn id="15" name="ETD Kapal" dataDxfId="159"/>
    <tableColumn id="10" name="KETERANGAN" dataDxfId="158" dataCellStyle="Normal"/>
    <tableColumn id="5" name="P" dataDxfId="157" dataCellStyle="Normal"/>
    <tableColumn id="6" name="L" dataDxfId="156" dataCellStyle="Normal"/>
    <tableColumn id="7" name="T" dataDxfId="155" dataCellStyle="Normal"/>
    <tableColumn id="4" name="ACT KG" dataDxfId="154" dataCellStyle="Normal"/>
    <tableColumn id="8" name="KG VOLUME" dataDxfId="153" dataCellStyle="Normal"/>
    <tableColumn id="19" name="PEMBULATAN" dataDxfId="152"/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13" name="Table22457891011234567891011121314" displayName="Table22457891011234567891011121314" ref="C2:N13" totalsRowShown="0" headerRowDxfId="149" dataDxfId="147" headerRowBorderDxfId="148">
  <tableColumns count="12">
    <tableColumn id="1" name="NOMOR" dataDxfId="146" dataCellStyle="Normal"/>
    <tableColumn id="3" name="TUJUAN" dataDxfId="145" dataCellStyle="Normal"/>
    <tableColumn id="16" name="Pick Up" dataDxfId="144"/>
    <tableColumn id="14" name="KAPAL" dataDxfId="143"/>
    <tableColumn id="15" name="ETD Kapal" dataDxfId="142"/>
    <tableColumn id="10" name="KETERANGAN" dataDxfId="141" dataCellStyle="Normal"/>
    <tableColumn id="5" name="P" dataDxfId="140" dataCellStyle="Normal"/>
    <tableColumn id="6" name="L" dataDxfId="139" dataCellStyle="Normal"/>
    <tableColumn id="7" name="T" dataDxfId="138" dataCellStyle="Normal"/>
    <tableColumn id="4" name="ACT KG" dataDxfId="137" dataCellStyle="Normal"/>
    <tableColumn id="8" name="KG VOLUME" dataDxfId="136" dataCellStyle="Normal"/>
    <tableColumn id="19" name="PEMBULATAN" dataDxfId="135"/>
  </tableColumns>
  <tableStyleInfo name="Table Style 1" showFirstColumn="0" showLastColumn="0" showRowStripes="1" showColumnStripes="0"/>
</table>
</file>

<file path=xl/tables/table13.xml><?xml version="1.0" encoding="utf-8"?>
<table xmlns="http://schemas.openxmlformats.org/spreadsheetml/2006/main" id="14" name="Table2245789101123456789101112131415" displayName="Table2245789101123456789101112131415" ref="C2:N3" totalsRowShown="0" headerRowDxfId="133" dataDxfId="131" headerRowBorderDxfId="132">
  <tableColumns count="12">
    <tableColumn id="1" name="NOMOR" dataDxfId="130" dataCellStyle="Normal"/>
    <tableColumn id="3" name="TUJUAN" dataDxfId="129" dataCellStyle="Normal"/>
    <tableColumn id="16" name="Pick Up" dataDxfId="128"/>
    <tableColumn id="14" name="KAPAL" dataDxfId="127"/>
    <tableColumn id="15" name="ETD Kapal" dataDxfId="126"/>
    <tableColumn id="10" name="KETERANGAN" dataDxfId="125" dataCellStyle="Normal"/>
    <tableColumn id="5" name="P" dataDxfId="124" dataCellStyle="Normal"/>
    <tableColumn id="6" name="L" dataDxfId="123" dataCellStyle="Normal"/>
    <tableColumn id="7" name="T" dataDxfId="122" dataCellStyle="Normal"/>
    <tableColumn id="4" name="ACT KG" dataDxfId="121" dataCellStyle="Normal"/>
    <tableColumn id="8" name="KG VOLUME" dataDxfId="120" dataCellStyle="Normal"/>
    <tableColumn id="19" name="PEMBULATAN" dataDxfId="119"/>
  </tableColumns>
  <tableStyleInfo name="Table Style 1" showFirstColumn="0" showLastColumn="0" showRowStripes="1" showColumnStripes="0"/>
</table>
</file>

<file path=xl/tables/table14.xml><?xml version="1.0" encoding="utf-8"?>
<table xmlns="http://schemas.openxmlformats.org/spreadsheetml/2006/main" id="15" name="Table224578910112345678910111213141516" displayName="Table224578910112345678910111213141516" ref="C2:N3" totalsRowShown="0" headerRowDxfId="117" dataDxfId="115" headerRowBorderDxfId="116">
  <tableColumns count="12">
    <tableColumn id="1" name="NOMOR" dataDxfId="114" dataCellStyle="Normal"/>
    <tableColumn id="3" name="TUJUAN" dataDxfId="113" dataCellStyle="Normal"/>
    <tableColumn id="16" name="Pick Up" dataDxfId="112"/>
    <tableColumn id="14" name="KAPAL" dataDxfId="111"/>
    <tableColumn id="15" name="ETD Kapal" dataDxfId="110"/>
    <tableColumn id="10" name="KETERANGAN" dataDxfId="109" dataCellStyle="Normal"/>
    <tableColumn id="5" name="P" dataDxfId="108" dataCellStyle="Normal"/>
    <tableColumn id="6" name="L" dataDxfId="107" dataCellStyle="Normal"/>
    <tableColumn id="7" name="T" dataDxfId="106" dataCellStyle="Normal"/>
    <tableColumn id="4" name="ACT KG" dataDxfId="105" dataCellStyle="Normal"/>
    <tableColumn id="8" name="KG VOLUME" dataDxfId="104" dataCellStyle="Normal"/>
    <tableColumn id="19" name="PEMBULATAN" dataDxfId="103"/>
  </tableColumns>
  <tableStyleInfo name="Table Style 1" showFirstColumn="0" showLastColumn="0" showRowStripes="1" showColumnStripes="0"/>
</table>
</file>

<file path=xl/tables/table15.xml><?xml version="1.0" encoding="utf-8"?>
<table xmlns="http://schemas.openxmlformats.org/spreadsheetml/2006/main" id="16" name="Table22457891011234567891011121314151617" displayName="Table22457891011234567891011121314151617" ref="C2:N15" totalsRowShown="0" headerRowDxfId="100" dataDxfId="98" headerRowBorderDxfId="99">
  <tableColumns count="12">
    <tableColumn id="1" name="NOMOR" dataDxfId="97" dataCellStyle="Normal"/>
    <tableColumn id="3" name="TUJUAN" dataDxfId="96" dataCellStyle="Normal"/>
    <tableColumn id="16" name="Pick Up" dataDxfId="95"/>
    <tableColumn id="14" name="KAPAL" dataDxfId="94"/>
    <tableColumn id="15" name="ETD Kapal" dataDxfId="93"/>
    <tableColumn id="10" name="KETERANGAN" dataDxfId="92" dataCellStyle="Normal"/>
    <tableColumn id="5" name="P" dataDxfId="91" dataCellStyle="Normal"/>
    <tableColumn id="6" name="L" dataDxfId="90" dataCellStyle="Normal"/>
    <tableColumn id="7" name="T" dataDxfId="89" dataCellStyle="Normal"/>
    <tableColumn id="4" name="ACT KG" dataDxfId="88" dataCellStyle="Normal"/>
    <tableColumn id="8" name="KG VOLUME" dataDxfId="87" dataCellStyle="Normal"/>
    <tableColumn id="19" name="PEMBULATAN" dataDxfId="86"/>
  </tableColumns>
  <tableStyleInfo name="Table Style 1" showFirstColumn="0" showLastColumn="0" showRowStripes="1" showColumnStripes="0"/>
</table>
</file>

<file path=xl/tables/table16.xml><?xml version="1.0" encoding="utf-8"?>
<table xmlns="http://schemas.openxmlformats.org/spreadsheetml/2006/main" id="17" name="Table2245789101123456789101112131415161718" displayName="Table2245789101123456789101112131415161718" ref="C2:N11" totalsRowShown="0" headerRowDxfId="82" dataDxfId="80" headerRowBorderDxfId="81">
  <tableColumns count="12">
    <tableColumn id="1" name="NOMOR" dataDxfId="79" dataCellStyle="Normal"/>
    <tableColumn id="3" name="TUJUAN" dataDxfId="78" dataCellStyle="Normal"/>
    <tableColumn id="16" name="Pick Up" dataDxfId="77"/>
    <tableColumn id="14" name="KAPAL" dataDxfId="76"/>
    <tableColumn id="15" name="ETD Kapal" dataDxfId="75"/>
    <tableColumn id="10" name="KETERANGAN" dataDxfId="74" dataCellStyle="Normal"/>
    <tableColumn id="5" name="P" dataDxfId="73" dataCellStyle="Normal"/>
    <tableColumn id="6" name="L" dataDxfId="72" dataCellStyle="Normal"/>
    <tableColumn id="7" name="T" dataDxfId="71" dataCellStyle="Normal"/>
    <tableColumn id="4" name="ACT KG" dataDxfId="70" dataCellStyle="Normal"/>
    <tableColumn id="8" name="KG VOLUME" dataDxfId="69" dataCellStyle="Normal"/>
    <tableColumn id="19" name="PEMBULATAN" dataDxfId="68"/>
  </tableColumns>
  <tableStyleInfo name="Table Style 1" showFirstColumn="0" showLastColumn="0" showRowStripes="1" showColumnStripes="0"/>
</table>
</file>

<file path=xl/tables/table17.xml><?xml version="1.0" encoding="utf-8"?>
<table xmlns="http://schemas.openxmlformats.org/spreadsheetml/2006/main" id="19" name="Table22457891011234567891011121314151617181920" displayName="Table22457891011234567891011121314151617181920" ref="C2:N3" totalsRowShown="0" headerRowDxfId="66" dataDxfId="64" headerRowBorderDxfId="65">
  <tableColumns count="12">
    <tableColumn id="1" name="NOMOR" dataDxfId="63" dataCellStyle="Normal"/>
    <tableColumn id="3" name="TUJUAN" dataDxfId="62" dataCellStyle="Normal"/>
    <tableColumn id="16" name="Pick Up" dataDxfId="61"/>
    <tableColumn id="14" name="KAPAL" dataDxfId="60"/>
    <tableColumn id="15" name="ETD Kapal" dataDxfId="59"/>
    <tableColumn id="10" name="KETERANGAN" dataDxfId="58" dataCellStyle="Normal"/>
    <tableColumn id="5" name="P" dataDxfId="57" dataCellStyle="Normal"/>
    <tableColumn id="6" name="L" dataDxfId="56" dataCellStyle="Normal"/>
    <tableColumn id="7" name="T" dataDxfId="55" dataCellStyle="Normal"/>
    <tableColumn id="4" name="ACT KG" dataDxfId="54" dataCellStyle="Normal"/>
    <tableColumn id="8" name="KG VOLUME" dataDxfId="53" dataCellStyle="Normal"/>
    <tableColumn id="19" name="PEMBULATAN" dataDxfId="52"/>
  </tableColumns>
  <tableStyleInfo name="Table Style 1" showFirstColumn="0" showLastColumn="0" showRowStripes="1" showColumnStripes="0"/>
</table>
</file>

<file path=xl/tables/table18.xml><?xml version="1.0" encoding="utf-8"?>
<table xmlns="http://schemas.openxmlformats.org/spreadsheetml/2006/main" id="18" name="Table224578910112345678910111213141516171819" displayName="Table224578910112345678910111213141516171819" ref="C2:N3" totalsRowShown="0" headerRowDxfId="50" dataDxfId="48" headerRowBorderDxfId="49">
  <tableColumns count="12">
    <tableColumn id="1" name="NOMOR" dataDxfId="47" dataCellStyle="Normal"/>
    <tableColumn id="3" name="TUJUAN" dataDxfId="46" dataCellStyle="Normal"/>
    <tableColumn id="16" name="Pick Up" dataDxfId="45"/>
    <tableColumn id="14" name="KAPAL" dataDxfId="44"/>
    <tableColumn id="15" name="ETD Kapal" dataDxfId="43"/>
    <tableColumn id="10" name="KETERANGAN" dataDxfId="42" dataCellStyle="Normal"/>
    <tableColumn id="5" name="P" dataDxfId="41" dataCellStyle="Normal"/>
    <tableColumn id="6" name="L" dataDxfId="40" dataCellStyle="Normal"/>
    <tableColumn id="7" name="T" dataDxfId="39" dataCellStyle="Normal"/>
    <tableColumn id="4" name="ACT KG" dataDxfId="38" dataCellStyle="Normal"/>
    <tableColumn id="8" name="KG VOLUME" dataDxfId="37" dataCellStyle="Normal"/>
    <tableColumn id="19" name="PEMBULATAN" dataDxfId="36"/>
  </tableColumns>
  <tableStyleInfo name="Table Style 1" showFirstColumn="0" showLastColumn="0" showRowStripes="1" showColumnStripes="0"/>
</table>
</file>

<file path=xl/tables/table19.xml><?xml version="1.0" encoding="utf-8"?>
<table xmlns="http://schemas.openxmlformats.org/spreadsheetml/2006/main" id="20" name="Table2245789101123456789101112131415161718192021" displayName="Table2245789101123456789101112131415161718192021" ref="C2:N8" totalsRowShown="0" headerRowDxfId="32" dataDxfId="30" headerRowBorderDxfId="31">
  <tableColumns count="12">
    <tableColumn id="1" name="NOMOR" dataDxfId="29" dataCellStyle="Normal"/>
    <tableColumn id="3" name="TUJUAN" dataDxfId="28" dataCellStyle="Normal"/>
    <tableColumn id="16" name="Pick Up" dataDxfId="27"/>
    <tableColumn id="14" name="KAPAL" dataDxfId="26"/>
    <tableColumn id="15" name="ETD Kapal" dataDxfId="25"/>
    <tableColumn id="10" name="KETERANGAN" dataDxfId="24" dataCellStyle="Normal"/>
    <tableColumn id="5" name="P" dataDxfId="23" dataCellStyle="Normal"/>
    <tableColumn id="6" name="L" dataDxfId="22" dataCellStyle="Normal"/>
    <tableColumn id="7" name="T" dataDxfId="21" dataCellStyle="Normal"/>
    <tableColumn id="4" name="ACT KG" dataDxfId="20" dataCellStyle="Normal"/>
    <tableColumn id="8" name="KG VOLUME" dataDxfId="19" dataCellStyle="Normal"/>
    <tableColumn id="19" name="PEMBULATAN" dataDxfId="18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3" name="Table22457891011234" displayName="Table22457891011234" ref="C2:N4" totalsRowShown="0" headerRowDxfId="312" dataDxfId="310" headerRowBorderDxfId="311">
  <tableColumns count="12">
    <tableColumn id="1" name="NOMOR" dataDxfId="309" dataCellStyle="Normal"/>
    <tableColumn id="3" name="TUJUAN" dataDxfId="308" dataCellStyle="Normal"/>
    <tableColumn id="16" name="Pick Up" dataDxfId="307"/>
    <tableColumn id="14" name="KAPAL" dataDxfId="306"/>
    <tableColumn id="15" name="ETD Kapal" dataDxfId="305"/>
    <tableColumn id="10" name="KETERANGAN" dataDxfId="304" dataCellStyle="Normal"/>
    <tableColumn id="5" name="P" dataDxfId="303" dataCellStyle="Normal"/>
    <tableColumn id="6" name="L" dataDxfId="302" dataCellStyle="Normal"/>
    <tableColumn id="7" name="T" dataDxfId="301" dataCellStyle="Normal"/>
    <tableColumn id="4" name="ACT KG" dataDxfId="300" dataCellStyle="Normal"/>
    <tableColumn id="8" name="KG VOLUME" dataDxfId="299" dataCellStyle="Normal"/>
    <tableColumn id="19" name="PEMBULATAN" dataDxfId="298"/>
  </tableColumns>
  <tableStyleInfo name="Table Style 1" showFirstColumn="0" showLastColumn="0" showRowStripes="1" showColumnStripes="0"/>
</table>
</file>

<file path=xl/tables/table20.xml><?xml version="1.0" encoding="utf-8"?>
<table xmlns="http://schemas.openxmlformats.org/spreadsheetml/2006/main" id="21" name="Table224578910112345678910111213141516171819202122" displayName="Table224578910112345678910111213141516171819202122" ref="C2:N6" totalsRowShown="0" headerRowDxfId="14" dataDxfId="12" headerRowBorderDxfId="13">
  <tableColumns count="12">
    <tableColumn id="1" name="NOMOR" dataDxfId="11" dataCellStyle="Normal"/>
    <tableColumn id="3" name="TUJUAN" dataDxfId="10" dataCellStyle="Normal"/>
    <tableColumn id="16" name="Pick Up" dataDxfId="9"/>
    <tableColumn id="14" name="KAPAL" dataDxfId="8"/>
    <tableColumn id="15" name="ETD Kapal" dataDxfId="7"/>
    <tableColumn id="10" name="KETERANGAN" dataDxfId="6" dataCellStyle="Normal"/>
    <tableColumn id="5" name="P" dataDxfId="5" dataCellStyle="Normal"/>
    <tableColumn id="6" name="L" dataDxfId="4" dataCellStyle="Normal"/>
    <tableColumn id="7" name="T" dataDxfId="3" dataCellStyle="Normal"/>
    <tableColumn id="4" name="ACT KG" dataDxfId="2" dataCellStyle="Normal"/>
    <tableColumn id="8" name="KG VOLUME" dataDxfId="1" dataCellStyle="Normal"/>
    <tableColumn id="19" name="PEMBULATAN" dataDxfId="0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id="4" name="Table224578910112345" displayName="Table224578910112345" ref="C2:N4" totalsRowShown="0" headerRowDxfId="296" dataDxfId="294" headerRowBorderDxfId="295">
  <tableColumns count="12">
    <tableColumn id="1" name="NOMOR" dataDxfId="293" dataCellStyle="Normal"/>
    <tableColumn id="3" name="TUJUAN" dataDxfId="292" dataCellStyle="Normal"/>
    <tableColumn id="16" name="Pick Up" dataDxfId="291"/>
    <tableColumn id="14" name="KAPAL" dataDxfId="290"/>
    <tableColumn id="15" name="ETD Kapal" dataDxfId="289"/>
    <tableColumn id="10" name="KETERANGAN" dataDxfId="288" dataCellStyle="Normal"/>
    <tableColumn id="5" name="P" dataDxfId="287" dataCellStyle="Normal"/>
    <tableColumn id="6" name="L" dataDxfId="286" dataCellStyle="Normal"/>
    <tableColumn id="7" name="T" dataDxfId="285" dataCellStyle="Normal"/>
    <tableColumn id="4" name="ACT KG" dataDxfId="284" dataCellStyle="Normal"/>
    <tableColumn id="8" name="KG VOLUME" dataDxfId="283" dataCellStyle="Normal"/>
    <tableColumn id="19" name="PEMBULATAN" dataDxfId="282"/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id="5" name="Table2245789101123456" displayName="Table2245789101123456" ref="C2:N9" totalsRowShown="0" headerRowDxfId="280" dataDxfId="278" headerRowBorderDxfId="279">
  <tableColumns count="12">
    <tableColumn id="1" name="NOMOR" dataDxfId="277" dataCellStyle="Normal"/>
    <tableColumn id="3" name="TUJUAN" dataDxfId="276" dataCellStyle="Normal"/>
    <tableColumn id="16" name="Pick Up" dataDxfId="275"/>
    <tableColumn id="14" name="KAPAL" dataDxfId="274"/>
    <tableColumn id="15" name="ETD Kapal" dataDxfId="273"/>
    <tableColumn id="10" name="KETERANGAN" dataDxfId="272" dataCellStyle="Normal"/>
    <tableColumn id="5" name="P" dataDxfId="271" dataCellStyle="Normal"/>
    <tableColumn id="6" name="L" dataDxfId="270" dataCellStyle="Normal"/>
    <tableColumn id="7" name="T" dataDxfId="269" dataCellStyle="Normal"/>
    <tableColumn id="4" name="ACT KG" dataDxfId="268" dataCellStyle="Normal"/>
    <tableColumn id="8" name="KG VOLUME" dataDxfId="267" dataCellStyle="Normal"/>
    <tableColumn id="19" name="PEMBULATAN" dataDxfId="266"/>
  </tableColumns>
  <tableStyleInfo name="Table Style 1" showFirstColumn="0" showLastColumn="0" showRowStripes="1" showColumnStripes="0"/>
</table>
</file>

<file path=xl/tables/table5.xml><?xml version="1.0" encoding="utf-8"?>
<table xmlns="http://schemas.openxmlformats.org/spreadsheetml/2006/main" id="6" name="Table22457891011234567" displayName="Table22457891011234567" ref="C2:N10" totalsRowShown="0" headerRowDxfId="264" dataDxfId="262" headerRowBorderDxfId="263">
  <tableColumns count="12">
    <tableColumn id="1" name="NOMOR" dataDxfId="261" dataCellStyle="Normal"/>
    <tableColumn id="3" name="TUJUAN" dataDxfId="260" dataCellStyle="Normal"/>
    <tableColumn id="16" name="Pick Up" dataDxfId="259"/>
    <tableColumn id="14" name="KAPAL" dataDxfId="258"/>
    <tableColumn id="15" name="ETD Kapal" dataDxfId="257"/>
    <tableColumn id="10" name="KETERANGAN" dataDxfId="256" dataCellStyle="Normal"/>
    <tableColumn id="5" name="P" dataDxfId="255" dataCellStyle="Normal"/>
    <tableColumn id="6" name="L" dataDxfId="254" dataCellStyle="Normal"/>
    <tableColumn id="7" name="T" dataDxfId="253" dataCellStyle="Normal"/>
    <tableColumn id="4" name="ACT KG" dataDxfId="252" dataCellStyle="Normal"/>
    <tableColumn id="8" name="KG VOLUME" dataDxfId="251" dataCellStyle="Normal"/>
    <tableColumn id="19" name="PEMBULATAN" dataDxfId="250"/>
  </tableColumns>
  <tableStyleInfo name="Table Style 1" showFirstColumn="0" showLastColumn="0" showRowStripes="1" showColumnStripes="0"/>
</table>
</file>

<file path=xl/tables/table6.xml><?xml version="1.0" encoding="utf-8"?>
<table xmlns="http://schemas.openxmlformats.org/spreadsheetml/2006/main" id="7" name="Table224578910112345678" displayName="Table224578910112345678" ref="C2:N5" totalsRowShown="0" headerRowDxfId="248" dataDxfId="246" headerRowBorderDxfId="247">
  <tableColumns count="12">
    <tableColumn id="1" name="NOMOR" dataDxfId="245" dataCellStyle="Normal"/>
    <tableColumn id="3" name="TUJUAN" dataDxfId="244" dataCellStyle="Normal"/>
    <tableColumn id="16" name="Pick Up" dataDxfId="243"/>
    <tableColumn id="14" name="KAPAL" dataDxfId="242"/>
    <tableColumn id="15" name="ETD Kapal" dataDxfId="241"/>
    <tableColumn id="10" name="KETERANGAN" dataDxfId="240" dataCellStyle="Normal"/>
    <tableColumn id="5" name="P" dataDxfId="239" dataCellStyle="Normal"/>
    <tableColumn id="6" name="L" dataDxfId="238" dataCellStyle="Normal"/>
    <tableColumn id="7" name="T" dataDxfId="237" dataCellStyle="Normal"/>
    <tableColumn id="4" name="ACT KG" dataDxfId="236" dataCellStyle="Normal"/>
    <tableColumn id="8" name="KG VOLUME" dataDxfId="235" dataCellStyle="Normal"/>
    <tableColumn id="19" name="PEMBULATAN" dataDxfId="234"/>
  </tableColumns>
  <tableStyleInfo name="Table Style 1" showFirstColumn="0" showLastColumn="0" showRowStripes="1" showColumnStripes="0"/>
</table>
</file>

<file path=xl/tables/table7.xml><?xml version="1.0" encoding="utf-8"?>
<table xmlns="http://schemas.openxmlformats.org/spreadsheetml/2006/main" id="8" name="Table2245789101123456789" displayName="Table2245789101123456789" ref="C2:N9" totalsRowShown="0" headerRowDxfId="231" dataDxfId="229" headerRowBorderDxfId="230">
  <tableColumns count="12">
    <tableColumn id="1" name="NOMOR" dataDxfId="228" dataCellStyle="Normal"/>
    <tableColumn id="3" name="TUJUAN" dataDxfId="227" dataCellStyle="Normal"/>
    <tableColumn id="16" name="Pick Up" dataDxfId="226"/>
    <tableColumn id="14" name="KAPAL" dataDxfId="225"/>
    <tableColumn id="15" name="ETD Kapal" dataDxfId="224"/>
    <tableColumn id="10" name="KETERANGAN" dataDxfId="223" dataCellStyle="Normal"/>
    <tableColumn id="5" name="P" dataDxfId="222" dataCellStyle="Normal"/>
    <tableColumn id="6" name="L" dataDxfId="221" dataCellStyle="Normal"/>
    <tableColumn id="7" name="T" dataDxfId="220" dataCellStyle="Normal"/>
    <tableColumn id="4" name="ACT KG" dataDxfId="219" dataCellStyle="Normal"/>
    <tableColumn id="8" name="KG VOLUME" dataDxfId="218" dataCellStyle="Normal"/>
    <tableColumn id="19" name="PEMBULATAN" dataDxfId="217"/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Table224578910112345678910" displayName="Table224578910112345678910" ref="C2:N12" totalsRowShown="0" headerRowDxfId="214" dataDxfId="212" headerRowBorderDxfId="213">
  <tableColumns count="12">
    <tableColumn id="1" name="NOMOR" dataDxfId="211" dataCellStyle="Normal"/>
    <tableColumn id="3" name="TUJUAN" dataDxfId="210" dataCellStyle="Normal"/>
    <tableColumn id="16" name="Pick Up" dataDxfId="209"/>
    <tableColumn id="14" name="KAPAL" dataDxfId="208"/>
    <tableColumn id="15" name="ETD Kapal" dataDxfId="207"/>
    <tableColumn id="10" name="KETERANGAN" dataDxfId="206" dataCellStyle="Normal"/>
    <tableColumn id="5" name="P" dataDxfId="205" dataCellStyle="Normal"/>
    <tableColumn id="6" name="L" dataDxfId="204" dataCellStyle="Normal"/>
    <tableColumn id="7" name="T" dataDxfId="203" dataCellStyle="Normal"/>
    <tableColumn id="4" name="ACT KG" dataDxfId="202" dataCellStyle="Normal"/>
    <tableColumn id="8" name="KG VOLUME" dataDxfId="201" dataCellStyle="Normal"/>
    <tableColumn id="19" name="PEMBULATAN" dataDxfId="200"/>
  </tableColumns>
  <tableStyleInfo name="Table Style 1" showFirstColumn="0" showLastColumn="0" showRowStripes="1" showColumnStripes="0"/>
</table>
</file>

<file path=xl/tables/table9.xml><?xml version="1.0" encoding="utf-8"?>
<table xmlns="http://schemas.openxmlformats.org/spreadsheetml/2006/main" id="10" name="Table22457891011234567891011" displayName="Table22457891011234567891011" ref="C2:N3" totalsRowShown="0" headerRowDxfId="198" dataDxfId="196" headerRowBorderDxfId="197">
  <tableColumns count="12">
    <tableColumn id="1" name="NOMOR" dataDxfId="195" dataCellStyle="Normal"/>
    <tableColumn id="3" name="TUJUAN" dataDxfId="194" dataCellStyle="Normal"/>
    <tableColumn id="16" name="Pick Up" dataDxfId="193"/>
    <tableColumn id="14" name="KAPAL" dataDxfId="192"/>
    <tableColumn id="15" name="ETD Kapal" dataDxfId="191"/>
    <tableColumn id="10" name="KETERANGAN" dataDxfId="190" dataCellStyle="Normal"/>
    <tableColumn id="5" name="P" dataDxfId="189" dataCellStyle="Normal"/>
    <tableColumn id="6" name="L" dataDxfId="188" dataCellStyle="Normal"/>
    <tableColumn id="7" name="T" dataDxfId="187" dataCellStyle="Normal"/>
    <tableColumn id="4" name="ACT KG" dataDxfId="186" dataCellStyle="Normal"/>
    <tableColumn id="8" name="KG VOLUME" dataDxfId="185" dataCellStyle="Normal"/>
    <tableColumn id="19" name="PEMBULATAN" dataDxfId="184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L61"/>
  <sheetViews>
    <sheetView tabSelected="1" workbookViewId="0">
      <selection activeCell="E2" sqref="E2"/>
    </sheetView>
  </sheetViews>
  <sheetFormatPr defaultRowHeight="15.75" x14ac:dyDescent="0.25"/>
  <cols>
    <col min="1" max="1" width="6.42578125" style="17" customWidth="1"/>
    <col min="2" max="2" width="11.5703125" style="17" customWidth="1"/>
    <col min="3" max="3" width="10" style="17" customWidth="1"/>
    <col min="4" max="4" width="26.42578125" style="17" customWidth="1"/>
    <col min="5" max="5" width="13.85546875" style="17" customWidth="1"/>
    <col min="6" max="6" width="6.85546875" style="17" bestFit="1" customWidth="1"/>
    <col min="7" max="7" width="6.42578125" style="17" customWidth="1"/>
    <col min="8" max="8" width="14.140625" style="18" bestFit="1" customWidth="1"/>
    <col min="9" max="9" width="1.5703125" style="18" customWidth="1"/>
    <col min="10" max="10" width="19.5703125" style="17" customWidth="1"/>
    <col min="11" max="11" width="9.140625" style="17"/>
    <col min="12" max="12" width="15.7109375" style="17" bestFit="1" customWidth="1"/>
    <col min="13" max="16384" width="9.140625" style="17"/>
  </cols>
  <sheetData>
    <row r="2" spans="1:10" x14ac:dyDescent="0.25">
      <c r="A2" s="16" t="s">
        <v>8</v>
      </c>
    </row>
    <row r="3" spans="1:10" x14ac:dyDescent="0.25">
      <c r="A3" s="19" t="s">
        <v>9</v>
      </c>
    </row>
    <row r="4" spans="1:10" x14ac:dyDescent="0.25">
      <c r="A4" s="19" t="s">
        <v>10</v>
      </c>
    </row>
    <row r="5" spans="1:10" x14ac:dyDescent="0.25">
      <c r="A5" s="19" t="s">
        <v>11</v>
      </c>
    </row>
    <row r="6" spans="1:10" x14ac:dyDescent="0.25">
      <c r="A6" s="19" t="s">
        <v>12</v>
      </c>
    </row>
    <row r="7" spans="1:10" x14ac:dyDescent="0.25">
      <c r="A7" s="19" t="s">
        <v>13</v>
      </c>
    </row>
    <row r="9" spans="1:10" ht="16.5" thickBot="1" x14ac:dyDescent="0.3">
      <c r="A9" s="20"/>
      <c r="B9" s="20"/>
      <c r="C9" s="20"/>
      <c r="D9" s="20"/>
      <c r="E9" s="20"/>
      <c r="F9" s="20"/>
      <c r="G9" s="20"/>
      <c r="H9" s="21"/>
      <c r="I9" s="21"/>
      <c r="J9" s="20"/>
    </row>
    <row r="10" spans="1:10" ht="23.25" customHeight="1" thickBot="1" x14ac:dyDescent="0.3">
      <c r="A10" s="179" t="s">
        <v>14</v>
      </c>
      <c r="B10" s="180"/>
      <c r="C10" s="180"/>
      <c r="D10" s="180"/>
      <c r="E10" s="180"/>
      <c r="F10" s="180"/>
      <c r="G10" s="180"/>
      <c r="H10" s="180"/>
      <c r="I10" s="180"/>
      <c r="J10" s="181"/>
    </row>
    <row r="12" spans="1:10" x14ac:dyDescent="0.25">
      <c r="A12" s="17" t="s">
        <v>15</v>
      </c>
      <c r="B12" s="17" t="s">
        <v>16</v>
      </c>
      <c r="G12" s="193" t="s">
        <v>49</v>
      </c>
      <c r="H12" s="193"/>
      <c r="I12" s="22" t="s">
        <v>17</v>
      </c>
      <c r="J12" s="23"/>
    </row>
    <row r="13" spans="1:10" x14ac:dyDescent="0.25">
      <c r="G13" s="193" t="s">
        <v>18</v>
      </c>
      <c r="H13" s="193"/>
      <c r="I13" s="22" t="s">
        <v>17</v>
      </c>
      <c r="J13" s="24" t="s">
        <v>183</v>
      </c>
    </row>
    <row r="14" spans="1:10" x14ac:dyDescent="0.25">
      <c r="G14" s="193" t="s">
        <v>50</v>
      </c>
      <c r="H14" s="193"/>
      <c r="I14" s="22" t="s">
        <v>17</v>
      </c>
      <c r="J14" s="17" t="s">
        <v>180</v>
      </c>
    </row>
    <row r="15" spans="1:10" x14ac:dyDescent="0.25">
      <c r="A15" s="17" t="s">
        <v>19</v>
      </c>
      <c r="B15" s="23" t="s">
        <v>20</v>
      </c>
      <c r="C15" s="23"/>
      <c r="I15" s="22"/>
      <c r="J15" s="17" t="s">
        <v>56</v>
      </c>
    </row>
    <row r="16" spans="1:10" ht="16.5" thickBot="1" x14ac:dyDescent="0.3"/>
    <row r="17" spans="1:12" ht="26.25" customHeight="1" x14ac:dyDescent="0.25">
      <c r="A17" s="25" t="s">
        <v>21</v>
      </c>
      <c r="B17" s="26" t="s">
        <v>22</v>
      </c>
      <c r="C17" s="26" t="s">
        <v>23</v>
      </c>
      <c r="D17" s="26" t="s">
        <v>24</v>
      </c>
      <c r="E17" s="26" t="s">
        <v>25</v>
      </c>
      <c r="F17" s="27" t="s">
        <v>26</v>
      </c>
      <c r="G17" s="27" t="s">
        <v>27</v>
      </c>
      <c r="H17" s="182" t="s">
        <v>28</v>
      </c>
      <c r="I17" s="183"/>
      <c r="J17" s="28" t="s">
        <v>29</v>
      </c>
    </row>
    <row r="18" spans="1:12" ht="48" customHeight="1" x14ac:dyDescent="0.25">
      <c r="A18" s="29">
        <v>1</v>
      </c>
      <c r="B18" s="30">
        <f>'405805'!E3</f>
        <v>44533</v>
      </c>
      <c r="C18" s="81">
        <f>'405805'!A3</f>
        <v>405805</v>
      </c>
      <c r="D18" s="31" t="s">
        <v>179</v>
      </c>
      <c r="E18" s="31" t="s">
        <v>60</v>
      </c>
      <c r="F18" s="32">
        <v>2</v>
      </c>
      <c r="G18" s="116">
        <f>'405805'!N5</f>
        <v>120.54</v>
      </c>
      <c r="H18" s="184">
        <v>14000</v>
      </c>
      <c r="I18" s="185"/>
      <c r="J18" s="33">
        <f>G18*H18</f>
        <v>1687560</v>
      </c>
      <c r="L18"/>
    </row>
    <row r="19" spans="1:12" ht="48" customHeight="1" x14ac:dyDescent="0.25">
      <c r="A19" s="29">
        <f>A18+1</f>
        <v>2</v>
      </c>
      <c r="B19" s="30">
        <f>'405822'!E3</f>
        <v>44535</v>
      </c>
      <c r="C19" s="81">
        <f>'405822'!A3</f>
        <v>405822</v>
      </c>
      <c r="D19" s="31" t="s">
        <v>179</v>
      </c>
      <c r="E19" s="31" t="s">
        <v>60</v>
      </c>
      <c r="F19" s="32">
        <v>2</v>
      </c>
      <c r="G19" s="117">
        <v>100</v>
      </c>
      <c r="H19" s="184">
        <v>14000</v>
      </c>
      <c r="I19" s="185"/>
      <c r="J19" s="33">
        <f t="shared" ref="J19:J36" si="0">G19*H19</f>
        <v>1400000</v>
      </c>
      <c r="L19"/>
    </row>
    <row r="20" spans="1:12" ht="48" customHeight="1" x14ac:dyDescent="0.25">
      <c r="A20" s="29">
        <f t="shared" ref="A20:A36" si="1">A19+1</f>
        <v>3</v>
      </c>
      <c r="B20" s="30">
        <f>'405816'!E3</f>
        <v>44534</v>
      </c>
      <c r="C20" s="81">
        <f>'405816'!A3</f>
        <v>405816</v>
      </c>
      <c r="D20" s="31" t="s">
        <v>179</v>
      </c>
      <c r="E20" s="31" t="s">
        <v>60</v>
      </c>
      <c r="F20" s="32">
        <v>7</v>
      </c>
      <c r="G20" s="117">
        <v>100</v>
      </c>
      <c r="H20" s="184">
        <v>14000</v>
      </c>
      <c r="I20" s="185"/>
      <c r="J20" s="33">
        <f t="shared" si="0"/>
        <v>1400000</v>
      </c>
      <c r="L20"/>
    </row>
    <row r="21" spans="1:12" ht="48" customHeight="1" x14ac:dyDescent="0.25">
      <c r="A21" s="29">
        <f t="shared" si="1"/>
        <v>4</v>
      </c>
      <c r="B21" s="30">
        <f>'405836'!E3</f>
        <v>44537</v>
      </c>
      <c r="C21" s="81">
        <f>'405836'!A3</f>
        <v>405836</v>
      </c>
      <c r="D21" s="31" t="s">
        <v>179</v>
      </c>
      <c r="E21" s="31" t="s">
        <v>60</v>
      </c>
      <c r="F21" s="32">
        <v>8</v>
      </c>
      <c r="G21" s="117">
        <f>'405836'!N11</f>
        <v>145.62800000000001</v>
      </c>
      <c r="H21" s="184">
        <v>14000</v>
      </c>
      <c r="I21" s="185"/>
      <c r="J21" s="33">
        <f t="shared" si="0"/>
        <v>2038792.0000000002</v>
      </c>
      <c r="L21"/>
    </row>
    <row r="22" spans="1:12" ht="48" customHeight="1" x14ac:dyDescent="0.25">
      <c r="A22" s="29">
        <f t="shared" si="1"/>
        <v>5</v>
      </c>
      <c r="B22" s="30">
        <f>'405844'!E3</f>
        <v>44538</v>
      </c>
      <c r="C22" s="81">
        <f>'405844'!A3</f>
        <v>405844</v>
      </c>
      <c r="D22" s="31" t="s">
        <v>179</v>
      </c>
      <c r="E22" s="31" t="s">
        <v>60</v>
      </c>
      <c r="F22" s="32">
        <v>3</v>
      </c>
      <c r="G22" s="117">
        <f>'405844'!N6</f>
        <v>117</v>
      </c>
      <c r="H22" s="184">
        <v>14000</v>
      </c>
      <c r="I22" s="185"/>
      <c r="J22" s="33">
        <f t="shared" si="0"/>
        <v>1638000</v>
      </c>
      <c r="L22"/>
    </row>
    <row r="23" spans="1:12" ht="48" customHeight="1" x14ac:dyDescent="0.25">
      <c r="A23" s="29">
        <f t="shared" si="1"/>
        <v>6</v>
      </c>
      <c r="B23" s="30">
        <f>'406458'!E3</f>
        <v>44540</v>
      </c>
      <c r="C23" s="81">
        <f>'406458'!A3</f>
        <v>406458</v>
      </c>
      <c r="D23" s="31" t="s">
        <v>179</v>
      </c>
      <c r="E23" s="31" t="s">
        <v>60</v>
      </c>
      <c r="F23" s="32">
        <v>7</v>
      </c>
      <c r="G23" s="117">
        <f>'406458'!N10</f>
        <v>372.351</v>
      </c>
      <c r="H23" s="184">
        <v>14000</v>
      </c>
      <c r="I23" s="185"/>
      <c r="J23" s="33">
        <f t="shared" si="0"/>
        <v>5212914</v>
      </c>
      <c r="L23"/>
    </row>
    <row r="24" spans="1:12" ht="48" customHeight="1" x14ac:dyDescent="0.25">
      <c r="A24" s="29">
        <f t="shared" si="1"/>
        <v>7</v>
      </c>
      <c r="B24" s="30">
        <f>'406465'!E3</f>
        <v>44541</v>
      </c>
      <c r="C24" s="81">
        <f>'406465'!A3</f>
        <v>406465</v>
      </c>
      <c r="D24" s="31" t="s">
        <v>179</v>
      </c>
      <c r="E24" s="31" t="s">
        <v>60</v>
      </c>
      <c r="F24" s="32">
        <v>10</v>
      </c>
      <c r="G24" s="117">
        <f>'406465'!N13</f>
        <v>158</v>
      </c>
      <c r="H24" s="184">
        <v>14000</v>
      </c>
      <c r="I24" s="185"/>
      <c r="J24" s="33">
        <f t="shared" si="0"/>
        <v>2212000</v>
      </c>
      <c r="L24"/>
    </row>
    <row r="25" spans="1:12" ht="48" customHeight="1" x14ac:dyDescent="0.25">
      <c r="A25" s="29">
        <f t="shared" si="1"/>
        <v>8</v>
      </c>
      <c r="B25" s="30">
        <f>Table22457891011234567891011[Pick Up]</f>
        <v>44543</v>
      </c>
      <c r="C25" s="81">
        <f>'402656'!A3</f>
        <v>402656</v>
      </c>
      <c r="D25" s="31" t="s">
        <v>179</v>
      </c>
      <c r="E25" s="31" t="s">
        <v>60</v>
      </c>
      <c r="F25" s="32">
        <v>1</v>
      </c>
      <c r="G25" s="117">
        <f>'402656'!N4</f>
        <v>100</v>
      </c>
      <c r="H25" s="184">
        <v>14000</v>
      </c>
      <c r="I25" s="185"/>
      <c r="J25" s="33">
        <f t="shared" si="0"/>
        <v>1400000</v>
      </c>
      <c r="L25"/>
    </row>
    <row r="26" spans="1:12" ht="48" customHeight="1" x14ac:dyDescent="0.25">
      <c r="A26" s="29">
        <f t="shared" si="1"/>
        <v>9</v>
      </c>
      <c r="B26" s="30">
        <f>'402670'!E3</f>
        <v>44546</v>
      </c>
      <c r="C26" s="81">
        <f>'402670'!A3</f>
        <v>402670</v>
      </c>
      <c r="D26" s="31" t="s">
        <v>179</v>
      </c>
      <c r="E26" s="31" t="s">
        <v>60</v>
      </c>
      <c r="F26" s="32">
        <v>3</v>
      </c>
      <c r="G26" s="117">
        <v>100</v>
      </c>
      <c r="H26" s="184">
        <v>14000</v>
      </c>
      <c r="I26" s="185"/>
      <c r="J26" s="33">
        <f t="shared" si="0"/>
        <v>1400000</v>
      </c>
      <c r="L26"/>
    </row>
    <row r="27" spans="1:12" ht="48" customHeight="1" x14ac:dyDescent="0.25">
      <c r="A27" s="29">
        <f t="shared" si="1"/>
        <v>10</v>
      </c>
      <c r="B27" s="30">
        <f>'402676'!E3</f>
        <v>44547</v>
      </c>
      <c r="C27" s="81">
        <f>'402676'!A3</f>
        <v>402676</v>
      </c>
      <c r="D27" s="31" t="s">
        <v>179</v>
      </c>
      <c r="E27" s="31" t="s">
        <v>60</v>
      </c>
      <c r="F27" s="32">
        <v>2</v>
      </c>
      <c r="G27" s="117">
        <v>100</v>
      </c>
      <c r="H27" s="184">
        <v>14000</v>
      </c>
      <c r="I27" s="185"/>
      <c r="J27" s="33">
        <f t="shared" si="0"/>
        <v>1400000</v>
      </c>
      <c r="L27"/>
    </row>
    <row r="28" spans="1:12" ht="48" customHeight="1" x14ac:dyDescent="0.25">
      <c r="A28" s="29">
        <f t="shared" si="1"/>
        <v>11</v>
      </c>
      <c r="B28" s="30">
        <f>'402693'!E3</f>
        <v>44548</v>
      </c>
      <c r="C28" s="81">
        <f>'402693'!A3</f>
        <v>402693</v>
      </c>
      <c r="D28" s="31" t="s">
        <v>179</v>
      </c>
      <c r="E28" s="31" t="s">
        <v>60</v>
      </c>
      <c r="F28" s="32">
        <v>11</v>
      </c>
      <c r="G28" s="117">
        <f>'402693'!N14</f>
        <v>372.24500000000006</v>
      </c>
      <c r="H28" s="184">
        <v>14000</v>
      </c>
      <c r="I28" s="185"/>
      <c r="J28" s="33">
        <f t="shared" si="0"/>
        <v>5211430.0000000009</v>
      </c>
      <c r="L28"/>
    </row>
    <row r="29" spans="1:12" ht="48" customHeight="1" x14ac:dyDescent="0.25">
      <c r="A29" s="29">
        <f t="shared" si="1"/>
        <v>12</v>
      </c>
      <c r="B29" s="30">
        <f>Table2245789101123456789101112131415[Pick Up]</f>
        <v>44550</v>
      </c>
      <c r="C29" s="81">
        <f>'402701'!A3</f>
        <v>402701</v>
      </c>
      <c r="D29" s="31" t="s">
        <v>179</v>
      </c>
      <c r="E29" s="31" t="s">
        <v>60</v>
      </c>
      <c r="F29" s="32">
        <v>1</v>
      </c>
      <c r="G29" s="117">
        <f>'402701'!N4</f>
        <v>109.04</v>
      </c>
      <c r="H29" s="184">
        <v>14000</v>
      </c>
      <c r="I29" s="185"/>
      <c r="J29" s="33">
        <f t="shared" si="0"/>
        <v>1526560</v>
      </c>
      <c r="L29"/>
    </row>
    <row r="30" spans="1:12" ht="48" customHeight="1" x14ac:dyDescent="0.25">
      <c r="A30" s="29">
        <f t="shared" si="1"/>
        <v>13</v>
      </c>
      <c r="B30" s="30">
        <f>Table224578910112345678910111213141516[Pick Up]</f>
        <v>44551</v>
      </c>
      <c r="C30" s="81">
        <f>'402710'!A3</f>
        <v>402710</v>
      </c>
      <c r="D30" s="31" t="s">
        <v>179</v>
      </c>
      <c r="E30" s="31" t="s">
        <v>60</v>
      </c>
      <c r="F30" s="32">
        <v>1</v>
      </c>
      <c r="G30" s="117">
        <v>100</v>
      </c>
      <c r="H30" s="184">
        <v>14000</v>
      </c>
      <c r="I30" s="185"/>
      <c r="J30" s="33">
        <f t="shared" si="0"/>
        <v>1400000</v>
      </c>
      <c r="L30"/>
    </row>
    <row r="31" spans="1:12" ht="48" customHeight="1" x14ac:dyDescent="0.25">
      <c r="A31" s="29">
        <f t="shared" si="1"/>
        <v>14</v>
      </c>
      <c r="B31" s="30">
        <f>'402719'!E3</f>
        <v>44553</v>
      </c>
      <c r="C31" s="81">
        <f>'402719'!A3</f>
        <v>402719</v>
      </c>
      <c r="D31" s="31" t="s">
        <v>179</v>
      </c>
      <c r="E31" s="31" t="s">
        <v>60</v>
      </c>
      <c r="F31" s="32">
        <v>13</v>
      </c>
      <c r="G31" s="117">
        <f>'402719'!N16</f>
        <v>359.67399999999998</v>
      </c>
      <c r="H31" s="184">
        <v>14000</v>
      </c>
      <c r="I31" s="185"/>
      <c r="J31" s="33">
        <f t="shared" si="0"/>
        <v>5035436</v>
      </c>
      <c r="L31"/>
    </row>
    <row r="32" spans="1:12" ht="48" customHeight="1" x14ac:dyDescent="0.25">
      <c r="A32" s="29">
        <f t="shared" si="1"/>
        <v>15</v>
      </c>
      <c r="B32" s="30">
        <f>'402730'!E3</f>
        <v>44554</v>
      </c>
      <c r="C32" s="81">
        <f>'402730'!A3</f>
        <v>402730</v>
      </c>
      <c r="D32" s="31" t="s">
        <v>179</v>
      </c>
      <c r="E32" s="31" t="s">
        <v>60</v>
      </c>
      <c r="F32" s="32">
        <v>9</v>
      </c>
      <c r="G32" s="117">
        <v>100</v>
      </c>
      <c r="H32" s="184">
        <v>14000</v>
      </c>
      <c r="I32" s="185"/>
      <c r="J32" s="33">
        <f t="shared" si="0"/>
        <v>1400000</v>
      </c>
      <c r="L32"/>
    </row>
    <row r="33" spans="1:12" ht="48" customHeight="1" x14ac:dyDescent="0.25">
      <c r="A33" s="29">
        <f t="shared" si="1"/>
        <v>16</v>
      </c>
      <c r="B33" s="30">
        <f>Table22457891011234567891011121314151617181920[Pick Up]</f>
        <v>44555</v>
      </c>
      <c r="C33" s="81">
        <f>'402735'!A3</f>
        <v>402735</v>
      </c>
      <c r="D33" s="31" t="s">
        <v>179</v>
      </c>
      <c r="E33" s="31" t="s">
        <v>60</v>
      </c>
      <c r="F33" s="32">
        <v>1</v>
      </c>
      <c r="G33" s="117">
        <v>100</v>
      </c>
      <c r="H33" s="184">
        <v>14000</v>
      </c>
      <c r="I33" s="185"/>
      <c r="J33" s="33">
        <f t="shared" si="0"/>
        <v>1400000</v>
      </c>
      <c r="L33"/>
    </row>
    <row r="34" spans="1:12" ht="48" customHeight="1" x14ac:dyDescent="0.25">
      <c r="A34" s="29">
        <f t="shared" si="1"/>
        <v>17</v>
      </c>
      <c r="B34" s="30">
        <f>Table224578910112345678910111213141516171819[Pick Up]</f>
        <v>44556</v>
      </c>
      <c r="C34" s="81">
        <f>'402739'!A3</f>
        <v>402739</v>
      </c>
      <c r="D34" s="31" t="s">
        <v>179</v>
      </c>
      <c r="E34" s="31" t="s">
        <v>60</v>
      </c>
      <c r="F34" s="32">
        <v>1</v>
      </c>
      <c r="G34" s="117">
        <v>100</v>
      </c>
      <c r="H34" s="184">
        <v>14000</v>
      </c>
      <c r="I34" s="185"/>
      <c r="J34" s="33">
        <f t="shared" si="0"/>
        <v>1400000</v>
      </c>
      <c r="L34"/>
    </row>
    <row r="35" spans="1:12" ht="48" customHeight="1" x14ac:dyDescent="0.25">
      <c r="A35" s="29">
        <f t="shared" si="1"/>
        <v>18</v>
      </c>
      <c r="B35" s="30">
        <f>'402755'!E3</f>
        <v>44560</v>
      </c>
      <c r="C35" s="81">
        <f>'402755'!A3</f>
        <v>402755</v>
      </c>
      <c r="D35" s="31" t="s">
        <v>179</v>
      </c>
      <c r="E35" s="31" t="s">
        <v>60</v>
      </c>
      <c r="F35" s="32">
        <v>6</v>
      </c>
      <c r="G35" s="117">
        <f>'402755'!N9</f>
        <v>161.678</v>
      </c>
      <c r="H35" s="184">
        <v>14000</v>
      </c>
      <c r="I35" s="185"/>
      <c r="J35" s="33">
        <f t="shared" si="0"/>
        <v>2263492</v>
      </c>
      <c r="L35"/>
    </row>
    <row r="36" spans="1:12" ht="48" customHeight="1" x14ac:dyDescent="0.25">
      <c r="A36" s="29">
        <f t="shared" si="1"/>
        <v>19</v>
      </c>
      <c r="B36" s="30">
        <f>'402759'!E3</f>
        <v>44561</v>
      </c>
      <c r="C36" s="81">
        <f>'402759'!A3</f>
        <v>402759</v>
      </c>
      <c r="D36" s="31" t="s">
        <v>179</v>
      </c>
      <c r="E36" s="31" t="s">
        <v>60</v>
      </c>
      <c r="F36" s="32">
        <v>4</v>
      </c>
      <c r="G36" s="117">
        <v>100</v>
      </c>
      <c r="H36" s="184">
        <v>14000</v>
      </c>
      <c r="I36" s="185"/>
      <c r="J36" s="33">
        <f t="shared" si="0"/>
        <v>1400000</v>
      </c>
      <c r="L36"/>
    </row>
    <row r="37" spans="1:12" ht="32.25" customHeight="1" thickBot="1" x14ac:dyDescent="0.3">
      <c r="A37" s="186" t="s">
        <v>30</v>
      </c>
      <c r="B37" s="187"/>
      <c r="C37" s="187"/>
      <c r="D37" s="187"/>
      <c r="E37" s="187"/>
      <c r="F37" s="187"/>
      <c r="G37" s="187"/>
      <c r="H37" s="187"/>
      <c r="I37" s="188"/>
      <c r="J37" s="34">
        <f>SUM(J18:J36)</f>
        <v>40826184</v>
      </c>
      <c r="L37" s="79"/>
    </row>
    <row r="38" spans="1:12" x14ac:dyDescent="0.25">
      <c r="A38" s="189"/>
      <c r="B38" s="189"/>
      <c r="C38" s="35"/>
      <c r="D38" s="35"/>
      <c r="E38" s="35"/>
      <c r="F38" s="35"/>
      <c r="G38" s="35"/>
      <c r="H38" s="36"/>
      <c r="I38" s="36"/>
      <c r="J38" s="37"/>
    </row>
    <row r="39" spans="1:12" x14ac:dyDescent="0.25">
      <c r="A39" s="82"/>
      <c r="B39" s="82"/>
      <c r="C39" s="82"/>
      <c r="D39" s="82"/>
      <c r="E39" s="82"/>
      <c r="F39" s="82"/>
      <c r="G39" s="38" t="s">
        <v>51</v>
      </c>
      <c r="H39" s="38"/>
      <c r="I39" s="36"/>
      <c r="J39" s="37">
        <f>J37*10%</f>
        <v>4082618.4000000004</v>
      </c>
      <c r="L39" s="39"/>
    </row>
    <row r="40" spans="1:12" x14ac:dyDescent="0.25">
      <c r="A40" s="82"/>
      <c r="B40" s="82"/>
      <c r="C40" s="82"/>
      <c r="D40" s="82"/>
      <c r="E40" s="82"/>
      <c r="F40" s="82"/>
      <c r="G40" s="89" t="s">
        <v>52</v>
      </c>
      <c r="H40" s="89"/>
      <c r="I40" s="90"/>
      <c r="J40" s="92">
        <f>J37-J39</f>
        <v>36743565.600000001</v>
      </c>
      <c r="L40" s="39"/>
    </row>
    <row r="41" spans="1:12" x14ac:dyDescent="0.25">
      <c r="A41" s="82"/>
      <c r="B41" s="82"/>
      <c r="C41" s="82"/>
      <c r="D41" s="82"/>
      <c r="E41" s="82"/>
      <c r="F41" s="82"/>
      <c r="G41" s="38" t="s">
        <v>31</v>
      </c>
      <c r="H41" s="38"/>
      <c r="I41" s="39" t="e">
        <f>#REF!*1%</f>
        <v>#REF!</v>
      </c>
      <c r="J41" s="37">
        <f>J40*1%</f>
        <v>367435.65600000002</v>
      </c>
    </row>
    <row r="42" spans="1:12" ht="16.5" thickBot="1" x14ac:dyDescent="0.3">
      <c r="A42" s="82"/>
      <c r="B42" s="82"/>
      <c r="C42" s="82"/>
      <c r="D42" s="82"/>
      <c r="E42" s="82"/>
      <c r="F42" s="82"/>
      <c r="G42" s="91" t="s">
        <v>54</v>
      </c>
      <c r="H42" s="91"/>
      <c r="I42" s="40">
        <f>I38*10%</f>
        <v>0</v>
      </c>
      <c r="J42" s="40">
        <f>J40*2%</f>
        <v>734871.31200000003</v>
      </c>
    </row>
    <row r="43" spans="1:12" x14ac:dyDescent="0.25">
      <c r="E43" s="16"/>
      <c r="F43" s="16"/>
      <c r="G43" s="41" t="s">
        <v>55</v>
      </c>
      <c r="H43" s="41"/>
      <c r="I43" s="42" t="e">
        <f>I37+I41</f>
        <v>#REF!</v>
      </c>
      <c r="J43" s="42">
        <f>J40+J41-J42</f>
        <v>36376129.944000006</v>
      </c>
    </row>
    <row r="44" spans="1:12" x14ac:dyDescent="0.25">
      <c r="E44" s="16"/>
      <c r="F44" s="16"/>
      <c r="G44" s="41"/>
      <c r="H44" s="41"/>
      <c r="I44" s="42"/>
      <c r="J44" s="42"/>
    </row>
    <row r="45" spans="1:12" x14ac:dyDescent="0.25">
      <c r="A45" s="16" t="s">
        <v>182</v>
      </c>
      <c r="D45" s="16"/>
      <c r="E45" s="16"/>
      <c r="F45" s="16"/>
      <c r="G45" s="16"/>
      <c r="H45" s="41"/>
      <c r="I45" s="41"/>
      <c r="J45" s="42"/>
    </row>
    <row r="46" spans="1:12" x14ac:dyDescent="0.25">
      <c r="A46" s="43"/>
      <c r="D46" s="16"/>
      <c r="E46" s="16"/>
      <c r="F46" s="16"/>
      <c r="G46" s="16"/>
      <c r="H46" s="41"/>
      <c r="I46" s="41"/>
      <c r="J46" s="42"/>
    </row>
    <row r="47" spans="1:12" x14ac:dyDescent="0.25">
      <c r="D47" s="16"/>
      <c r="E47" s="16"/>
      <c r="F47" s="16"/>
      <c r="G47" s="16"/>
      <c r="H47" s="41"/>
      <c r="I47" s="41"/>
      <c r="J47" s="42"/>
    </row>
    <row r="48" spans="1:12" x14ac:dyDescent="0.25">
      <c r="A48" s="44" t="s">
        <v>33</v>
      </c>
    </row>
    <row r="49" spans="1:10" x14ac:dyDescent="0.25">
      <c r="A49" s="45" t="s">
        <v>34</v>
      </c>
      <c r="B49" s="46"/>
      <c r="C49" s="46"/>
      <c r="D49" s="47"/>
      <c r="E49" s="47"/>
      <c r="F49" s="47"/>
      <c r="G49" s="47"/>
    </row>
    <row r="50" spans="1:10" x14ac:dyDescent="0.25">
      <c r="A50" s="45" t="s">
        <v>35</v>
      </c>
      <c r="B50" s="46"/>
      <c r="C50" s="46"/>
      <c r="D50" s="47"/>
      <c r="E50" s="47"/>
      <c r="F50" s="47"/>
      <c r="G50" s="47"/>
    </row>
    <row r="51" spans="1:10" x14ac:dyDescent="0.25">
      <c r="A51" s="48" t="s">
        <v>36</v>
      </c>
      <c r="B51" s="49"/>
      <c r="C51" s="49"/>
      <c r="D51" s="47"/>
      <c r="E51" s="47"/>
      <c r="F51" s="47"/>
      <c r="G51" s="47"/>
    </row>
    <row r="52" spans="1:10" x14ac:dyDescent="0.25">
      <c r="A52" s="50" t="s">
        <v>8</v>
      </c>
      <c r="B52" s="51"/>
      <c r="C52" s="51"/>
      <c r="D52" s="47"/>
      <c r="E52" s="47"/>
      <c r="F52" s="47"/>
      <c r="G52" s="47"/>
    </row>
    <row r="53" spans="1:10" x14ac:dyDescent="0.25">
      <c r="A53" s="52"/>
      <c r="B53" s="52"/>
      <c r="C53" s="52"/>
    </row>
    <row r="54" spans="1:10" x14ac:dyDescent="0.25">
      <c r="H54" s="53" t="s">
        <v>37</v>
      </c>
      <c r="I54" s="190" t="str">
        <f>+J13</f>
        <v xml:space="preserve"> 11 Februari 2022</v>
      </c>
      <c r="J54" s="191"/>
    </row>
    <row r="58" spans="1:10" ht="18" customHeight="1" x14ac:dyDescent="0.25"/>
    <row r="59" spans="1:10" ht="17.25" customHeight="1" x14ac:dyDescent="0.25"/>
    <row r="61" spans="1:10" x14ac:dyDescent="0.25">
      <c r="H61" s="192" t="s">
        <v>38</v>
      </c>
      <c r="I61" s="192"/>
      <c r="J61" s="192"/>
    </row>
  </sheetData>
  <mergeCells count="28">
    <mergeCell ref="I54:J54"/>
    <mergeCell ref="H61:J61"/>
    <mergeCell ref="G14:H14"/>
    <mergeCell ref="G13:H13"/>
    <mergeCell ref="G12:H12"/>
    <mergeCell ref="H26:I26"/>
    <mergeCell ref="H27:I27"/>
    <mergeCell ref="H29:I29"/>
    <mergeCell ref="H30:I30"/>
    <mergeCell ref="H31:I31"/>
    <mergeCell ref="H32:I32"/>
    <mergeCell ref="H33:I33"/>
    <mergeCell ref="H34:I34"/>
    <mergeCell ref="H35:I35"/>
    <mergeCell ref="H36:I36"/>
    <mergeCell ref="A10:J10"/>
    <mergeCell ref="H17:I17"/>
    <mergeCell ref="H18:I18"/>
    <mergeCell ref="A37:I37"/>
    <mergeCell ref="A38:B38"/>
    <mergeCell ref="H19:I19"/>
    <mergeCell ref="H20:I20"/>
    <mergeCell ref="H24:I24"/>
    <mergeCell ref="H22:I22"/>
    <mergeCell ref="H21:I21"/>
    <mergeCell ref="H25:I25"/>
    <mergeCell ref="H28:I28"/>
    <mergeCell ref="H23:I23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Q24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H11" sqref="H11"/>
    </sheetView>
  </sheetViews>
  <sheetFormatPr defaultRowHeight="15" x14ac:dyDescent="0.2"/>
  <cols>
    <col min="1" max="1" width="6.42578125" style="4" customWidth="1"/>
    <col min="2" max="2" width="19.28515625" style="2" customWidth="1"/>
    <col min="3" max="3" width="13.85546875" style="2" customWidth="1"/>
    <col min="4" max="4" width="9.85546875" style="3" customWidth="1"/>
    <col min="5" max="5" width="8" style="11" customWidth="1"/>
    <col min="6" max="6" width="14.42578125" style="3" customWidth="1"/>
    <col min="7" max="7" width="8.5703125" style="3" customWidth="1"/>
    <col min="8" max="8" width="17.7109375" style="6" customWidth="1"/>
    <col min="9" max="11" width="3.7109375" style="3" customWidth="1"/>
    <col min="12" max="12" width="4.28515625" style="3" customWidth="1"/>
    <col min="13" max="13" width="8.140625" style="3" customWidth="1"/>
    <col min="14" max="14" width="12.42578125" style="14" customWidth="1"/>
    <col min="15" max="15" width="8.28515625" style="14" customWidth="1"/>
    <col min="16" max="16" width="10.85546875" style="14" customWidth="1"/>
    <col min="17" max="17" width="5.855468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8" t="s">
        <v>7</v>
      </c>
      <c r="C2" s="58" t="s">
        <v>0</v>
      </c>
      <c r="D2" s="58" t="s">
        <v>1</v>
      </c>
      <c r="E2" s="97" t="s">
        <v>4</v>
      </c>
      <c r="F2" s="58" t="s">
        <v>3</v>
      </c>
      <c r="G2" s="58" t="s">
        <v>5</v>
      </c>
      <c r="H2" s="97" t="s">
        <v>2</v>
      </c>
      <c r="I2" s="58" t="s">
        <v>39</v>
      </c>
      <c r="J2" s="58" t="s">
        <v>40</v>
      </c>
      <c r="K2" s="58" t="s">
        <v>41</v>
      </c>
      <c r="L2" s="58" t="s">
        <v>45</v>
      </c>
      <c r="M2" s="58" t="s">
        <v>46</v>
      </c>
      <c r="N2" s="58" t="s">
        <v>6</v>
      </c>
      <c r="O2" s="58" t="s">
        <v>47</v>
      </c>
      <c r="P2" s="58" t="s">
        <v>48</v>
      </c>
      <c r="Q2" s="58" t="s">
        <v>26</v>
      </c>
    </row>
    <row r="3" spans="1:17" ht="26.25" customHeight="1" x14ac:dyDescent="0.2">
      <c r="A3" s="80">
        <v>402656</v>
      </c>
      <c r="B3" s="71" t="s">
        <v>108</v>
      </c>
      <c r="C3" s="8" t="s">
        <v>109</v>
      </c>
      <c r="D3" s="73" t="s">
        <v>60</v>
      </c>
      <c r="E3" s="12">
        <v>44543</v>
      </c>
      <c r="F3" s="73" t="s">
        <v>61</v>
      </c>
      <c r="G3" s="12">
        <v>44556</v>
      </c>
      <c r="H3" s="9" t="s">
        <v>62</v>
      </c>
      <c r="I3" s="1">
        <v>85</v>
      </c>
      <c r="J3" s="1">
        <v>85</v>
      </c>
      <c r="K3" s="1">
        <v>55</v>
      </c>
      <c r="L3" s="1">
        <v>17</v>
      </c>
      <c r="M3" s="77">
        <v>99.34375</v>
      </c>
      <c r="N3" s="7">
        <v>100</v>
      </c>
      <c r="O3" s="61">
        <v>14000</v>
      </c>
      <c r="P3" s="62">
        <f>Table22457891011234567891011[[#This Row],[PEMBULATAN]]*O3</f>
        <v>1400000</v>
      </c>
      <c r="Q3" s="178">
        <v>1</v>
      </c>
    </row>
    <row r="4" spans="1:17" ht="22.5" customHeight="1" x14ac:dyDescent="0.2">
      <c r="A4" s="213" t="s">
        <v>30</v>
      </c>
      <c r="B4" s="208"/>
      <c r="C4" s="208"/>
      <c r="D4" s="208"/>
      <c r="E4" s="208"/>
      <c r="F4" s="208"/>
      <c r="G4" s="208"/>
      <c r="H4" s="208"/>
      <c r="I4" s="208"/>
      <c r="J4" s="208"/>
      <c r="K4" s="208"/>
      <c r="L4" s="209"/>
      <c r="M4" s="76">
        <f>SUBTOTAL(109,Table22457891011234567891011[KG VOLUME])</f>
        <v>99.34375</v>
      </c>
      <c r="N4" s="65">
        <f>SUM(N3:N3)</f>
        <v>100</v>
      </c>
      <c r="O4" s="210">
        <f>SUM(P3:P3)</f>
        <v>1400000</v>
      </c>
      <c r="P4" s="211"/>
    </row>
    <row r="5" spans="1:17" ht="18" customHeight="1" x14ac:dyDescent="0.2">
      <c r="A5" s="83"/>
      <c r="B5" s="55" t="s">
        <v>42</v>
      </c>
      <c r="C5" s="54"/>
      <c r="D5" s="56" t="s">
        <v>43</v>
      </c>
      <c r="E5" s="83"/>
      <c r="F5" s="83"/>
      <c r="G5" s="83"/>
      <c r="H5" s="83"/>
      <c r="I5" s="83"/>
      <c r="J5" s="83"/>
      <c r="K5" s="83"/>
      <c r="L5" s="83"/>
      <c r="M5" s="84"/>
      <c r="N5" s="85" t="s">
        <v>51</v>
      </c>
      <c r="O5" s="86"/>
      <c r="P5" s="86">
        <f>O4*10%</f>
        <v>140000</v>
      </c>
    </row>
    <row r="6" spans="1:17" ht="18" customHeight="1" thickBot="1" x14ac:dyDescent="0.25">
      <c r="A6" s="83"/>
      <c r="B6" s="55"/>
      <c r="C6" s="54"/>
      <c r="D6" s="56"/>
      <c r="E6" s="83"/>
      <c r="F6" s="83"/>
      <c r="G6" s="83"/>
      <c r="H6" s="83"/>
      <c r="I6" s="83"/>
      <c r="J6" s="83"/>
      <c r="K6" s="83"/>
      <c r="L6" s="83"/>
      <c r="M6" s="84"/>
      <c r="N6" s="87" t="s">
        <v>52</v>
      </c>
      <c r="O6" s="88"/>
      <c r="P6" s="88">
        <f>O4-P5</f>
        <v>1260000</v>
      </c>
    </row>
    <row r="7" spans="1:17" ht="18" customHeight="1" x14ac:dyDescent="0.2">
      <c r="A7" s="10"/>
      <c r="H7" s="60"/>
      <c r="N7" s="59" t="s">
        <v>31</v>
      </c>
      <c r="P7" s="66">
        <f>P6*1%</f>
        <v>12600</v>
      </c>
    </row>
    <row r="8" spans="1:17" ht="18" customHeight="1" thickBot="1" x14ac:dyDescent="0.25">
      <c r="A8" s="10"/>
      <c r="H8" s="60"/>
      <c r="N8" s="59" t="s">
        <v>53</v>
      </c>
      <c r="P8" s="68">
        <f>P6*2%</f>
        <v>25200</v>
      </c>
    </row>
    <row r="9" spans="1:17" ht="18" customHeight="1" x14ac:dyDescent="0.2">
      <c r="A9" s="10"/>
      <c r="H9" s="60"/>
      <c r="N9" s="63" t="s">
        <v>32</v>
      </c>
      <c r="O9" s="64"/>
      <c r="P9" s="67">
        <f>P6+P7-P8</f>
        <v>1247400</v>
      </c>
    </row>
    <row r="11" spans="1:17" x14ac:dyDescent="0.2">
      <c r="A11" s="10"/>
      <c r="H11" s="60"/>
      <c r="P11" s="68"/>
    </row>
    <row r="12" spans="1:17" x14ac:dyDescent="0.2">
      <c r="A12" s="10"/>
      <c r="H12" s="60"/>
      <c r="O12" s="57"/>
      <c r="P12" s="68"/>
    </row>
    <row r="13" spans="1:17" s="3" customFormat="1" x14ac:dyDescent="0.25">
      <c r="A13" s="10"/>
      <c r="B13" s="2"/>
      <c r="C13" s="2"/>
      <c r="E13" s="11"/>
      <c r="H13" s="60"/>
      <c r="N13" s="14"/>
      <c r="O13" s="14"/>
      <c r="P13" s="14"/>
    </row>
    <row r="14" spans="1:17" s="3" customFormat="1" x14ac:dyDescent="0.25">
      <c r="A14" s="10"/>
      <c r="B14" s="2"/>
      <c r="C14" s="2"/>
      <c r="E14" s="11"/>
      <c r="H14" s="60"/>
      <c r="N14" s="14"/>
      <c r="O14" s="14"/>
      <c r="P14" s="14"/>
    </row>
    <row r="15" spans="1:17" s="3" customFormat="1" x14ac:dyDescent="0.25">
      <c r="A15" s="10"/>
      <c r="B15" s="2"/>
      <c r="C15" s="2"/>
      <c r="E15" s="11"/>
      <c r="H15" s="60"/>
      <c r="N15" s="14"/>
      <c r="O15" s="14"/>
      <c r="P15" s="14"/>
    </row>
    <row r="16" spans="1:17" s="3" customFormat="1" x14ac:dyDescent="0.25">
      <c r="A16" s="10"/>
      <c r="B16" s="2"/>
      <c r="C16" s="2"/>
      <c r="E16" s="11"/>
      <c r="H16" s="60"/>
      <c r="N16" s="14"/>
      <c r="O16" s="14"/>
      <c r="P16" s="14"/>
    </row>
    <row r="17" spans="1:16" s="3" customFormat="1" x14ac:dyDescent="0.25">
      <c r="A17" s="10"/>
      <c r="B17" s="2"/>
      <c r="C17" s="2"/>
      <c r="E17" s="11"/>
      <c r="H17" s="60"/>
      <c r="N17" s="14"/>
      <c r="O17" s="14"/>
      <c r="P17" s="14"/>
    </row>
    <row r="18" spans="1:16" s="3" customFormat="1" x14ac:dyDescent="0.25">
      <c r="A18" s="10"/>
      <c r="B18" s="2"/>
      <c r="C18" s="2"/>
      <c r="E18" s="11"/>
      <c r="H18" s="60"/>
      <c r="N18" s="14"/>
      <c r="O18" s="14"/>
      <c r="P18" s="14"/>
    </row>
    <row r="19" spans="1:16" s="3" customFormat="1" x14ac:dyDescent="0.25">
      <c r="A19" s="10"/>
      <c r="B19" s="2"/>
      <c r="C19" s="2"/>
      <c r="E19" s="11"/>
      <c r="H19" s="60"/>
      <c r="N19" s="14"/>
      <c r="O19" s="14"/>
      <c r="P19" s="14"/>
    </row>
    <row r="20" spans="1:16" s="3" customFormat="1" x14ac:dyDescent="0.25">
      <c r="A20" s="10"/>
      <c r="B20" s="2"/>
      <c r="C20" s="2"/>
      <c r="E20" s="11"/>
      <c r="H20" s="60"/>
      <c r="N20" s="14"/>
      <c r="O20" s="14"/>
      <c r="P20" s="14"/>
    </row>
    <row r="21" spans="1:16" s="3" customFormat="1" x14ac:dyDescent="0.25">
      <c r="A21" s="10"/>
      <c r="B21" s="2"/>
      <c r="C21" s="2"/>
      <c r="E21" s="11"/>
      <c r="H21" s="60"/>
      <c r="N21" s="14"/>
      <c r="O21" s="14"/>
      <c r="P21" s="14"/>
    </row>
    <row r="22" spans="1:16" s="3" customFormat="1" x14ac:dyDescent="0.25">
      <c r="A22" s="10"/>
      <c r="B22" s="2"/>
      <c r="C22" s="2"/>
      <c r="E22" s="11"/>
      <c r="H22" s="60"/>
      <c r="N22" s="14"/>
      <c r="O22" s="14"/>
      <c r="P22" s="14"/>
    </row>
    <row r="23" spans="1:16" s="3" customFormat="1" x14ac:dyDescent="0.25">
      <c r="A23" s="10"/>
      <c r="B23" s="2"/>
      <c r="C23" s="2"/>
      <c r="E23" s="11"/>
      <c r="H23" s="60"/>
      <c r="N23" s="14"/>
      <c r="O23" s="14"/>
      <c r="P23" s="14"/>
    </row>
    <row r="24" spans="1:16" s="3" customFormat="1" x14ac:dyDescent="0.25">
      <c r="A24" s="10"/>
      <c r="B24" s="2"/>
      <c r="C24" s="2"/>
      <c r="E24" s="11"/>
      <c r="H24" s="60"/>
      <c r="N24" s="14"/>
      <c r="O24" s="14"/>
      <c r="P24" s="14"/>
    </row>
  </sheetData>
  <mergeCells count="2">
    <mergeCell ref="A4:L4"/>
    <mergeCell ref="O4:P4"/>
  </mergeCells>
  <conditionalFormatting sqref="B3">
    <cfRule type="duplicateValues" dxfId="199" priority="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Q26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G13" sqref="G13"/>
    </sheetView>
  </sheetViews>
  <sheetFormatPr defaultRowHeight="15" x14ac:dyDescent="0.2"/>
  <cols>
    <col min="1" max="1" width="6.5703125" style="4" customWidth="1"/>
    <col min="2" max="2" width="18.85546875" style="2" customWidth="1"/>
    <col min="3" max="3" width="14.5703125" style="2" customWidth="1"/>
    <col min="4" max="4" width="9.140625" style="3" customWidth="1"/>
    <col min="5" max="5" width="8" style="11" customWidth="1"/>
    <col min="6" max="6" width="13" style="3" customWidth="1"/>
    <col min="7" max="7" width="9.5703125" style="3" customWidth="1"/>
    <col min="8" max="8" width="15.42578125" style="6" customWidth="1"/>
    <col min="9" max="11" width="4.42578125" style="3" customWidth="1"/>
    <col min="12" max="12" width="5" style="3" customWidth="1"/>
    <col min="13" max="13" width="8.42578125" style="3" customWidth="1"/>
    <col min="14" max="14" width="12.140625" style="14" customWidth="1"/>
    <col min="15" max="15" width="8.28515625" style="14" customWidth="1"/>
    <col min="16" max="16" width="10.42578125" style="14" customWidth="1"/>
    <col min="17" max="17" width="5.855468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8" t="s">
        <v>7</v>
      </c>
      <c r="C2" s="58" t="s">
        <v>0</v>
      </c>
      <c r="D2" s="58" t="s">
        <v>1</v>
      </c>
      <c r="E2" s="97" t="s">
        <v>4</v>
      </c>
      <c r="F2" s="58" t="s">
        <v>3</v>
      </c>
      <c r="G2" s="58" t="s">
        <v>5</v>
      </c>
      <c r="H2" s="97" t="s">
        <v>2</v>
      </c>
      <c r="I2" s="58" t="s">
        <v>39</v>
      </c>
      <c r="J2" s="58" t="s">
        <v>40</v>
      </c>
      <c r="K2" s="58" t="s">
        <v>41</v>
      </c>
      <c r="L2" s="58" t="s">
        <v>45</v>
      </c>
      <c r="M2" s="58" t="s">
        <v>46</v>
      </c>
      <c r="N2" s="58" t="s">
        <v>6</v>
      </c>
      <c r="O2" s="58" t="s">
        <v>47</v>
      </c>
      <c r="P2" s="58" t="s">
        <v>48</v>
      </c>
      <c r="Q2" s="58" t="s">
        <v>26</v>
      </c>
    </row>
    <row r="3" spans="1:17" ht="26.25" customHeight="1" x14ac:dyDescent="0.2">
      <c r="A3" s="80">
        <v>402670</v>
      </c>
      <c r="B3" s="80" t="s">
        <v>110</v>
      </c>
      <c r="C3" s="8" t="s">
        <v>111</v>
      </c>
      <c r="D3" s="73" t="s">
        <v>60</v>
      </c>
      <c r="E3" s="12">
        <v>44546</v>
      </c>
      <c r="F3" s="73" t="s">
        <v>61</v>
      </c>
      <c r="G3" s="12">
        <v>44570</v>
      </c>
      <c r="H3" s="9" t="s">
        <v>114</v>
      </c>
      <c r="I3" s="1">
        <v>36</v>
      </c>
      <c r="J3" s="1">
        <v>36</v>
      </c>
      <c r="K3" s="1">
        <v>17</v>
      </c>
      <c r="L3" s="1">
        <v>12</v>
      </c>
      <c r="M3" s="77">
        <v>5.508</v>
      </c>
      <c r="N3" s="7">
        <v>12</v>
      </c>
      <c r="O3" s="61">
        <v>14000</v>
      </c>
      <c r="P3" s="62">
        <f>Table2245789101123456789101112[[#This Row],[PEMBULATAN]]*O3</f>
        <v>168000</v>
      </c>
      <c r="Q3" s="205">
        <v>3</v>
      </c>
    </row>
    <row r="4" spans="1:17" ht="26.25" customHeight="1" x14ac:dyDescent="0.2">
      <c r="A4" s="13"/>
      <c r="B4" s="13"/>
      <c r="C4" s="8" t="s">
        <v>112</v>
      </c>
      <c r="D4" s="73" t="s">
        <v>60</v>
      </c>
      <c r="E4" s="12">
        <v>44546</v>
      </c>
      <c r="F4" s="73" t="s">
        <v>61</v>
      </c>
      <c r="G4" s="12">
        <v>44570</v>
      </c>
      <c r="H4" s="9" t="s">
        <v>114</v>
      </c>
      <c r="I4" s="1">
        <v>35</v>
      </c>
      <c r="J4" s="1">
        <v>35</v>
      </c>
      <c r="K4" s="1">
        <v>60</v>
      </c>
      <c r="L4" s="1">
        <v>7</v>
      </c>
      <c r="M4" s="77">
        <v>18.375</v>
      </c>
      <c r="N4" s="7">
        <v>19</v>
      </c>
      <c r="O4" s="61">
        <v>14000</v>
      </c>
      <c r="P4" s="62">
        <f>Table2245789101123456789101112[[#This Row],[PEMBULATAN]]*O4</f>
        <v>266000</v>
      </c>
      <c r="Q4" s="203"/>
    </row>
    <row r="5" spans="1:17" ht="26.25" customHeight="1" x14ac:dyDescent="0.2">
      <c r="A5" s="103"/>
      <c r="B5" s="103"/>
      <c r="C5" s="8" t="s">
        <v>113</v>
      </c>
      <c r="D5" s="73" t="s">
        <v>60</v>
      </c>
      <c r="E5" s="12">
        <v>44546</v>
      </c>
      <c r="F5" s="73" t="s">
        <v>61</v>
      </c>
      <c r="G5" s="12">
        <v>44570</v>
      </c>
      <c r="H5" s="9" t="s">
        <v>114</v>
      </c>
      <c r="I5" s="1">
        <v>35</v>
      </c>
      <c r="J5" s="1">
        <v>35</v>
      </c>
      <c r="K5" s="1">
        <v>60</v>
      </c>
      <c r="L5" s="1">
        <v>7</v>
      </c>
      <c r="M5" s="77">
        <v>18.375</v>
      </c>
      <c r="N5" s="7">
        <v>19</v>
      </c>
      <c r="O5" s="61">
        <v>14000</v>
      </c>
      <c r="P5" s="62">
        <f>Table2245789101123456789101112[[#This Row],[PEMBULATAN]]*O5</f>
        <v>266000</v>
      </c>
      <c r="Q5" s="216"/>
    </row>
    <row r="6" spans="1:17" ht="22.5" customHeight="1" x14ac:dyDescent="0.2">
      <c r="A6" s="213" t="s">
        <v>30</v>
      </c>
      <c r="B6" s="208"/>
      <c r="C6" s="208"/>
      <c r="D6" s="208"/>
      <c r="E6" s="208"/>
      <c r="F6" s="208"/>
      <c r="G6" s="208"/>
      <c r="H6" s="208"/>
      <c r="I6" s="208"/>
      <c r="J6" s="208"/>
      <c r="K6" s="208"/>
      <c r="L6" s="209"/>
      <c r="M6" s="76">
        <f>SUBTOTAL(109,Table2245789101123456789101112[KG VOLUME])</f>
        <v>42.257999999999996</v>
      </c>
      <c r="N6" s="65">
        <f>SUM(N3:N5)</f>
        <v>50</v>
      </c>
      <c r="O6" s="210">
        <f>SUM(P3:P5)</f>
        <v>700000</v>
      </c>
      <c r="P6" s="211"/>
    </row>
    <row r="7" spans="1:17" ht="18" customHeight="1" x14ac:dyDescent="0.2">
      <c r="A7" s="83"/>
      <c r="B7" s="55" t="s">
        <v>42</v>
      </c>
      <c r="C7" s="54"/>
      <c r="D7" s="56" t="s">
        <v>43</v>
      </c>
      <c r="E7" s="83"/>
      <c r="F7" s="83"/>
      <c r="G7" s="83"/>
      <c r="H7" s="83"/>
      <c r="I7" s="83"/>
      <c r="J7" s="83"/>
      <c r="K7" s="83"/>
      <c r="L7" s="83"/>
      <c r="M7" s="84"/>
      <c r="N7" s="85" t="s">
        <v>51</v>
      </c>
      <c r="O7" s="86"/>
      <c r="P7" s="86">
        <f>O6*10%</f>
        <v>70000</v>
      </c>
    </row>
    <row r="8" spans="1:17" ht="18" customHeight="1" thickBot="1" x14ac:dyDescent="0.25">
      <c r="A8" s="83"/>
      <c r="B8" s="55"/>
      <c r="C8" s="54"/>
      <c r="D8" s="56"/>
      <c r="E8" s="83"/>
      <c r="F8" s="83"/>
      <c r="G8" s="83"/>
      <c r="H8" s="83"/>
      <c r="I8" s="83"/>
      <c r="J8" s="83"/>
      <c r="K8" s="83"/>
      <c r="L8" s="83"/>
      <c r="M8" s="84"/>
      <c r="N8" s="87" t="s">
        <v>52</v>
      </c>
      <c r="O8" s="88"/>
      <c r="P8" s="88">
        <f>O6-P7</f>
        <v>630000</v>
      </c>
    </row>
    <row r="9" spans="1:17" ht="18" customHeight="1" x14ac:dyDescent="0.2">
      <c r="A9" s="10"/>
      <c r="H9" s="60"/>
      <c r="N9" s="59" t="s">
        <v>31</v>
      </c>
      <c r="P9" s="66">
        <f>P8*1%</f>
        <v>6300</v>
      </c>
    </row>
    <row r="10" spans="1:17" ht="18" customHeight="1" thickBot="1" x14ac:dyDescent="0.25">
      <c r="A10" s="10"/>
      <c r="H10" s="60"/>
      <c r="N10" s="59" t="s">
        <v>53</v>
      </c>
      <c r="P10" s="68">
        <f>P8*2%</f>
        <v>12600</v>
      </c>
    </row>
    <row r="11" spans="1:17" ht="18" customHeight="1" x14ac:dyDescent="0.2">
      <c r="A11" s="10"/>
      <c r="H11" s="60"/>
      <c r="N11" s="63" t="s">
        <v>32</v>
      </c>
      <c r="O11" s="64"/>
      <c r="P11" s="67">
        <f>P8+P9-P10</f>
        <v>623700</v>
      </c>
    </row>
    <row r="13" spans="1:17" x14ac:dyDescent="0.2">
      <c r="A13" s="10"/>
      <c r="H13" s="60"/>
      <c r="P13" s="68"/>
    </row>
    <row r="14" spans="1:17" x14ac:dyDescent="0.2">
      <c r="A14" s="10"/>
      <c r="H14" s="60"/>
      <c r="O14" s="57"/>
      <c r="P14" s="68"/>
    </row>
    <row r="15" spans="1:17" s="3" customFormat="1" x14ac:dyDescent="0.25">
      <c r="A15" s="10"/>
      <c r="B15" s="2"/>
      <c r="C15" s="2"/>
      <c r="E15" s="11"/>
      <c r="H15" s="60"/>
      <c r="N15" s="14"/>
      <c r="O15" s="14"/>
      <c r="P15" s="14"/>
    </row>
    <row r="16" spans="1:17" s="3" customFormat="1" x14ac:dyDescent="0.25">
      <c r="A16" s="10"/>
      <c r="B16" s="2"/>
      <c r="C16" s="2"/>
      <c r="E16" s="11"/>
      <c r="H16" s="60"/>
      <c r="N16" s="14"/>
      <c r="O16" s="14"/>
      <c r="P16" s="14"/>
    </row>
    <row r="17" spans="1:16" s="3" customFormat="1" x14ac:dyDescent="0.25">
      <c r="A17" s="10"/>
      <c r="B17" s="2"/>
      <c r="C17" s="2"/>
      <c r="E17" s="11"/>
      <c r="H17" s="60"/>
      <c r="N17" s="14"/>
      <c r="O17" s="14"/>
      <c r="P17" s="14"/>
    </row>
    <row r="18" spans="1:16" s="3" customFormat="1" x14ac:dyDescent="0.25">
      <c r="A18" s="10"/>
      <c r="B18" s="2"/>
      <c r="C18" s="2"/>
      <c r="E18" s="11"/>
      <c r="H18" s="60"/>
      <c r="N18" s="14"/>
      <c r="O18" s="14"/>
      <c r="P18" s="14"/>
    </row>
    <row r="19" spans="1:16" s="3" customFormat="1" x14ac:dyDescent="0.25">
      <c r="A19" s="10"/>
      <c r="B19" s="2"/>
      <c r="C19" s="2"/>
      <c r="E19" s="11"/>
      <c r="H19" s="60"/>
      <c r="N19" s="14"/>
      <c r="O19" s="14"/>
      <c r="P19" s="14"/>
    </row>
    <row r="20" spans="1:16" s="3" customFormat="1" x14ac:dyDescent="0.25">
      <c r="A20" s="10"/>
      <c r="B20" s="2"/>
      <c r="C20" s="2"/>
      <c r="E20" s="11"/>
      <c r="H20" s="60"/>
      <c r="N20" s="14"/>
      <c r="O20" s="14"/>
      <c r="P20" s="14"/>
    </row>
    <row r="21" spans="1:16" s="3" customFormat="1" x14ac:dyDescent="0.25">
      <c r="A21" s="10"/>
      <c r="B21" s="2"/>
      <c r="C21" s="2"/>
      <c r="E21" s="11"/>
      <c r="H21" s="60"/>
      <c r="N21" s="14"/>
      <c r="O21" s="14"/>
      <c r="P21" s="14"/>
    </row>
    <row r="22" spans="1:16" s="3" customFormat="1" x14ac:dyDescent="0.25">
      <c r="A22" s="10"/>
      <c r="B22" s="2"/>
      <c r="C22" s="2"/>
      <c r="E22" s="11"/>
      <c r="H22" s="60"/>
      <c r="N22" s="14"/>
      <c r="O22" s="14"/>
      <c r="P22" s="14"/>
    </row>
    <row r="23" spans="1:16" s="3" customFormat="1" x14ac:dyDescent="0.25">
      <c r="A23" s="10"/>
      <c r="B23" s="2"/>
      <c r="C23" s="2"/>
      <c r="E23" s="11"/>
      <c r="H23" s="60"/>
      <c r="N23" s="14"/>
      <c r="O23" s="14"/>
      <c r="P23" s="14"/>
    </row>
    <row r="24" spans="1:16" s="3" customFormat="1" x14ac:dyDescent="0.25">
      <c r="A24" s="10"/>
      <c r="B24" s="2"/>
      <c r="C24" s="2"/>
      <c r="E24" s="11"/>
      <c r="H24" s="60"/>
      <c r="N24" s="14"/>
      <c r="O24" s="14"/>
      <c r="P24" s="14"/>
    </row>
    <row r="25" spans="1:16" s="3" customFormat="1" x14ac:dyDescent="0.25">
      <c r="A25" s="10"/>
      <c r="B25" s="2"/>
      <c r="C25" s="2"/>
      <c r="E25" s="11"/>
      <c r="H25" s="60"/>
      <c r="N25" s="14"/>
      <c r="O25" s="14"/>
      <c r="P25" s="14"/>
    </row>
    <row r="26" spans="1:16" s="3" customFormat="1" x14ac:dyDescent="0.25">
      <c r="A26" s="10"/>
      <c r="B26" s="2"/>
      <c r="C26" s="2"/>
      <c r="E26" s="11"/>
      <c r="H26" s="60"/>
      <c r="N26" s="14"/>
      <c r="O26" s="14"/>
      <c r="P26" s="14"/>
    </row>
  </sheetData>
  <mergeCells count="3">
    <mergeCell ref="A6:L6"/>
    <mergeCell ref="O6:P6"/>
    <mergeCell ref="Q3:Q5"/>
  </mergeCells>
  <conditionalFormatting sqref="B3">
    <cfRule type="duplicateValues" dxfId="183" priority="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Q25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G14" sqref="G14"/>
    </sheetView>
  </sheetViews>
  <sheetFormatPr defaultRowHeight="15" x14ac:dyDescent="0.2"/>
  <cols>
    <col min="1" max="1" width="6.5703125" style="4" customWidth="1"/>
    <col min="2" max="2" width="18.7109375" style="2" customWidth="1"/>
    <col min="3" max="3" width="14.5703125" style="2" customWidth="1"/>
    <col min="4" max="4" width="9" style="3" customWidth="1"/>
    <col min="5" max="5" width="7.42578125" style="11" customWidth="1"/>
    <col min="6" max="6" width="13.5703125" style="3" customWidth="1"/>
    <col min="7" max="7" width="8.7109375" style="3" customWidth="1"/>
    <col min="8" max="8" width="16.28515625" style="6" customWidth="1"/>
    <col min="9" max="11" width="4.42578125" style="3" customWidth="1"/>
    <col min="12" max="12" width="4.5703125" style="3" customWidth="1"/>
    <col min="13" max="13" width="7.85546875" style="3" customWidth="1"/>
    <col min="14" max="14" width="12.140625" style="14" customWidth="1"/>
    <col min="15" max="15" width="8" style="14" customWidth="1"/>
    <col min="16" max="16" width="10.85546875" style="14" customWidth="1"/>
    <col min="17" max="17" width="6.1406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8" t="s">
        <v>7</v>
      </c>
      <c r="C2" s="58" t="s">
        <v>0</v>
      </c>
      <c r="D2" s="58" t="s">
        <v>1</v>
      </c>
      <c r="E2" s="97" t="s">
        <v>4</v>
      </c>
      <c r="F2" s="58" t="s">
        <v>3</v>
      </c>
      <c r="G2" s="58" t="s">
        <v>5</v>
      </c>
      <c r="H2" s="97" t="s">
        <v>2</v>
      </c>
      <c r="I2" s="58" t="s">
        <v>39</v>
      </c>
      <c r="J2" s="58" t="s">
        <v>40</v>
      </c>
      <c r="K2" s="58" t="s">
        <v>41</v>
      </c>
      <c r="L2" s="58" t="s">
        <v>45</v>
      </c>
      <c r="M2" s="58" t="s">
        <v>46</v>
      </c>
      <c r="N2" s="58" t="s">
        <v>6</v>
      </c>
      <c r="O2" s="58" t="s">
        <v>47</v>
      </c>
      <c r="P2" s="58" t="s">
        <v>48</v>
      </c>
      <c r="Q2" s="58" t="s">
        <v>26</v>
      </c>
    </row>
    <row r="3" spans="1:17" ht="26.25" customHeight="1" x14ac:dyDescent="0.2">
      <c r="A3" s="80">
        <v>402676</v>
      </c>
      <c r="B3" s="80" t="s">
        <v>115</v>
      </c>
      <c r="C3" s="8" t="s">
        <v>116</v>
      </c>
      <c r="D3" s="73" t="s">
        <v>60</v>
      </c>
      <c r="E3" s="12">
        <v>44547</v>
      </c>
      <c r="F3" s="73" t="s">
        <v>61</v>
      </c>
      <c r="G3" s="12">
        <v>44570</v>
      </c>
      <c r="H3" s="9" t="s">
        <v>114</v>
      </c>
      <c r="I3" s="1">
        <v>88</v>
      </c>
      <c r="J3" s="1">
        <v>37</v>
      </c>
      <c r="K3" s="1">
        <v>26</v>
      </c>
      <c r="L3" s="1">
        <v>14</v>
      </c>
      <c r="M3" s="77">
        <v>21.164000000000001</v>
      </c>
      <c r="N3" s="94">
        <v>21.164000000000001</v>
      </c>
      <c r="O3" s="61">
        <v>14000</v>
      </c>
      <c r="P3" s="62">
        <f>Table224578910112345678910111213[[#This Row],[PEMBULATAN]]*O3</f>
        <v>296296</v>
      </c>
      <c r="Q3" s="205">
        <v>2</v>
      </c>
    </row>
    <row r="4" spans="1:17" ht="26.25" customHeight="1" x14ac:dyDescent="0.2">
      <c r="A4" s="103"/>
      <c r="B4" s="103"/>
      <c r="C4" s="8" t="s">
        <v>117</v>
      </c>
      <c r="D4" s="73" t="s">
        <v>60</v>
      </c>
      <c r="E4" s="12">
        <v>44547</v>
      </c>
      <c r="F4" s="73" t="s">
        <v>61</v>
      </c>
      <c r="G4" s="12">
        <v>44570</v>
      </c>
      <c r="H4" s="9" t="s">
        <v>114</v>
      </c>
      <c r="I4" s="1">
        <v>85</v>
      </c>
      <c r="J4" s="1">
        <v>37</v>
      </c>
      <c r="K4" s="1">
        <v>61</v>
      </c>
      <c r="L4" s="1">
        <v>14</v>
      </c>
      <c r="M4" s="77">
        <v>47.96125</v>
      </c>
      <c r="N4" s="94">
        <v>47.96125</v>
      </c>
      <c r="O4" s="61">
        <v>14000</v>
      </c>
      <c r="P4" s="62">
        <f>Table224578910112345678910111213[[#This Row],[PEMBULATAN]]*O4</f>
        <v>671457.5</v>
      </c>
      <c r="Q4" s="216"/>
    </row>
    <row r="5" spans="1:17" ht="22.5" customHeight="1" x14ac:dyDescent="0.2">
      <c r="A5" s="213" t="s">
        <v>30</v>
      </c>
      <c r="B5" s="208"/>
      <c r="C5" s="208"/>
      <c r="D5" s="208"/>
      <c r="E5" s="208"/>
      <c r="F5" s="208"/>
      <c r="G5" s="208"/>
      <c r="H5" s="208"/>
      <c r="I5" s="208"/>
      <c r="J5" s="208"/>
      <c r="K5" s="208"/>
      <c r="L5" s="209"/>
      <c r="M5" s="76">
        <f>SUBTOTAL(109,Table224578910112345678910111213[KG VOLUME])</f>
        <v>69.125249999999994</v>
      </c>
      <c r="N5" s="65">
        <f>SUM(N3:N4)</f>
        <v>69.125249999999994</v>
      </c>
      <c r="O5" s="210">
        <f>SUM(P3:P4)</f>
        <v>967753.5</v>
      </c>
      <c r="P5" s="211"/>
    </row>
    <row r="6" spans="1:17" ht="18" customHeight="1" x14ac:dyDescent="0.2">
      <c r="A6" s="83"/>
      <c r="B6" s="55" t="s">
        <v>42</v>
      </c>
      <c r="C6" s="54"/>
      <c r="D6" s="56" t="s">
        <v>43</v>
      </c>
      <c r="E6" s="83"/>
      <c r="F6" s="83"/>
      <c r="G6" s="83"/>
      <c r="H6" s="83"/>
      <c r="I6" s="83"/>
      <c r="J6" s="83"/>
      <c r="K6" s="83"/>
      <c r="L6" s="83"/>
      <c r="M6" s="84"/>
      <c r="N6" s="85" t="s">
        <v>51</v>
      </c>
      <c r="O6" s="86"/>
      <c r="P6" s="86">
        <f>O5*10%</f>
        <v>96775.35</v>
      </c>
    </row>
    <row r="7" spans="1:17" ht="18" customHeight="1" thickBot="1" x14ac:dyDescent="0.25">
      <c r="A7" s="83"/>
      <c r="B7" s="55"/>
      <c r="C7" s="54"/>
      <c r="D7" s="56"/>
      <c r="E7" s="83"/>
      <c r="F7" s="83"/>
      <c r="G7" s="83"/>
      <c r="H7" s="83"/>
      <c r="I7" s="83"/>
      <c r="J7" s="83"/>
      <c r="K7" s="83"/>
      <c r="L7" s="83"/>
      <c r="M7" s="84"/>
      <c r="N7" s="87" t="s">
        <v>52</v>
      </c>
      <c r="O7" s="88"/>
      <c r="P7" s="88">
        <f>O5-P6</f>
        <v>870978.15</v>
      </c>
    </row>
    <row r="8" spans="1:17" ht="18" customHeight="1" x14ac:dyDescent="0.2">
      <c r="A8" s="10"/>
      <c r="H8" s="60"/>
      <c r="N8" s="59" t="s">
        <v>31</v>
      </c>
      <c r="P8" s="66">
        <f>P7*1%</f>
        <v>8709.781500000001</v>
      </c>
    </row>
    <row r="9" spans="1:17" ht="18" customHeight="1" thickBot="1" x14ac:dyDescent="0.25">
      <c r="A9" s="10"/>
      <c r="H9" s="60"/>
      <c r="N9" s="59" t="s">
        <v>53</v>
      </c>
      <c r="P9" s="68">
        <f>P7*2%</f>
        <v>17419.563000000002</v>
      </c>
    </row>
    <row r="10" spans="1:17" ht="18" customHeight="1" x14ac:dyDescent="0.2">
      <c r="A10" s="10"/>
      <c r="H10" s="60"/>
      <c r="N10" s="63" t="s">
        <v>32</v>
      </c>
      <c r="O10" s="64"/>
      <c r="P10" s="67">
        <f>P7+P8-P9</f>
        <v>862268.3685000001</v>
      </c>
    </row>
    <row r="12" spans="1:17" x14ac:dyDescent="0.2">
      <c r="A12" s="10"/>
      <c r="H12" s="60"/>
      <c r="P12" s="68"/>
    </row>
    <row r="13" spans="1:17" x14ac:dyDescent="0.2">
      <c r="A13" s="10"/>
      <c r="H13" s="60"/>
      <c r="O13" s="57"/>
      <c r="P13" s="68"/>
    </row>
    <row r="14" spans="1:17" s="3" customFormat="1" x14ac:dyDescent="0.25">
      <c r="A14" s="10"/>
      <c r="B14" s="2"/>
      <c r="C14" s="2"/>
      <c r="E14" s="11"/>
      <c r="H14" s="60"/>
      <c r="N14" s="14"/>
      <c r="O14" s="14"/>
      <c r="P14" s="14"/>
    </row>
    <row r="15" spans="1:17" s="3" customFormat="1" x14ac:dyDescent="0.25">
      <c r="A15" s="10"/>
      <c r="B15" s="2"/>
      <c r="C15" s="2"/>
      <c r="E15" s="11"/>
      <c r="H15" s="60"/>
      <c r="N15" s="14"/>
      <c r="O15" s="14"/>
      <c r="P15" s="14"/>
    </row>
    <row r="16" spans="1:17" s="3" customFormat="1" x14ac:dyDescent="0.25">
      <c r="A16" s="10"/>
      <c r="B16" s="2"/>
      <c r="C16" s="2"/>
      <c r="E16" s="11"/>
      <c r="H16" s="60"/>
      <c r="N16" s="14"/>
      <c r="O16" s="14"/>
      <c r="P16" s="14"/>
    </row>
    <row r="17" spans="1:16" s="3" customFormat="1" x14ac:dyDescent="0.25">
      <c r="A17" s="10"/>
      <c r="B17" s="2"/>
      <c r="C17" s="2"/>
      <c r="E17" s="11"/>
      <c r="H17" s="60"/>
      <c r="N17" s="14"/>
      <c r="O17" s="14"/>
      <c r="P17" s="14"/>
    </row>
    <row r="18" spans="1:16" s="3" customFormat="1" x14ac:dyDescent="0.25">
      <c r="A18" s="10"/>
      <c r="B18" s="2"/>
      <c r="C18" s="2"/>
      <c r="E18" s="11"/>
      <c r="H18" s="60"/>
      <c r="N18" s="14"/>
      <c r="O18" s="14"/>
      <c r="P18" s="14"/>
    </row>
    <row r="19" spans="1:16" s="3" customFormat="1" x14ac:dyDescent="0.25">
      <c r="A19" s="10"/>
      <c r="B19" s="2"/>
      <c r="C19" s="2"/>
      <c r="E19" s="11"/>
      <c r="H19" s="60"/>
      <c r="N19" s="14"/>
      <c r="O19" s="14"/>
      <c r="P19" s="14"/>
    </row>
    <row r="20" spans="1:16" s="3" customFormat="1" x14ac:dyDescent="0.25">
      <c r="A20" s="10"/>
      <c r="B20" s="2"/>
      <c r="C20" s="2"/>
      <c r="E20" s="11"/>
      <c r="H20" s="60"/>
      <c r="N20" s="14"/>
      <c r="O20" s="14"/>
      <c r="P20" s="14"/>
    </row>
    <row r="21" spans="1:16" s="3" customFormat="1" x14ac:dyDescent="0.25">
      <c r="A21" s="10"/>
      <c r="B21" s="2"/>
      <c r="C21" s="2"/>
      <c r="E21" s="11"/>
      <c r="H21" s="60"/>
      <c r="N21" s="14"/>
      <c r="O21" s="14"/>
      <c r="P21" s="14"/>
    </row>
    <row r="22" spans="1:16" s="3" customFormat="1" x14ac:dyDescent="0.25">
      <c r="A22" s="10"/>
      <c r="B22" s="2"/>
      <c r="C22" s="2"/>
      <c r="E22" s="11"/>
      <c r="H22" s="60"/>
      <c r="N22" s="14"/>
      <c r="O22" s="14"/>
      <c r="P22" s="14"/>
    </row>
    <row r="23" spans="1:16" s="3" customFormat="1" x14ac:dyDescent="0.25">
      <c r="A23" s="10"/>
      <c r="B23" s="2"/>
      <c r="C23" s="2"/>
      <c r="E23" s="11"/>
      <c r="H23" s="60"/>
      <c r="N23" s="14"/>
      <c r="O23" s="14"/>
      <c r="P23" s="14"/>
    </row>
    <row r="24" spans="1:16" s="3" customFormat="1" x14ac:dyDescent="0.25">
      <c r="A24" s="10"/>
      <c r="B24" s="2"/>
      <c r="C24" s="2"/>
      <c r="E24" s="11"/>
      <c r="H24" s="60"/>
      <c r="N24" s="14"/>
      <c r="O24" s="14"/>
      <c r="P24" s="14"/>
    </row>
    <row r="25" spans="1:16" s="3" customFormat="1" x14ac:dyDescent="0.25">
      <c r="A25" s="10"/>
      <c r="B25" s="2"/>
      <c r="C25" s="2"/>
      <c r="E25" s="11"/>
      <c r="H25" s="60"/>
      <c r="N25" s="14"/>
      <c r="O25" s="14"/>
      <c r="P25" s="14"/>
    </row>
  </sheetData>
  <mergeCells count="3">
    <mergeCell ref="A5:L5"/>
    <mergeCell ref="O5:P5"/>
    <mergeCell ref="Q3:Q4"/>
  </mergeCells>
  <conditionalFormatting sqref="B3">
    <cfRule type="duplicateValues" dxfId="167" priority="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Q34"/>
  <sheetViews>
    <sheetView zoomScale="110" zoomScaleNormal="110" workbookViewId="0">
      <pane xSplit="3" ySplit="2" topLeftCell="D9" activePane="bottomRight" state="frozen"/>
      <selection pane="topRight" activeCell="B1" sqref="B1"/>
      <selection pane="bottomLeft" activeCell="A3" sqref="A3"/>
      <selection pane="bottomRight" activeCell="H4" sqref="H4"/>
    </sheetView>
  </sheetViews>
  <sheetFormatPr defaultRowHeight="15" x14ac:dyDescent="0.2"/>
  <cols>
    <col min="1" max="1" width="6.28515625" style="4" customWidth="1"/>
    <col min="2" max="2" width="19.5703125" style="2" customWidth="1"/>
    <col min="3" max="3" width="14.5703125" style="2" customWidth="1"/>
    <col min="4" max="4" width="9.7109375" style="3" customWidth="1"/>
    <col min="5" max="5" width="8" style="11" customWidth="1"/>
    <col min="6" max="6" width="14.140625" style="3" customWidth="1"/>
    <col min="7" max="7" width="8.85546875" style="3" customWidth="1"/>
    <col min="8" max="8" width="18" style="6" customWidth="1"/>
    <col min="9" max="11" width="4.42578125" style="3" customWidth="1"/>
    <col min="12" max="12" width="4.28515625" style="3" customWidth="1"/>
    <col min="13" max="13" width="8" style="3" customWidth="1"/>
    <col min="14" max="14" width="12.140625" style="14" customWidth="1"/>
    <col min="15" max="15" width="8.7109375" style="14" customWidth="1"/>
    <col min="16" max="16" width="10.42578125" style="14" customWidth="1"/>
    <col min="17" max="17" width="6.285156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8" t="s">
        <v>7</v>
      </c>
      <c r="C2" s="58" t="s">
        <v>0</v>
      </c>
      <c r="D2" s="58" t="s">
        <v>1</v>
      </c>
      <c r="E2" s="97" t="s">
        <v>4</v>
      </c>
      <c r="F2" s="58" t="s">
        <v>3</v>
      </c>
      <c r="G2" s="58" t="s">
        <v>5</v>
      </c>
      <c r="H2" s="97" t="s">
        <v>2</v>
      </c>
      <c r="I2" s="58" t="s">
        <v>39</v>
      </c>
      <c r="J2" s="58" t="s">
        <v>40</v>
      </c>
      <c r="K2" s="58" t="s">
        <v>41</v>
      </c>
      <c r="L2" s="58" t="s">
        <v>45</v>
      </c>
      <c r="M2" s="58" t="s">
        <v>46</v>
      </c>
      <c r="N2" s="58" t="s">
        <v>6</v>
      </c>
      <c r="O2" s="58" t="s">
        <v>47</v>
      </c>
      <c r="P2" s="58" t="s">
        <v>48</v>
      </c>
      <c r="Q2" s="58" t="s">
        <v>26</v>
      </c>
    </row>
    <row r="3" spans="1:17" ht="26.25" customHeight="1" x14ac:dyDescent="0.2">
      <c r="A3" s="80">
        <v>402693</v>
      </c>
      <c r="B3" s="80" t="s">
        <v>118</v>
      </c>
      <c r="C3" s="8" t="s">
        <v>119</v>
      </c>
      <c r="D3" s="73" t="s">
        <v>60</v>
      </c>
      <c r="E3" s="12">
        <v>44548</v>
      </c>
      <c r="F3" s="73" t="s">
        <v>61</v>
      </c>
      <c r="G3" s="12">
        <v>44570</v>
      </c>
      <c r="H3" s="9" t="s">
        <v>114</v>
      </c>
      <c r="I3" s="1">
        <v>95</v>
      </c>
      <c r="J3" s="1">
        <v>67</v>
      </c>
      <c r="K3" s="1">
        <v>50</v>
      </c>
      <c r="L3" s="1">
        <v>18</v>
      </c>
      <c r="M3" s="77">
        <v>79.5625</v>
      </c>
      <c r="N3" s="94">
        <v>79.5625</v>
      </c>
      <c r="O3" s="61">
        <v>14000</v>
      </c>
      <c r="P3" s="62">
        <f>Table22457891011234567891011121314[[#This Row],[PEMBULATAN]]*O3</f>
        <v>1113875</v>
      </c>
      <c r="Q3" s="205">
        <v>11</v>
      </c>
    </row>
    <row r="4" spans="1:17" ht="26.25" customHeight="1" x14ac:dyDescent="0.2">
      <c r="A4" s="13"/>
      <c r="B4" s="13"/>
      <c r="C4" s="8" t="s">
        <v>120</v>
      </c>
      <c r="D4" s="73" t="s">
        <v>60</v>
      </c>
      <c r="E4" s="12">
        <v>44548</v>
      </c>
      <c r="F4" s="73" t="s">
        <v>61</v>
      </c>
      <c r="G4" s="12">
        <v>44570</v>
      </c>
      <c r="H4" s="9" t="s">
        <v>114</v>
      </c>
      <c r="I4" s="1">
        <v>95</v>
      </c>
      <c r="J4" s="1">
        <v>67</v>
      </c>
      <c r="K4" s="1">
        <v>50</v>
      </c>
      <c r="L4" s="1">
        <v>18</v>
      </c>
      <c r="M4" s="77">
        <v>79.5625</v>
      </c>
      <c r="N4" s="94">
        <v>79.5625</v>
      </c>
      <c r="O4" s="61">
        <v>14000</v>
      </c>
      <c r="P4" s="62">
        <f>Table22457891011234567891011121314[[#This Row],[PEMBULATAN]]*O4</f>
        <v>1113875</v>
      </c>
      <c r="Q4" s="203"/>
    </row>
    <row r="5" spans="1:17" ht="26.25" customHeight="1" x14ac:dyDescent="0.2">
      <c r="A5" s="13"/>
      <c r="B5" s="13"/>
      <c r="C5" s="8" t="s">
        <v>121</v>
      </c>
      <c r="D5" s="73" t="s">
        <v>60</v>
      </c>
      <c r="E5" s="12">
        <v>44548</v>
      </c>
      <c r="F5" s="73" t="s">
        <v>61</v>
      </c>
      <c r="G5" s="12">
        <v>44570</v>
      </c>
      <c r="H5" s="9" t="s">
        <v>114</v>
      </c>
      <c r="I5" s="1">
        <v>148</v>
      </c>
      <c r="J5" s="1">
        <v>64</v>
      </c>
      <c r="K5" s="1">
        <v>10</v>
      </c>
      <c r="L5" s="1">
        <v>18</v>
      </c>
      <c r="M5" s="77">
        <v>23.68</v>
      </c>
      <c r="N5" s="94">
        <v>23.68</v>
      </c>
      <c r="O5" s="61">
        <v>14000</v>
      </c>
      <c r="P5" s="62">
        <f>Table22457891011234567891011121314[[#This Row],[PEMBULATAN]]*O5</f>
        <v>331520</v>
      </c>
      <c r="Q5" s="203"/>
    </row>
    <row r="6" spans="1:17" ht="26.25" customHeight="1" x14ac:dyDescent="0.2">
      <c r="A6" s="13"/>
      <c r="B6" s="13"/>
      <c r="C6" s="70" t="s">
        <v>122</v>
      </c>
      <c r="D6" s="75" t="s">
        <v>60</v>
      </c>
      <c r="E6" s="12">
        <v>44548</v>
      </c>
      <c r="F6" s="73" t="s">
        <v>61</v>
      </c>
      <c r="G6" s="12">
        <v>44570</v>
      </c>
      <c r="H6" s="74" t="s">
        <v>114</v>
      </c>
      <c r="I6" s="15">
        <v>148</v>
      </c>
      <c r="J6" s="15">
        <v>64</v>
      </c>
      <c r="K6" s="15">
        <v>10</v>
      </c>
      <c r="L6" s="15">
        <v>18</v>
      </c>
      <c r="M6" s="78">
        <v>23.68</v>
      </c>
      <c r="N6" s="94">
        <v>23.68</v>
      </c>
      <c r="O6" s="61">
        <v>14000</v>
      </c>
      <c r="P6" s="62">
        <f>Table22457891011234567891011121314[[#This Row],[PEMBULATAN]]*O6</f>
        <v>331520</v>
      </c>
      <c r="Q6" s="203"/>
    </row>
    <row r="7" spans="1:17" ht="26.25" customHeight="1" x14ac:dyDescent="0.2">
      <c r="A7" s="13"/>
      <c r="B7" s="13"/>
      <c r="C7" s="70" t="s">
        <v>123</v>
      </c>
      <c r="D7" s="75" t="s">
        <v>60</v>
      </c>
      <c r="E7" s="12">
        <v>44548</v>
      </c>
      <c r="F7" s="73" t="s">
        <v>61</v>
      </c>
      <c r="G7" s="12">
        <v>44570</v>
      </c>
      <c r="H7" s="74" t="s">
        <v>114</v>
      </c>
      <c r="I7" s="15">
        <v>148</v>
      </c>
      <c r="J7" s="15">
        <v>64</v>
      </c>
      <c r="K7" s="15">
        <v>10</v>
      </c>
      <c r="L7" s="15">
        <v>18</v>
      </c>
      <c r="M7" s="78">
        <v>23.68</v>
      </c>
      <c r="N7" s="94">
        <v>23.68</v>
      </c>
      <c r="O7" s="61">
        <v>14000</v>
      </c>
      <c r="P7" s="62">
        <f>Table22457891011234567891011121314[[#This Row],[PEMBULATAN]]*O7</f>
        <v>331520</v>
      </c>
      <c r="Q7" s="203"/>
    </row>
    <row r="8" spans="1:17" ht="26.25" customHeight="1" x14ac:dyDescent="0.2">
      <c r="A8" s="13"/>
      <c r="B8" s="13"/>
      <c r="C8" s="70" t="s">
        <v>124</v>
      </c>
      <c r="D8" s="75" t="s">
        <v>60</v>
      </c>
      <c r="E8" s="12">
        <v>44548</v>
      </c>
      <c r="F8" s="73" t="s">
        <v>61</v>
      </c>
      <c r="G8" s="12">
        <v>44570</v>
      </c>
      <c r="H8" s="74" t="s">
        <v>114</v>
      </c>
      <c r="I8" s="15">
        <v>148</v>
      </c>
      <c r="J8" s="15">
        <v>64</v>
      </c>
      <c r="K8" s="15">
        <v>10</v>
      </c>
      <c r="L8" s="15">
        <v>18</v>
      </c>
      <c r="M8" s="78">
        <v>23.68</v>
      </c>
      <c r="N8" s="94">
        <v>23.68</v>
      </c>
      <c r="O8" s="61">
        <v>14000</v>
      </c>
      <c r="P8" s="62">
        <f>Table22457891011234567891011121314[[#This Row],[PEMBULATAN]]*O8</f>
        <v>331520</v>
      </c>
      <c r="Q8" s="203"/>
    </row>
    <row r="9" spans="1:17" ht="26.25" customHeight="1" x14ac:dyDescent="0.2">
      <c r="A9" s="13"/>
      <c r="B9" s="13"/>
      <c r="C9" s="70" t="s">
        <v>125</v>
      </c>
      <c r="D9" s="75" t="s">
        <v>60</v>
      </c>
      <c r="E9" s="12">
        <v>44548</v>
      </c>
      <c r="F9" s="73" t="s">
        <v>61</v>
      </c>
      <c r="G9" s="12">
        <v>44570</v>
      </c>
      <c r="H9" s="74" t="s">
        <v>114</v>
      </c>
      <c r="I9" s="15">
        <v>148</v>
      </c>
      <c r="J9" s="15">
        <v>64</v>
      </c>
      <c r="K9" s="15">
        <v>10</v>
      </c>
      <c r="L9" s="15">
        <v>18</v>
      </c>
      <c r="M9" s="78">
        <v>23.68</v>
      </c>
      <c r="N9" s="94">
        <v>23.68</v>
      </c>
      <c r="O9" s="61">
        <v>14000</v>
      </c>
      <c r="P9" s="62">
        <f>Table22457891011234567891011121314[[#This Row],[PEMBULATAN]]*O9</f>
        <v>331520</v>
      </c>
      <c r="Q9" s="203"/>
    </row>
    <row r="10" spans="1:17" ht="26.25" customHeight="1" x14ac:dyDescent="0.2">
      <c r="A10" s="13"/>
      <c r="B10" s="13"/>
      <c r="C10" s="70" t="s">
        <v>126</v>
      </c>
      <c r="D10" s="75" t="s">
        <v>60</v>
      </c>
      <c r="E10" s="12">
        <v>44548</v>
      </c>
      <c r="F10" s="73" t="s">
        <v>61</v>
      </c>
      <c r="G10" s="12">
        <v>44570</v>
      </c>
      <c r="H10" s="74" t="s">
        <v>114</v>
      </c>
      <c r="I10" s="15">
        <v>148</v>
      </c>
      <c r="J10" s="15">
        <v>64</v>
      </c>
      <c r="K10" s="15">
        <v>10</v>
      </c>
      <c r="L10" s="15">
        <v>18</v>
      </c>
      <c r="M10" s="78">
        <v>23.68</v>
      </c>
      <c r="N10" s="94">
        <v>23.68</v>
      </c>
      <c r="O10" s="61">
        <v>14000</v>
      </c>
      <c r="P10" s="62">
        <f>Table22457891011234567891011121314[[#This Row],[PEMBULATAN]]*O10</f>
        <v>331520</v>
      </c>
      <c r="Q10" s="203"/>
    </row>
    <row r="11" spans="1:17" ht="26.25" customHeight="1" x14ac:dyDescent="0.2">
      <c r="A11" s="13"/>
      <c r="B11" s="13"/>
      <c r="C11" s="70" t="s">
        <v>127</v>
      </c>
      <c r="D11" s="75" t="s">
        <v>60</v>
      </c>
      <c r="E11" s="12">
        <v>44548</v>
      </c>
      <c r="F11" s="73" t="s">
        <v>61</v>
      </c>
      <c r="G11" s="12">
        <v>44570</v>
      </c>
      <c r="H11" s="74" t="s">
        <v>114</v>
      </c>
      <c r="I11" s="15">
        <v>148</v>
      </c>
      <c r="J11" s="15">
        <v>64</v>
      </c>
      <c r="K11" s="15">
        <v>10</v>
      </c>
      <c r="L11" s="15">
        <v>18</v>
      </c>
      <c r="M11" s="78">
        <v>23.68</v>
      </c>
      <c r="N11" s="94">
        <v>23.68</v>
      </c>
      <c r="O11" s="61">
        <v>14000</v>
      </c>
      <c r="P11" s="62">
        <f>Table22457891011234567891011121314[[#This Row],[PEMBULATAN]]*O11</f>
        <v>331520</v>
      </c>
      <c r="Q11" s="203"/>
    </row>
    <row r="12" spans="1:17" ht="26.25" customHeight="1" x14ac:dyDescent="0.2">
      <c r="A12" s="13"/>
      <c r="B12" s="103"/>
      <c r="C12" s="70" t="s">
        <v>128</v>
      </c>
      <c r="D12" s="75" t="s">
        <v>60</v>
      </c>
      <c r="E12" s="12">
        <v>44548</v>
      </c>
      <c r="F12" s="73" t="s">
        <v>61</v>
      </c>
      <c r="G12" s="12">
        <v>44570</v>
      </c>
      <c r="H12" s="74" t="s">
        <v>114</v>
      </c>
      <c r="I12" s="15">
        <v>148</v>
      </c>
      <c r="J12" s="15">
        <v>64</v>
      </c>
      <c r="K12" s="15">
        <v>10</v>
      </c>
      <c r="L12" s="15">
        <v>18</v>
      </c>
      <c r="M12" s="78">
        <v>23.68</v>
      </c>
      <c r="N12" s="94">
        <v>23.68</v>
      </c>
      <c r="O12" s="61">
        <v>14000</v>
      </c>
      <c r="P12" s="62">
        <f>Table22457891011234567891011121314[[#This Row],[PEMBULATAN]]*O12</f>
        <v>331520</v>
      </c>
      <c r="Q12" s="203"/>
    </row>
    <row r="13" spans="1:17" ht="26.25" customHeight="1" x14ac:dyDescent="0.2">
      <c r="A13" s="103"/>
      <c r="B13" s="109" t="s">
        <v>129</v>
      </c>
      <c r="C13" s="70" t="s">
        <v>130</v>
      </c>
      <c r="D13" s="75" t="s">
        <v>60</v>
      </c>
      <c r="E13" s="12">
        <v>44548</v>
      </c>
      <c r="F13" s="73" t="s">
        <v>61</v>
      </c>
      <c r="G13" s="12">
        <v>44570</v>
      </c>
      <c r="H13" s="74" t="s">
        <v>114</v>
      </c>
      <c r="I13" s="15">
        <v>148</v>
      </c>
      <c r="J13" s="15">
        <v>64</v>
      </c>
      <c r="K13" s="15">
        <v>10</v>
      </c>
      <c r="L13" s="15">
        <v>18</v>
      </c>
      <c r="M13" s="78">
        <v>23.68</v>
      </c>
      <c r="N13" s="94">
        <v>23.68</v>
      </c>
      <c r="O13" s="61">
        <v>14000</v>
      </c>
      <c r="P13" s="62">
        <f>Table22457891011234567891011121314[[#This Row],[PEMBULATAN]]*O13</f>
        <v>331520</v>
      </c>
      <c r="Q13" s="216"/>
    </row>
    <row r="14" spans="1:17" ht="22.5" customHeight="1" x14ac:dyDescent="0.2">
      <c r="A14" s="213" t="s">
        <v>30</v>
      </c>
      <c r="B14" s="208"/>
      <c r="C14" s="208"/>
      <c r="D14" s="208"/>
      <c r="E14" s="208"/>
      <c r="F14" s="208"/>
      <c r="G14" s="208"/>
      <c r="H14" s="208"/>
      <c r="I14" s="208"/>
      <c r="J14" s="208"/>
      <c r="K14" s="208"/>
      <c r="L14" s="209"/>
      <c r="M14" s="76">
        <f>SUBTOTAL(109,Table22457891011234567891011121314[KG VOLUME])</f>
        <v>372.24500000000006</v>
      </c>
      <c r="N14" s="65">
        <f>SUM(N3:N13)</f>
        <v>372.24500000000006</v>
      </c>
      <c r="O14" s="210">
        <f>SUM(P3:P13)</f>
        <v>5211430</v>
      </c>
      <c r="P14" s="211"/>
    </row>
    <row r="15" spans="1:17" ht="18" customHeight="1" x14ac:dyDescent="0.2">
      <c r="A15" s="83"/>
      <c r="B15" s="55" t="s">
        <v>42</v>
      </c>
      <c r="C15" s="54"/>
      <c r="D15" s="56" t="s">
        <v>43</v>
      </c>
      <c r="E15" s="83"/>
      <c r="F15" s="83"/>
      <c r="G15" s="83"/>
      <c r="H15" s="83"/>
      <c r="I15" s="83"/>
      <c r="J15" s="83"/>
      <c r="K15" s="83"/>
      <c r="L15" s="83"/>
      <c r="M15" s="84"/>
      <c r="N15" s="85" t="s">
        <v>51</v>
      </c>
      <c r="O15" s="86"/>
      <c r="P15" s="86">
        <f>O14*10%</f>
        <v>521143</v>
      </c>
    </row>
    <row r="16" spans="1:17" ht="18" customHeight="1" thickBot="1" x14ac:dyDescent="0.25">
      <c r="A16" s="83"/>
      <c r="B16" s="55"/>
      <c r="C16" s="54"/>
      <c r="D16" s="56"/>
      <c r="E16" s="83"/>
      <c r="F16" s="83"/>
      <c r="G16" s="83"/>
      <c r="H16" s="83"/>
      <c r="I16" s="83"/>
      <c r="J16" s="83"/>
      <c r="K16" s="83"/>
      <c r="L16" s="83"/>
      <c r="M16" s="84"/>
      <c r="N16" s="87" t="s">
        <v>52</v>
      </c>
      <c r="O16" s="88"/>
      <c r="P16" s="88">
        <f>O14-P15</f>
        <v>4690287</v>
      </c>
    </row>
    <row r="17" spans="1:16" ht="18" customHeight="1" x14ac:dyDescent="0.2">
      <c r="A17" s="10"/>
      <c r="H17" s="60"/>
      <c r="N17" s="59" t="s">
        <v>31</v>
      </c>
      <c r="P17" s="66">
        <f>P16*1%</f>
        <v>46902.87</v>
      </c>
    </row>
    <row r="18" spans="1:16" ht="18" customHeight="1" thickBot="1" x14ac:dyDescent="0.25">
      <c r="A18" s="10"/>
      <c r="H18" s="60"/>
      <c r="N18" s="59" t="s">
        <v>53</v>
      </c>
      <c r="P18" s="68">
        <f>P16*2%</f>
        <v>93805.74</v>
      </c>
    </row>
    <row r="19" spans="1:16" ht="18" customHeight="1" x14ac:dyDescent="0.2">
      <c r="A19" s="10"/>
      <c r="H19" s="60"/>
      <c r="N19" s="63" t="s">
        <v>32</v>
      </c>
      <c r="O19" s="64"/>
      <c r="P19" s="67">
        <f>P16+P17-P18</f>
        <v>4643384.13</v>
      </c>
    </row>
    <row r="21" spans="1:16" x14ac:dyDescent="0.2">
      <c r="A21" s="10"/>
      <c r="H21" s="60"/>
      <c r="P21" s="68"/>
    </row>
    <row r="22" spans="1:16" x14ac:dyDescent="0.2">
      <c r="A22" s="10"/>
      <c r="H22" s="60"/>
      <c r="O22" s="57"/>
      <c r="P22" s="68"/>
    </row>
    <row r="23" spans="1:16" s="3" customFormat="1" x14ac:dyDescent="0.25">
      <c r="A23" s="10"/>
      <c r="B23" s="2"/>
      <c r="C23" s="2"/>
      <c r="E23" s="11"/>
      <c r="H23" s="60"/>
      <c r="N23" s="14"/>
      <c r="O23" s="14"/>
      <c r="P23" s="14"/>
    </row>
    <row r="24" spans="1:16" s="3" customFormat="1" x14ac:dyDescent="0.25">
      <c r="A24" s="10"/>
      <c r="B24" s="2"/>
      <c r="C24" s="2"/>
      <c r="E24" s="11"/>
      <c r="H24" s="60"/>
      <c r="N24" s="14"/>
      <c r="O24" s="14"/>
      <c r="P24" s="14"/>
    </row>
    <row r="25" spans="1:16" s="3" customFormat="1" x14ac:dyDescent="0.25">
      <c r="A25" s="10"/>
      <c r="B25" s="2"/>
      <c r="C25" s="2"/>
      <c r="E25" s="11"/>
      <c r="H25" s="60"/>
      <c r="N25" s="14"/>
      <c r="O25" s="14"/>
      <c r="P25" s="14"/>
    </row>
    <row r="26" spans="1:16" s="3" customFormat="1" x14ac:dyDescent="0.25">
      <c r="A26" s="10"/>
      <c r="B26" s="2"/>
      <c r="C26" s="2"/>
      <c r="E26" s="11"/>
      <c r="H26" s="60"/>
      <c r="N26" s="14"/>
      <c r="O26" s="14"/>
      <c r="P26" s="14"/>
    </row>
    <row r="27" spans="1:16" s="3" customFormat="1" x14ac:dyDescent="0.25">
      <c r="A27" s="10"/>
      <c r="B27" s="2"/>
      <c r="C27" s="2"/>
      <c r="E27" s="11"/>
      <c r="H27" s="60"/>
      <c r="N27" s="14"/>
      <c r="O27" s="14"/>
      <c r="P27" s="14"/>
    </row>
    <row r="28" spans="1:16" s="3" customFormat="1" x14ac:dyDescent="0.25">
      <c r="A28" s="10"/>
      <c r="B28" s="2"/>
      <c r="C28" s="2"/>
      <c r="E28" s="11"/>
      <c r="H28" s="60"/>
      <c r="N28" s="14"/>
      <c r="O28" s="14"/>
      <c r="P28" s="14"/>
    </row>
    <row r="29" spans="1:16" s="3" customFormat="1" x14ac:dyDescent="0.25">
      <c r="A29" s="10"/>
      <c r="B29" s="2"/>
      <c r="C29" s="2"/>
      <c r="E29" s="11"/>
      <c r="H29" s="60"/>
      <c r="N29" s="14"/>
      <c r="O29" s="14"/>
      <c r="P29" s="14"/>
    </row>
    <row r="30" spans="1:16" s="3" customFormat="1" x14ac:dyDescent="0.25">
      <c r="A30" s="10"/>
      <c r="B30" s="2"/>
      <c r="C30" s="2"/>
      <c r="E30" s="11"/>
      <c r="H30" s="60"/>
      <c r="N30" s="14"/>
      <c r="O30" s="14"/>
      <c r="P30" s="14"/>
    </row>
    <row r="31" spans="1:16" s="3" customFormat="1" x14ac:dyDescent="0.25">
      <c r="A31" s="10"/>
      <c r="B31" s="2"/>
      <c r="C31" s="2"/>
      <c r="E31" s="11"/>
      <c r="H31" s="60"/>
      <c r="N31" s="14"/>
      <c r="O31" s="14"/>
      <c r="P31" s="14"/>
    </row>
    <row r="32" spans="1:16" s="3" customFormat="1" x14ac:dyDescent="0.25">
      <c r="A32" s="10"/>
      <c r="B32" s="2"/>
      <c r="C32" s="2"/>
      <c r="E32" s="11"/>
      <c r="H32" s="60"/>
      <c r="N32" s="14"/>
      <c r="O32" s="14"/>
      <c r="P32" s="14"/>
    </row>
    <row r="33" spans="1:16" s="3" customFormat="1" x14ac:dyDescent="0.25">
      <c r="A33" s="10"/>
      <c r="B33" s="2"/>
      <c r="C33" s="2"/>
      <c r="E33" s="11"/>
      <c r="H33" s="60"/>
      <c r="N33" s="14"/>
      <c r="O33" s="14"/>
      <c r="P33" s="14"/>
    </row>
    <row r="34" spans="1:16" s="3" customFormat="1" x14ac:dyDescent="0.25">
      <c r="A34" s="10"/>
      <c r="B34" s="2"/>
      <c r="C34" s="2"/>
      <c r="E34" s="11"/>
      <c r="H34" s="60"/>
      <c r="N34" s="14"/>
      <c r="O34" s="14"/>
      <c r="P34" s="14"/>
    </row>
  </sheetData>
  <mergeCells count="3">
    <mergeCell ref="A14:L14"/>
    <mergeCell ref="O14:P14"/>
    <mergeCell ref="Q3:Q13"/>
  </mergeCells>
  <conditionalFormatting sqref="B3">
    <cfRule type="duplicateValues" dxfId="151" priority="2"/>
  </conditionalFormatting>
  <conditionalFormatting sqref="B13">
    <cfRule type="duplicateValues" dxfId="150" priority="10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Q24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I9" sqref="I9"/>
    </sheetView>
  </sheetViews>
  <sheetFormatPr defaultRowHeight="15" x14ac:dyDescent="0.2"/>
  <cols>
    <col min="1" max="1" width="6.28515625" style="4" customWidth="1"/>
    <col min="2" max="2" width="19.140625" style="2" customWidth="1"/>
    <col min="3" max="3" width="14.85546875" style="2" customWidth="1"/>
    <col min="4" max="4" width="10.5703125" style="3" customWidth="1"/>
    <col min="5" max="5" width="7.5703125" style="11" customWidth="1"/>
    <col min="6" max="6" width="14" style="3" customWidth="1"/>
    <col min="7" max="7" width="8.85546875" style="3" customWidth="1"/>
    <col min="8" max="8" width="17.28515625" style="6" customWidth="1"/>
    <col min="9" max="11" width="4.42578125" style="3" customWidth="1"/>
    <col min="12" max="12" width="4.28515625" style="3" customWidth="1"/>
    <col min="13" max="13" width="8.28515625" style="3" customWidth="1"/>
    <col min="14" max="14" width="12.28515625" style="14" customWidth="1"/>
    <col min="15" max="15" width="7.5703125" style="14" customWidth="1"/>
    <col min="16" max="16" width="10.7109375" style="14" customWidth="1"/>
    <col min="17" max="17" width="6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8" t="s">
        <v>7</v>
      </c>
      <c r="C2" s="58" t="s">
        <v>0</v>
      </c>
      <c r="D2" s="58" t="s">
        <v>1</v>
      </c>
      <c r="E2" s="97" t="s">
        <v>4</v>
      </c>
      <c r="F2" s="58" t="s">
        <v>3</v>
      </c>
      <c r="G2" s="58" t="s">
        <v>5</v>
      </c>
      <c r="H2" s="97" t="s">
        <v>2</v>
      </c>
      <c r="I2" s="58" t="s">
        <v>39</v>
      </c>
      <c r="J2" s="58" t="s">
        <v>40</v>
      </c>
      <c r="K2" s="58" t="s">
        <v>41</v>
      </c>
      <c r="L2" s="58" t="s">
        <v>45</v>
      </c>
      <c r="M2" s="58" t="s">
        <v>46</v>
      </c>
      <c r="N2" s="58" t="s">
        <v>6</v>
      </c>
      <c r="O2" s="58" t="s">
        <v>47</v>
      </c>
      <c r="P2" s="58" t="s">
        <v>48</v>
      </c>
      <c r="Q2" s="58" t="s">
        <v>26</v>
      </c>
    </row>
    <row r="3" spans="1:17" ht="26.25" customHeight="1" x14ac:dyDescent="0.2">
      <c r="A3" s="80">
        <v>402701</v>
      </c>
      <c r="B3" s="71" t="s">
        <v>131</v>
      </c>
      <c r="C3" s="8" t="s">
        <v>132</v>
      </c>
      <c r="D3" s="73" t="s">
        <v>60</v>
      </c>
      <c r="E3" s="12">
        <v>44550</v>
      </c>
      <c r="F3" s="73" t="s">
        <v>61</v>
      </c>
      <c r="G3" s="12">
        <v>44570</v>
      </c>
      <c r="H3" s="9" t="s">
        <v>114</v>
      </c>
      <c r="I3" s="1">
        <v>94</v>
      </c>
      <c r="J3" s="1">
        <v>80</v>
      </c>
      <c r="K3" s="1">
        <v>58</v>
      </c>
      <c r="L3" s="1">
        <v>17</v>
      </c>
      <c r="M3" s="77">
        <v>109.04</v>
      </c>
      <c r="N3" s="94">
        <v>109.04</v>
      </c>
      <c r="O3" s="61">
        <v>14000</v>
      </c>
      <c r="P3" s="62">
        <f>Table2245789101123456789101112131415[[#This Row],[PEMBULATAN]]*O3</f>
        <v>1526560</v>
      </c>
      <c r="Q3" s="112">
        <v>1</v>
      </c>
    </row>
    <row r="4" spans="1:17" ht="22.5" customHeight="1" x14ac:dyDescent="0.2">
      <c r="A4" s="213" t="s">
        <v>30</v>
      </c>
      <c r="B4" s="208"/>
      <c r="C4" s="208"/>
      <c r="D4" s="208"/>
      <c r="E4" s="208"/>
      <c r="F4" s="208"/>
      <c r="G4" s="208"/>
      <c r="H4" s="208"/>
      <c r="I4" s="208"/>
      <c r="J4" s="208"/>
      <c r="K4" s="208"/>
      <c r="L4" s="209"/>
      <c r="M4" s="76">
        <f>SUBTOTAL(109,Table2245789101123456789101112131415[KG VOLUME])</f>
        <v>109.04</v>
      </c>
      <c r="N4" s="65">
        <f>SUM(N3:N3)</f>
        <v>109.04</v>
      </c>
      <c r="O4" s="210">
        <f>SUM(P3:P3)</f>
        <v>1526560</v>
      </c>
      <c r="P4" s="211"/>
    </row>
    <row r="5" spans="1:17" ht="18" customHeight="1" x14ac:dyDescent="0.2">
      <c r="A5" s="83"/>
      <c r="B5" s="55" t="s">
        <v>42</v>
      </c>
      <c r="C5" s="54"/>
      <c r="D5" s="56" t="s">
        <v>43</v>
      </c>
      <c r="E5" s="83"/>
      <c r="F5" s="83"/>
      <c r="G5" s="83"/>
      <c r="H5" s="83"/>
      <c r="I5" s="83"/>
      <c r="J5" s="83"/>
      <c r="K5" s="83"/>
      <c r="L5" s="83"/>
      <c r="M5" s="84"/>
      <c r="N5" s="85" t="s">
        <v>51</v>
      </c>
      <c r="O5" s="86"/>
      <c r="P5" s="86">
        <f>O4*10%</f>
        <v>152656</v>
      </c>
    </row>
    <row r="6" spans="1:17" ht="18" customHeight="1" thickBot="1" x14ac:dyDescent="0.25">
      <c r="A6" s="83"/>
      <c r="B6" s="55"/>
      <c r="C6" s="54"/>
      <c r="D6" s="56"/>
      <c r="E6" s="83"/>
      <c r="F6" s="83"/>
      <c r="G6" s="83"/>
      <c r="H6" s="83"/>
      <c r="I6" s="83"/>
      <c r="J6" s="83"/>
      <c r="K6" s="83"/>
      <c r="L6" s="83"/>
      <c r="M6" s="84"/>
      <c r="N6" s="87" t="s">
        <v>52</v>
      </c>
      <c r="O6" s="88"/>
      <c r="P6" s="88">
        <f>O4-P5</f>
        <v>1373904</v>
      </c>
    </row>
    <row r="7" spans="1:17" ht="18" customHeight="1" x14ac:dyDescent="0.2">
      <c r="A7" s="10"/>
      <c r="H7" s="60"/>
      <c r="N7" s="59" t="s">
        <v>31</v>
      </c>
      <c r="P7" s="66">
        <f>P6*1%</f>
        <v>13739.04</v>
      </c>
    </row>
    <row r="8" spans="1:17" ht="18" customHeight="1" thickBot="1" x14ac:dyDescent="0.25">
      <c r="A8" s="10"/>
      <c r="H8" s="60"/>
      <c r="N8" s="59" t="s">
        <v>53</v>
      </c>
      <c r="P8" s="68">
        <f>P6*2%</f>
        <v>27478.080000000002</v>
      </c>
    </row>
    <row r="9" spans="1:17" ht="18" customHeight="1" x14ac:dyDescent="0.2">
      <c r="A9" s="10"/>
      <c r="H9" s="60"/>
      <c r="N9" s="63" t="s">
        <v>32</v>
      </c>
      <c r="O9" s="64"/>
      <c r="P9" s="67">
        <f>P6+P7-P8</f>
        <v>1360164.96</v>
      </c>
    </row>
    <row r="11" spans="1:17" x14ac:dyDescent="0.2">
      <c r="A11" s="10"/>
      <c r="H11" s="60"/>
      <c r="P11" s="68"/>
    </row>
    <row r="12" spans="1:17" x14ac:dyDescent="0.2">
      <c r="A12" s="10"/>
      <c r="H12" s="60"/>
      <c r="O12" s="57"/>
      <c r="P12" s="68"/>
    </row>
    <row r="13" spans="1:17" s="3" customFormat="1" x14ac:dyDescent="0.25">
      <c r="A13" s="10"/>
      <c r="B13" s="2"/>
      <c r="C13" s="2"/>
      <c r="E13" s="11"/>
      <c r="H13" s="60"/>
      <c r="N13" s="14"/>
      <c r="O13" s="14"/>
      <c r="P13" s="14"/>
    </row>
    <row r="14" spans="1:17" s="3" customFormat="1" x14ac:dyDescent="0.25">
      <c r="A14" s="10"/>
      <c r="B14" s="2"/>
      <c r="C14" s="2"/>
      <c r="E14" s="11"/>
      <c r="H14" s="60"/>
      <c r="N14" s="14"/>
      <c r="O14" s="14"/>
      <c r="P14" s="14"/>
    </row>
    <row r="15" spans="1:17" s="3" customFormat="1" x14ac:dyDescent="0.25">
      <c r="A15" s="10"/>
      <c r="B15" s="2"/>
      <c r="C15" s="2"/>
      <c r="E15" s="11"/>
      <c r="H15" s="60"/>
      <c r="N15" s="14"/>
      <c r="O15" s="14"/>
      <c r="P15" s="14"/>
    </row>
    <row r="16" spans="1:17" s="3" customFormat="1" x14ac:dyDescent="0.25">
      <c r="A16" s="10"/>
      <c r="B16" s="2"/>
      <c r="C16" s="2"/>
      <c r="E16" s="11"/>
      <c r="H16" s="60"/>
      <c r="N16" s="14"/>
      <c r="O16" s="14"/>
      <c r="P16" s="14"/>
    </row>
    <row r="17" spans="1:16" s="3" customFormat="1" x14ac:dyDescent="0.25">
      <c r="A17" s="10"/>
      <c r="B17" s="2"/>
      <c r="C17" s="2"/>
      <c r="E17" s="11"/>
      <c r="H17" s="60"/>
      <c r="N17" s="14"/>
      <c r="O17" s="14"/>
      <c r="P17" s="14"/>
    </row>
    <row r="18" spans="1:16" s="3" customFormat="1" x14ac:dyDescent="0.25">
      <c r="A18" s="10"/>
      <c r="B18" s="2"/>
      <c r="C18" s="2"/>
      <c r="E18" s="11"/>
      <c r="H18" s="60"/>
      <c r="N18" s="14"/>
      <c r="O18" s="14"/>
      <c r="P18" s="14"/>
    </row>
    <row r="19" spans="1:16" s="3" customFormat="1" x14ac:dyDescent="0.25">
      <c r="A19" s="10"/>
      <c r="B19" s="2"/>
      <c r="C19" s="2"/>
      <c r="E19" s="11"/>
      <c r="H19" s="60"/>
      <c r="N19" s="14"/>
      <c r="O19" s="14"/>
      <c r="P19" s="14"/>
    </row>
    <row r="20" spans="1:16" s="3" customFormat="1" x14ac:dyDescent="0.25">
      <c r="A20" s="10"/>
      <c r="B20" s="2"/>
      <c r="C20" s="2"/>
      <c r="E20" s="11"/>
      <c r="H20" s="60"/>
      <c r="N20" s="14"/>
      <c r="O20" s="14"/>
      <c r="P20" s="14"/>
    </row>
    <row r="21" spans="1:16" s="3" customFormat="1" x14ac:dyDescent="0.25">
      <c r="A21" s="10"/>
      <c r="B21" s="2"/>
      <c r="C21" s="2"/>
      <c r="E21" s="11"/>
      <c r="H21" s="60"/>
      <c r="N21" s="14"/>
      <c r="O21" s="14"/>
      <c r="P21" s="14"/>
    </row>
    <row r="22" spans="1:16" s="3" customFormat="1" x14ac:dyDescent="0.25">
      <c r="A22" s="10"/>
      <c r="B22" s="2"/>
      <c r="C22" s="2"/>
      <c r="E22" s="11"/>
      <c r="H22" s="60"/>
      <c r="N22" s="14"/>
      <c r="O22" s="14"/>
      <c r="P22" s="14"/>
    </row>
    <row r="23" spans="1:16" s="3" customFormat="1" x14ac:dyDescent="0.25">
      <c r="A23" s="10"/>
      <c r="B23" s="2"/>
      <c r="C23" s="2"/>
      <c r="E23" s="11"/>
      <c r="H23" s="60"/>
      <c r="N23" s="14"/>
      <c r="O23" s="14"/>
      <c r="P23" s="14"/>
    </row>
    <row r="24" spans="1:16" s="3" customFormat="1" x14ac:dyDescent="0.25">
      <c r="A24" s="10"/>
      <c r="B24" s="2"/>
      <c r="C24" s="2"/>
      <c r="E24" s="11"/>
      <c r="H24" s="60"/>
      <c r="N24" s="14"/>
      <c r="O24" s="14"/>
      <c r="P24" s="14"/>
    </row>
  </sheetData>
  <mergeCells count="2">
    <mergeCell ref="A4:L4"/>
    <mergeCell ref="O4:P4"/>
  </mergeCells>
  <conditionalFormatting sqref="B3">
    <cfRule type="duplicateValues" dxfId="134" priority="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Q24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M15" sqref="M15"/>
    </sheetView>
  </sheetViews>
  <sheetFormatPr defaultRowHeight="15" x14ac:dyDescent="0.2"/>
  <cols>
    <col min="1" max="1" width="6.28515625" style="4" customWidth="1"/>
    <col min="2" max="2" width="19.5703125" style="2" customWidth="1"/>
    <col min="3" max="3" width="14" style="2" customWidth="1"/>
    <col min="4" max="4" width="8.85546875" style="3" customWidth="1"/>
    <col min="5" max="5" width="8" style="11" customWidth="1"/>
    <col min="6" max="6" width="14.140625" style="3" customWidth="1"/>
    <col min="7" max="7" width="8.85546875" style="3" customWidth="1"/>
    <col min="8" max="8" width="15.28515625" style="6" customWidth="1"/>
    <col min="9" max="12" width="4.42578125" style="3" customWidth="1"/>
    <col min="13" max="13" width="7.85546875" style="3" customWidth="1"/>
    <col min="14" max="14" width="12.28515625" style="14" customWidth="1"/>
    <col min="15" max="15" width="8.140625" style="14" customWidth="1"/>
    <col min="16" max="16" width="9.5703125" style="14" customWidth="1"/>
    <col min="17" max="17" width="6.285156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8" t="s">
        <v>7</v>
      </c>
      <c r="C2" s="58" t="s">
        <v>0</v>
      </c>
      <c r="D2" s="58" t="s">
        <v>1</v>
      </c>
      <c r="E2" s="97" t="s">
        <v>4</v>
      </c>
      <c r="F2" s="58" t="s">
        <v>3</v>
      </c>
      <c r="G2" s="58" t="s">
        <v>5</v>
      </c>
      <c r="H2" s="97" t="s">
        <v>2</v>
      </c>
      <c r="I2" s="58" t="s">
        <v>39</v>
      </c>
      <c r="J2" s="58" t="s">
        <v>40</v>
      </c>
      <c r="K2" s="58" t="s">
        <v>41</v>
      </c>
      <c r="L2" s="58" t="s">
        <v>45</v>
      </c>
      <c r="M2" s="58" t="s">
        <v>46</v>
      </c>
      <c r="N2" s="58" t="s">
        <v>6</v>
      </c>
      <c r="O2" s="58" t="s">
        <v>47</v>
      </c>
      <c r="P2" s="58" t="s">
        <v>48</v>
      </c>
      <c r="Q2" s="58" t="s">
        <v>26</v>
      </c>
    </row>
    <row r="3" spans="1:17" ht="26.25" customHeight="1" x14ac:dyDescent="0.2">
      <c r="A3" s="80">
        <v>402710</v>
      </c>
      <c r="B3" s="71" t="s">
        <v>133</v>
      </c>
      <c r="C3" s="8" t="s">
        <v>134</v>
      </c>
      <c r="D3" s="73" t="s">
        <v>60</v>
      </c>
      <c r="E3" s="12">
        <v>44551</v>
      </c>
      <c r="F3" s="73" t="s">
        <v>61</v>
      </c>
      <c r="G3" s="12">
        <v>44570</v>
      </c>
      <c r="H3" s="9" t="s">
        <v>114</v>
      </c>
      <c r="I3" s="1">
        <v>53</v>
      </c>
      <c r="J3" s="1">
        <v>90</v>
      </c>
      <c r="K3" s="1">
        <v>52</v>
      </c>
      <c r="L3" s="1">
        <v>17</v>
      </c>
      <c r="M3" s="77">
        <v>62.01</v>
      </c>
      <c r="N3" s="94">
        <v>62.01</v>
      </c>
      <c r="O3" s="61">
        <v>14000</v>
      </c>
      <c r="P3" s="62">
        <f>Table224578910112345678910111213141516[[#This Row],[PEMBULATAN]]*O3</f>
        <v>868140</v>
      </c>
      <c r="Q3" s="112">
        <v>1</v>
      </c>
    </row>
    <row r="4" spans="1:17" ht="22.5" customHeight="1" x14ac:dyDescent="0.2">
      <c r="A4" s="213" t="s">
        <v>30</v>
      </c>
      <c r="B4" s="208"/>
      <c r="C4" s="208"/>
      <c r="D4" s="208"/>
      <c r="E4" s="208"/>
      <c r="F4" s="208"/>
      <c r="G4" s="208"/>
      <c r="H4" s="208"/>
      <c r="I4" s="208"/>
      <c r="J4" s="208"/>
      <c r="K4" s="208"/>
      <c r="L4" s="209"/>
      <c r="M4" s="76">
        <f>SUBTOTAL(109,Table224578910112345678910111213141516[KG VOLUME])</f>
        <v>62.01</v>
      </c>
      <c r="N4" s="65">
        <f>SUM(N3:N3)</f>
        <v>62.01</v>
      </c>
      <c r="O4" s="210">
        <f>SUM(P3:P3)</f>
        <v>868140</v>
      </c>
      <c r="P4" s="211"/>
    </row>
    <row r="5" spans="1:17" ht="18" customHeight="1" x14ac:dyDescent="0.2">
      <c r="A5" s="83"/>
      <c r="B5" s="55" t="s">
        <v>42</v>
      </c>
      <c r="C5" s="54"/>
      <c r="D5" s="56" t="s">
        <v>43</v>
      </c>
      <c r="E5" s="83"/>
      <c r="F5" s="83"/>
      <c r="G5" s="83"/>
      <c r="H5" s="83"/>
      <c r="I5" s="83"/>
      <c r="J5" s="83"/>
      <c r="K5" s="83"/>
      <c r="L5" s="83"/>
      <c r="M5" s="84"/>
      <c r="N5" s="85" t="s">
        <v>51</v>
      </c>
      <c r="O5" s="86"/>
      <c r="P5" s="86">
        <f>O4*10%</f>
        <v>86814</v>
      </c>
    </row>
    <row r="6" spans="1:17" ht="18" customHeight="1" thickBot="1" x14ac:dyDescent="0.25">
      <c r="A6" s="83"/>
      <c r="B6" s="55"/>
      <c r="C6" s="54"/>
      <c r="D6" s="56"/>
      <c r="E6" s="83"/>
      <c r="F6" s="83"/>
      <c r="G6" s="83"/>
      <c r="H6" s="83"/>
      <c r="I6" s="83"/>
      <c r="J6" s="83"/>
      <c r="K6" s="83"/>
      <c r="L6" s="83"/>
      <c r="M6" s="84"/>
      <c r="N6" s="87" t="s">
        <v>52</v>
      </c>
      <c r="O6" s="88"/>
      <c r="P6" s="88">
        <f>O4-P5</f>
        <v>781326</v>
      </c>
    </row>
    <row r="7" spans="1:17" ht="18" customHeight="1" x14ac:dyDescent="0.2">
      <c r="A7" s="10"/>
      <c r="H7" s="60"/>
      <c r="N7" s="59" t="s">
        <v>31</v>
      </c>
      <c r="P7" s="66">
        <f>P6*1%</f>
        <v>7813.26</v>
      </c>
    </row>
    <row r="8" spans="1:17" ht="18" customHeight="1" thickBot="1" x14ac:dyDescent="0.25">
      <c r="A8" s="10"/>
      <c r="H8" s="60"/>
      <c r="N8" s="59" t="s">
        <v>53</v>
      </c>
      <c r="P8" s="68">
        <f>P6*2%</f>
        <v>15626.52</v>
      </c>
    </row>
    <row r="9" spans="1:17" ht="18" customHeight="1" x14ac:dyDescent="0.2">
      <c r="A9" s="10"/>
      <c r="H9" s="60"/>
      <c r="N9" s="63" t="s">
        <v>32</v>
      </c>
      <c r="O9" s="64"/>
      <c r="P9" s="67">
        <f>P6+P7-P8</f>
        <v>773512.74</v>
      </c>
    </row>
    <row r="11" spans="1:17" x14ac:dyDescent="0.2">
      <c r="A11" s="10"/>
      <c r="H11" s="60"/>
      <c r="P11" s="68"/>
    </row>
    <row r="12" spans="1:17" x14ac:dyDescent="0.2">
      <c r="A12" s="10"/>
      <c r="H12" s="60"/>
      <c r="O12" s="57"/>
      <c r="P12" s="68"/>
    </row>
    <row r="13" spans="1:17" s="3" customFormat="1" x14ac:dyDescent="0.25">
      <c r="A13" s="10"/>
      <c r="B13" s="2"/>
      <c r="C13" s="2"/>
      <c r="E13" s="11"/>
      <c r="H13" s="60"/>
      <c r="N13" s="14"/>
      <c r="O13" s="14"/>
      <c r="P13" s="14"/>
    </row>
    <row r="14" spans="1:17" s="3" customFormat="1" x14ac:dyDescent="0.25">
      <c r="A14" s="10"/>
      <c r="B14" s="2"/>
      <c r="C14" s="2"/>
      <c r="E14" s="11"/>
      <c r="H14" s="60"/>
      <c r="N14" s="14"/>
      <c r="O14" s="14"/>
      <c r="P14" s="14"/>
    </row>
    <row r="15" spans="1:17" s="3" customFormat="1" x14ac:dyDescent="0.25">
      <c r="A15" s="10"/>
      <c r="B15" s="2"/>
      <c r="C15" s="2"/>
      <c r="E15" s="11"/>
      <c r="H15" s="60"/>
      <c r="N15" s="14"/>
      <c r="O15" s="14"/>
      <c r="P15" s="14"/>
    </row>
    <row r="16" spans="1:17" s="3" customFormat="1" x14ac:dyDescent="0.25">
      <c r="A16" s="10"/>
      <c r="B16" s="2"/>
      <c r="C16" s="2"/>
      <c r="E16" s="11"/>
      <c r="H16" s="60"/>
      <c r="N16" s="14"/>
      <c r="O16" s="14"/>
      <c r="P16" s="14"/>
    </row>
    <row r="17" spans="1:16" s="3" customFormat="1" x14ac:dyDescent="0.25">
      <c r="A17" s="10"/>
      <c r="B17" s="2"/>
      <c r="C17" s="2"/>
      <c r="E17" s="11"/>
      <c r="H17" s="60"/>
      <c r="N17" s="14"/>
      <c r="O17" s="14"/>
      <c r="P17" s="14"/>
    </row>
    <row r="18" spans="1:16" s="3" customFormat="1" x14ac:dyDescent="0.25">
      <c r="A18" s="10"/>
      <c r="B18" s="2"/>
      <c r="C18" s="2"/>
      <c r="E18" s="11"/>
      <c r="H18" s="60"/>
      <c r="N18" s="14"/>
      <c r="O18" s="14"/>
      <c r="P18" s="14"/>
    </row>
    <row r="19" spans="1:16" s="3" customFormat="1" x14ac:dyDescent="0.25">
      <c r="A19" s="10"/>
      <c r="B19" s="2"/>
      <c r="C19" s="2"/>
      <c r="E19" s="11"/>
      <c r="H19" s="60"/>
      <c r="N19" s="14"/>
      <c r="O19" s="14"/>
      <c r="P19" s="14"/>
    </row>
    <row r="20" spans="1:16" s="3" customFormat="1" x14ac:dyDescent="0.25">
      <c r="A20" s="10"/>
      <c r="B20" s="2"/>
      <c r="C20" s="2"/>
      <c r="E20" s="11"/>
      <c r="H20" s="60"/>
      <c r="N20" s="14"/>
      <c r="O20" s="14"/>
      <c r="P20" s="14"/>
    </row>
    <row r="21" spans="1:16" s="3" customFormat="1" x14ac:dyDescent="0.25">
      <c r="A21" s="10"/>
      <c r="B21" s="2"/>
      <c r="C21" s="2"/>
      <c r="E21" s="11"/>
      <c r="H21" s="60"/>
      <c r="N21" s="14"/>
      <c r="O21" s="14"/>
      <c r="P21" s="14"/>
    </row>
    <row r="22" spans="1:16" s="3" customFormat="1" x14ac:dyDescent="0.25">
      <c r="A22" s="10"/>
      <c r="B22" s="2"/>
      <c r="C22" s="2"/>
      <c r="E22" s="11"/>
      <c r="H22" s="60"/>
      <c r="N22" s="14"/>
      <c r="O22" s="14"/>
      <c r="P22" s="14"/>
    </row>
    <row r="23" spans="1:16" s="3" customFormat="1" x14ac:dyDescent="0.25">
      <c r="A23" s="10"/>
      <c r="B23" s="2"/>
      <c r="C23" s="2"/>
      <c r="E23" s="11"/>
      <c r="H23" s="60"/>
      <c r="N23" s="14"/>
      <c r="O23" s="14"/>
      <c r="P23" s="14"/>
    </row>
    <row r="24" spans="1:16" s="3" customFormat="1" x14ac:dyDescent="0.25">
      <c r="A24" s="10"/>
      <c r="B24" s="2"/>
      <c r="C24" s="2"/>
      <c r="E24" s="11"/>
      <c r="H24" s="60"/>
      <c r="N24" s="14"/>
      <c r="O24" s="14"/>
      <c r="P24" s="14"/>
    </row>
  </sheetData>
  <mergeCells count="2">
    <mergeCell ref="A4:L4"/>
    <mergeCell ref="O4:P4"/>
  </mergeCells>
  <conditionalFormatting sqref="B3">
    <cfRule type="duplicateValues" dxfId="118" priority="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Q36"/>
  <sheetViews>
    <sheetView zoomScale="110" zoomScaleNormal="110" workbookViewId="0">
      <pane xSplit="3" ySplit="2" topLeftCell="D9" activePane="bottomRight" state="frozen"/>
      <selection pane="topRight" activeCell="B1" sqref="B1"/>
      <selection pane="bottomLeft" activeCell="A3" sqref="A3"/>
      <selection pane="bottomRight" activeCell="K8" sqref="K8"/>
    </sheetView>
  </sheetViews>
  <sheetFormatPr defaultRowHeight="15" x14ac:dyDescent="0.2"/>
  <cols>
    <col min="1" max="1" width="6.28515625" style="4" customWidth="1"/>
    <col min="2" max="2" width="19.7109375" style="2" customWidth="1"/>
    <col min="3" max="3" width="14.5703125" style="2" customWidth="1"/>
    <col min="4" max="4" width="9.28515625" style="3" customWidth="1"/>
    <col min="5" max="5" width="7.85546875" style="11" customWidth="1"/>
    <col min="6" max="6" width="14.28515625" style="3" customWidth="1"/>
    <col min="7" max="7" width="8.85546875" style="3" customWidth="1"/>
    <col min="8" max="8" width="15.28515625" style="6" customWidth="1"/>
    <col min="9" max="11" width="4.42578125" style="3" customWidth="1"/>
    <col min="12" max="12" width="4.28515625" style="3" customWidth="1"/>
    <col min="13" max="13" width="8" style="3" customWidth="1"/>
    <col min="14" max="14" width="12.28515625" style="14" customWidth="1"/>
    <col min="15" max="15" width="7.42578125" style="14" customWidth="1"/>
    <col min="16" max="16" width="11.140625" style="14" customWidth="1"/>
    <col min="17" max="17" width="6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8" t="s">
        <v>7</v>
      </c>
      <c r="C2" s="58" t="s">
        <v>0</v>
      </c>
      <c r="D2" s="58" t="s">
        <v>1</v>
      </c>
      <c r="E2" s="97" t="s">
        <v>4</v>
      </c>
      <c r="F2" s="58" t="s">
        <v>3</v>
      </c>
      <c r="G2" s="58" t="s">
        <v>5</v>
      </c>
      <c r="H2" s="97" t="s">
        <v>2</v>
      </c>
      <c r="I2" s="58" t="s">
        <v>39</v>
      </c>
      <c r="J2" s="58" t="s">
        <v>40</v>
      </c>
      <c r="K2" s="58" t="s">
        <v>41</v>
      </c>
      <c r="L2" s="58" t="s">
        <v>45</v>
      </c>
      <c r="M2" s="58" t="s">
        <v>46</v>
      </c>
      <c r="N2" s="58" t="s">
        <v>6</v>
      </c>
      <c r="O2" s="58" t="s">
        <v>47</v>
      </c>
      <c r="P2" s="58" t="s">
        <v>48</v>
      </c>
      <c r="Q2" s="58" t="s">
        <v>26</v>
      </c>
    </row>
    <row r="3" spans="1:17" ht="26.25" customHeight="1" x14ac:dyDescent="0.2">
      <c r="A3" s="80">
        <v>402719</v>
      </c>
      <c r="B3" s="80" t="s">
        <v>135</v>
      </c>
      <c r="C3" s="8" t="s">
        <v>136</v>
      </c>
      <c r="D3" s="73" t="s">
        <v>60</v>
      </c>
      <c r="E3" s="12">
        <v>44553</v>
      </c>
      <c r="F3" s="73" t="s">
        <v>61</v>
      </c>
      <c r="G3" s="12">
        <v>44570</v>
      </c>
      <c r="H3" s="9" t="s">
        <v>114</v>
      </c>
      <c r="I3" s="1">
        <v>67</v>
      </c>
      <c r="J3" s="1">
        <v>57</v>
      </c>
      <c r="K3" s="1">
        <v>24</v>
      </c>
      <c r="L3" s="1">
        <v>7</v>
      </c>
      <c r="M3" s="77">
        <v>22.914000000000001</v>
      </c>
      <c r="N3" s="94">
        <v>22.914000000000001</v>
      </c>
      <c r="O3" s="61">
        <v>14000</v>
      </c>
      <c r="P3" s="62">
        <f>Table22457891011234567891011121314151617[[#This Row],[PEMBULATAN]]*O3</f>
        <v>320796</v>
      </c>
      <c r="Q3" s="205">
        <v>13</v>
      </c>
    </row>
    <row r="4" spans="1:17" ht="26.25" customHeight="1" x14ac:dyDescent="0.2">
      <c r="A4" s="13"/>
      <c r="B4" s="103"/>
      <c r="C4" s="8" t="s">
        <v>137</v>
      </c>
      <c r="D4" s="73" t="s">
        <v>60</v>
      </c>
      <c r="E4" s="12">
        <v>44553</v>
      </c>
      <c r="F4" s="73" t="s">
        <v>61</v>
      </c>
      <c r="G4" s="12">
        <v>44570</v>
      </c>
      <c r="H4" s="9" t="s">
        <v>114</v>
      </c>
      <c r="I4" s="1">
        <v>24</v>
      </c>
      <c r="J4" s="1">
        <v>17</v>
      </c>
      <c r="K4" s="1">
        <v>10</v>
      </c>
      <c r="L4" s="1">
        <v>5</v>
      </c>
      <c r="M4" s="77">
        <v>1.02</v>
      </c>
      <c r="N4" s="94">
        <v>5</v>
      </c>
      <c r="O4" s="61">
        <v>14000</v>
      </c>
      <c r="P4" s="62">
        <f>Table22457891011234567891011121314151617[[#This Row],[PEMBULATAN]]*O4</f>
        <v>70000</v>
      </c>
      <c r="Q4" s="203"/>
    </row>
    <row r="5" spans="1:17" ht="26.25" customHeight="1" x14ac:dyDescent="0.2">
      <c r="A5" s="13"/>
      <c r="B5" s="109" t="s">
        <v>138</v>
      </c>
      <c r="C5" s="8" t="s">
        <v>139</v>
      </c>
      <c r="D5" s="73" t="s">
        <v>60</v>
      </c>
      <c r="E5" s="12">
        <v>44553</v>
      </c>
      <c r="F5" s="73" t="s">
        <v>61</v>
      </c>
      <c r="G5" s="12">
        <v>44570</v>
      </c>
      <c r="H5" s="9" t="s">
        <v>114</v>
      </c>
      <c r="I5" s="1">
        <v>45</v>
      </c>
      <c r="J5" s="1">
        <v>22</v>
      </c>
      <c r="K5" s="1">
        <v>23</v>
      </c>
      <c r="L5" s="1">
        <v>7</v>
      </c>
      <c r="M5" s="77">
        <v>5.6924999999999999</v>
      </c>
      <c r="N5" s="94">
        <v>7</v>
      </c>
      <c r="O5" s="61">
        <v>14000</v>
      </c>
      <c r="P5" s="62">
        <f>Table22457891011234567891011121314151617[[#This Row],[PEMBULATAN]]*O5</f>
        <v>98000</v>
      </c>
      <c r="Q5" s="203"/>
    </row>
    <row r="6" spans="1:17" ht="26.25" customHeight="1" x14ac:dyDescent="0.2">
      <c r="A6" s="13"/>
      <c r="B6" s="80" t="s">
        <v>140</v>
      </c>
      <c r="C6" s="70" t="s">
        <v>141</v>
      </c>
      <c r="D6" s="75" t="s">
        <v>60</v>
      </c>
      <c r="E6" s="12">
        <v>44553</v>
      </c>
      <c r="F6" s="73" t="s">
        <v>61</v>
      </c>
      <c r="G6" s="12">
        <v>44570</v>
      </c>
      <c r="H6" s="74" t="s">
        <v>114</v>
      </c>
      <c r="I6" s="15">
        <v>37</v>
      </c>
      <c r="J6" s="15">
        <v>37</v>
      </c>
      <c r="K6" s="15">
        <v>65</v>
      </c>
      <c r="L6" s="15">
        <v>7</v>
      </c>
      <c r="M6" s="78">
        <v>22.24625</v>
      </c>
      <c r="N6" s="94">
        <v>22.24625</v>
      </c>
      <c r="O6" s="61">
        <v>14000</v>
      </c>
      <c r="P6" s="62">
        <f>Table22457891011234567891011121314151617[[#This Row],[PEMBULATAN]]*O6</f>
        <v>311447.5</v>
      </c>
      <c r="Q6" s="203"/>
    </row>
    <row r="7" spans="1:17" ht="26.25" customHeight="1" x14ac:dyDescent="0.2">
      <c r="A7" s="13"/>
      <c r="B7" s="13"/>
      <c r="C7" s="70" t="s">
        <v>142</v>
      </c>
      <c r="D7" s="75" t="s">
        <v>60</v>
      </c>
      <c r="E7" s="12">
        <v>44553</v>
      </c>
      <c r="F7" s="73" t="s">
        <v>61</v>
      </c>
      <c r="G7" s="12">
        <v>44570</v>
      </c>
      <c r="H7" s="74" t="s">
        <v>114</v>
      </c>
      <c r="I7" s="15">
        <v>73</v>
      </c>
      <c r="J7" s="15">
        <v>55</v>
      </c>
      <c r="K7" s="15">
        <v>85</v>
      </c>
      <c r="L7" s="15">
        <v>14</v>
      </c>
      <c r="M7" s="78">
        <v>85.318749999999994</v>
      </c>
      <c r="N7" s="94">
        <v>86</v>
      </c>
      <c r="O7" s="61">
        <v>14000</v>
      </c>
      <c r="P7" s="62">
        <f>Table22457891011234567891011121314151617[[#This Row],[PEMBULATAN]]*O7</f>
        <v>1204000</v>
      </c>
      <c r="Q7" s="203"/>
    </row>
    <row r="8" spans="1:17" ht="26.25" customHeight="1" x14ac:dyDescent="0.2">
      <c r="A8" s="13"/>
      <c r="B8" s="13"/>
      <c r="C8" s="70" t="s">
        <v>143</v>
      </c>
      <c r="D8" s="75" t="s">
        <v>60</v>
      </c>
      <c r="E8" s="12">
        <v>44553</v>
      </c>
      <c r="F8" s="73" t="s">
        <v>61</v>
      </c>
      <c r="G8" s="12">
        <v>44570</v>
      </c>
      <c r="H8" s="74" t="s">
        <v>114</v>
      </c>
      <c r="I8" s="15">
        <v>73</v>
      </c>
      <c r="J8" s="15">
        <v>55</v>
      </c>
      <c r="K8" s="15">
        <v>85</v>
      </c>
      <c r="L8" s="15">
        <v>14</v>
      </c>
      <c r="M8" s="78">
        <v>85.318749999999994</v>
      </c>
      <c r="N8" s="94">
        <v>86</v>
      </c>
      <c r="O8" s="61">
        <v>14000</v>
      </c>
      <c r="P8" s="62">
        <f>Table22457891011234567891011121314151617[[#This Row],[PEMBULATAN]]*O8</f>
        <v>1204000</v>
      </c>
      <c r="Q8" s="203"/>
    </row>
    <row r="9" spans="1:17" ht="26.25" customHeight="1" x14ac:dyDescent="0.2">
      <c r="A9" s="13"/>
      <c r="B9" s="13"/>
      <c r="C9" s="70" t="s">
        <v>144</v>
      </c>
      <c r="D9" s="75" t="s">
        <v>60</v>
      </c>
      <c r="E9" s="12">
        <v>44553</v>
      </c>
      <c r="F9" s="73" t="s">
        <v>61</v>
      </c>
      <c r="G9" s="12">
        <v>44570</v>
      </c>
      <c r="H9" s="74" t="s">
        <v>114</v>
      </c>
      <c r="I9" s="15">
        <v>83</v>
      </c>
      <c r="J9" s="15">
        <v>45</v>
      </c>
      <c r="K9" s="15">
        <v>33</v>
      </c>
      <c r="L9" s="15">
        <v>7</v>
      </c>
      <c r="M9" s="78">
        <v>30.813749999999999</v>
      </c>
      <c r="N9" s="94">
        <v>30.813749999999999</v>
      </c>
      <c r="O9" s="61">
        <v>14000</v>
      </c>
      <c r="P9" s="62">
        <f>Table22457891011234567891011121314151617[[#This Row],[PEMBULATAN]]*O9</f>
        <v>431392.5</v>
      </c>
      <c r="Q9" s="203"/>
    </row>
    <row r="10" spans="1:17" ht="26.25" customHeight="1" x14ac:dyDescent="0.2">
      <c r="A10" s="13"/>
      <c r="B10" s="13"/>
      <c r="C10" s="70" t="s">
        <v>145</v>
      </c>
      <c r="D10" s="75" t="s">
        <v>60</v>
      </c>
      <c r="E10" s="12">
        <v>44553</v>
      </c>
      <c r="F10" s="73" t="s">
        <v>61</v>
      </c>
      <c r="G10" s="12">
        <v>44570</v>
      </c>
      <c r="H10" s="74" t="s">
        <v>114</v>
      </c>
      <c r="I10" s="15">
        <v>66</v>
      </c>
      <c r="J10" s="15">
        <v>58</v>
      </c>
      <c r="K10" s="15">
        <v>20</v>
      </c>
      <c r="L10" s="15">
        <v>7</v>
      </c>
      <c r="M10" s="78">
        <v>19.14</v>
      </c>
      <c r="N10" s="94">
        <v>19.14</v>
      </c>
      <c r="O10" s="61">
        <v>14000</v>
      </c>
      <c r="P10" s="62">
        <f>Table22457891011234567891011121314151617[[#This Row],[PEMBULATAN]]*O10</f>
        <v>267960</v>
      </c>
      <c r="Q10" s="203"/>
    </row>
    <row r="11" spans="1:17" ht="26.25" customHeight="1" x14ac:dyDescent="0.2">
      <c r="A11" s="13"/>
      <c r="B11" s="13"/>
      <c r="C11" s="70" t="s">
        <v>146</v>
      </c>
      <c r="D11" s="75" t="s">
        <v>60</v>
      </c>
      <c r="E11" s="12">
        <v>44553</v>
      </c>
      <c r="F11" s="73" t="s">
        <v>61</v>
      </c>
      <c r="G11" s="12">
        <v>44570</v>
      </c>
      <c r="H11" s="74" t="s">
        <v>114</v>
      </c>
      <c r="I11" s="15">
        <v>66</v>
      </c>
      <c r="J11" s="15">
        <v>58</v>
      </c>
      <c r="K11" s="15">
        <v>20</v>
      </c>
      <c r="L11" s="15">
        <v>7</v>
      </c>
      <c r="M11" s="78">
        <v>19.14</v>
      </c>
      <c r="N11" s="94">
        <v>19.14</v>
      </c>
      <c r="O11" s="61">
        <v>14000</v>
      </c>
      <c r="P11" s="62">
        <f>Table22457891011234567891011121314151617[[#This Row],[PEMBULATAN]]*O11</f>
        <v>267960</v>
      </c>
      <c r="Q11" s="203"/>
    </row>
    <row r="12" spans="1:17" ht="26.25" customHeight="1" x14ac:dyDescent="0.2">
      <c r="A12" s="13"/>
      <c r="B12" s="13"/>
      <c r="C12" s="70" t="s">
        <v>147</v>
      </c>
      <c r="D12" s="75" t="s">
        <v>60</v>
      </c>
      <c r="E12" s="12">
        <v>44553</v>
      </c>
      <c r="F12" s="73" t="s">
        <v>61</v>
      </c>
      <c r="G12" s="12">
        <v>44570</v>
      </c>
      <c r="H12" s="74" t="s">
        <v>114</v>
      </c>
      <c r="I12" s="15">
        <v>66</v>
      </c>
      <c r="J12" s="15">
        <v>58</v>
      </c>
      <c r="K12" s="15">
        <v>20</v>
      </c>
      <c r="L12" s="15">
        <v>7</v>
      </c>
      <c r="M12" s="78">
        <v>19.14</v>
      </c>
      <c r="N12" s="94">
        <v>19.14</v>
      </c>
      <c r="O12" s="61">
        <v>14000</v>
      </c>
      <c r="P12" s="62">
        <f>Table22457891011234567891011121314151617[[#This Row],[PEMBULATAN]]*O12</f>
        <v>267960</v>
      </c>
      <c r="Q12" s="203"/>
    </row>
    <row r="13" spans="1:17" ht="26.25" customHeight="1" x14ac:dyDescent="0.2">
      <c r="A13" s="13"/>
      <c r="B13" s="13"/>
      <c r="C13" s="70" t="s">
        <v>148</v>
      </c>
      <c r="D13" s="75" t="s">
        <v>60</v>
      </c>
      <c r="E13" s="12">
        <v>44553</v>
      </c>
      <c r="F13" s="73" t="s">
        <v>61</v>
      </c>
      <c r="G13" s="12">
        <v>44570</v>
      </c>
      <c r="H13" s="74" t="s">
        <v>114</v>
      </c>
      <c r="I13" s="15">
        <v>66</v>
      </c>
      <c r="J13" s="15">
        <v>58</v>
      </c>
      <c r="K13" s="15">
        <v>20</v>
      </c>
      <c r="L13" s="15">
        <v>7</v>
      </c>
      <c r="M13" s="78">
        <v>19.14</v>
      </c>
      <c r="N13" s="94">
        <v>19.14</v>
      </c>
      <c r="O13" s="61">
        <v>14000</v>
      </c>
      <c r="P13" s="62">
        <f>Table22457891011234567891011121314151617[[#This Row],[PEMBULATAN]]*O13</f>
        <v>267960</v>
      </c>
      <c r="Q13" s="203"/>
    </row>
    <row r="14" spans="1:17" ht="26.25" customHeight="1" x14ac:dyDescent="0.2">
      <c r="A14" s="13"/>
      <c r="B14" s="103"/>
      <c r="C14" s="70" t="s">
        <v>149</v>
      </c>
      <c r="D14" s="75" t="s">
        <v>60</v>
      </c>
      <c r="E14" s="12">
        <v>44553</v>
      </c>
      <c r="F14" s="73" t="s">
        <v>61</v>
      </c>
      <c r="G14" s="12">
        <v>44570</v>
      </c>
      <c r="H14" s="74" t="s">
        <v>114</v>
      </c>
      <c r="I14" s="15">
        <v>66</v>
      </c>
      <c r="J14" s="15">
        <v>58</v>
      </c>
      <c r="K14" s="15">
        <v>20</v>
      </c>
      <c r="L14" s="15">
        <v>7</v>
      </c>
      <c r="M14" s="78">
        <v>19.14</v>
      </c>
      <c r="N14" s="94">
        <v>19.14</v>
      </c>
      <c r="O14" s="61">
        <v>14000</v>
      </c>
      <c r="P14" s="62">
        <f>Table22457891011234567891011121314151617[[#This Row],[PEMBULATAN]]*O14</f>
        <v>267960</v>
      </c>
      <c r="Q14" s="203"/>
    </row>
    <row r="15" spans="1:17" ht="26.25" customHeight="1" x14ac:dyDescent="0.2">
      <c r="A15" s="103"/>
      <c r="B15" s="13" t="s">
        <v>150</v>
      </c>
      <c r="C15" s="104" t="s">
        <v>151</v>
      </c>
      <c r="D15" s="105" t="s">
        <v>60</v>
      </c>
      <c r="E15" s="99">
        <v>44553</v>
      </c>
      <c r="F15" s="98" t="s">
        <v>61</v>
      </c>
      <c r="G15" s="99">
        <v>44570</v>
      </c>
      <c r="H15" s="106" t="s">
        <v>114</v>
      </c>
      <c r="I15" s="107">
        <v>54</v>
      </c>
      <c r="J15" s="107">
        <v>6</v>
      </c>
      <c r="K15" s="107">
        <v>6</v>
      </c>
      <c r="L15" s="107">
        <v>4</v>
      </c>
      <c r="M15" s="108">
        <v>0.48599999999999999</v>
      </c>
      <c r="N15" s="100">
        <v>4</v>
      </c>
      <c r="O15" s="61">
        <v>14000</v>
      </c>
      <c r="P15" s="102">
        <f>Table22457891011234567891011121314151617[[#This Row],[PEMBULATAN]]*O15</f>
        <v>56000</v>
      </c>
      <c r="Q15" s="216"/>
    </row>
    <row r="16" spans="1:17" ht="22.5" customHeight="1" x14ac:dyDescent="0.2">
      <c r="A16" s="213" t="s">
        <v>30</v>
      </c>
      <c r="B16" s="208"/>
      <c r="C16" s="208"/>
      <c r="D16" s="208"/>
      <c r="E16" s="208"/>
      <c r="F16" s="208"/>
      <c r="G16" s="208"/>
      <c r="H16" s="208"/>
      <c r="I16" s="208"/>
      <c r="J16" s="208"/>
      <c r="K16" s="208"/>
      <c r="L16" s="209"/>
      <c r="M16" s="76">
        <f>SUBTOTAL(109,Table22457891011234567891011121314151617[KG VOLUME])</f>
        <v>349.50999999999993</v>
      </c>
      <c r="N16" s="65">
        <f>SUM(N3:N15)</f>
        <v>359.67399999999998</v>
      </c>
      <c r="O16" s="210">
        <f>SUM(P3:P15)</f>
        <v>5035436</v>
      </c>
      <c r="P16" s="211"/>
    </row>
    <row r="17" spans="1:16" ht="18" customHeight="1" x14ac:dyDescent="0.2">
      <c r="A17" s="83"/>
      <c r="B17" s="55" t="s">
        <v>42</v>
      </c>
      <c r="C17" s="54"/>
      <c r="D17" s="56" t="s">
        <v>43</v>
      </c>
      <c r="E17" s="83"/>
      <c r="F17" s="83"/>
      <c r="G17" s="83"/>
      <c r="H17" s="83"/>
      <c r="I17" s="83"/>
      <c r="J17" s="83"/>
      <c r="K17" s="83"/>
      <c r="L17" s="83"/>
      <c r="M17" s="84"/>
      <c r="N17" s="85" t="s">
        <v>51</v>
      </c>
      <c r="O17" s="86"/>
      <c r="P17" s="86">
        <f>O16*10%</f>
        <v>503543.60000000003</v>
      </c>
    </row>
    <row r="18" spans="1:16" ht="18" customHeight="1" thickBot="1" x14ac:dyDescent="0.25">
      <c r="A18" s="83"/>
      <c r="B18" s="55"/>
      <c r="C18" s="54"/>
      <c r="D18" s="56"/>
      <c r="E18" s="83"/>
      <c r="F18" s="83"/>
      <c r="G18" s="83"/>
      <c r="H18" s="83"/>
      <c r="I18" s="83"/>
      <c r="J18" s="83"/>
      <c r="K18" s="83"/>
      <c r="L18" s="83"/>
      <c r="M18" s="84"/>
      <c r="N18" s="87" t="s">
        <v>52</v>
      </c>
      <c r="O18" s="88"/>
      <c r="P18" s="88">
        <f>O16-P17</f>
        <v>4531892.4000000004</v>
      </c>
    </row>
    <row r="19" spans="1:16" ht="18" customHeight="1" x14ac:dyDescent="0.2">
      <c r="A19" s="10"/>
      <c r="H19" s="60"/>
      <c r="N19" s="59" t="s">
        <v>31</v>
      </c>
      <c r="P19" s="66">
        <f>P18*1%</f>
        <v>45318.924000000006</v>
      </c>
    </row>
    <row r="20" spans="1:16" ht="18" customHeight="1" thickBot="1" x14ac:dyDescent="0.25">
      <c r="A20" s="10"/>
      <c r="H20" s="60"/>
      <c r="N20" s="59" t="s">
        <v>53</v>
      </c>
      <c r="P20" s="68">
        <f>P18*2%</f>
        <v>90637.848000000013</v>
      </c>
    </row>
    <row r="21" spans="1:16" ht="18" customHeight="1" x14ac:dyDescent="0.2">
      <c r="A21" s="10"/>
      <c r="H21" s="60"/>
      <c r="N21" s="63" t="s">
        <v>32</v>
      </c>
      <c r="O21" s="64"/>
      <c r="P21" s="67">
        <f>P18+P19-P20</f>
        <v>4486573.4759999998</v>
      </c>
    </row>
    <row r="23" spans="1:16" x14ac:dyDescent="0.2">
      <c r="A23" s="10"/>
      <c r="H23" s="60"/>
      <c r="P23" s="68"/>
    </row>
    <row r="24" spans="1:16" x14ac:dyDescent="0.2">
      <c r="A24" s="10"/>
      <c r="H24" s="60"/>
      <c r="O24" s="57"/>
      <c r="P24" s="68"/>
    </row>
    <row r="25" spans="1:16" s="3" customFormat="1" x14ac:dyDescent="0.25">
      <c r="A25" s="10"/>
      <c r="B25" s="2"/>
      <c r="C25" s="2"/>
      <c r="E25" s="11"/>
      <c r="H25" s="60"/>
      <c r="N25" s="14"/>
      <c r="O25" s="14"/>
      <c r="P25" s="14"/>
    </row>
    <row r="26" spans="1:16" s="3" customFormat="1" x14ac:dyDescent="0.25">
      <c r="A26" s="10"/>
      <c r="B26" s="2"/>
      <c r="C26" s="2"/>
      <c r="E26" s="11"/>
      <c r="H26" s="60"/>
      <c r="N26" s="14"/>
      <c r="O26" s="14"/>
      <c r="P26" s="14"/>
    </row>
    <row r="27" spans="1:16" s="3" customFormat="1" x14ac:dyDescent="0.25">
      <c r="A27" s="10"/>
      <c r="B27" s="2"/>
      <c r="C27" s="2"/>
      <c r="E27" s="11"/>
      <c r="H27" s="60"/>
      <c r="N27" s="14"/>
      <c r="O27" s="14"/>
      <c r="P27" s="14"/>
    </row>
    <row r="28" spans="1:16" s="3" customFormat="1" x14ac:dyDescent="0.25">
      <c r="A28" s="10"/>
      <c r="B28" s="2"/>
      <c r="C28" s="2"/>
      <c r="E28" s="11"/>
      <c r="H28" s="60"/>
      <c r="N28" s="14"/>
      <c r="O28" s="14"/>
      <c r="P28" s="14"/>
    </row>
    <row r="29" spans="1:16" s="3" customFormat="1" x14ac:dyDescent="0.25">
      <c r="A29" s="10"/>
      <c r="B29" s="2"/>
      <c r="C29" s="2"/>
      <c r="E29" s="11"/>
      <c r="H29" s="60"/>
      <c r="N29" s="14"/>
      <c r="O29" s="14"/>
      <c r="P29" s="14"/>
    </row>
    <row r="30" spans="1:16" s="3" customFormat="1" x14ac:dyDescent="0.25">
      <c r="A30" s="10"/>
      <c r="B30" s="2"/>
      <c r="C30" s="2"/>
      <c r="E30" s="11"/>
      <c r="H30" s="60"/>
      <c r="N30" s="14"/>
      <c r="O30" s="14"/>
      <c r="P30" s="14"/>
    </row>
    <row r="31" spans="1:16" s="3" customFormat="1" x14ac:dyDescent="0.25">
      <c r="A31" s="10"/>
      <c r="B31" s="2"/>
      <c r="C31" s="2"/>
      <c r="E31" s="11"/>
      <c r="H31" s="60"/>
      <c r="N31" s="14"/>
      <c r="O31" s="14"/>
      <c r="P31" s="14"/>
    </row>
    <row r="32" spans="1:16" s="3" customFormat="1" x14ac:dyDescent="0.25">
      <c r="A32" s="10"/>
      <c r="B32" s="2"/>
      <c r="C32" s="2"/>
      <c r="E32" s="11"/>
      <c r="H32" s="60"/>
      <c r="N32" s="14"/>
      <c r="O32" s="14"/>
      <c r="P32" s="14"/>
    </row>
    <row r="33" spans="1:16" s="3" customFormat="1" x14ac:dyDescent="0.25">
      <c r="A33" s="10"/>
      <c r="B33" s="2"/>
      <c r="C33" s="2"/>
      <c r="E33" s="11"/>
      <c r="H33" s="60"/>
      <c r="N33" s="14"/>
      <c r="O33" s="14"/>
      <c r="P33" s="14"/>
    </row>
    <row r="34" spans="1:16" s="3" customFormat="1" x14ac:dyDescent="0.25">
      <c r="A34" s="10"/>
      <c r="B34" s="2"/>
      <c r="C34" s="2"/>
      <c r="E34" s="11"/>
      <c r="H34" s="60"/>
      <c r="N34" s="14"/>
      <c r="O34" s="14"/>
      <c r="P34" s="14"/>
    </row>
    <row r="35" spans="1:16" s="3" customFormat="1" x14ac:dyDescent="0.25">
      <c r="A35" s="10"/>
      <c r="B35" s="2"/>
      <c r="C35" s="2"/>
      <c r="E35" s="11"/>
      <c r="H35" s="60"/>
      <c r="N35" s="14"/>
      <c r="O35" s="14"/>
      <c r="P35" s="14"/>
    </row>
    <row r="36" spans="1:16" s="3" customFormat="1" x14ac:dyDescent="0.25">
      <c r="A36" s="10"/>
      <c r="B36" s="2"/>
      <c r="C36" s="2"/>
      <c r="E36" s="11"/>
      <c r="H36" s="60"/>
      <c r="N36" s="14"/>
      <c r="O36" s="14"/>
      <c r="P36" s="14"/>
    </row>
  </sheetData>
  <mergeCells count="3">
    <mergeCell ref="A16:L16"/>
    <mergeCell ref="O16:P16"/>
    <mergeCell ref="Q3:Q15"/>
  </mergeCells>
  <conditionalFormatting sqref="B3">
    <cfRule type="duplicateValues" dxfId="102" priority="2"/>
  </conditionalFormatting>
  <conditionalFormatting sqref="B5:B6 B15">
    <cfRule type="duplicateValues" dxfId="101" priority="1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Q32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Q3" sqref="Q3:Q11"/>
    </sheetView>
  </sheetViews>
  <sheetFormatPr defaultRowHeight="15" x14ac:dyDescent="0.2"/>
  <cols>
    <col min="1" max="1" width="6.140625" style="4" customWidth="1"/>
    <col min="2" max="2" width="19.5703125" style="2" customWidth="1"/>
    <col min="3" max="3" width="14.140625" style="2" customWidth="1"/>
    <col min="4" max="4" width="9.85546875" style="3" customWidth="1"/>
    <col min="5" max="5" width="8" style="11" customWidth="1"/>
    <col min="6" max="6" width="13.85546875" style="3" customWidth="1"/>
    <col min="7" max="7" width="8.7109375" style="3" customWidth="1"/>
    <col min="8" max="8" width="13.85546875" style="6" customWidth="1"/>
    <col min="9" max="11" width="4.42578125" style="3" customWidth="1"/>
    <col min="12" max="12" width="4.140625" style="3" customWidth="1"/>
    <col min="13" max="13" width="8.140625" style="3" customWidth="1"/>
    <col min="14" max="14" width="12.140625" style="14" customWidth="1"/>
    <col min="15" max="15" width="8.28515625" style="14" customWidth="1"/>
    <col min="16" max="16" width="11" style="14" customWidth="1"/>
    <col min="17" max="17" width="6.1406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8" t="s">
        <v>7</v>
      </c>
      <c r="C2" s="58" t="s">
        <v>0</v>
      </c>
      <c r="D2" s="58" t="s">
        <v>1</v>
      </c>
      <c r="E2" s="97" t="s">
        <v>4</v>
      </c>
      <c r="F2" s="58" t="s">
        <v>3</v>
      </c>
      <c r="G2" s="58" t="s">
        <v>5</v>
      </c>
      <c r="H2" s="97" t="s">
        <v>2</v>
      </c>
      <c r="I2" s="58" t="s">
        <v>39</v>
      </c>
      <c r="J2" s="58" t="s">
        <v>40</v>
      </c>
      <c r="K2" s="58" t="s">
        <v>41</v>
      </c>
      <c r="L2" s="58" t="s">
        <v>45</v>
      </c>
      <c r="M2" s="58" t="s">
        <v>46</v>
      </c>
      <c r="N2" s="58" t="s">
        <v>6</v>
      </c>
      <c r="O2" s="58" t="s">
        <v>47</v>
      </c>
      <c r="P2" s="58" t="s">
        <v>48</v>
      </c>
      <c r="Q2" s="58" t="s">
        <v>26</v>
      </c>
    </row>
    <row r="3" spans="1:17" ht="26.25" customHeight="1" x14ac:dyDescent="0.2">
      <c r="A3" s="80">
        <v>402730</v>
      </c>
      <c r="B3" s="115" t="s">
        <v>152</v>
      </c>
      <c r="C3" s="8" t="s">
        <v>153</v>
      </c>
      <c r="D3" s="73" t="s">
        <v>60</v>
      </c>
      <c r="E3" s="12">
        <v>44554</v>
      </c>
      <c r="F3" s="73" t="s">
        <v>61</v>
      </c>
      <c r="G3" s="12">
        <v>44570</v>
      </c>
      <c r="H3" s="9" t="s">
        <v>114</v>
      </c>
      <c r="I3" s="1">
        <v>51</v>
      </c>
      <c r="J3" s="1">
        <v>45</v>
      </c>
      <c r="K3" s="1">
        <v>14</v>
      </c>
      <c r="L3" s="1">
        <v>11</v>
      </c>
      <c r="M3" s="77">
        <v>8.0325000000000006</v>
      </c>
      <c r="N3" s="7">
        <v>11</v>
      </c>
      <c r="O3" s="61">
        <v>14000</v>
      </c>
      <c r="P3" s="62">
        <f>Table2245789101123456789101112131415161718[[#This Row],[PEMBULATAN]]*O3</f>
        <v>154000</v>
      </c>
      <c r="Q3" s="194">
        <v>9</v>
      </c>
    </row>
    <row r="4" spans="1:17" ht="26.25" customHeight="1" x14ac:dyDescent="0.2">
      <c r="A4" s="13"/>
      <c r="B4" s="71"/>
      <c r="C4" s="8" t="s">
        <v>154</v>
      </c>
      <c r="D4" s="73" t="s">
        <v>60</v>
      </c>
      <c r="E4" s="12">
        <v>44554</v>
      </c>
      <c r="F4" s="73" t="s">
        <v>61</v>
      </c>
      <c r="G4" s="12">
        <v>44570</v>
      </c>
      <c r="H4" s="9" t="s">
        <v>114</v>
      </c>
      <c r="I4" s="1">
        <v>51</v>
      </c>
      <c r="J4" s="1">
        <v>45</v>
      </c>
      <c r="K4" s="1">
        <v>14</v>
      </c>
      <c r="L4" s="1">
        <v>11</v>
      </c>
      <c r="M4" s="77">
        <v>8.0325000000000006</v>
      </c>
      <c r="N4" s="7">
        <v>11</v>
      </c>
      <c r="O4" s="61">
        <v>14000</v>
      </c>
      <c r="P4" s="62">
        <f>Table2245789101123456789101112131415161718[[#This Row],[PEMBULATAN]]*O4</f>
        <v>154000</v>
      </c>
      <c r="Q4" s="194"/>
    </row>
    <row r="5" spans="1:17" ht="26.25" customHeight="1" x14ac:dyDescent="0.2">
      <c r="A5" s="13"/>
      <c r="B5" s="13"/>
      <c r="C5" s="8" t="s">
        <v>155</v>
      </c>
      <c r="D5" s="73" t="s">
        <v>60</v>
      </c>
      <c r="E5" s="12">
        <v>44554</v>
      </c>
      <c r="F5" s="73" t="s">
        <v>61</v>
      </c>
      <c r="G5" s="12">
        <v>44570</v>
      </c>
      <c r="H5" s="9" t="s">
        <v>114</v>
      </c>
      <c r="I5" s="1">
        <v>51</v>
      </c>
      <c r="J5" s="1">
        <v>45</v>
      </c>
      <c r="K5" s="1">
        <v>14</v>
      </c>
      <c r="L5" s="1">
        <v>11</v>
      </c>
      <c r="M5" s="77">
        <v>8.0325000000000006</v>
      </c>
      <c r="N5" s="7">
        <v>11</v>
      </c>
      <c r="O5" s="61">
        <v>14000</v>
      </c>
      <c r="P5" s="62">
        <f>Table2245789101123456789101112131415161718[[#This Row],[PEMBULATAN]]*O5</f>
        <v>154000</v>
      </c>
      <c r="Q5" s="194"/>
    </row>
    <row r="6" spans="1:17" ht="26.25" customHeight="1" x14ac:dyDescent="0.2">
      <c r="A6" s="13"/>
      <c r="B6" s="13"/>
      <c r="C6" s="70" t="s">
        <v>156</v>
      </c>
      <c r="D6" s="75" t="s">
        <v>60</v>
      </c>
      <c r="E6" s="12">
        <v>44554</v>
      </c>
      <c r="F6" s="73" t="s">
        <v>61</v>
      </c>
      <c r="G6" s="12">
        <v>44570</v>
      </c>
      <c r="H6" s="74" t="s">
        <v>114</v>
      </c>
      <c r="I6" s="15">
        <v>51</v>
      </c>
      <c r="J6" s="15">
        <v>45</v>
      </c>
      <c r="K6" s="15">
        <v>14</v>
      </c>
      <c r="L6" s="15">
        <v>11</v>
      </c>
      <c r="M6" s="78">
        <v>8.0325000000000006</v>
      </c>
      <c r="N6" s="69">
        <v>11</v>
      </c>
      <c r="O6" s="61">
        <v>14000</v>
      </c>
      <c r="P6" s="62">
        <f>Table2245789101123456789101112131415161718[[#This Row],[PEMBULATAN]]*O6</f>
        <v>154000</v>
      </c>
      <c r="Q6" s="194"/>
    </row>
    <row r="7" spans="1:17" ht="26.25" customHeight="1" x14ac:dyDescent="0.2">
      <c r="A7" s="13"/>
      <c r="B7" s="13"/>
      <c r="C7" s="70" t="s">
        <v>157</v>
      </c>
      <c r="D7" s="75" t="s">
        <v>60</v>
      </c>
      <c r="E7" s="12">
        <v>44554</v>
      </c>
      <c r="F7" s="73" t="s">
        <v>61</v>
      </c>
      <c r="G7" s="12">
        <v>44570</v>
      </c>
      <c r="H7" s="74" t="s">
        <v>114</v>
      </c>
      <c r="I7" s="15">
        <v>51</v>
      </c>
      <c r="J7" s="15">
        <v>45</v>
      </c>
      <c r="K7" s="15">
        <v>14</v>
      </c>
      <c r="L7" s="15">
        <v>11</v>
      </c>
      <c r="M7" s="78">
        <v>8.0325000000000006</v>
      </c>
      <c r="N7" s="69">
        <v>11</v>
      </c>
      <c r="O7" s="61">
        <v>14000</v>
      </c>
      <c r="P7" s="62">
        <f>Table2245789101123456789101112131415161718[[#This Row],[PEMBULATAN]]*O7</f>
        <v>154000</v>
      </c>
      <c r="Q7" s="194"/>
    </row>
    <row r="8" spans="1:17" ht="26.25" customHeight="1" x14ac:dyDescent="0.2">
      <c r="A8" s="13"/>
      <c r="B8" s="13"/>
      <c r="C8" s="70" t="s">
        <v>158</v>
      </c>
      <c r="D8" s="75" t="s">
        <v>60</v>
      </c>
      <c r="E8" s="12">
        <v>44554</v>
      </c>
      <c r="F8" s="73" t="s">
        <v>61</v>
      </c>
      <c r="G8" s="12">
        <v>44570</v>
      </c>
      <c r="H8" s="74" t="s">
        <v>114</v>
      </c>
      <c r="I8" s="15">
        <v>51</v>
      </c>
      <c r="J8" s="15">
        <v>45</v>
      </c>
      <c r="K8" s="15">
        <v>14</v>
      </c>
      <c r="L8" s="15">
        <v>11</v>
      </c>
      <c r="M8" s="78">
        <v>8.0325000000000006</v>
      </c>
      <c r="N8" s="69">
        <v>11</v>
      </c>
      <c r="O8" s="61">
        <v>14000</v>
      </c>
      <c r="P8" s="62">
        <f>Table2245789101123456789101112131415161718[[#This Row],[PEMBULATAN]]*O8</f>
        <v>154000</v>
      </c>
      <c r="Q8" s="194"/>
    </row>
    <row r="9" spans="1:17" ht="26.25" customHeight="1" x14ac:dyDescent="0.2">
      <c r="A9" s="13"/>
      <c r="B9" s="13"/>
      <c r="C9" s="70" t="s">
        <v>159</v>
      </c>
      <c r="D9" s="75" t="s">
        <v>60</v>
      </c>
      <c r="E9" s="12">
        <v>44554</v>
      </c>
      <c r="F9" s="73" t="s">
        <v>61</v>
      </c>
      <c r="G9" s="12">
        <v>44570</v>
      </c>
      <c r="H9" s="74" t="s">
        <v>114</v>
      </c>
      <c r="I9" s="15">
        <v>51</v>
      </c>
      <c r="J9" s="15">
        <v>45</v>
      </c>
      <c r="K9" s="15">
        <v>14</v>
      </c>
      <c r="L9" s="15">
        <v>11</v>
      </c>
      <c r="M9" s="78">
        <v>8.0325000000000006</v>
      </c>
      <c r="N9" s="69">
        <v>11</v>
      </c>
      <c r="O9" s="61">
        <v>14000</v>
      </c>
      <c r="P9" s="62">
        <f>Table2245789101123456789101112131415161718[[#This Row],[PEMBULATAN]]*O9</f>
        <v>154000</v>
      </c>
      <c r="Q9" s="194"/>
    </row>
    <row r="10" spans="1:17" ht="26.25" customHeight="1" x14ac:dyDescent="0.2">
      <c r="A10" s="13"/>
      <c r="B10" s="13"/>
      <c r="C10" s="70" t="s">
        <v>160</v>
      </c>
      <c r="D10" s="75" t="s">
        <v>60</v>
      </c>
      <c r="E10" s="12">
        <v>44554</v>
      </c>
      <c r="F10" s="73" t="s">
        <v>61</v>
      </c>
      <c r="G10" s="12">
        <v>44570</v>
      </c>
      <c r="H10" s="74" t="s">
        <v>114</v>
      </c>
      <c r="I10" s="15">
        <v>51</v>
      </c>
      <c r="J10" s="15">
        <v>45</v>
      </c>
      <c r="K10" s="15">
        <v>14</v>
      </c>
      <c r="L10" s="15">
        <v>11</v>
      </c>
      <c r="M10" s="78">
        <v>8.0325000000000006</v>
      </c>
      <c r="N10" s="69">
        <v>11</v>
      </c>
      <c r="O10" s="61">
        <v>14000</v>
      </c>
      <c r="P10" s="62">
        <f>Table2245789101123456789101112131415161718[[#This Row],[PEMBULATAN]]*O10</f>
        <v>154000</v>
      </c>
      <c r="Q10" s="194"/>
    </row>
    <row r="11" spans="1:17" ht="26.25" customHeight="1" x14ac:dyDescent="0.2">
      <c r="A11" s="103"/>
      <c r="B11" s="103"/>
      <c r="C11" s="70" t="s">
        <v>161</v>
      </c>
      <c r="D11" s="75" t="s">
        <v>60</v>
      </c>
      <c r="E11" s="12">
        <v>44554</v>
      </c>
      <c r="F11" s="73" t="s">
        <v>61</v>
      </c>
      <c r="G11" s="12">
        <v>44570</v>
      </c>
      <c r="H11" s="74" t="s">
        <v>114</v>
      </c>
      <c r="I11" s="15">
        <v>51</v>
      </c>
      <c r="J11" s="15">
        <v>45</v>
      </c>
      <c r="K11" s="15">
        <v>14</v>
      </c>
      <c r="L11" s="15">
        <v>11</v>
      </c>
      <c r="M11" s="78">
        <v>8.0325000000000006</v>
      </c>
      <c r="N11" s="69">
        <v>11</v>
      </c>
      <c r="O11" s="61">
        <v>14000</v>
      </c>
      <c r="P11" s="62">
        <f>Table2245789101123456789101112131415161718[[#This Row],[PEMBULATAN]]*O11</f>
        <v>154000</v>
      </c>
      <c r="Q11" s="194"/>
    </row>
    <row r="12" spans="1:17" ht="22.5" customHeight="1" x14ac:dyDescent="0.2">
      <c r="A12" s="206" t="s">
        <v>30</v>
      </c>
      <c r="B12" s="207"/>
      <c r="C12" s="207"/>
      <c r="D12" s="207"/>
      <c r="E12" s="207"/>
      <c r="F12" s="207"/>
      <c r="G12" s="207"/>
      <c r="H12" s="207"/>
      <c r="I12" s="207"/>
      <c r="J12" s="207"/>
      <c r="K12" s="207"/>
      <c r="L12" s="218"/>
      <c r="M12" s="113">
        <f>SUM(M3:M11)</f>
        <v>72.292500000000004</v>
      </c>
      <c r="N12" s="114">
        <f>SUM(N3:N11)</f>
        <v>99</v>
      </c>
      <c r="O12" s="219">
        <f>SUM(P3:P11)</f>
        <v>1386000</v>
      </c>
      <c r="P12" s="220"/>
    </row>
    <row r="13" spans="1:17" ht="18" customHeight="1" x14ac:dyDescent="0.2">
      <c r="A13" s="83"/>
      <c r="B13" s="55" t="s">
        <v>42</v>
      </c>
      <c r="C13" s="54"/>
      <c r="D13" s="56" t="s">
        <v>43</v>
      </c>
      <c r="E13" s="83"/>
      <c r="F13" s="83"/>
      <c r="G13" s="83"/>
      <c r="H13" s="83"/>
      <c r="I13" s="83"/>
      <c r="J13" s="83"/>
      <c r="K13" s="83"/>
      <c r="L13" s="83"/>
      <c r="M13" s="84"/>
      <c r="N13" s="85" t="s">
        <v>51</v>
      </c>
      <c r="O13" s="86"/>
      <c r="P13" s="86">
        <f>O12*10%</f>
        <v>138600</v>
      </c>
    </row>
    <row r="14" spans="1:17" ht="18" customHeight="1" thickBot="1" x14ac:dyDescent="0.25">
      <c r="A14" s="83"/>
      <c r="B14" s="55"/>
      <c r="C14" s="54"/>
      <c r="D14" s="56"/>
      <c r="E14" s="83"/>
      <c r="F14" s="83"/>
      <c r="G14" s="83"/>
      <c r="H14" s="83"/>
      <c r="I14" s="83"/>
      <c r="J14" s="83"/>
      <c r="K14" s="83"/>
      <c r="L14" s="83"/>
      <c r="M14" s="84"/>
      <c r="N14" s="87" t="s">
        <v>52</v>
      </c>
      <c r="O14" s="88"/>
      <c r="P14" s="88">
        <f>O12-P13</f>
        <v>1247400</v>
      </c>
    </row>
    <row r="15" spans="1:17" ht="18" customHeight="1" x14ac:dyDescent="0.2">
      <c r="A15" s="10"/>
      <c r="H15" s="60"/>
      <c r="N15" s="59" t="s">
        <v>31</v>
      </c>
      <c r="P15" s="66">
        <f>P14*1%</f>
        <v>12474</v>
      </c>
    </row>
    <row r="16" spans="1:17" ht="18" customHeight="1" thickBot="1" x14ac:dyDescent="0.25">
      <c r="A16" s="10"/>
      <c r="H16" s="60"/>
      <c r="N16" s="59" t="s">
        <v>53</v>
      </c>
      <c r="P16" s="68">
        <f>P14*2%</f>
        <v>24948</v>
      </c>
    </row>
    <row r="17" spans="1:16" ht="18" customHeight="1" x14ac:dyDescent="0.2">
      <c r="A17" s="10"/>
      <c r="H17" s="60"/>
      <c r="N17" s="63" t="s">
        <v>32</v>
      </c>
      <c r="O17" s="64"/>
      <c r="P17" s="67">
        <f>P14+P15-P16</f>
        <v>1234926</v>
      </c>
    </row>
    <row r="19" spans="1:16" x14ac:dyDescent="0.2">
      <c r="A19" s="10"/>
      <c r="H19" s="60"/>
      <c r="P19" s="68"/>
    </row>
    <row r="20" spans="1:16" x14ac:dyDescent="0.2">
      <c r="A20" s="10"/>
      <c r="H20" s="60"/>
      <c r="O20" s="57"/>
      <c r="P20" s="68"/>
    </row>
    <row r="21" spans="1:16" s="3" customFormat="1" x14ac:dyDescent="0.25">
      <c r="A21" s="10"/>
      <c r="B21" s="2"/>
      <c r="C21" s="2"/>
      <c r="E21" s="11"/>
      <c r="H21" s="60"/>
      <c r="N21" s="14"/>
      <c r="O21" s="14"/>
      <c r="P21" s="14"/>
    </row>
    <row r="22" spans="1:16" s="3" customFormat="1" x14ac:dyDescent="0.25">
      <c r="A22" s="10"/>
      <c r="B22" s="2"/>
      <c r="C22" s="2"/>
      <c r="E22" s="11"/>
      <c r="H22" s="60"/>
      <c r="N22" s="14"/>
      <c r="O22" s="14"/>
      <c r="P22" s="14"/>
    </row>
    <row r="23" spans="1:16" s="3" customFormat="1" x14ac:dyDescent="0.25">
      <c r="A23" s="10"/>
      <c r="B23" s="2"/>
      <c r="C23" s="2"/>
      <c r="E23" s="11"/>
      <c r="H23" s="60"/>
      <c r="N23" s="14"/>
      <c r="O23" s="14"/>
      <c r="P23" s="14"/>
    </row>
    <row r="24" spans="1:16" s="3" customFormat="1" x14ac:dyDescent="0.25">
      <c r="A24" s="10"/>
      <c r="B24" s="2"/>
      <c r="C24" s="2"/>
      <c r="E24" s="11"/>
      <c r="H24" s="60"/>
      <c r="N24" s="14"/>
      <c r="O24" s="14"/>
      <c r="P24" s="14"/>
    </row>
    <row r="25" spans="1:16" s="3" customFormat="1" x14ac:dyDescent="0.25">
      <c r="A25" s="10"/>
      <c r="B25" s="2"/>
      <c r="C25" s="2"/>
      <c r="E25" s="11"/>
      <c r="H25" s="60"/>
      <c r="N25" s="14"/>
      <c r="O25" s="14"/>
      <c r="P25" s="14"/>
    </row>
    <row r="26" spans="1:16" s="3" customFormat="1" x14ac:dyDescent="0.25">
      <c r="A26" s="10"/>
      <c r="B26" s="2"/>
      <c r="C26" s="2"/>
      <c r="E26" s="11"/>
      <c r="H26" s="60"/>
      <c r="N26" s="14"/>
      <c r="O26" s="14"/>
      <c r="P26" s="14"/>
    </row>
    <row r="27" spans="1:16" s="3" customFormat="1" x14ac:dyDescent="0.25">
      <c r="A27" s="10"/>
      <c r="B27" s="2"/>
      <c r="C27" s="2"/>
      <c r="E27" s="11"/>
      <c r="H27" s="60"/>
      <c r="N27" s="14"/>
      <c r="O27" s="14"/>
      <c r="P27" s="14"/>
    </row>
    <row r="28" spans="1:16" s="3" customFormat="1" x14ac:dyDescent="0.25">
      <c r="A28" s="10"/>
      <c r="B28" s="2"/>
      <c r="C28" s="2"/>
      <c r="E28" s="11"/>
      <c r="H28" s="60"/>
      <c r="N28" s="14"/>
      <c r="O28" s="14"/>
      <c r="P28" s="14"/>
    </row>
    <row r="29" spans="1:16" s="3" customFormat="1" x14ac:dyDescent="0.25">
      <c r="A29" s="10"/>
      <c r="B29" s="2"/>
      <c r="C29" s="2"/>
      <c r="E29" s="11"/>
      <c r="H29" s="60"/>
      <c r="N29" s="14"/>
      <c r="O29" s="14"/>
      <c r="P29" s="14"/>
    </row>
    <row r="30" spans="1:16" s="3" customFormat="1" x14ac:dyDescent="0.25">
      <c r="A30" s="10"/>
      <c r="B30" s="2"/>
      <c r="C30" s="2"/>
      <c r="E30" s="11"/>
      <c r="H30" s="60"/>
      <c r="N30" s="14"/>
      <c r="O30" s="14"/>
      <c r="P30" s="14"/>
    </row>
    <row r="31" spans="1:16" s="3" customFormat="1" x14ac:dyDescent="0.25">
      <c r="A31" s="10"/>
      <c r="B31" s="2"/>
      <c r="C31" s="2"/>
      <c r="E31" s="11"/>
      <c r="H31" s="60"/>
      <c r="N31" s="14"/>
      <c r="O31" s="14"/>
      <c r="P31" s="14"/>
    </row>
    <row r="32" spans="1:16" s="3" customFormat="1" x14ac:dyDescent="0.25">
      <c r="A32" s="10"/>
      <c r="B32" s="2"/>
      <c r="C32" s="2"/>
      <c r="E32" s="11"/>
      <c r="H32" s="60"/>
      <c r="N32" s="14"/>
      <c r="O32" s="14"/>
      <c r="P32" s="14"/>
    </row>
  </sheetData>
  <mergeCells count="3">
    <mergeCell ref="A12:L12"/>
    <mergeCell ref="O12:P12"/>
    <mergeCell ref="Q3:Q11"/>
  </mergeCells>
  <conditionalFormatting sqref="B3">
    <cfRule type="duplicateValues" dxfId="85" priority="2"/>
  </conditionalFormatting>
  <conditionalFormatting sqref="B4">
    <cfRule type="duplicateValues" dxfId="84" priority="1"/>
  </conditionalFormatting>
  <conditionalFormatting sqref="B5:B11">
    <cfRule type="duplicateValues" dxfId="83" priority="16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Q24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K5" sqref="A4:L5"/>
    </sheetView>
  </sheetViews>
  <sheetFormatPr defaultRowHeight="15" x14ac:dyDescent="0.2"/>
  <cols>
    <col min="1" max="1" width="6.5703125" style="4" customWidth="1"/>
    <col min="2" max="2" width="19.28515625" style="2" customWidth="1"/>
    <col min="3" max="3" width="14.5703125" style="2" customWidth="1"/>
    <col min="4" max="4" width="8.140625" style="3" customWidth="1"/>
    <col min="5" max="5" width="7.5703125" style="11" customWidth="1"/>
    <col min="6" max="6" width="13.28515625" style="3" customWidth="1"/>
    <col min="7" max="7" width="8.42578125" style="3" customWidth="1"/>
    <col min="8" max="8" width="17.42578125" style="6" customWidth="1"/>
    <col min="9" max="12" width="4.42578125" style="3" customWidth="1"/>
    <col min="13" max="13" width="7.85546875" style="3" customWidth="1"/>
    <col min="14" max="14" width="12.28515625" style="14" customWidth="1"/>
    <col min="15" max="15" width="8.140625" style="14" customWidth="1"/>
    <col min="16" max="16" width="9.140625" style="14" customWidth="1"/>
    <col min="17" max="17" width="6.42578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8" t="s">
        <v>7</v>
      </c>
      <c r="C2" s="58" t="s">
        <v>0</v>
      </c>
      <c r="D2" s="58" t="s">
        <v>1</v>
      </c>
      <c r="E2" s="97" t="s">
        <v>4</v>
      </c>
      <c r="F2" s="58" t="s">
        <v>3</v>
      </c>
      <c r="G2" s="58" t="s">
        <v>5</v>
      </c>
      <c r="H2" s="97" t="s">
        <v>2</v>
      </c>
      <c r="I2" s="58" t="s">
        <v>39</v>
      </c>
      <c r="J2" s="58" t="s">
        <v>40</v>
      </c>
      <c r="K2" s="58" t="s">
        <v>41</v>
      </c>
      <c r="L2" s="58" t="s">
        <v>45</v>
      </c>
      <c r="M2" s="58" t="s">
        <v>46</v>
      </c>
      <c r="N2" s="58" t="s">
        <v>6</v>
      </c>
      <c r="O2" s="58" t="s">
        <v>47</v>
      </c>
      <c r="P2" s="58" t="s">
        <v>48</v>
      </c>
      <c r="Q2" s="58" t="s">
        <v>26</v>
      </c>
    </row>
    <row r="3" spans="1:17" ht="26.25" customHeight="1" x14ac:dyDescent="0.2">
      <c r="A3" s="80">
        <v>402735</v>
      </c>
      <c r="B3" s="71" t="s">
        <v>162</v>
      </c>
      <c r="C3" s="8" t="s">
        <v>163</v>
      </c>
      <c r="D3" s="73" t="s">
        <v>60</v>
      </c>
      <c r="E3" s="12">
        <v>44555</v>
      </c>
      <c r="F3" s="73" t="s">
        <v>61</v>
      </c>
      <c r="G3" s="12">
        <v>44570</v>
      </c>
      <c r="H3" s="9" t="s">
        <v>114</v>
      </c>
      <c r="I3" s="1">
        <v>35</v>
      </c>
      <c r="J3" s="1">
        <v>15</v>
      </c>
      <c r="K3" s="1">
        <v>9</v>
      </c>
      <c r="L3" s="1">
        <v>12</v>
      </c>
      <c r="M3" s="77">
        <v>1.1812499999999999</v>
      </c>
      <c r="N3" s="94">
        <v>12</v>
      </c>
      <c r="O3" s="61">
        <v>14000</v>
      </c>
      <c r="P3" s="62">
        <f>Table22457891011234567891011121314151617181920[[#This Row],[PEMBULATAN]]*O3</f>
        <v>168000</v>
      </c>
      <c r="Q3" s="112">
        <v>1</v>
      </c>
    </row>
    <row r="4" spans="1:17" ht="22.5" customHeight="1" x14ac:dyDescent="0.2">
      <c r="A4" s="213" t="s">
        <v>30</v>
      </c>
      <c r="B4" s="208"/>
      <c r="C4" s="208"/>
      <c r="D4" s="208"/>
      <c r="E4" s="208"/>
      <c r="F4" s="208"/>
      <c r="G4" s="208"/>
      <c r="H4" s="208"/>
      <c r="I4" s="208"/>
      <c r="J4" s="208"/>
      <c r="K4" s="208"/>
      <c r="L4" s="209"/>
      <c r="M4" s="76">
        <f>SUBTOTAL(109,Table22457891011234567891011121314151617181920[KG VOLUME])</f>
        <v>1.1812499999999999</v>
      </c>
      <c r="N4" s="65">
        <f>SUM(N3:N3)</f>
        <v>12</v>
      </c>
      <c r="O4" s="210">
        <f>SUM(P3:P3)</f>
        <v>168000</v>
      </c>
      <c r="P4" s="211"/>
    </row>
    <row r="5" spans="1:17" ht="18" customHeight="1" x14ac:dyDescent="0.2">
      <c r="A5" s="83"/>
      <c r="B5" s="55" t="s">
        <v>42</v>
      </c>
      <c r="C5" s="54"/>
      <c r="D5" s="56" t="s">
        <v>43</v>
      </c>
      <c r="E5" s="83"/>
      <c r="F5" s="83"/>
      <c r="G5" s="83"/>
      <c r="H5" s="83"/>
      <c r="I5" s="83"/>
      <c r="J5" s="83"/>
      <c r="K5" s="83"/>
      <c r="L5" s="83"/>
      <c r="M5" s="84"/>
      <c r="N5" s="85" t="s">
        <v>51</v>
      </c>
      <c r="O5" s="86"/>
      <c r="P5" s="86">
        <f>O4*10%</f>
        <v>16800</v>
      </c>
    </row>
    <row r="6" spans="1:17" ht="18" customHeight="1" thickBot="1" x14ac:dyDescent="0.25">
      <c r="A6" s="83"/>
      <c r="B6" s="55"/>
      <c r="C6" s="54"/>
      <c r="D6" s="56"/>
      <c r="E6" s="83"/>
      <c r="F6" s="83"/>
      <c r="G6" s="83"/>
      <c r="H6" s="83"/>
      <c r="I6" s="83"/>
      <c r="J6" s="83"/>
      <c r="K6" s="83"/>
      <c r="L6" s="83"/>
      <c r="M6" s="84"/>
      <c r="N6" s="87" t="s">
        <v>52</v>
      </c>
      <c r="O6" s="88"/>
      <c r="P6" s="88">
        <f>O4-P5</f>
        <v>151200</v>
      </c>
    </row>
    <row r="7" spans="1:17" ht="18" customHeight="1" x14ac:dyDescent="0.2">
      <c r="A7" s="10"/>
      <c r="H7" s="60"/>
      <c r="N7" s="59" t="s">
        <v>31</v>
      </c>
      <c r="P7" s="66">
        <f>P6*1%</f>
        <v>1512</v>
      </c>
    </row>
    <row r="8" spans="1:17" ht="18" customHeight="1" thickBot="1" x14ac:dyDescent="0.25">
      <c r="A8" s="10"/>
      <c r="H8" s="60"/>
      <c r="N8" s="59" t="s">
        <v>53</v>
      </c>
      <c r="P8" s="68">
        <f>P6*2%</f>
        <v>3024</v>
      </c>
    </row>
    <row r="9" spans="1:17" ht="18" customHeight="1" x14ac:dyDescent="0.2">
      <c r="A9" s="10"/>
      <c r="H9" s="60"/>
      <c r="N9" s="63" t="s">
        <v>32</v>
      </c>
      <c r="O9" s="64"/>
      <c r="P9" s="67">
        <f>P6+P7-P8</f>
        <v>149688</v>
      </c>
    </row>
    <row r="11" spans="1:17" x14ac:dyDescent="0.2">
      <c r="A11" s="10"/>
      <c r="H11" s="60"/>
      <c r="P11" s="68"/>
    </row>
    <row r="12" spans="1:17" x14ac:dyDescent="0.2">
      <c r="A12" s="10"/>
      <c r="H12" s="60"/>
      <c r="O12" s="57"/>
      <c r="P12" s="68"/>
    </row>
    <row r="13" spans="1:17" s="3" customFormat="1" x14ac:dyDescent="0.25">
      <c r="A13" s="10"/>
      <c r="B13" s="2"/>
      <c r="C13" s="2"/>
      <c r="E13" s="11"/>
      <c r="H13" s="60"/>
      <c r="N13" s="14"/>
      <c r="O13" s="14"/>
      <c r="P13" s="14"/>
    </row>
    <row r="14" spans="1:17" s="3" customFormat="1" x14ac:dyDescent="0.25">
      <c r="A14" s="10"/>
      <c r="B14" s="2"/>
      <c r="C14" s="2"/>
      <c r="E14" s="11"/>
      <c r="H14" s="60"/>
      <c r="N14" s="14"/>
      <c r="O14" s="14"/>
      <c r="P14" s="14"/>
    </row>
    <row r="15" spans="1:17" s="3" customFormat="1" x14ac:dyDescent="0.25">
      <c r="A15" s="10"/>
      <c r="B15" s="2"/>
      <c r="C15" s="2"/>
      <c r="E15" s="11"/>
      <c r="H15" s="60"/>
      <c r="N15" s="14"/>
      <c r="O15" s="14"/>
      <c r="P15" s="14"/>
    </row>
    <row r="16" spans="1:17" s="3" customFormat="1" x14ac:dyDescent="0.25">
      <c r="A16" s="10"/>
      <c r="B16" s="2"/>
      <c r="C16" s="2"/>
      <c r="E16" s="11"/>
      <c r="H16" s="60"/>
      <c r="N16" s="14"/>
      <c r="O16" s="14"/>
      <c r="P16" s="14"/>
    </row>
    <row r="17" spans="1:16" s="3" customFormat="1" x14ac:dyDescent="0.25">
      <c r="A17" s="10"/>
      <c r="B17" s="2"/>
      <c r="C17" s="2"/>
      <c r="E17" s="11"/>
      <c r="H17" s="60"/>
      <c r="N17" s="14"/>
      <c r="O17" s="14"/>
      <c r="P17" s="14"/>
    </row>
    <row r="18" spans="1:16" s="3" customFormat="1" x14ac:dyDescent="0.25">
      <c r="A18" s="10"/>
      <c r="B18" s="2"/>
      <c r="C18" s="2"/>
      <c r="E18" s="11"/>
      <c r="H18" s="60"/>
      <c r="N18" s="14"/>
      <c r="O18" s="14"/>
      <c r="P18" s="14"/>
    </row>
    <row r="19" spans="1:16" s="3" customFormat="1" x14ac:dyDescent="0.25">
      <c r="A19" s="10"/>
      <c r="B19" s="2"/>
      <c r="C19" s="2"/>
      <c r="E19" s="11"/>
      <c r="H19" s="60"/>
      <c r="N19" s="14"/>
      <c r="O19" s="14"/>
      <c r="P19" s="14"/>
    </row>
    <row r="20" spans="1:16" s="3" customFormat="1" x14ac:dyDescent="0.25">
      <c r="A20" s="10"/>
      <c r="B20" s="2"/>
      <c r="C20" s="2"/>
      <c r="E20" s="11"/>
      <c r="H20" s="60"/>
      <c r="N20" s="14"/>
      <c r="O20" s="14"/>
      <c r="P20" s="14"/>
    </row>
    <row r="21" spans="1:16" s="3" customFormat="1" x14ac:dyDescent="0.25">
      <c r="A21" s="10"/>
      <c r="B21" s="2"/>
      <c r="C21" s="2"/>
      <c r="E21" s="11"/>
      <c r="H21" s="60"/>
      <c r="N21" s="14"/>
      <c r="O21" s="14"/>
      <c r="P21" s="14"/>
    </row>
    <row r="22" spans="1:16" s="3" customFormat="1" x14ac:dyDescent="0.25">
      <c r="A22" s="10"/>
      <c r="B22" s="2"/>
      <c r="C22" s="2"/>
      <c r="E22" s="11"/>
      <c r="H22" s="60"/>
      <c r="N22" s="14"/>
      <c r="O22" s="14"/>
      <c r="P22" s="14"/>
    </row>
    <row r="23" spans="1:16" s="3" customFormat="1" x14ac:dyDescent="0.25">
      <c r="A23" s="10"/>
      <c r="B23" s="2"/>
      <c r="C23" s="2"/>
      <c r="E23" s="11"/>
      <c r="H23" s="60"/>
      <c r="N23" s="14"/>
      <c r="O23" s="14"/>
      <c r="P23" s="14"/>
    </row>
    <row r="24" spans="1:16" s="3" customFormat="1" x14ac:dyDescent="0.25">
      <c r="A24" s="10"/>
      <c r="B24" s="2"/>
      <c r="C24" s="2"/>
      <c r="E24" s="11"/>
      <c r="H24" s="60"/>
      <c r="N24" s="14"/>
      <c r="O24" s="14"/>
      <c r="P24" s="14"/>
    </row>
  </sheetData>
  <mergeCells count="2">
    <mergeCell ref="A4:L4"/>
    <mergeCell ref="O4:P4"/>
  </mergeCells>
  <conditionalFormatting sqref="B3">
    <cfRule type="duplicateValues" dxfId="67" priority="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Q24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J11" sqref="J11"/>
    </sheetView>
  </sheetViews>
  <sheetFormatPr defaultRowHeight="15" x14ac:dyDescent="0.2"/>
  <cols>
    <col min="1" max="1" width="6.5703125" style="4" customWidth="1"/>
    <col min="2" max="2" width="19.5703125" style="2" customWidth="1"/>
    <col min="3" max="3" width="14.140625" style="2" customWidth="1"/>
    <col min="4" max="4" width="8.28515625" style="3" customWidth="1"/>
    <col min="5" max="5" width="7.42578125" style="11" customWidth="1"/>
    <col min="6" max="6" width="14.42578125" style="3" customWidth="1"/>
    <col min="7" max="7" width="8.7109375" style="3" customWidth="1"/>
    <col min="8" max="8" width="14.85546875" style="6" customWidth="1"/>
    <col min="9" max="11" width="4.42578125" style="3" customWidth="1"/>
    <col min="12" max="12" width="4.28515625" style="3" customWidth="1"/>
    <col min="13" max="13" width="7.85546875" style="3" customWidth="1"/>
    <col min="14" max="14" width="12.7109375" style="14" customWidth="1"/>
    <col min="15" max="15" width="7.5703125" style="14" customWidth="1"/>
    <col min="16" max="16" width="9.28515625" style="14" customWidth="1"/>
    <col min="17" max="17" width="6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8" t="s">
        <v>7</v>
      </c>
      <c r="C2" s="58" t="s">
        <v>0</v>
      </c>
      <c r="D2" s="58" t="s">
        <v>1</v>
      </c>
      <c r="E2" s="97" t="s">
        <v>4</v>
      </c>
      <c r="F2" s="58" t="s">
        <v>3</v>
      </c>
      <c r="G2" s="58" t="s">
        <v>5</v>
      </c>
      <c r="H2" s="97" t="s">
        <v>2</v>
      </c>
      <c r="I2" s="58" t="s">
        <v>39</v>
      </c>
      <c r="J2" s="58" t="s">
        <v>40</v>
      </c>
      <c r="K2" s="58" t="s">
        <v>41</v>
      </c>
      <c r="L2" s="58" t="s">
        <v>45</v>
      </c>
      <c r="M2" s="58" t="s">
        <v>46</v>
      </c>
      <c r="N2" s="58" t="s">
        <v>6</v>
      </c>
      <c r="O2" s="58" t="s">
        <v>47</v>
      </c>
      <c r="P2" s="58" t="s">
        <v>48</v>
      </c>
      <c r="Q2" s="58" t="s">
        <v>26</v>
      </c>
    </row>
    <row r="3" spans="1:17" ht="26.25" customHeight="1" x14ac:dyDescent="0.2">
      <c r="A3" s="80">
        <v>402739</v>
      </c>
      <c r="B3" s="71" t="s">
        <v>164</v>
      </c>
      <c r="C3" s="8" t="s">
        <v>165</v>
      </c>
      <c r="D3" s="73" t="s">
        <v>60</v>
      </c>
      <c r="E3" s="12">
        <v>44556</v>
      </c>
      <c r="F3" s="73" t="s">
        <v>61</v>
      </c>
      <c r="G3" s="12">
        <v>44570</v>
      </c>
      <c r="H3" s="9" t="s">
        <v>114</v>
      </c>
      <c r="I3" s="1">
        <v>47</v>
      </c>
      <c r="J3" s="1">
        <v>41</v>
      </c>
      <c r="K3" s="1">
        <v>38</v>
      </c>
      <c r="L3" s="1">
        <v>11</v>
      </c>
      <c r="M3" s="77">
        <v>18.3065</v>
      </c>
      <c r="N3" s="7">
        <v>19</v>
      </c>
      <c r="O3" s="61">
        <v>14000</v>
      </c>
      <c r="P3" s="62">
        <f>Table224578910112345678910111213141516171819[[#This Row],[PEMBULATAN]]*O3</f>
        <v>266000</v>
      </c>
      <c r="Q3" s="112">
        <v>1</v>
      </c>
    </row>
    <row r="4" spans="1:17" ht="22.5" customHeight="1" x14ac:dyDescent="0.2">
      <c r="A4" s="213" t="s">
        <v>30</v>
      </c>
      <c r="B4" s="208"/>
      <c r="C4" s="208"/>
      <c r="D4" s="208"/>
      <c r="E4" s="208"/>
      <c r="F4" s="208"/>
      <c r="G4" s="208"/>
      <c r="H4" s="208"/>
      <c r="I4" s="208"/>
      <c r="J4" s="208"/>
      <c r="K4" s="208"/>
      <c r="L4" s="209"/>
      <c r="M4" s="76">
        <f>SUBTOTAL(109,Table224578910112345678910111213141516171819[KG VOLUME])</f>
        <v>18.3065</v>
      </c>
      <c r="N4" s="65">
        <f>SUM(N3:N3)</f>
        <v>19</v>
      </c>
      <c r="O4" s="210">
        <f>SUM(P3:P3)</f>
        <v>266000</v>
      </c>
      <c r="P4" s="211"/>
    </row>
    <row r="5" spans="1:17" ht="18" customHeight="1" x14ac:dyDescent="0.2">
      <c r="A5" s="83"/>
      <c r="B5" s="55" t="s">
        <v>42</v>
      </c>
      <c r="C5" s="54"/>
      <c r="D5" s="56" t="s">
        <v>43</v>
      </c>
      <c r="E5" s="83"/>
      <c r="F5" s="83"/>
      <c r="G5" s="83"/>
      <c r="H5" s="83"/>
      <c r="I5" s="83"/>
      <c r="J5" s="83"/>
      <c r="K5" s="83"/>
      <c r="L5" s="83"/>
      <c r="M5" s="84"/>
      <c r="N5" s="85" t="s">
        <v>51</v>
      </c>
      <c r="O5" s="86"/>
      <c r="P5" s="86">
        <f>O4*10%</f>
        <v>26600</v>
      </c>
    </row>
    <row r="6" spans="1:17" ht="18" customHeight="1" thickBot="1" x14ac:dyDescent="0.25">
      <c r="A6" s="83"/>
      <c r="B6" s="55"/>
      <c r="C6" s="54"/>
      <c r="D6" s="56"/>
      <c r="E6" s="83"/>
      <c r="F6" s="83"/>
      <c r="G6" s="83"/>
      <c r="H6" s="83"/>
      <c r="I6" s="83"/>
      <c r="J6" s="83"/>
      <c r="K6" s="83"/>
      <c r="L6" s="83"/>
      <c r="M6" s="84"/>
      <c r="N6" s="87" t="s">
        <v>52</v>
      </c>
      <c r="O6" s="88"/>
      <c r="P6" s="88">
        <f>O4-P5</f>
        <v>239400</v>
      </c>
    </row>
    <row r="7" spans="1:17" ht="18" customHeight="1" x14ac:dyDescent="0.2">
      <c r="A7" s="10"/>
      <c r="H7" s="60"/>
      <c r="N7" s="59" t="s">
        <v>31</v>
      </c>
      <c r="P7" s="66">
        <f>P6*1%</f>
        <v>2394</v>
      </c>
    </row>
    <row r="8" spans="1:17" ht="18" customHeight="1" thickBot="1" x14ac:dyDescent="0.25">
      <c r="A8" s="10"/>
      <c r="H8" s="60"/>
      <c r="N8" s="59" t="s">
        <v>53</v>
      </c>
      <c r="P8" s="68">
        <f>P6*2%</f>
        <v>4788</v>
      </c>
    </row>
    <row r="9" spans="1:17" ht="18" customHeight="1" x14ac:dyDescent="0.2">
      <c r="A9" s="10"/>
      <c r="H9" s="60"/>
      <c r="N9" s="63" t="s">
        <v>32</v>
      </c>
      <c r="O9" s="64"/>
      <c r="P9" s="67">
        <f>P6+P7-P8</f>
        <v>237006</v>
      </c>
    </row>
    <row r="11" spans="1:17" x14ac:dyDescent="0.2">
      <c r="A11" s="10"/>
      <c r="H11" s="60"/>
      <c r="P11" s="68"/>
    </row>
    <row r="12" spans="1:17" x14ac:dyDescent="0.2">
      <c r="A12" s="10"/>
      <c r="H12" s="60"/>
      <c r="O12" s="57"/>
      <c r="P12" s="68"/>
    </row>
    <row r="13" spans="1:17" s="3" customFormat="1" x14ac:dyDescent="0.25">
      <c r="A13" s="10"/>
      <c r="B13" s="2"/>
      <c r="C13" s="2"/>
      <c r="E13" s="11"/>
      <c r="H13" s="60"/>
      <c r="N13" s="14"/>
      <c r="O13" s="14"/>
      <c r="P13" s="14"/>
    </row>
    <row r="14" spans="1:17" s="3" customFormat="1" x14ac:dyDescent="0.25">
      <c r="A14" s="10"/>
      <c r="B14" s="2"/>
      <c r="C14" s="2"/>
      <c r="E14" s="11"/>
      <c r="H14" s="60"/>
      <c r="N14" s="14"/>
      <c r="O14" s="14"/>
      <c r="P14" s="14"/>
    </row>
    <row r="15" spans="1:17" s="3" customFormat="1" x14ac:dyDescent="0.25">
      <c r="A15" s="10"/>
      <c r="B15" s="2"/>
      <c r="C15" s="2"/>
      <c r="E15" s="11"/>
      <c r="H15" s="60"/>
      <c r="N15" s="14"/>
      <c r="O15" s="14"/>
      <c r="P15" s="14"/>
    </row>
    <row r="16" spans="1:17" s="3" customFormat="1" x14ac:dyDescent="0.25">
      <c r="A16" s="10"/>
      <c r="B16" s="2"/>
      <c r="C16" s="2"/>
      <c r="E16" s="11"/>
      <c r="H16" s="60"/>
      <c r="N16" s="14"/>
      <c r="O16" s="14"/>
      <c r="P16" s="14"/>
    </row>
    <row r="17" spans="1:16" s="3" customFormat="1" x14ac:dyDescent="0.25">
      <c r="A17" s="10"/>
      <c r="B17" s="2"/>
      <c r="C17" s="2"/>
      <c r="E17" s="11"/>
      <c r="H17" s="60"/>
      <c r="N17" s="14"/>
      <c r="O17" s="14"/>
      <c r="P17" s="14"/>
    </row>
    <row r="18" spans="1:16" s="3" customFormat="1" x14ac:dyDescent="0.25">
      <c r="A18" s="10"/>
      <c r="B18" s="2"/>
      <c r="C18" s="2"/>
      <c r="E18" s="11"/>
      <c r="H18" s="60"/>
      <c r="N18" s="14"/>
      <c r="O18" s="14"/>
      <c r="P18" s="14"/>
    </row>
    <row r="19" spans="1:16" s="3" customFormat="1" x14ac:dyDescent="0.25">
      <c r="A19" s="10"/>
      <c r="B19" s="2"/>
      <c r="C19" s="2"/>
      <c r="E19" s="11"/>
      <c r="H19" s="60"/>
      <c r="N19" s="14"/>
      <c r="O19" s="14"/>
      <c r="P19" s="14"/>
    </row>
    <row r="20" spans="1:16" s="3" customFormat="1" x14ac:dyDescent="0.25">
      <c r="A20" s="10"/>
      <c r="B20" s="2"/>
      <c r="C20" s="2"/>
      <c r="E20" s="11"/>
      <c r="H20" s="60"/>
      <c r="N20" s="14"/>
      <c r="O20" s="14"/>
      <c r="P20" s="14"/>
    </row>
    <row r="21" spans="1:16" s="3" customFormat="1" x14ac:dyDescent="0.25">
      <c r="A21" s="10"/>
      <c r="B21" s="2"/>
      <c r="C21" s="2"/>
      <c r="E21" s="11"/>
      <c r="H21" s="60"/>
      <c r="N21" s="14"/>
      <c r="O21" s="14"/>
      <c r="P21" s="14"/>
    </row>
    <row r="22" spans="1:16" s="3" customFormat="1" x14ac:dyDescent="0.25">
      <c r="A22" s="10"/>
      <c r="B22" s="2"/>
      <c r="C22" s="2"/>
      <c r="E22" s="11"/>
      <c r="H22" s="60"/>
      <c r="N22" s="14"/>
      <c r="O22" s="14"/>
      <c r="P22" s="14"/>
    </row>
    <row r="23" spans="1:16" s="3" customFormat="1" x14ac:dyDescent="0.25">
      <c r="A23" s="10"/>
      <c r="B23" s="2"/>
      <c r="C23" s="2"/>
      <c r="E23" s="11"/>
      <c r="H23" s="60"/>
      <c r="N23" s="14"/>
      <c r="O23" s="14"/>
      <c r="P23" s="14"/>
    </row>
    <row r="24" spans="1:16" s="3" customFormat="1" x14ac:dyDescent="0.25">
      <c r="A24" s="10"/>
      <c r="B24" s="2"/>
      <c r="C24" s="2"/>
      <c r="E24" s="11"/>
      <c r="H24" s="60"/>
      <c r="N24" s="14"/>
      <c r="O24" s="14"/>
      <c r="P24" s="14"/>
    </row>
  </sheetData>
  <mergeCells count="2">
    <mergeCell ref="A4:L4"/>
    <mergeCell ref="O4:P4"/>
  </mergeCells>
  <conditionalFormatting sqref="B3">
    <cfRule type="duplicateValues" dxfId="51" priority="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115"/>
  <sheetViews>
    <sheetView zoomScale="110" zoomScaleNormal="110" workbookViewId="0">
      <pane xSplit="3" ySplit="2" topLeftCell="D93" activePane="bottomRight" state="frozen"/>
      <selection pane="topRight" activeCell="B1" sqref="B1"/>
      <selection pane="bottomLeft" activeCell="A3" sqref="A3"/>
      <selection pane="bottomRight" activeCell="L102" sqref="L102"/>
    </sheetView>
  </sheetViews>
  <sheetFormatPr defaultRowHeight="15" x14ac:dyDescent="0.2"/>
  <cols>
    <col min="1" max="1" width="7.28515625" style="4" customWidth="1"/>
    <col min="2" max="2" width="19.42578125" style="2" customWidth="1"/>
    <col min="3" max="3" width="14.5703125" style="2" customWidth="1"/>
    <col min="4" max="4" width="8" style="3" customWidth="1"/>
    <col min="5" max="5" width="7.7109375" style="11" customWidth="1"/>
    <col min="6" max="6" width="10.140625" style="3" customWidth="1"/>
    <col min="7" max="7" width="9.5703125" style="3" customWidth="1"/>
    <col min="8" max="8" width="13.85546875" style="6" customWidth="1"/>
    <col min="9" max="11" width="4.42578125" style="3" customWidth="1"/>
    <col min="12" max="12" width="5.28515625" style="3" customWidth="1"/>
    <col min="13" max="13" width="8.28515625" style="3" customWidth="1"/>
    <col min="14" max="14" width="12.28515625" style="14" customWidth="1"/>
    <col min="15" max="15" width="8" style="14" customWidth="1"/>
    <col min="16" max="16" width="11.42578125" style="14" customWidth="1"/>
    <col min="17" max="17" width="6.855468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111" t="s">
        <v>7</v>
      </c>
      <c r="C2" s="58" t="s">
        <v>0</v>
      </c>
      <c r="D2" s="58" t="s">
        <v>1</v>
      </c>
      <c r="E2" s="97" t="s">
        <v>4</v>
      </c>
      <c r="F2" s="58" t="s">
        <v>3</v>
      </c>
      <c r="G2" s="58" t="s">
        <v>5</v>
      </c>
      <c r="H2" s="97" t="s">
        <v>2</v>
      </c>
      <c r="I2" s="58" t="s">
        <v>39</v>
      </c>
      <c r="J2" s="58" t="s">
        <v>40</v>
      </c>
      <c r="K2" s="58" t="s">
        <v>41</v>
      </c>
      <c r="L2" s="58" t="s">
        <v>45</v>
      </c>
      <c r="M2" s="58" t="s">
        <v>46</v>
      </c>
      <c r="N2" s="58" t="s">
        <v>6</v>
      </c>
      <c r="O2" s="58" t="s">
        <v>47</v>
      </c>
      <c r="P2" s="58" t="s">
        <v>48</v>
      </c>
      <c r="Q2" s="58" t="s">
        <v>26</v>
      </c>
    </row>
    <row r="3" spans="1:17" ht="26.25" customHeight="1" x14ac:dyDescent="0.2">
      <c r="A3" s="80">
        <v>405805</v>
      </c>
      <c r="B3" s="80" t="s">
        <v>57</v>
      </c>
      <c r="C3" s="110" t="s">
        <v>58</v>
      </c>
      <c r="D3" s="73" t="s">
        <v>60</v>
      </c>
      <c r="E3" s="12">
        <v>44533</v>
      </c>
      <c r="F3" s="73" t="s">
        <v>61</v>
      </c>
      <c r="G3" s="12">
        <v>44556</v>
      </c>
      <c r="H3" s="9" t="s">
        <v>62</v>
      </c>
      <c r="I3" s="1">
        <v>70</v>
      </c>
      <c r="J3" s="1">
        <v>42</v>
      </c>
      <c r="K3" s="1">
        <v>82</v>
      </c>
      <c r="L3" s="1">
        <v>9</v>
      </c>
      <c r="M3" s="77">
        <v>60.27</v>
      </c>
      <c r="N3" s="94">
        <v>60.27</v>
      </c>
      <c r="O3" s="61">
        <v>14000</v>
      </c>
      <c r="P3" s="62">
        <f t="shared" ref="P3:P4" si="0">N3*O3</f>
        <v>843780</v>
      </c>
      <c r="Q3" s="194">
        <v>2</v>
      </c>
    </row>
    <row r="4" spans="1:17" ht="26.25" customHeight="1" thickBot="1" x14ac:dyDescent="0.25">
      <c r="A4" s="122"/>
      <c r="B4" s="122"/>
      <c r="C4" s="123" t="s">
        <v>59</v>
      </c>
      <c r="D4" s="124" t="s">
        <v>60</v>
      </c>
      <c r="E4" s="125">
        <v>44533</v>
      </c>
      <c r="F4" s="124" t="s">
        <v>61</v>
      </c>
      <c r="G4" s="125">
        <v>44556</v>
      </c>
      <c r="H4" s="126" t="s">
        <v>62</v>
      </c>
      <c r="I4" s="127">
        <v>70</v>
      </c>
      <c r="J4" s="127">
        <v>42</v>
      </c>
      <c r="K4" s="127">
        <v>82</v>
      </c>
      <c r="L4" s="127">
        <v>9</v>
      </c>
      <c r="M4" s="128">
        <v>60.27</v>
      </c>
      <c r="N4" s="129">
        <v>60.27</v>
      </c>
      <c r="O4" s="130">
        <v>14000</v>
      </c>
      <c r="P4" s="131">
        <f t="shared" si="0"/>
        <v>843780</v>
      </c>
      <c r="Q4" s="195"/>
    </row>
    <row r="5" spans="1:17" ht="26.25" customHeight="1" x14ac:dyDescent="0.2">
      <c r="A5" s="132">
        <v>405822</v>
      </c>
      <c r="B5" s="132" t="s">
        <v>63</v>
      </c>
      <c r="C5" s="133" t="s">
        <v>64</v>
      </c>
      <c r="D5" s="134" t="s">
        <v>60</v>
      </c>
      <c r="E5" s="135">
        <v>44535</v>
      </c>
      <c r="F5" s="134" t="s">
        <v>61</v>
      </c>
      <c r="G5" s="135">
        <v>44556</v>
      </c>
      <c r="H5" s="136" t="s">
        <v>62</v>
      </c>
      <c r="I5" s="137">
        <v>28</v>
      </c>
      <c r="J5" s="137">
        <v>23</v>
      </c>
      <c r="K5" s="137">
        <v>21</v>
      </c>
      <c r="L5" s="137">
        <v>8</v>
      </c>
      <c r="M5" s="138">
        <v>3.3809999999999998</v>
      </c>
      <c r="N5" s="139">
        <v>8</v>
      </c>
      <c r="O5" s="140">
        <v>14000</v>
      </c>
      <c r="P5" s="141">
        <f>N5*O5</f>
        <v>112000</v>
      </c>
      <c r="Q5" s="201">
        <v>2</v>
      </c>
    </row>
    <row r="6" spans="1:17" ht="26.25" customHeight="1" thickBot="1" x14ac:dyDescent="0.25">
      <c r="A6" s="122"/>
      <c r="B6" s="122"/>
      <c r="C6" s="142" t="s">
        <v>65</v>
      </c>
      <c r="D6" s="124" t="s">
        <v>60</v>
      </c>
      <c r="E6" s="125">
        <v>44535</v>
      </c>
      <c r="F6" s="124" t="s">
        <v>61</v>
      </c>
      <c r="G6" s="125">
        <v>44556</v>
      </c>
      <c r="H6" s="126" t="s">
        <v>62</v>
      </c>
      <c r="I6" s="127">
        <v>28</v>
      </c>
      <c r="J6" s="127">
        <v>23</v>
      </c>
      <c r="K6" s="127">
        <v>21</v>
      </c>
      <c r="L6" s="127">
        <v>8</v>
      </c>
      <c r="M6" s="128">
        <v>3.3809999999999998</v>
      </c>
      <c r="N6" s="143">
        <v>8</v>
      </c>
      <c r="O6" s="130">
        <v>14000</v>
      </c>
      <c r="P6" s="131">
        <f t="shared" ref="P6:P69" si="1">N6*O6</f>
        <v>112000</v>
      </c>
      <c r="Q6" s="202"/>
    </row>
    <row r="7" spans="1:17" ht="26.25" customHeight="1" x14ac:dyDescent="0.2">
      <c r="A7" s="132">
        <v>405816</v>
      </c>
      <c r="B7" s="132" t="s">
        <v>66</v>
      </c>
      <c r="C7" s="133" t="s">
        <v>67</v>
      </c>
      <c r="D7" s="134" t="s">
        <v>60</v>
      </c>
      <c r="E7" s="135">
        <v>44534</v>
      </c>
      <c r="F7" s="134" t="s">
        <v>61</v>
      </c>
      <c r="G7" s="135">
        <v>44556</v>
      </c>
      <c r="H7" s="136" t="s">
        <v>62</v>
      </c>
      <c r="I7" s="137">
        <v>54</v>
      </c>
      <c r="J7" s="137">
        <v>32</v>
      </c>
      <c r="K7" s="137">
        <v>12</v>
      </c>
      <c r="L7" s="137">
        <v>10</v>
      </c>
      <c r="M7" s="138">
        <v>5.1840000000000002</v>
      </c>
      <c r="N7" s="139">
        <v>10</v>
      </c>
      <c r="O7" s="140">
        <v>14000</v>
      </c>
      <c r="P7" s="141">
        <f t="shared" si="1"/>
        <v>140000</v>
      </c>
      <c r="Q7" s="201">
        <v>7</v>
      </c>
    </row>
    <row r="8" spans="1:17" ht="26.25" customHeight="1" x14ac:dyDescent="0.2">
      <c r="A8" s="13"/>
      <c r="B8" s="13"/>
      <c r="C8" s="8" t="s">
        <v>68</v>
      </c>
      <c r="D8" s="73" t="s">
        <v>60</v>
      </c>
      <c r="E8" s="12">
        <v>44534</v>
      </c>
      <c r="F8" s="73" t="s">
        <v>61</v>
      </c>
      <c r="G8" s="12">
        <v>44556</v>
      </c>
      <c r="H8" s="9" t="s">
        <v>62</v>
      </c>
      <c r="I8" s="1">
        <v>54</v>
      </c>
      <c r="J8" s="1">
        <v>32</v>
      </c>
      <c r="K8" s="1">
        <v>12</v>
      </c>
      <c r="L8" s="1">
        <v>10</v>
      </c>
      <c r="M8" s="77">
        <v>5.1840000000000002</v>
      </c>
      <c r="N8" s="7">
        <v>10</v>
      </c>
      <c r="O8" s="61">
        <v>14000</v>
      </c>
      <c r="P8" s="62">
        <f t="shared" si="1"/>
        <v>140000</v>
      </c>
      <c r="Q8" s="203"/>
    </row>
    <row r="9" spans="1:17" ht="26.25" customHeight="1" x14ac:dyDescent="0.2">
      <c r="A9" s="13"/>
      <c r="B9" s="13"/>
      <c r="C9" s="8" t="s">
        <v>69</v>
      </c>
      <c r="D9" s="73" t="s">
        <v>60</v>
      </c>
      <c r="E9" s="12">
        <v>44534</v>
      </c>
      <c r="F9" s="73" t="s">
        <v>61</v>
      </c>
      <c r="G9" s="12">
        <v>44556</v>
      </c>
      <c r="H9" s="9" t="s">
        <v>62</v>
      </c>
      <c r="I9" s="1">
        <v>54</v>
      </c>
      <c r="J9" s="1">
        <v>32</v>
      </c>
      <c r="K9" s="1">
        <v>12</v>
      </c>
      <c r="L9" s="1">
        <v>10</v>
      </c>
      <c r="M9" s="77">
        <v>5.1840000000000002</v>
      </c>
      <c r="N9" s="7">
        <v>10</v>
      </c>
      <c r="O9" s="61">
        <v>14000</v>
      </c>
      <c r="P9" s="62">
        <f t="shared" si="1"/>
        <v>140000</v>
      </c>
      <c r="Q9" s="203"/>
    </row>
    <row r="10" spans="1:17" ht="26.25" customHeight="1" x14ac:dyDescent="0.2">
      <c r="A10" s="13"/>
      <c r="B10" s="13"/>
      <c r="C10" s="70" t="s">
        <v>70</v>
      </c>
      <c r="D10" s="75" t="s">
        <v>60</v>
      </c>
      <c r="E10" s="12">
        <v>44534</v>
      </c>
      <c r="F10" s="73" t="s">
        <v>61</v>
      </c>
      <c r="G10" s="12">
        <v>44556</v>
      </c>
      <c r="H10" s="74" t="s">
        <v>62</v>
      </c>
      <c r="I10" s="15">
        <v>54</v>
      </c>
      <c r="J10" s="15">
        <v>32</v>
      </c>
      <c r="K10" s="15">
        <v>12</v>
      </c>
      <c r="L10" s="15">
        <v>10</v>
      </c>
      <c r="M10" s="78">
        <v>5.1840000000000002</v>
      </c>
      <c r="N10" s="69">
        <v>10</v>
      </c>
      <c r="O10" s="61">
        <v>14000</v>
      </c>
      <c r="P10" s="62">
        <f t="shared" si="1"/>
        <v>140000</v>
      </c>
      <c r="Q10" s="203"/>
    </row>
    <row r="11" spans="1:17" ht="26.25" customHeight="1" x14ac:dyDescent="0.2">
      <c r="A11" s="13"/>
      <c r="B11" s="13"/>
      <c r="C11" s="70" t="s">
        <v>71</v>
      </c>
      <c r="D11" s="75" t="s">
        <v>60</v>
      </c>
      <c r="E11" s="12">
        <v>44534</v>
      </c>
      <c r="F11" s="73" t="s">
        <v>61</v>
      </c>
      <c r="G11" s="12">
        <v>44556</v>
      </c>
      <c r="H11" s="74" t="s">
        <v>62</v>
      </c>
      <c r="I11" s="15">
        <v>54</v>
      </c>
      <c r="J11" s="15">
        <v>32</v>
      </c>
      <c r="K11" s="15">
        <v>12</v>
      </c>
      <c r="L11" s="15">
        <v>10</v>
      </c>
      <c r="M11" s="78">
        <v>5.1840000000000002</v>
      </c>
      <c r="N11" s="69">
        <v>10</v>
      </c>
      <c r="O11" s="61">
        <v>14000</v>
      </c>
      <c r="P11" s="62">
        <f t="shared" si="1"/>
        <v>140000</v>
      </c>
      <c r="Q11" s="203"/>
    </row>
    <row r="12" spans="1:17" ht="26.25" customHeight="1" x14ac:dyDescent="0.2">
      <c r="A12" s="13"/>
      <c r="B12" s="13"/>
      <c r="C12" s="70" t="s">
        <v>72</v>
      </c>
      <c r="D12" s="75" t="s">
        <v>60</v>
      </c>
      <c r="E12" s="12">
        <v>44534</v>
      </c>
      <c r="F12" s="73" t="s">
        <v>61</v>
      </c>
      <c r="G12" s="12">
        <v>44556</v>
      </c>
      <c r="H12" s="74" t="s">
        <v>62</v>
      </c>
      <c r="I12" s="15">
        <v>54</v>
      </c>
      <c r="J12" s="15">
        <v>32</v>
      </c>
      <c r="K12" s="15">
        <v>12</v>
      </c>
      <c r="L12" s="15">
        <v>10</v>
      </c>
      <c r="M12" s="78">
        <v>5.1840000000000002</v>
      </c>
      <c r="N12" s="69">
        <v>10</v>
      </c>
      <c r="O12" s="61">
        <v>14000</v>
      </c>
      <c r="P12" s="62">
        <f t="shared" si="1"/>
        <v>140000</v>
      </c>
      <c r="Q12" s="203"/>
    </row>
    <row r="13" spans="1:17" ht="26.25" customHeight="1" thickBot="1" x14ac:dyDescent="0.25">
      <c r="A13" s="122"/>
      <c r="B13" s="122"/>
      <c r="C13" s="144" t="s">
        <v>73</v>
      </c>
      <c r="D13" s="145" t="s">
        <v>60</v>
      </c>
      <c r="E13" s="125">
        <v>44534</v>
      </c>
      <c r="F13" s="124" t="s">
        <v>61</v>
      </c>
      <c r="G13" s="125">
        <v>44556</v>
      </c>
      <c r="H13" s="146" t="s">
        <v>62</v>
      </c>
      <c r="I13" s="147">
        <v>54</v>
      </c>
      <c r="J13" s="147">
        <v>32</v>
      </c>
      <c r="K13" s="147">
        <v>12</v>
      </c>
      <c r="L13" s="147">
        <v>10</v>
      </c>
      <c r="M13" s="148">
        <v>5.1840000000000002</v>
      </c>
      <c r="N13" s="149">
        <v>10</v>
      </c>
      <c r="O13" s="130">
        <v>14000</v>
      </c>
      <c r="P13" s="131">
        <f t="shared" si="1"/>
        <v>140000</v>
      </c>
      <c r="Q13" s="202"/>
    </row>
    <row r="14" spans="1:17" ht="26.25" customHeight="1" x14ac:dyDescent="0.2">
      <c r="A14" s="132">
        <v>405836</v>
      </c>
      <c r="B14" s="132" t="s">
        <v>74</v>
      </c>
      <c r="C14" s="133" t="s">
        <v>75</v>
      </c>
      <c r="D14" s="134" t="s">
        <v>60</v>
      </c>
      <c r="E14" s="135">
        <v>44537</v>
      </c>
      <c r="F14" s="134" t="s">
        <v>61</v>
      </c>
      <c r="G14" s="135">
        <v>44556</v>
      </c>
      <c r="H14" s="136" t="s">
        <v>62</v>
      </c>
      <c r="I14" s="137">
        <v>48</v>
      </c>
      <c r="J14" s="137">
        <v>43</v>
      </c>
      <c r="K14" s="137">
        <v>36</v>
      </c>
      <c r="L14" s="137">
        <v>18</v>
      </c>
      <c r="M14" s="138">
        <v>18.576000000000001</v>
      </c>
      <c r="N14" s="150">
        <v>18.576000000000001</v>
      </c>
      <c r="O14" s="140">
        <v>14000</v>
      </c>
      <c r="P14" s="141">
        <f t="shared" si="1"/>
        <v>260064</v>
      </c>
      <c r="Q14" s="201">
        <v>8</v>
      </c>
    </row>
    <row r="15" spans="1:17" ht="26.25" customHeight="1" x14ac:dyDescent="0.2">
      <c r="A15" s="13"/>
      <c r="B15" s="13"/>
      <c r="C15" s="8" t="s">
        <v>76</v>
      </c>
      <c r="D15" s="73" t="s">
        <v>60</v>
      </c>
      <c r="E15" s="12">
        <v>44537</v>
      </c>
      <c r="F15" s="73" t="s">
        <v>61</v>
      </c>
      <c r="G15" s="12">
        <v>44556</v>
      </c>
      <c r="H15" s="9" t="s">
        <v>62</v>
      </c>
      <c r="I15" s="1">
        <v>48</v>
      </c>
      <c r="J15" s="1">
        <v>43</v>
      </c>
      <c r="K15" s="1">
        <v>36</v>
      </c>
      <c r="L15" s="1">
        <v>18</v>
      </c>
      <c r="M15" s="77">
        <v>18.576000000000001</v>
      </c>
      <c r="N15" s="94">
        <v>18.576000000000001</v>
      </c>
      <c r="O15" s="61">
        <v>14000</v>
      </c>
      <c r="P15" s="62">
        <f t="shared" si="1"/>
        <v>260064</v>
      </c>
      <c r="Q15" s="203"/>
    </row>
    <row r="16" spans="1:17" ht="26.25" customHeight="1" x14ac:dyDescent="0.2">
      <c r="A16" s="13"/>
      <c r="B16" s="13"/>
      <c r="C16" s="8" t="s">
        <v>77</v>
      </c>
      <c r="D16" s="73" t="s">
        <v>60</v>
      </c>
      <c r="E16" s="12">
        <v>44537</v>
      </c>
      <c r="F16" s="73" t="s">
        <v>61</v>
      </c>
      <c r="G16" s="12">
        <v>44556</v>
      </c>
      <c r="H16" s="9" t="s">
        <v>62</v>
      </c>
      <c r="I16" s="1">
        <v>64</v>
      </c>
      <c r="J16" s="1">
        <v>56</v>
      </c>
      <c r="K16" s="1">
        <v>21</v>
      </c>
      <c r="L16" s="1">
        <v>18</v>
      </c>
      <c r="M16" s="77">
        <v>18.815999999999999</v>
      </c>
      <c r="N16" s="94">
        <v>18.815999999999999</v>
      </c>
      <c r="O16" s="61">
        <v>14000</v>
      </c>
      <c r="P16" s="62">
        <f t="shared" si="1"/>
        <v>263424</v>
      </c>
      <c r="Q16" s="203"/>
    </row>
    <row r="17" spans="1:19" ht="26.25" customHeight="1" x14ac:dyDescent="0.2">
      <c r="A17" s="13"/>
      <c r="B17" s="13"/>
      <c r="C17" s="70" t="s">
        <v>78</v>
      </c>
      <c r="D17" s="75" t="s">
        <v>60</v>
      </c>
      <c r="E17" s="12">
        <v>44537</v>
      </c>
      <c r="F17" s="73" t="s">
        <v>61</v>
      </c>
      <c r="G17" s="12">
        <v>44556</v>
      </c>
      <c r="H17" s="74" t="s">
        <v>62</v>
      </c>
      <c r="I17" s="15">
        <v>64</v>
      </c>
      <c r="J17" s="15">
        <v>56</v>
      </c>
      <c r="K17" s="15">
        <v>21</v>
      </c>
      <c r="L17" s="15">
        <v>18</v>
      </c>
      <c r="M17" s="78">
        <v>18.815999999999999</v>
      </c>
      <c r="N17" s="94">
        <v>18.815999999999999</v>
      </c>
      <c r="O17" s="61">
        <v>14000</v>
      </c>
      <c r="P17" s="62">
        <f t="shared" si="1"/>
        <v>263424</v>
      </c>
      <c r="Q17" s="203"/>
    </row>
    <row r="18" spans="1:19" ht="26.25" customHeight="1" x14ac:dyDescent="0.2">
      <c r="A18" s="13"/>
      <c r="B18" s="13"/>
      <c r="C18" s="70" t="s">
        <v>79</v>
      </c>
      <c r="D18" s="75" t="s">
        <v>60</v>
      </c>
      <c r="E18" s="12">
        <v>44537</v>
      </c>
      <c r="F18" s="73" t="s">
        <v>61</v>
      </c>
      <c r="G18" s="12">
        <v>44556</v>
      </c>
      <c r="H18" s="74" t="s">
        <v>62</v>
      </c>
      <c r="I18" s="15">
        <v>64</v>
      </c>
      <c r="J18" s="15">
        <v>56</v>
      </c>
      <c r="K18" s="15">
        <v>21</v>
      </c>
      <c r="L18" s="15">
        <v>18</v>
      </c>
      <c r="M18" s="78">
        <v>18.815999999999999</v>
      </c>
      <c r="N18" s="94">
        <v>18.815999999999999</v>
      </c>
      <c r="O18" s="61">
        <v>14000</v>
      </c>
      <c r="P18" s="62">
        <f t="shared" si="1"/>
        <v>263424</v>
      </c>
      <c r="Q18" s="203"/>
    </row>
    <row r="19" spans="1:19" ht="26.25" customHeight="1" x14ac:dyDescent="0.2">
      <c r="A19" s="13"/>
      <c r="B19" s="13"/>
      <c r="C19" s="70" t="s">
        <v>80</v>
      </c>
      <c r="D19" s="75" t="s">
        <v>60</v>
      </c>
      <c r="E19" s="12">
        <v>44537</v>
      </c>
      <c r="F19" s="73" t="s">
        <v>61</v>
      </c>
      <c r="G19" s="12">
        <v>44556</v>
      </c>
      <c r="H19" s="74" t="s">
        <v>178</v>
      </c>
      <c r="I19" s="15">
        <v>64</v>
      </c>
      <c r="J19" s="15">
        <v>56</v>
      </c>
      <c r="K19" s="15">
        <v>21</v>
      </c>
      <c r="L19" s="15">
        <v>18</v>
      </c>
      <c r="M19" s="78">
        <v>18.815999999999999</v>
      </c>
      <c r="N19" s="94">
        <v>18.815999999999999</v>
      </c>
      <c r="O19" s="61">
        <v>14000</v>
      </c>
      <c r="P19" s="62">
        <f t="shared" si="1"/>
        <v>263424</v>
      </c>
      <c r="Q19" s="203"/>
    </row>
    <row r="20" spans="1:19" ht="26.25" customHeight="1" x14ac:dyDescent="0.2">
      <c r="A20" s="13"/>
      <c r="B20" s="13"/>
      <c r="C20" s="70" t="s">
        <v>81</v>
      </c>
      <c r="D20" s="75" t="s">
        <v>60</v>
      </c>
      <c r="E20" s="12">
        <v>44537</v>
      </c>
      <c r="F20" s="73" t="s">
        <v>61</v>
      </c>
      <c r="G20" s="12">
        <v>44556</v>
      </c>
      <c r="H20" s="74" t="s">
        <v>62</v>
      </c>
      <c r="I20" s="15">
        <v>38</v>
      </c>
      <c r="J20" s="15">
        <v>38</v>
      </c>
      <c r="K20" s="15">
        <v>46</v>
      </c>
      <c r="L20" s="15">
        <v>14</v>
      </c>
      <c r="M20" s="78">
        <v>16.606000000000002</v>
      </c>
      <c r="N20" s="94">
        <v>16.606000000000002</v>
      </c>
      <c r="O20" s="61">
        <v>14000</v>
      </c>
      <c r="P20" s="62">
        <f t="shared" si="1"/>
        <v>232484.00000000003</v>
      </c>
      <c r="Q20" s="203"/>
    </row>
    <row r="21" spans="1:19" ht="26.25" customHeight="1" thickBot="1" x14ac:dyDescent="0.25">
      <c r="A21" s="122"/>
      <c r="B21" s="122"/>
      <c r="C21" s="144" t="s">
        <v>82</v>
      </c>
      <c r="D21" s="145" t="s">
        <v>60</v>
      </c>
      <c r="E21" s="125">
        <v>44537</v>
      </c>
      <c r="F21" s="124" t="s">
        <v>61</v>
      </c>
      <c r="G21" s="125">
        <v>44556</v>
      </c>
      <c r="H21" s="146" t="s">
        <v>62</v>
      </c>
      <c r="I21" s="147">
        <v>38</v>
      </c>
      <c r="J21" s="147">
        <v>38</v>
      </c>
      <c r="K21" s="147">
        <v>46</v>
      </c>
      <c r="L21" s="147">
        <v>14</v>
      </c>
      <c r="M21" s="148">
        <v>16.606000000000002</v>
      </c>
      <c r="N21" s="129">
        <v>16.606000000000002</v>
      </c>
      <c r="O21" s="130">
        <v>14000</v>
      </c>
      <c r="P21" s="131">
        <f t="shared" si="1"/>
        <v>232484.00000000003</v>
      </c>
      <c r="Q21" s="202"/>
    </row>
    <row r="22" spans="1:19" ht="26.25" customHeight="1" x14ac:dyDescent="0.2">
      <c r="A22" s="132">
        <v>405844</v>
      </c>
      <c r="B22" s="132" t="s">
        <v>83</v>
      </c>
      <c r="C22" s="133" t="s">
        <v>84</v>
      </c>
      <c r="D22" s="134" t="s">
        <v>60</v>
      </c>
      <c r="E22" s="135">
        <v>44538</v>
      </c>
      <c r="F22" s="134" t="s">
        <v>61</v>
      </c>
      <c r="G22" s="135">
        <v>44556</v>
      </c>
      <c r="H22" s="136" t="s">
        <v>62</v>
      </c>
      <c r="I22" s="137">
        <v>80</v>
      </c>
      <c r="J22" s="137">
        <v>50</v>
      </c>
      <c r="K22" s="137">
        <v>39</v>
      </c>
      <c r="L22" s="137">
        <v>14</v>
      </c>
      <c r="M22" s="138">
        <v>39</v>
      </c>
      <c r="N22" s="139">
        <v>39</v>
      </c>
      <c r="O22" s="140">
        <v>14000</v>
      </c>
      <c r="P22" s="141">
        <f t="shared" si="1"/>
        <v>546000</v>
      </c>
      <c r="Q22" s="201">
        <v>3</v>
      </c>
    </row>
    <row r="23" spans="1:19" ht="26.25" customHeight="1" x14ac:dyDescent="0.2">
      <c r="A23" s="13"/>
      <c r="B23" s="13"/>
      <c r="C23" s="8" t="s">
        <v>85</v>
      </c>
      <c r="D23" s="73" t="s">
        <v>60</v>
      </c>
      <c r="E23" s="12">
        <v>44538</v>
      </c>
      <c r="F23" s="73" t="s">
        <v>61</v>
      </c>
      <c r="G23" s="12">
        <v>44556</v>
      </c>
      <c r="H23" s="9" t="s">
        <v>62</v>
      </c>
      <c r="I23" s="1">
        <v>80</v>
      </c>
      <c r="J23" s="1">
        <v>50</v>
      </c>
      <c r="K23" s="1">
        <v>39</v>
      </c>
      <c r="L23" s="1">
        <v>14</v>
      </c>
      <c r="M23" s="77">
        <v>39</v>
      </c>
      <c r="N23" s="7">
        <v>39</v>
      </c>
      <c r="O23" s="61">
        <v>14000</v>
      </c>
      <c r="P23" s="62">
        <f t="shared" si="1"/>
        <v>546000</v>
      </c>
      <c r="Q23" s="203"/>
    </row>
    <row r="24" spans="1:19" ht="26.25" customHeight="1" thickBot="1" x14ac:dyDescent="0.25">
      <c r="A24" s="122"/>
      <c r="B24" s="122"/>
      <c r="C24" s="142" t="s">
        <v>86</v>
      </c>
      <c r="D24" s="124" t="s">
        <v>60</v>
      </c>
      <c r="E24" s="125">
        <v>44538</v>
      </c>
      <c r="F24" s="124" t="s">
        <v>61</v>
      </c>
      <c r="G24" s="125">
        <v>44556</v>
      </c>
      <c r="H24" s="126" t="s">
        <v>62</v>
      </c>
      <c r="I24" s="127">
        <v>80</v>
      </c>
      <c r="J24" s="127">
        <v>50</v>
      </c>
      <c r="K24" s="127">
        <v>39</v>
      </c>
      <c r="L24" s="127">
        <v>14</v>
      </c>
      <c r="M24" s="128">
        <v>39</v>
      </c>
      <c r="N24" s="143">
        <v>39</v>
      </c>
      <c r="O24" s="130">
        <v>14000</v>
      </c>
      <c r="P24" s="131">
        <f t="shared" si="1"/>
        <v>546000</v>
      </c>
      <c r="Q24" s="202"/>
    </row>
    <row r="25" spans="1:19" ht="26.25" customHeight="1" x14ac:dyDescent="0.2">
      <c r="A25" s="132">
        <v>406458</v>
      </c>
      <c r="B25" s="132" t="s">
        <v>87</v>
      </c>
      <c r="C25" s="133" t="s">
        <v>88</v>
      </c>
      <c r="D25" s="134" t="s">
        <v>60</v>
      </c>
      <c r="E25" s="135">
        <v>44540</v>
      </c>
      <c r="F25" s="134" t="s">
        <v>61</v>
      </c>
      <c r="G25" s="135">
        <v>44556</v>
      </c>
      <c r="H25" s="136" t="s">
        <v>62</v>
      </c>
      <c r="I25" s="137">
        <v>49</v>
      </c>
      <c r="J25" s="137">
        <v>60</v>
      </c>
      <c r="K25" s="137">
        <v>73</v>
      </c>
      <c r="L25" s="137">
        <v>17</v>
      </c>
      <c r="M25" s="138">
        <v>53.655000000000001</v>
      </c>
      <c r="N25" s="150">
        <v>53.655000000000001</v>
      </c>
      <c r="O25" s="140">
        <v>14000</v>
      </c>
      <c r="P25" s="141">
        <f t="shared" si="1"/>
        <v>751170</v>
      </c>
      <c r="Q25" s="204">
        <v>7</v>
      </c>
      <c r="R25" s="96"/>
      <c r="S25" s="96"/>
    </row>
    <row r="26" spans="1:19" ht="26.25" customHeight="1" x14ac:dyDescent="0.2">
      <c r="A26" s="13"/>
      <c r="B26" s="13"/>
      <c r="C26" s="8" t="s">
        <v>89</v>
      </c>
      <c r="D26" s="73" t="s">
        <v>60</v>
      </c>
      <c r="E26" s="12">
        <v>44540</v>
      </c>
      <c r="F26" s="73" t="s">
        <v>61</v>
      </c>
      <c r="G26" s="12">
        <v>44556</v>
      </c>
      <c r="H26" s="9" t="s">
        <v>62</v>
      </c>
      <c r="I26" s="1">
        <v>49</v>
      </c>
      <c r="J26" s="1">
        <v>60</v>
      </c>
      <c r="K26" s="1">
        <v>73</v>
      </c>
      <c r="L26" s="1">
        <v>17</v>
      </c>
      <c r="M26" s="77">
        <v>53.655000000000001</v>
      </c>
      <c r="N26" s="94">
        <v>53.655000000000001</v>
      </c>
      <c r="O26" s="61">
        <v>14000</v>
      </c>
      <c r="P26" s="62">
        <f t="shared" si="1"/>
        <v>751170</v>
      </c>
      <c r="Q26" s="194"/>
      <c r="R26" s="96"/>
      <c r="S26" s="96"/>
    </row>
    <row r="27" spans="1:19" ht="26.25" customHeight="1" x14ac:dyDescent="0.2">
      <c r="A27" s="13"/>
      <c r="B27" s="13"/>
      <c r="C27" s="8" t="s">
        <v>90</v>
      </c>
      <c r="D27" s="73" t="s">
        <v>60</v>
      </c>
      <c r="E27" s="12">
        <v>44540</v>
      </c>
      <c r="F27" s="73" t="s">
        <v>61</v>
      </c>
      <c r="G27" s="12">
        <v>44556</v>
      </c>
      <c r="H27" s="9" t="s">
        <v>62</v>
      </c>
      <c r="I27" s="1">
        <v>49</v>
      </c>
      <c r="J27" s="1">
        <v>60</v>
      </c>
      <c r="K27" s="1">
        <v>73</v>
      </c>
      <c r="L27" s="1">
        <v>17</v>
      </c>
      <c r="M27" s="77">
        <v>53.655000000000001</v>
      </c>
      <c r="N27" s="94">
        <v>53.655000000000001</v>
      </c>
      <c r="O27" s="61">
        <v>14000</v>
      </c>
      <c r="P27" s="62">
        <f t="shared" si="1"/>
        <v>751170</v>
      </c>
      <c r="Q27" s="194"/>
      <c r="R27" s="96"/>
      <c r="S27" s="96"/>
    </row>
    <row r="28" spans="1:19" ht="26.25" customHeight="1" x14ac:dyDescent="0.2">
      <c r="A28" s="13"/>
      <c r="B28" s="13"/>
      <c r="C28" s="70" t="s">
        <v>91</v>
      </c>
      <c r="D28" s="75" t="s">
        <v>60</v>
      </c>
      <c r="E28" s="12">
        <v>44540</v>
      </c>
      <c r="F28" s="73" t="s">
        <v>61</v>
      </c>
      <c r="G28" s="12">
        <v>44556</v>
      </c>
      <c r="H28" s="74" t="s">
        <v>62</v>
      </c>
      <c r="I28" s="15">
        <v>49</v>
      </c>
      <c r="J28" s="15">
        <v>60</v>
      </c>
      <c r="K28" s="15">
        <v>73</v>
      </c>
      <c r="L28" s="15">
        <v>17</v>
      </c>
      <c r="M28" s="78">
        <v>53.655000000000001</v>
      </c>
      <c r="N28" s="94">
        <v>53.655000000000001</v>
      </c>
      <c r="O28" s="61">
        <v>14000</v>
      </c>
      <c r="P28" s="62">
        <f t="shared" si="1"/>
        <v>751170</v>
      </c>
      <c r="Q28" s="194"/>
      <c r="R28" s="96"/>
      <c r="S28" s="96"/>
    </row>
    <row r="29" spans="1:19" ht="26.25" customHeight="1" x14ac:dyDescent="0.2">
      <c r="A29" s="13"/>
      <c r="B29" s="13"/>
      <c r="C29" s="70" t="s">
        <v>92</v>
      </c>
      <c r="D29" s="75" t="s">
        <v>60</v>
      </c>
      <c r="E29" s="12">
        <v>44540</v>
      </c>
      <c r="F29" s="73" t="s">
        <v>61</v>
      </c>
      <c r="G29" s="12">
        <v>44556</v>
      </c>
      <c r="H29" s="74" t="s">
        <v>62</v>
      </c>
      <c r="I29" s="15">
        <v>49</v>
      </c>
      <c r="J29" s="15">
        <v>60</v>
      </c>
      <c r="K29" s="15">
        <v>73</v>
      </c>
      <c r="L29" s="15">
        <v>17</v>
      </c>
      <c r="M29" s="78">
        <v>53.655000000000001</v>
      </c>
      <c r="N29" s="94">
        <v>53.655000000000001</v>
      </c>
      <c r="O29" s="61">
        <v>14000</v>
      </c>
      <c r="P29" s="62">
        <f t="shared" si="1"/>
        <v>751170</v>
      </c>
      <c r="Q29" s="194"/>
    </row>
    <row r="30" spans="1:19" ht="26.25" customHeight="1" x14ac:dyDescent="0.2">
      <c r="A30" s="13"/>
      <c r="B30" s="103"/>
      <c r="C30" s="70" t="s">
        <v>93</v>
      </c>
      <c r="D30" s="75" t="s">
        <v>60</v>
      </c>
      <c r="E30" s="12">
        <v>44540</v>
      </c>
      <c r="F30" s="73" t="s">
        <v>61</v>
      </c>
      <c r="G30" s="12">
        <v>44556</v>
      </c>
      <c r="H30" s="74" t="s">
        <v>62</v>
      </c>
      <c r="I30" s="15">
        <v>49</v>
      </c>
      <c r="J30" s="15">
        <v>59</v>
      </c>
      <c r="K30" s="15">
        <v>72</v>
      </c>
      <c r="L30" s="15">
        <v>18</v>
      </c>
      <c r="M30" s="78">
        <v>52.037999999999997</v>
      </c>
      <c r="N30" s="94">
        <v>52.037999999999997</v>
      </c>
      <c r="O30" s="61">
        <v>14000</v>
      </c>
      <c r="P30" s="62">
        <f t="shared" si="1"/>
        <v>728532</v>
      </c>
      <c r="Q30" s="194"/>
    </row>
    <row r="31" spans="1:19" ht="26.25" customHeight="1" thickBot="1" x14ac:dyDescent="0.25">
      <c r="A31" s="122"/>
      <c r="B31" s="151" t="s">
        <v>94</v>
      </c>
      <c r="C31" s="144" t="s">
        <v>95</v>
      </c>
      <c r="D31" s="145" t="s">
        <v>60</v>
      </c>
      <c r="E31" s="125">
        <v>44540</v>
      </c>
      <c r="F31" s="124" t="s">
        <v>61</v>
      </c>
      <c r="G31" s="125">
        <v>44556</v>
      </c>
      <c r="H31" s="146" t="s">
        <v>62</v>
      </c>
      <c r="I31" s="147">
        <v>49</v>
      </c>
      <c r="J31" s="147">
        <v>59</v>
      </c>
      <c r="K31" s="147">
        <v>72</v>
      </c>
      <c r="L31" s="147">
        <v>18</v>
      </c>
      <c r="M31" s="148">
        <v>52.037999999999997</v>
      </c>
      <c r="N31" s="129">
        <v>52.037999999999997</v>
      </c>
      <c r="O31" s="130">
        <v>14000</v>
      </c>
      <c r="P31" s="131">
        <f t="shared" si="1"/>
        <v>728532</v>
      </c>
      <c r="Q31" s="195"/>
    </row>
    <row r="32" spans="1:19" ht="26.25" customHeight="1" x14ac:dyDescent="0.2">
      <c r="A32" s="132">
        <v>406465</v>
      </c>
      <c r="B32" s="132" t="s">
        <v>96</v>
      </c>
      <c r="C32" s="133" t="s">
        <v>97</v>
      </c>
      <c r="D32" s="134" t="s">
        <v>60</v>
      </c>
      <c r="E32" s="135">
        <v>44541</v>
      </c>
      <c r="F32" s="134" t="s">
        <v>61</v>
      </c>
      <c r="G32" s="135">
        <v>44556</v>
      </c>
      <c r="H32" s="136" t="s">
        <v>62</v>
      </c>
      <c r="I32" s="137">
        <v>65</v>
      </c>
      <c r="J32" s="137">
        <v>46</v>
      </c>
      <c r="K32" s="137">
        <v>21</v>
      </c>
      <c r="L32" s="137">
        <v>16</v>
      </c>
      <c r="M32" s="138">
        <v>15.6975</v>
      </c>
      <c r="N32" s="139">
        <v>16</v>
      </c>
      <c r="O32" s="140">
        <v>14000</v>
      </c>
      <c r="P32" s="141">
        <f t="shared" si="1"/>
        <v>224000</v>
      </c>
      <c r="Q32" s="204">
        <v>10</v>
      </c>
    </row>
    <row r="33" spans="1:17" ht="26.25" customHeight="1" x14ac:dyDescent="0.2">
      <c r="A33" s="13"/>
      <c r="B33" s="13"/>
      <c r="C33" s="8" t="s">
        <v>98</v>
      </c>
      <c r="D33" s="73" t="s">
        <v>60</v>
      </c>
      <c r="E33" s="12">
        <v>44541</v>
      </c>
      <c r="F33" s="73" t="s">
        <v>61</v>
      </c>
      <c r="G33" s="12">
        <v>44556</v>
      </c>
      <c r="H33" s="9" t="s">
        <v>62</v>
      </c>
      <c r="I33" s="1">
        <v>65</v>
      </c>
      <c r="J33" s="1">
        <v>46</v>
      </c>
      <c r="K33" s="1">
        <v>21</v>
      </c>
      <c r="L33" s="1">
        <v>16</v>
      </c>
      <c r="M33" s="77">
        <v>15.6975</v>
      </c>
      <c r="N33" s="7">
        <v>16</v>
      </c>
      <c r="O33" s="61">
        <v>14000</v>
      </c>
      <c r="P33" s="62">
        <f t="shared" si="1"/>
        <v>224000</v>
      </c>
      <c r="Q33" s="194"/>
    </row>
    <row r="34" spans="1:17" ht="26.25" customHeight="1" x14ac:dyDescent="0.2">
      <c r="A34" s="13"/>
      <c r="B34" s="13"/>
      <c r="C34" s="8" t="s">
        <v>99</v>
      </c>
      <c r="D34" s="73" t="s">
        <v>60</v>
      </c>
      <c r="E34" s="12">
        <v>44541</v>
      </c>
      <c r="F34" s="73" t="s">
        <v>61</v>
      </c>
      <c r="G34" s="12">
        <v>44556</v>
      </c>
      <c r="H34" s="9" t="s">
        <v>62</v>
      </c>
      <c r="I34" s="1">
        <v>65</v>
      </c>
      <c r="J34" s="1">
        <v>46</v>
      </c>
      <c r="K34" s="1">
        <v>21</v>
      </c>
      <c r="L34" s="1">
        <v>16</v>
      </c>
      <c r="M34" s="77">
        <v>15.6975</v>
      </c>
      <c r="N34" s="7">
        <v>16</v>
      </c>
      <c r="O34" s="61">
        <v>14000</v>
      </c>
      <c r="P34" s="62">
        <f t="shared" si="1"/>
        <v>224000</v>
      </c>
      <c r="Q34" s="194"/>
    </row>
    <row r="35" spans="1:17" ht="26.25" customHeight="1" x14ac:dyDescent="0.2">
      <c r="A35" s="13"/>
      <c r="B35" s="13"/>
      <c r="C35" s="70" t="s">
        <v>100</v>
      </c>
      <c r="D35" s="75" t="s">
        <v>60</v>
      </c>
      <c r="E35" s="12">
        <v>44541</v>
      </c>
      <c r="F35" s="73" t="s">
        <v>61</v>
      </c>
      <c r="G35" s="12">
        <v>44556</v>
      </c>
      <c r="H35" s="74" t="s">
        <v>62</v>
      </c>
      <c r="I35" s="15">
        <v>65</v>
      </c>
      <c r="J35" s="15">
        <v>46</v>
      </c>
      <c r="K35" s="15">
        <v>21</v>
      </c>
      <c r="L35" s="15">
        <v>16</v>
      </c>
      <c r="M35" s="78">
        <v>15.6975</v>
      </c>
      <c r="N35" s="69">
        <v>16</v>
      </c>
      <c r="O35" s="61">
        <v>14000</v>
      </c>
      <c r="P35" s="62">
        <f t="shared" si="1"/>
        <v>224000</v>
      </c>
      <c r="Q35" s="194"/>
    </row>
    <row r="36" spans="1:17" ht="26.25" customHeight="1" x14ac:dyDescent="0.2">
      <c r="A36" s="13"/>
      <c r="B36" s="13"/>
      <c r="C36" s="70" t="s">
        <v>101</v>
      </c>
      <c r="D36" s="75" t="s">
        <v>60</v>
      </c>
      <c r="E36" s="12">
        <v>44541</v>
      </c>
      <c r="F36" s="73" t="s">
        <v>61</v>
      </c>
      <c r="G36" s="12">
        <v>44556</v>
      </c>
      <c r="H36" s="74" t="s">
        <v>62</v>
      </c>
      <c r="I36" s="15">
        <v>32</v>
      </c>
      <c r="J36" s="15">
        <v>32</v>
      </c>
      <c r="K36" s="15">
        <v>46</v>
      </c>
      <c r="L36" s="15">
        <v>14</v>
      </c>
      <c r="M36" s="78">
        <v>11.776</v>
      </c>
      <c r="N36" s="69">
        <v>14</v>
      </c>
      <c r="O36" s="61">
        <v>14000</v>
      </c>
      <c r="P36" s="62">
        <f t="shared" si="1"/>
        <v>196000</v>
      </c>
      <c r="Q36" s="194"/>
    </row>
    <row r="37" spans="1:17" ht="26.25" customHeight="1" x14ac:dyDescent="0.2">
      <c r="A37" s="13"/>
      <c r="B37" s="13"/>
      <c r="C37" s="70" t="s">
        <v>102</v>
      </c>
      <c r="D37" s="75" t="s">
        <v>60</v>
      </c>
      <c r="E37" s="12">
        <v>44541</v>
      </c>
      <c r="F37" s="73" t="s">
        <v>61</v>
      </c>
      <c r="G37" s="12">
        <v>44556</v>
      </c>
      <c r="H37" s="74" t="s">
        <v>62</v>
      </c>
      <c r="I37" s="15">
        <v>32</v>
      </c>
      <c r="J37" s="15">
        <v>32</v>
      </c>
      <c r="K37" s="15">
        <v>46</v>
      </c>
      <c r="L37" s="15">
        <v>14</v>
      </c>
      <c r="M37" s="78">
        <v>11.776</v>
      </c>
      <c r="N37" s="69">
        <v>14</v>
      </c>
      <c r="O37" s="61">
        <v>14000</v>
      </c>
      <c r="P37" s="62">
        <f t="shared" si="1"/>
        <v>196000</v>
      </c>
      <c r="Q37" s="194"/>
    </row>
    <row r="38" spans="1:17" ht="26.25" customHeight="1" x14ac:dyDescent="0.2">
      <c r="A38" s="13"/>
      <c r="B38" s="13"/>
      <c r="C38" s="70" t="s">
        <v>103</v>
      </c>
      <c r="D38" s="75" t="s">
        <v>60</v>
      </c>
      <c r="E38" s="12">
        <v>44541</v>
      </c>
      <c r="F38" s="73" t="s">
        <v>61</v>
      </c>
      <c r="G38" s="12">
        <v>44556</v>
      </c>
      <c r="H38" s="74" t="s">
        <v>62</v>
      </c>
      <c r="I38" s="15">
        <v>32</v>
      </c>
      <c r="J38" s="15">
        <v>32</v>
      </c>
      <c r="K38" s="15">
        <v>46</v>
      </c>
      <c r="L38" s="15">
        <v>14</v>
      </c>
      <c r="M38" s="78">
        <v>11.776</v>
      </c>
      <c r="N38" s="69">
        <v>14</v>
      </c>
      <c r="O38" s="61">
        <v>14000</v>
      </c>
      <c r="P38" s="62">
        <f t="shared" si="1"/>
        <v>196000</v>
      </c>
      <c r="Q38" s="194"/>
    </row>
    <row r="39" spans="1:17" ht="26.25" customHeight="1" x14ac:dyDescent="0.2">
      <c r="A39" s="13"/>
      <c r="B39" s="13"/>
      <c r="C39" s="70" t="s">
        <v>104</v>
      </c>
      <c r="D39" s="75" t="s">
        <v>60</v>
      </c>
      <c r="E39" s="12">
        <v>44541</v>
      </c>
      <c r="F39" s="73" t="s">
        <v>61</v>
      </c>
      <c r="G39" s="12">
        <v>44556</v>
      </c>
      <c r="H39" s="74" t="s">
        <v>62</v>
      </c>
      <c r="I39" s="15">
        <v>41</v>
      </c>
      <c r="J39" s="15">
        <v>22</v>
      </c>
      <c r="K39" s="15">
        <v>29</v>
      </c>
      <c r="L39" s="15">
        <v>18</v>
      </c>
      <c r="M39" s="78">
        <v>6.5395000000000003</v>
      </c>
      <c r="N39" s="69">
        <v>18</v>
      </c>
      <c r="O39" s="61">
        <v>14000</v>
      </c>
      <c r="P39" s="62">
        <f t="shared" si="1"/>
        <v>252000</v>
      </c>
      <c r="Q39" s="194"/>
    </row>
    <row r="40" spans="1:17" ht="26.25" customHeight="1" x14ac:dyDescent="0.2">
      <c r="A40" s="13"/>
      <c r="B40" s="103"/>
      <c r="C40" s="70" t="s">
        <v>105</v>
      </c>
      <c r="D40" s="75" t="s">
        <v>60</v>
      </c>
      <c r="E40" s="12">
        <v>44541</v>
      </c>
      <c r="F40" s="73" t="s">
        <v>61</v>
      </c>
      <c r="G40" s="12">
        <v>44556</v>
      </c>
      <c r="H40" s="74" t="s">
        <v>62</v>
      </c>
      <c r="I40" s="15">
        <v>41</v>
      </c>
      <c r="J40" s="15">
        <v>22</v>
      </c>
      <c r="K40" s="15">
        <v>29</v>
      </c>
      <c r="L40" s="15">
        <v>18</v>
      </c>
      <c r="M40" s="78">
        <v>6.5395000000000003</v>
      </c>
      <c r="N40" s="69">
        <v>18</v>
      </c>
      <c r="O40" s="61">
        <v>14000</v>
      </c>
      <c r="P40" s="62">
        <f t="shared" si="1"/>
        <v>252000</v>
      </c>
      <c r="Q40" s="194"/>
    </row>
    <row r="41" spans="1:17" ht="26.25" customHeight="1" thickBot="1" x14ac:dyDescent="0.25">
      <c r="A41" s="122"/>
      <c r="B41" s="151" t="s">
        <v>106</v>
      </c>
      <c r="C41" s="144" t="s">
        <v>107</v>
      </c>
      <c r="D41" s="145" t="s">
        <v>60</v>
      </c>
      <c r="E41" s="125">
        <v>44541</v>
      </c>
      <c r="F41" s="124" t="s">
        <v>61</v>
      </c>
      <c r="G41" s="125">
        <v>44556</v>
      </c>
      <c r="H41" s="146" t="s">
        <v>62</v>
      </c>
      <c r="I41" s="147">
        <v>65</v>
      </c>
      <c r="J41" s="147">
        <v>46</v>
      </c>
      <c r="K41" s="147">
        <v>21</v>
      </c>
      <c r="L41" s="147">
        <v>16</v>
      </c>
      <c r="M41" s="148">
        <v>15.6975</v>
      </c>
      <c r="N41" s="149">
        <v>16</v>
      </c>
      <c r="O41" s="130">
        <v>14000</v>
      </c>
      <c r="P41" s="131">
        <f t="shared" si="1"/>
        <v>224000</v>
      </c>
      <c r="Q41" s="195"/>
    </row>
    <row r="42" spans="1:17" ht="26.25" customHeight="1" thickBot="1" x14ac:dyDescent="0.25">
      <c r="A42" s="153">
        <v>402656</v>
      </c>
      <c r="B42" s="154" t="s">
        <v>108</v>
      </c>
      <c r="C42" s="155" t="s">
        <v>109</v>
      </c>
      <c r="D42" s="156" t="s">
        <v>60</v>
      </c>
      <c r="E42" s="157">
        <v>44543</v>
      </c>
      <c r="F42" s="156" t="s">
        <v>61</v>
      </c>
      <c r="G42" s="157">
        <v>44556</v>
      </c>
      <c r="H42" s="158" t="s">
        <v>62</v>
      </c>
      <c r="I42" s="159">
        <v>85</v>
      </c>
      <c r="J42" s="159">
        <v>85</v>
      </c>
      <c r="K42" s="159">
        <v>55</v>
      </c>
      <c r="L42" s="159">
        <v>17</v>
      </c>
      <c r="M42" s="160">
        <v>99.34375</v>
      </c>
      <c r="N42" s="161">
        <v>100</v>
      </c>
      <c r="O42" s="162">
        <v>14000</v>
      </c>
      <c r="P42" s="163">
        <f t="shared" si="1"/>
        <v>1400000</v>
      </c>
      <c r="Q42" s="164">
        <v>1</v>
      </c>
    </row>
    <row r="43" spans="1:17" ht="26.25" customHeight="1" x14ac:dyDescent="0.2">
      <c r="A43" s="132">
        <v>402670</v>
      </c>
      <c r="B43" s="132" t="s">
        <v>110</v>
      </c>
      <c r="C43" s="133" t="s">
        <v>111</v>
      </c>
      <c r="D43" s="134" t="s">
        <v>60</v>
      </c>
      <c r="E43" s="135">
        <v>44546</v>
      </c>
      <c r="F43" s="134" t="s">
        <v>61</v>
      </c>
      <c r="G43" s="135">
        <v>44570</v>
      </c>
      <c r="H43" s="136" t="s">
        <v>114</v>
      </c>
      <c r="I43" s="137">
        <v>36</v>
      </c>
      <c r="J43" s="137">
        <v>36</v>
      </c>
      <c r="K43" s="137">
        <v>17</v>
      </c>
      <c r="L43" s="137">
        <v>12</v>
      </c>
      <c r="M43" s="138">
        <v>5.508</v>
      </c>
      <c r="N43" s="139">
        <v>12</v>
      </c>
      <c r="O43" s="140">
        <v>14000</v>
      </c>
      <c r="P43" s="141">
        <f t="shared" si="1"/>
        <v>168000</v>
      </c>
      <c r="Q43" s="201">
        <v>3</v>
      </c>
    </row>
    <row r="44" spans="1:17" ht="26.25" customHeight="1" x14ac:dyDescent="0.2">
      <c r="A44" s="13"/>
      <c r="B44" s="13"/>
      <c r="C44" s="8" t="s">
        <v>112</v>
      </c>
      <c r="D44" s="73" t="s">
        <v>60</v>
      </c>
      <c r="E44" s="12">
        <v>44546</v>
      </c>
      <c r="F44" s="73" t="s">
        <v>61</v>
      </c>
      <c r="G44" s="12">
        <v>44570</v>
      </c>
      <c r="H44" s="9" t="s">
        <v>114</v>
      </c>
      <c r="I44" s="1">
        <v>35</v>
      </c>
      <c r="J44" s="1">
        <v>35</v>
      </c>
      <c r="K44" s="1">
        <v>60</v>
      </c>
      <c r="L44" s="1">
        <v>7</v>
      </c>
      <c r="M44" s="77">
        <v>18.375</v>
      </c>
      <c r="N44" s="7">
        <v>19</v>
      </c>
      <c r="O44" s="61">
        <v>14000</v>
      </c>
      <c r="P44" s="62">
        <f t="shared" si="1"/>
        <v>266000</v>
      </c>
      <c r="Q44" s="203"/>
    </row>
    <row r="45" spans="1:17" ht="26.25" customHeight="1" thickBot="1" x14ac:dyDescent="0.25">
      <c r="A45" s="122"/>
      <c r="B45" s="122"/>
      <c r="C45" s="142" t="s">
        <v>113</v>
      </c>
      <c r="D45" s="124" t="s">
        <v>60</v>
      </c>
      <c r="E45" s="125">
        <v>44546</v>
      </c>
      <c r="F45" s="124" t="s">
        <v>61</v>
      </c>
      <c r="G45" s="125">
        <v>44570</v>
      </c>
      <c r="H45" s="126" t="s">
        <v>114</v>
      </c>
      <c r="I45" s="127">
        <v>35</v>
      </c>
      <c r="J45" s="127">
        <v>35</v>
      </c>
      <c r="K45" s="127">
        <v>60</v>
      </c>
      <c r="L45" s="127">
        <v>7</v>
      </c>
      <c r="M45" s="128">
        <v>18.375</v>
      </c>
      <c r="N45" s="143">
        <v>19</v>
      </c>
      <c r="O45" s="130">
        <v>14000</v>
      </c>
      <c r="P45" s="131">
        <f t="shared" si="1"/>
        <v>266000</v>
      </c>
      <c r="Q45" s="202"/>
    </row>
    <row r="46" spans="1:17" ht="26.25" customHeight="1" x14ac:dyDescent="0.2">
      <c r="A46" s="132">
        <v>402676</v>
      </c>
      <c r="B46" s="132" t="s">
        <v>115</v>
      </c>
      <c r="C46" s="133" t="s">
        <v>116</v>
      </c>
      <c r="D46" s="134" t="s">
        <v>60</v>
      </c>
      <c r="E46" s="135">
        <v>44547</v>
      </c>
      <c r="F46" s="134" t="s">
        <v>61</v>
      </c>
      <c r="G46" s="135">
        <v>44570</v>
      </c>
      <c r="H46" s="136" t="s">
        <v>114</v>
      </c>
      <c r="I46" s="137">
        <v>88</v>
      </c>
      <c r="J46" s="137">
        <v>37</v>
      </c>
      <c r="K46" s="137">
        <v>26</v>
      </c>
      <c r="L46" s="137">
        <v>14</v>
      </c>
      <c r="M46" s="138">
        <v>21.164000000000001</v>
      </c>
      <c r="N46" s="150">
        <v>21.164000000000001</v>
      </c>
      <c r="O46" s="140">
        <v>14000</v>
      </c>
      <c r="P46" s="141">
        <f t="shared" si="1"/>
        <v>296296</v>
      </c>
      <c r="Q46" s="201">
        <v>2</v>
      </c>
    </row>
    <row r="47" spans="1:17" ht="26.25" customHeight="1" thickBot="1" x14ac:dyDescent="0.25">
      <c r="A47" s="122"/>
      <c r="B47" s="122"/>
      <c r="C47" s="142" t="s">
        <v>117</v>
      </c>
      <c r="D47" s="124" t="s">
        <v>60</v>
      </c>
      <c r="E47" s="125">
        <v>44547</v>
      </c>
      <c r="F47" s="124" t="s">
        <v>61</v>
      </c>
      <c r="G47" s="125">
        <v>44570</v>
      </c>
      <c r="H47" s="126" t="s">
        <v>114</v>
      </c>
      <c r="I47" s="127">
        <v>85</v>
      </c>
      <c r="J47" s="127">
        <v>37</v>
      </c>
      <c r="K47" s="127">
        <v>61</v>
      </c>
      <c r="L47" s="127">
        <v>14</v>
      </c>
      <c r="M47" s="128">
        <v>47.96125</v>
      </c>
      <c r="N47" s="129">
        <v>47.96125</v>
      </c>
      <c r="O47" s="130">
        <v>14000</v>
      </c>
      <c r="P47" s="131">
        <f t="shared" si="1"/>
        <v>671457.5</v>
      </c>
      <c r="Q47" s="202"/>
    </row>
    <row r="48" spans="1:17" ht="26.25" customHeight="1" x14ac:dyDescent="0.2">
      <c r="A48" s="132">
        <v>402693</v>
      </c>
      <c r="B48" s="132" t="s">
        <v>118</v>
      </c>
      <c r="C48" s="133" t="s">
        <v>119</v>
      </c>
      <c r="D48" s="134" t="s">
        <v>60</v>
      </c>
      <c r="E48" s="135">
        <v>44548</v>
      </c>
      <c r="F48" s="134" t="s">
        <v>61</v>
      </c>
      <c r="G48" s="135">
        <v>44570</v>
      </c>
      <c r="H48" s="136" t="s">
        <v>114</v>
      </c>
      <c r="I48" s="137">
        <v>95</v>
      </c>
      <c r="J48" s="137">
        <v>67</v>
      </c>
      <c r="K48" s="137">
        <v>50</v>
      </c>
      <c r="L48" s="137">
        <v>18</v>
      </c>
      <c r="M48" s="138">
        <v>79.5625</v>
      </c>
      <c r="N48" s="150">
        <v>79.5625</v>
      </c>
      <c r="O48" s="140">
        <v>14000</v>
      </c>
      <c r="P48" s="141">
        <f t="shared" si="1"/>
        <v>1113875</v>
      </c>
      <c r="Q48" s="201">
        <v>11</v>
      </c>
    </row>
    <row r="49" spans="1:17" ht="26.25" customHeight="1" x14ac:dyDescent="0.2">
      <c r="A49" s="13"/>
      <c r="B49" s="13"/>
      <c r="C49" s="8" t="s">
        <v>120</v>
      </c>
      <c r="D49" s="73" t="s">
        <v>60</v>
      </c>
      <c r="E49" s="12">
        <v>44548</v>
      </c>
      <c r="F49" s="73" t="s">
        <v>61</v>
      </c>
      <c r="G49" s="12">
        <v>44570</v>
      </c>
      <c r="H49" s="9" t="s">
        <v>114</v>
      </c>
      <c r="I49" s="1">
        <v>95</v>
      </c>
      <c r="J49" s="1">
        <v>67</v>
      </c>
      <c r="K49" s="1">
        <v>50</v>
      </c>
      <c r="L49" s="1">
        <v>18</v>
      </c>
      <c r="M49" s="77">
        <v>79.5625</v>
      </c>
      <c r="N49" s="94">
        <v>79.5625</v>
      </c>
      <c r="O49" s="61">
        <v>14000</v>
      </c>
      <c r="P49" s="62">
        <f t="shared" si="1"/>
        <v>1113875</v>
      </c>
      <c r="Q49" s="203"/>
    </row>
    <row r="50" spans="1:17" ht="26.25" customHeight="1" x14ac:dyDescent="0.2">
      <c r="A50" s="13"/>
      <c r="B50" s="13"/>
      <c r="C50" s="8" t="s">
        <v>121</v>
      </c>
      <c r="D50" s="73" t="s">
        <v>60</v>
      </c>
      <c r="E50" s="12">
        <v>44548</v>
      </c>
      <c r="F50" s="73" t="s">
        <v>61</v>
      </c>
      <c r="G50" s="12">
        <v>44570</v>
      </c>
      <c r="H50" s="9" t="s">
        <v>114</v>
      </c>
      <c r="I50" s="1">
        <v>148</v>
      </c>
      <c r="J50" s="1">
        <v>64</v>
      </c>
      <c r="K50" s="1">
        <v>10</v>
      </c>
      <c r="L50" s="1">
        <v>18</v>
      </c>
      <c r="M50" s="77">
        <v>23.68</v>
      </c>
      <c r="N50" s="94">
        <v>23.68</v>
      </c>
      <c r="O50" s="61">
        <v>14000</v>
      </c>
      <c r="P50" s="62">
        <f t="shared" si="1"/>
        <v>331520</v>
      </c>
      <c r="Q50" s="203"/>
    </row>
    <row r="51" spans="1:17" ht="26.25" customHeight="1" x14ac:dyDescent="0.2">
      <c r="A51" s="13"/>
      <c r="B51" s="13"/>
      <c r="C51" s="70" t="s">
        <v>122</v>
      </c>
      <c r="D51" s="75" t="s">
        <v>60</v>
      </c>
      <c r="E51" s="12">
        <v>44548</v>
      </c>
      <c r="F51" s="73" t="s">
        <v>61</v>
      </c>
      <c r="G51" s="12">
        <v>44570</v>
      </c>
      <c r="H51" s="74" t="s">
        <v>114</v>
      </c>
      <c r="I51" s="15">
        <v>148</v>
      </c>
      <c r="J51" s="15">
        <v>64</v>
      </c>
      <c r="K51" s="15">
        <v>10</v>
      </c>
      <c r="L51" s="15">
        <v>18</v>
      </c>
      <c r="M51" s="78">
        <v>23.68</v>
      </c>
      <c r="N51" s="94">
        <v>23.68</v>
      </c>
      <c r="O51" s="61">
        <v>14000</v>
      </c>
      <c r="P51" s="62">
        <f t="shared" si="1"/>
        <v>331520</v>
      </c>
      <c r="Q51" s="203"/>
    </row>
    <row r="52" spans="1:17" ht="26.25" customHeight="1" x14ac:dyDescent="0.2">
      <c r="A52" s="13"/>
      <c r="B52" s="13"/>
      <c r="C52" s="70" t="s">
        <v>123</v>
      </c>
      <c r="D52" s="75" t="s">
        <v>60</v>
      </c>
      <c r="E52" s="12">
        <v>44548</v>
      </c>
      <c r="F52" s="73" t="s">
        <v>61</v>
      </c>
      <c r="G52" s="12">
        <v>44570</v>
      </c>
      <c r="H52" s="74" t="s">
        <v>114</v>
      </c>
      <c r="I52" s="15">
        <v>148</v>
      </c>
      <c r="J52" s="15">
        <v>64</v>
      </c>
      <c r="K52" s="15">
        <v>10</v>
      </c>
      <c r="L52" s="15">
        <v>18</v>
      </c>
      <c r="M52" s="78">
        <v>23.68</v>
      </c>
      <c r="N52" s="94">
        <v>23.68</v>
      </c>
      <c r="O52" s="61">
        <v>14000</v>
      </c>
      <c r="P52" s="62">
        <f t="shared" si="1"/>
        <v>331520</v>
      </c>
      <c r="Q52" s="203"/>
    </row>
    <row r="53" spans="1:17" ht="26.25" customHeight="1" x14ac:dyDescent="0.2">
      <c r="A53" s="13"/>
      <c r="B53" s="13"/>
      <c r="C53" s="70" t="s">
        <v>124</v>
      </c>
      <c r="D53" s="75" t="s">
        <v>60</v>
      </c>
      <c r="E53" s="12">
        <v>44548</v>
      </c>
      <c r="F53" s="73" t="s">
        <v>61</v>
      </c>
      <c r="G53" s="12">
        <v>44570</v>
      </c>
      <c r="H53" s="74" t="s">
        <v>114</v>
      </c>
      <c r="I53" s="15">
        <v>148</v>
      </c>
      <c r="J53" s="15">
        <v>64</v>
      </c>
      <c r="K53" s="15">
        <v>10</v>
      </c>
      <c r="L53" s="15">
        <v>18</v>
      </c>
      <c r="M53" s="78">
        <v>23.68</v>
      </c>
      <c r="N53" s="94">
        <v>23.68</v>
      </c>
      <c r="O53" s="61">
        <v>14000</v>
      </c>
      <c r="P53" s="62">
        <f t="shared" si="1"/>
        <v>331520</v>
      </c>
      <c r="Q53" s="203"/>
    </row>
    <row r="54" spans="1:17" ht="26.25" customHeight="1" x14ac:dyDescent="0.2">
      <c r="A54" s="13"/>
      <c r="B54" s="13"/>
      <c r="C54" s="70" t="s">
        <v>125</v>
      </c>
      <c r="D54" s="75" t="s">
        <v>60</v>
      </c>
      <c r="E54" s="12">
        <v>44548</v>
      </c>
      <c r="F54" s="73" t="s">
        <v>61</v>
      </c>
      <c r="G54" s="12">
        <v>44570</v>
      </c>
      <c r="H54" s="74" t="s">
        <v>114</v>
      </c>
      <c r="I54" s="15">
        <v>148</v>
      </c>
      <c r="J54" s="15">
        <v>64</v>
      </c>
      <c r="K54" s="15">
        <v>10</v>
      </c>
      <c r="L54" s="15">
        <v>18</v>
      </c>
      <c r="M54" s="78">
        <v>23.68</v>
      </c>
      <c r="N54" s="94">
        <v>23.68</v>
      </c>
      <c r="O54" s="61">
        <v>14000</v>
      </c>
      <c r="P54" s="62">
        <f t="shared" si="1"/>
        <v>331520</v>
      </c>
      <c r="Q54" s="203"/>
    </row>
    <row r="55" spans="1:17" ht="26.25" customHeight="1" x14ac:dyDescent="0.2">
      <c r="A55" s="13"/>
      <c r="B55" s="13"/>
      <c r="C55" s="70" t="s">
        <v>126</v>
      </c>
      <c r="D55" s="75" t="s">
        <v>60</v>
      </c>
      <c r="E55" s="12">
        <v>44548</v>
      </c>
      <c r="F55" s="73" t="s">
        <v>61</v>
      </c>
      <c r="G55" s="12">
        <v>44570</v>
      </c>
      <c r="H55" s="74" t="s">
        <v>114</v>
      </c>
      <c r="I55" s="15">
        <v>148</v>
      </c>
      <c r="J55" s="15">
        <v>64</v>
      </c>
      <c r="K55" s="15">
        <v>10</v>
      </c>
      <c r="L55" s="15">
        <v>18</v>
      </c>
      <c r="M55" s="78">
        <v>23.68</v>
      </c>
      <c r="N55" s="94">
        <v>23.68</v>
      </c>
      <c r="O55" s="61">
        <v>14000</v>
      </c>
      <c r="P55" s="62">
        <f t="shared" si="1"/>
        <v>331520</v>
      </c>
      <c r="Q55" s="203"/>
    </row>
    <row r="56" spans="1:17" ht="26.25" customHeight="1" x14ac:dyDescent="0.2">
      <c r="A56" s="13"/>
      <c r="B56" s="13"/>
      <c r="C56" s="70" t="s">
        <v>127</v>
      </c>
      <c r="D56" s="75" t="s">
        <v>60</v>
      </c>
      <c r="E56" s="12">
        <v>44548</v>
      </c>
      <c r="F56" s="73" t="s">
        <v>61</v>
      </c>
      <c r="G56" s="12">
        <v>44570</v>
      </c>
      <c r="H56" s="74" t="s">
        <v>114</v>
      </c>
      <c r="I56" s="15">
        <v>148</v>
      </c>
      <c r="J56" s="15">
        <v>64</v>
      </c>
      <c r="K56" s="15">
        <v>10</v>
      </c>
      <c r="L56" s="15">
        <v>18</v>
      </c>
      <c r="M56" s="78">
        <v>23.68</v>
      </c>
      <c r="N56" s="94">
        <v>23.68</v>
      </c>
      <c r="O56" s="61">
        <v>14000</v>
      </c>
      <c r="P56" s="62">
        <f t="shared" si="1"/>
        <v>331520</v>
      </c>
      <c r="Q56" s="203"/>
    </row>
    <row r="57" spans="1:17" ht="26.25" customHeight="1" x14ac:dyDescent="0.2">
      <c r="A57" s="13"/>
      <c r="B57" s="103"/>
      <c r="C57" s="70" t="s">
        <v>128</v>
      </c>
      <c r="D57" s="75" t="s">
        <v>60</v>
      </c>
      <c r="E57" s="12">
        <v>44548</v>
      </c>
      <c r="F57" s="73" t="s">
        <v>61</v>
      </c>
      <c r="G57" s="12">
        <v>44570</v>
      </c>
      <c r="H57" s="74" t="s">
        <v>114</v>
      </c>
      <c r="I57" s="15">
        <v>148</v>
      </c>
      <c r="J57" s="15">
        <v>64</v>
      </c>
      <c r="K57" s="15">
        <v>10</v>
      </c>
      <c r="L57" s="15">
        <v>18</v>
      </c>
      <c r="M57" s="78">
        <v>23.68</v>
      </c>
      <c r="N57" s="94">
        <v>23.68</v>
      </c>
      <c r="O57" s="61">
        <v>14000</v>
      </c>
      <c r="P57" s="62">
        <f t="shared" si="1"/>
        <v>331520</v>
      </c>
      <c r="Q57" s="203"/>
    </row>
    <row r="58" spans="1:17" ht="26.25" customHeight="1" thickBot="1" x14ac:dyDescent="0.25">
      <c r="A58" s="122"/>
      <c r="B58" s="151" t="s">
        <v>129</v>
      </c>
      <c r="C58" s="144" t="s">
        <v>130</v>
      </c>
      <c r="D58" s="145" t="s">
        <v>60</v>
      </c>
      <c r="E58" s="125">
        <v>44548</v>
      </c>
      <c r="F58" s="124" t="s">
        <v>61</v>
      </c>
      <c r="G58" s="125">
        <v>44570</v>
      </c>
      <c r="H58" s="146" t="s">
        <v>114</v>
      </c>
      <c r="I58" s="147">
        <v>148</v>
      </c>
      <c r="J58" s="147">
        <v>64</v>
      </c>
      <c r="K58" s="147">
        <v>10</v>
      </c>
      <c r="L58" s="147">
        <v>18</v>
      </c>
      <c r="M58" s="148">
        <v>23.68</v>
      </c>
      <c r="N58" s="129">
        <v>23.68</v>
      </c>
      <c r="O58" s="130">
        <v>14000</v>
      </c>
      <c r="P58" s="131">
        <f t="shared" si="1"/>
        <v>331520</v>
      </c>
      <c r="Q58" s="202"/>
    </row>
    <row r="59" spans="1:17" ht="26.25" customHeight="1" thickBot="1" x14ac:dyDescent="0.25">
      <c r="A59" s="153">
        <v>402701</v>
      </c>
      <c r="B59" s="154" t="s">
        <v>131</v>
      </c>
      <c r="C59" s="155" t="s">
        <v>132</v>
      </c>
      <c r="D59" s="156" t="s">
        <v>60</v>
      </c>
      <c r="E59" s="157">
        <v>44550</v>
      </c>
      <c r="F59" s="156" t="s">
        <v>61</v>
      </c>
      <c r="G59" s="157">
        <v>44570</v>
      </c>
      <c r="H59" s="158" t="s">
        <v>114</v>
      </c>
      <c r="I59" s="159">
        <v>94</v>
      </c>
      <c r="J59" s="159">
        <v>80</v>
      </c>
      <c r="K59" s="159">
        <v>58</v>
      </c>
      <c r="L59" s="159">
        <v>17</v>
      </c>
      <c r="M59" s="160">
        <v>109.04</v>
      </c>
      <c r="N59" s="165">
        <v>109.04</v>
      </c>
      <c r="O59" s="162">
        <v>14000</v>
      </c>
      <c r="P59" s="163">
        <f t="shared" si="1"/>
        <v>1526560</v>
      </c>
      <c r="Q59" s="164">
        <v>1</v>
      </c>
    </row>
    <row r="60" spans="1:17" ht="26.25" customHeight="1" x14ac:dyDescent="0.2">
      <c r="A60" s="13">
        <v>402710</v>
      </c>
      <c r="B60" s="72" t="s">
        <v>133</v>
      </c>
      <c r="C60" s="118" t="s">
        <v>134</v>
      </c>
      <c r="D60" s="98" t="s">
        <v>60</v>
      </c>
      <c r="E60" s="99">
        <v>44551</v>
      </c>
      <c r="F60" s="98" t="s">
        <v>61</v>
      </c>
      <c r="G60" s="99">
        <v>44570</v>
      </c>
      <c r="H60" s="119" t="s">
        <v>114</v>
      </c>
      <c r="I60" s="120">
        <v>53</v>
      </c>
      <c r="J60" s="120">
        <v>90</v>
      </c>
      <c r="K60" s="120">
        <v>52</v>
      </c>
      <c r="L60" s="120">
        <v>17</v>
      </c>
      <c r="M60" s="121">
        <v>62.01</v>
      </c>
      <c r="N60" s="100">
        <v>62.01</v>
      </c>
      <c r="O60" s="101">
        <v>14000</v>
      </c>
      <c r="P60" s="102">
        <f t="shared" si="1"/>
        <v>868140</v>
      </c>
      <c r="Q60" s="152">
        <v>1</v>
      </c>
    </row>
    <row r="61" spans="1:17" ht="26.25" customHeight="1" x14ac:dyDescent="0.2">
      <c r="A61" s="80">
        <v>402719</v>
      </c>
      <c r="B61" s="80" t="s">
        <v>135</v>
      </c>
      <c r="C61" s="8" t="s">
        <v>136</v>
      </c>
      <c r="D61" s="73" t="s">
        <v>60</v>
      </c>
      <c r="E61" s="12">
        <v>44553</v>
      </c>
      <c r="F61" s="73" t="s">
        <v>61</v>
      </c>
      <c r="G61" s="12">
        <v>44570</v>
      </c>
      <c r="H61" s="9" t="s">
        <v>114</v>
      </c>
      <c r="I61" s="1">
        <v>67</v>
      </c>
      <c r="J61" s="1">
        <v>57</v>
      </c>
      <c r="K61" s="1">
        <v>24</v>
      </c>
      <c r="L61" s="1">
        <v>7</v>
      </c>
      <c r="M61" s="77">
        <v>22.914000000000001</v>
      </c>
      <c r="N61" s="94">
        <v>22.914000000000001</v>
      </c>
      <c r="O61" s="61">
        <v>14000</v>
      </c>
      <c r="P61" s="62">
        <f t="shared" si="1"/>
        <v>320796</v>
      </c>
      <c r="Q61" s="205">
        <v>13</v>
      </c>
    </row>
    <row r="62" spans="1:17" ht="26.25" customHeight="1" x14ac:dyDescent="0.2">
      <c r="A62" s="13"/>
      <c r="B62" s="103"/>
      <c r="C62" s="8" t="s">
        <v>137</v>
      </c>
      <c r="D62" s="73" t="s">
        <v>60</v>
      </c>
      <c r="E62" s="12">
        <v>44553</v>
      </c>
      <c r="F62" s="73" t="s">
        <v>61</v>
      </c>
      <c r="G62" s="12">
        <v>44570</v>
      </c>
      <c r="H62" s="9" t="s">
        <v>114</v>
      </c>
      <c r="I62" s="1">
        <v>24</v>
      </c>
      <c r="J62" s="1">
        <v>17</v>
      </c>
      <c r="K62" s="1">
        <v>10</v>
      </c>
      <c r="L62" s="1">
        <v>5</v>
      </c>
      <c r="M62" s="77">
        <v>1.02</v>
      </c>
      <c r="N62" s="94">
        <v>5</v>
      </c>
      <c r="O62" s="61">
        <v>14000</v>
      </c>
      <c r="P62" s="62">
        <f t="shared" si="1"/>
        <v>70000</v>
      </c>
      <c r="Q62" s="203"/>
    </row>
    <row r="63" spans="1:17" ht="26.25" customHeight="1" x14ac:dyDescent="0.2">
      <c r="A63" s="13"/>
      <c r="B63" s="109" t="s">
        <v>138</v>
      </c>
      <c r="C63" s="8" t="s">
        <v>139</v>
      </c>
      <c r="D63" s="73" t="s">
        <v>60</v>
      </c>
      <c r="E63" s="12">
        <v>44553</v>
      </c>
      <c r="F63" s="73" t="s">
        <v>61</v>
      </c>
      <c r="G63" s="12">
        <v>44570</v>
      </c>
      <c r="H63" s="9" t="s">
        <v>114</v>
      </c>
      <c r="I63" s="1">
        <v>45</v>
      </c>
      <c r="J63" s="1">
        <v>22</v>
      </c>
      <c r="K63" s="1">
        <v>23</v>
      </c>
      <c r="L63" s="1">
        <v>7</v>
      </c>
      <c r="M63" s="77">
        <v>5.6924999999999999</v>
      </c>
      <c r="N63" s="94">
        <v>7</v>
      </c>
      <c r="O63" s="61">
        <v>14000</v>
      </c>
      <c r="P63" s="62">
        <f t="shared" si="1"/>
        <v>98000</v>
      </c>
      <c r="Q63" s="203"/>
    </row>
    <row r="64" spans="1:17" ht="26.25" customHeight="1" x14ac:dyDescent="0.2">
      <c r="A64" s="13"/>
      <c r="B64" s="80" t="s">
        <v>140</v>
      </c>
      <c r="C64" s="70" t="s">
        <v>141</v>
      </c>
      <c r="D64" s="75" t="s">
        <v>60</v>
      </c>
      <c r="E64" s="12">
        <v>44553</v>
      </c>
      <c r="F64" s="73" t="s">
        <v>61</v>
      </c>
      <c r="G64" s="12">
        <v>44570</v>
      </c>
      <c r="H64" s="74" t="s">
        <v>114</v>
      </c>
      <c r="I64" s="15">
        <v>37</v>
      </c>
      <c r="J64" s="15">
        <v>37</v>
      </c>
      <c r="K64" s="15">
        <v>65</v>
      </c>
      <c r="L64" s="15">
        <v>7</v>
      </c>
      <c r="M64" s="78">
        <v>22.24625</v>
      </c>
      <c r="N64" s="94">
        <v>22.24625</v>
      </c>
      <c r="O64" s="61">
        <v>14000</v>
      </c>
      <c r="P64" s="62">
        <f t="shared" si="1"/>
        <v>311447.5</v>
      </c>
      <c r="Q64" s="203"/>
    </row>
    <row r="65" spans="1:17" ht="26.25" customHeight="1" x14ac:dyDescent="0.2">
      <c r="A65" s="13"/>
      <c r="B65" s="13"/>
      <c r="C65" s="70" t="s">
        <v>142</v>
      </c>
      <c r="D65" s="75" t="s">
        <v>60</v>
      </c>
      <c r="E65" s="12">
        <v>44553</v>
      </c>
      <c r="F65" s="73" t="s">
        <v>61</v>
      </c>
      <c r="G65" s="12">
        <v>44570</v>
      </c>
      <c r="H65" s="74" t="s">
        <v>114</v>
      </c>
      <c r="I65" s="15">
        <v>73</v>
      </c>
      <c r="J65" s="15">
        <v>55</v>
      </c>
      <c r="K65" s="15">
        <v>85</v>
      </c>
      <c r="L65" s="15">
        <v>14</v>
      </c>
      <c r="M65" s="78">
        <v>85.318749999999994</v>
      </c>
      <c r="N65" s="94">
        <v>86</v>
      </c>
      <c r="O65" s="61">
        <v>14000</v>
      </c>
      <c r="P65" s="62">
        <f t="shared" si="1"/>
        <v>1204000</v>
      </c>
      <c r="Q65" s="203"/>
    </row>
    <row r="66" spans="1:17" ht="26.25" customHeight="1" x14ac:dyDescent="0.2">
      <c r="A66" s="13"/>
      <c r="B66" s="13"/>
      <c r="C66" s="70" t="s">
        <v>143</v>
      </c>
      <c r="D66" s="75" t="s">
        <v>60</v>
      </c>
      <c r="E66" s="12">
        <v>44553</v>
      </c>
      <c r="F66" s="73" t="s">
        <v>61</v>
      </c>
      <c r="G66" s="12">
        <v>44570</v>
      </c>
      <c r="H66" s="74" t="s">
        <v>114</v>
      </c>
      <c r="I66" s="15">
        <v>73</v>
      </c>
      <c r="J66" s="15">
        <v>55</v>
      </c>
      <c r="K66" s="15">
        <v>85</v>
      </c>
      <c r="L66" s="15">
        <v>14</v>
      </c>
      <c r="M66" s="78">
        <v>85.318749999999994</v>
      </c>
      <c r="N66" s="94">
        <v>86</v>
      </c>
      <c r="O66" s="61">
        <v>14000</v>
      </c>
      <c r="P66" s="62">
        <f t="shared" si="1"/>
        <v>1204000</v>
      </c>
      <c r="Q66" s="203"/>
    </row>
    <row r="67" spans="1:17" ht="26.25" customHeight="1" x14ac:dyDescent="0.2">
      <c r="A67" s="13"/>
      <c r="B67" s="13"/>
      <c r="C67" s="70" t="s">
        <v>144</v>
      </c>
      <c r="D67" s="75" t="s">
        <v>60</v>
      </c>
      <c r="E67" s="12">
        <v>44553</v>
      </c>
      <c r="F67" s="73" t="s">
        <v>61</v>
      </c>
      <c r="G67" s="12">
        <v>44570</v>
      </c>
      <c r="H67" s="74" t="s">
        <v>114</v>
      </c>
      <c r="I67" s="15">
        <v>83</v>
      </c>
      <c r="J67" s="15">
        <v>45</v>
      </c>
      <c r="K67" s="15">
        <v>33</v>
      </c>
      <c r="L67" s="15">
        <v>7</v>
      </c>
      <c r="M67" s="78">
        <v>30.813749999999999</v>
      </c>
      <c r="N67" s="94">
        <v>30.813749999999999</v>
      </c>
      <c r="O67" s="61">
        <v>14000</v>
      </c>
      <c r="P67" s="62">
        <f t="shared" si="1"/>
        <v>431392.5</v>
      </c>
      <c r="Q67" s="203"/>
    </row>
    <row r="68" spans="1:17" ht="26.25" customHeight="1" x14ac:dyDescent="0.2">
      <c r="A68" s="13"/>
      <c r="B68" s="13"/>
      <c r="C68" s="70" t="s">
        <v>145</v>
      </c>
      <c r="D68" s="75" t="s">
        <v>60</v>
      </c>
      <c r="E68" s="12">
        <v>44553</v>
      </c>
      <c r="F68" s="73" t="s">
        <v>61</v>
      </c>
      <c r="G68" s="12">
        <v>44570</v>
      </c>
      <c r="H68" s="74" t="s">
        <v>114</v>
      </c>
      <c r="I68" s="15">
        <v>66</v>
      </c>
      <c r="J68" s="15">
        <v>58</v>
      </c>
      <c r="K68" s="15">
        <v>20</v>
      </c>
      <c r="L68" s="15">
        <v>7</v>
      </c>
      <c r="M68" s="78">
        <v>19.14</v>
      </c>
      <c r="N68" s="94">
        <v>19.14</v>
      </c>
      <c r="O68" s="61">
        <v>14000</v>
      </c>
      <c r="P68" s="62">
        <f t="shared" si="1"/>
        <v>267960</v>
      </c>
      <c r="Q68" s="203"/>
    </row>
    <row r="69" spans="1:17" ht="26.25" customHeight="1" x14ac:dyDescent="0.2">
      <c r="A69" s="13"/>
      <c r="B69" s="13"/>
      <c r="C69" s="70" t="s">
        <v>146</v>
      </c>
      <c r="D69" s="75" t="s">
        <v>60</v>
      </c>
      <c r="E69" s="12">
        <v>44553</v>
      </c>
      <c r="F69" s="73" t="s">
        <v>61</v>
      </c>
      <c r="G69" s="12">
        <v>44570</v>
      </c>
      <c r="H69" s="74" t="s">
        <v>114</v>
      </c>
      <c r="I69" s="15">
        <v>66</v>
      </c>
      <c r="J69" s="15">
        <v>58</v>
      </c>
      <c r="K69" s="15">
        <v>20</v>
      </c>
      <c r="L69" s="15">
        <v>7</v>
      </c>
      <c r="M69" s="78">
        <v>19.14</v>
      </c>
      <c r="N69" s="94">
        <v>19.14</v>
      </c>
      <c r="O69" s="61">
        <v>14000</v>
      </c>
      <c r="P69" s="62">
        <f t="shared" si="1"/>
        <v>267960</v>
      </c>
      <c r="Q69" s="203"/>
    </row>
    <row r="70" spans="1:17" ht="26.25" customHeight="1" x14ac:dyDescent="0.2">
      <c r="A70" s="13"/>
      <c r="B70" s="13"/>
      <c r="C70" s="70" t="s">
        <v>147</v>
      </c>
      <c r="D70" s="75" t="s">
        <v>60</v>
      </c>
      <c r="E70" s="12">
        <v>44553</v>
      </c>
      <c r="F70" s="73" t="s">
        <v>61</v>
      </c>
      <c r="G70" s="12">
        <v>44570</v>
      </c>
      <c r="H70" s="74" t="s">
        <v>114</v>
      </c>
      <c r="I70" s="15">
        <v>66</v>
      </c>
      <c r="J70" s="15">
        <v>58</v>
      </c>
      <c r="K70" s="15">
        <v>20</v>
      </c>
      <c r="L70" s="15">
        <v>7</v>
      </c>
      <c r="M70" s="78">
        <v>19.14</v>
      </c>
      <c r="N70" s="94">
        <v>19.14</v>
      </c>
      <c r="O70" s="61">
        <v>14000</v>
      </c>
      <c r="P70" s="62">
        <f t="shared" ref="P70:P94" si="2">N70*O70</f>
        <v>267960</v>
      </c>
      <c r="Q70" s="203"/>
    </row>
    <row r="71" spans="1:17" ht="26.25" customHeight="1" x14ac:dyDescent="0.2">
      <c r="A71" s="13"/>
      <c r="B71" s="13"/>
      <c r="C71" s="70" t="s">
        <v>148</v>
      </c>
      <c r="D71" s="75" t="s">
        <v>60</v>
      </c>
      <c r="E71" s="12">
        <v>44553</v>
      </c>
      <c r="F71" s="73" t="s">
        <v>61</v>
      </c>
      <c r="G71" s="12">
        <v>44570</v>
      </c>
      <c r="H71" s="74" t="s">
        <v>114</v>
      </c>
      <c r="I71" s="15">
        <v>66</v>
      </c>
      <c r="J71" s="15">
        <v>58</v>
      </c>
      <c r="K71" s="15">
        <v>20</v>
      </c>
      <c r="L71" s="15">
        <v>7</v>
      </c>
      <c r="M71" s="78">
        <v>19.14</v>
      </c>
      <c r="N71" s="94">
        <v>19.14</v>
      </c>
      <c r="O71" s="61">
        <v>14000</v>
      </c>
      <c r="P71" s="62">
        <f t="shared" si="2"/>
        <v>267960</v>
      </c>
      <c r="Q71" s="203"/>
    </row>
    <row r="72" spans="1:17" ht="26.25" customHeight="1" x14ac:dyDescent="0.2">
      <c r="A72" s="13"/>
      <c r="B72" s="103"/>
      <c r="C72" s="70" t="s">
        <v>149</v>
      </c>
      <c r="D72" s="75" t="s">
        <v>60</v>
      </c>
      <c r="E72" s="12">
        <v>44553</v>
      </c>
      <c r="F72" s="73" t="s">
        <v>61</v>
      </c>
      <c r="G72" s="12">
        <v>44570</v>
      </c>
      <c r="H72" s="74" t="s">
        <v>114</v>
      </c>
      <c r="I72" s="15">
        <v>66</v>
      </c>
      <c r="J72" s="15">
        <v>58</v>
      </c>
      <c r="K72" s="15">
        <v>20</v>
      </c>
      <c r="L72" s="15">
        <v>7</v>
      </c>
      <c r="M72" s="78">
        <v>19.14</v>
      </c>
      <c r="N72" s="94">
        <v>19.14</v>
      </c>
      <c r="O72" s="61">
        <v>14000</v>
      </c>
      <c r="P72" s="62">
        <f t="shared" si="2"/>
        <v>267960</v>
      </c>
      <c r="Q72" s="203"/>
    </row>
    <row r="73" spans="1:17" ht="26.25" customHeight="1" thickBot="1" x14ac:dyDescent="0.25">
      <c r="A73" s="122"/>
      <c r="B73" s="122" t="s">
        <v>150</v>
      </c>
      <c r="C73" s="166" t="s">
        <v>151</v>
      </c>
      <c r="D73" s="167" t="s">
        <v>60</v>
      </c>
      <c r="E73" s="168">
        <v>44553</v>
      </c>
      <c r="F73" s="169" t="s">
        <v>61</v>
      </c>
      <c r="G73" s="168">
        <v>44570</v>
      </c>
      <c r="H73" s="170" t="s">
        <v>114</v>
      </c>
      <c r="I73" s="171">
        <v>54</v>
      </c>
      <c r="J73" s="171">
        <v>6</v>
      </c>
      <c r="K73" s="171">
        <v>6</v>
      </c>
      <c r="L73" s="171">
        <v>4</v>
      </c>
      <c r="M73" s="172">
        <v>0.48599999999999999</v>
      </c>
      <c r="N73" s="173">
        <v>4</v>
      </c>
      <c r="O73" s="130">
        <v>14000</v>
      </c>
      <c r="P73" s="131">
        <f t="shared" si="2"/>
        <v>56000</v>
      </c>
      <c r="Q73" s="202"/>
    </row>
    <row r="74" spans="1:17" ht="26.25" customHeight="1" x14ac:dyDescent="0.2">
      <c r="A74" s="132">
        <v>402730</v>
      </c>
      <c r="B74" s="174" t="s">
        <v>152</v>
      </c>
      <c r="C74" s="133" t="s">
        <v>153</v>
      </c>
      <c r="D74" s="134" t="s">
        <v>60</v>
      </c>
      <c r="E74" s="135">
        <v>44554</v>
      </c>
      <c r="F74" s="134" t="s">
        <v>61</v>
      </c>
      <c r="G74" s="135">
        <v>44570</v>
      </c>
      <c r="H74" s="136" t="s">
        <v>114</v>
      </c>
      <c r="I74" s="137">
        <v>51</v>
      </c>
      <c r="J74" s="137">
        <v>45</v>
      </c>
      <c r="K74" s="137">
        <v>14</v>
      </c>
      <c r="L74" s="137">
        <v>11</v>
      </c>
      <c r="M74" s="138">
        <v>8.0325000000000006</v>
      </c>
      <c r="N74" s="139">
        <v>11</v>
      </c>
      <c r="O74" s="140">
        <v>14000</v>
      </c>
      <c r="P74" s="141">
        <f t="shared" si="2"/>
        <v>154000</v>
      </c>
      <c r="Q74" s="204">
        <v>9</v>
      </c>
    </row>
    <row r="75" spans="1:17" ht="26.25" customHeight="1" x14ac:dyDescent="0.2">
      <c r="A75" s="13"/>
      <c r="B75" s="71"/>
      <c r="C75" s="8" t="s">
        <v>154</v>
      </c>
      <c r="D75" s="73" t="s">
        <v>60</v>
      </c>
      <c r="E75" s="12">
        <v>44554</v>
      </c>
      <c r="F75" s="73" t="s">
        <v>61</v>
      </c>
      <c r="G75" s="12">
        <v>44570</v>
      </c>
      <c r="H75" s="9" t="s">
        <v>114</v>
      </c>
      <c r="I75" s="1">
        <v>51</v>
      </c>
      <c r="J75" s="1">
        <v>45</v>
      </c>
      <c r="K75" s="1">
        <v>14</v>
      </c>
      <c r="L75" s="1">
        <v>11</v>
      </c>
      <c r="M75" s="77">
        <v>8.0325000000000006</v>
      </c>
      <c r="N75" s="7">
        <v>11</v>
      </c>
      <c r="O75" s="61">
        <v>14000</v>
      </c>
      <c r="P75" s="62">
        <f t="shared" si="2"/>
        <v>154000</v>
      </c>
      <c r="Q75" s="194"/>
    </row>
    <row r="76" spans="1:17" ht="26.25" customHeight="1" x14ac:dyDescent="0.2">
      <c r="A76" s="13"/>
      <c r="B76" s="13"/>
      <c r="C76" s="8" t="s">
        <v>155</v>
      </c>
      <c r="D76" s="73" t="s">
        <v>60</v>
      </c>
      <c r="E76" s="12">
        <v>44554</v>
      </c>
      <c r="F76" s="73" t="s">
        <v>61</v>
      </c>
      <c r="G76" s="12">
        <v>44570</v>
      </c>
      <c r="H76" s="9" t="s">
        <v>114</v>
      </c>
      <c r="I76" s="1">
        <v>51</v>
      </c>
      <c r="J76" s="1">
        <v>45</v>
      </c>
      <c r="K76" s="1">
        <v>14</v>
      </c>
      <c r="L76" s="1">
        <v>11</v>
      </c>
      <c r="M76" s="77">
        <v>8.0325000000000006</v>
      </c>
      <c r="N76" s="7">
        <v>11</v>
      </c>
      <c r="O76" s="61">
        <v>14000</v>
      </c>
      <c r="P76" s="62">
        <f t="shared" si="2"/>
        <v>154000</v>
      </c>
      <c r="Q76" s="194"/>
    </row>
    <row r="77" spans="1:17" ht="26.25" customHeight="1" x14ac:dyDescent="0.2">
      <c r="A77" s="13"/>
      <c r="B77" s="13"/>
      <c r="C77" s="70" t="s">
        <v>156</v>
      </c>
      <c r="D77" s="75" t="s">
        <v>60</v>
      </c>
      <c r="E77" s="12">
        <v>44554</v>
      </c>
      <c r="F77" s="73" t="s">
        <v>61</v>
      </c>
      <c r="G77" s="12">
        <v>44570</v>
      </c>
      <c r="H77" s="74" t="s">
        <v>114</v>
      </c>
      <c r="I77" s="15">
        <v>51</v>
      </c>
      <c r="J77" s="15">
        <v>45</v>
      </c>
      <c r="K77" s="15">
        <v>14</v>
      </c>
      <c r="L77" s="15">
        <v>11</v>
      </c>
      <c r="M77" s="78">
        <v>8.0325000000000006</v>
      </c>
      <c r="N77" s="69">
        <v>11</v>
      </c>
      <c r="O77" s="61">
        <v>14000</v>
      </c>
      <c r="P77" s="62">
        <f t="shared" si="2"/>
        <v>154000</v>
      </c>
      <c r="Q77" s="194"/>
    </row>
    <row r="78" spans="1:17" ht="26.25" customHeight="1" x14ac:dyDescent="0.2">
      <c r="A78" s="13"/>
      <c r="B78" s="13"/>
      <c r="C78" s="70" t="s">
        <v>157</v>
      </c>
      <c r="D78" s="75" t="s">
        <v>60</v>
      </c>
      <c r="E78" s="12">
        <v>44554</v>
      </c>
      <c r="F78" s="73" t="s">
        <v>61</v>
      </c>
      <c r="G78" s="12">
        <v>44570</v>
      </c>
      <c r="H78" s="74" t="s">
        <v>114</v>
      </c>
      <c r="I78" s="15">
        <v>51</v>
      </c>
      <c r="J78" s="15">
        <v>45</v>
      </c>
      <c r="K78" s="15">
        <v>14</v>
      </c>
      <c r="L78" s="15">
        <v>11</v>
      </c>
      <c r="M78" s="78">
        <v>8.0325000000000006</v>
      </c>
      <c r="N78" s="69">
        <v>11</v>
      </c>
      <c r="O78" s="61">
        <v>14000</v>
      </c>
      <c r="P78" s="62">
        <f t="shared" si="2"/>
        <v>154000</v>
      </c>
      <c r="Q78" s="194"/>
    </row>
    <row r="79" spans="1:17" ht="26.25" customHeight="1" x14ac:dyDescent="0.2">
      <c r="A79" s="13"/>
      <c r="B79" s="13"/>
      <c r="C79" s="70" t="s">
        <v>158</v>
      </c>
      <c r="D79" s="75" t="s">
        <v>60</v>
      </c>
      <c r="E79" s="12">
        <v>44554</v>
      </c>
      <c r="F79" s="73" t="s">
        <v>61</v>
      </c>
      <c r="G79" s="12">
        <v>44570</v>
      </c>
      <c r="H79" s="74" t="s">
        <v>114</v>
      </c>
      <c r="I79" s="15">
        <v>51</v>
      </c>
      <c r="J79" s="15">
        <v>45</v>
      </c>
      <c r="K79" s="15">
        <v>14</v>
      </c>
      <c r="L79" s="15">
        <v>11</v>
      </c>
      <c r="M79" s="78">
        <v>8.0325000000000006</v>
      </c>
      <c r="N79" s="69">
        <v>11</v>
      </c>
      <c r="O79" s="61">
        <v>14000</v>
      </c>
      <c r="P79" s="62">
        <f t="shared" si="2"/>
        <v>154000</v>
      </c>
      <c r="Q79" s="194"/>
    </row>
    <row r="80" spans="1:17" ht="26.25" customHeight="1" x14ac:dyDescent="0.2">
      <c r="A80" s="13"/>
      <c r="B80" s="13"/>
      <c r="C80" s="70" t="s">
        <v>159</v>
      </c>
      <c r="D80" s="75" t="s">
        <v>60</v>
      </c>
      <c r="E80" s="12">
        <v>44554</v>
      </c>
      <c r="F80" s="73" t="s">
        <v>61</v>
      </c>
      <c r="G80" s="12">
        <v>44570</v>
      </c>
      <c r="H80" s="74" t="s">
        <v>114</v>
      </c>
      <c r="I80" s="15">
        <v>51</v>
      </c>
      <c r="J80" s="15">
        <v>45</v>
      </c>
      <c r="K80" s="15">
        <v>14</v>
      </c>
      <c r="L80" s="15">
        <v>11</v>
      </c>
      <c r="M80" s="78">
        <v>8.0325000000000006</v>
      </c>
      <c r="N80" s="69">
        <v>11</v>
      </c>
      <c r="O80" s="61">
        <v>14000</v>
      </c>
      <c r="P80" s="62">
        <f t="shared" si="2"/>
        <v>154000</v>
      </c>
      <c r="Q80" s="194"/>
    </row>
    <row r="81" spans="1:17" ht="26.25" customHeight="1" x14ac:dyDescent="0.2">
      <c r="A81" s="13"/>
      <c r="B81" s="13"/>
      <c r="C81" s="70" t="s">
        <v>160</v>
      </c>
      <c r="D81" s="75" t="s">
        <v>60</v>
      </c>
      <c r="E81" s="12">
        <v>44554</v>
      </c>
      <c r="F81" s="73" t="s">
        <v>61</v>
      </c>
      <c r="G81" s="12">
        <v>44570</v>
      </c>
      <c r="H81" s="74" t="s">
        <v>114</v>
      </c>
      <c r="I81" s="15">
        <v>51</v>
      </c>
      <c r="J81" s="15">
        <v>45</v>
      </c>
      <c r="K81" s="15">
        <v>14</v>
      </c>
      <c r="L81" s="15">
        <v>11</v>
      </c>
      <c r="M81" s="78">
        <v>8.0325000000000006</v>
      </c>
      <c r="N81" s="69">
        <v>11</v>
      </c>
      <c r="O81" s="61">
        <v>14000</v>
      </c>
      <c r="P81" s="62">
        <f t="shared" si="2"/>
        <v>154000</v>
      </c>
      <c r="Q81" s="194"/>
    </row>
    <row r="82" spans="1:17" ht="26.25" customHeight="1" thickBot="1" x14ac:dyDescent="0.25">
      <c r="A82" s="122"/>
      <c r="B82" s="122"/>
      <c r="C82" s="144" t="s">
        <v>161</v>
      </c>
      <c r="D82" s="145" t="s">
        <v>60</v>
      </c>
      <c r="E82" s="125">
        <v>44554</v>
      </c>
      <c r="F82" s="124" t="s">
        <v>61</v>
      </c>
      <c r="G82" s="125">
        <v>44570</v>
      </c>
      <c r="H82" s="146" t="s">
        <v>114</v>
      </c>
      <c r="I82" s="147">
        <v>51</v>
      </c>
      <c r="J82" s="147">
        <v>45</v>
      </c>
      <c r="K82" s="147">
        <v>14</v>
      </c>
      <c r="L82" s="147">
        <v>11</v>
      </c>
      <c r="M82" s="148">
        <v>8.0325000000000006</v>
      </c>
      <c r="N82" s="149">
        <v>11</v>
      </c>
      <c r="O82" s="130">
        <v>14000</v>
      </c>
      <c r="P82" s="131">
        <f t="shared" si="2"/>
        <v>154000</v>
      </c>
      <c r="Q82" s="195"/>
    </row>
    <row r="83" spans="1:17" ht="26.25" customHeight="1" thickBot="1" x14ac:dyDescent="0.25">
      <c r="A83" s="153">
        <v>402735</v>
      </c>
      <c r="B83" s="154" t="s">
        <v>162</v>
      </c>
      <c r="C83" s="155" t="s">
        <v>163</v>
      </c>
      <c r="D83" s="156" t="s">
        <v>60</v>
      </c>
      <c r="E83" s="157">
        <v>44555</v>
      </c>
      <c r="F83" s="156" t="s">
        <v>61</v>
      </c>
      <c r="G83" s="157">
        <v>44570</v>
      </c>
      <c r="H83" s="158" t="s">
        <v>114</v>
      </c>
      <c r="I83" s="159">
        <v>35</v>
      </c>
      <c r="J83" s="159">
        <v>15</v>
      </c>
      <c r="K83" s="159">
        <v>9</v>
      </c>
      <c r="L83" s="159">
        <v>12</v>
      </c>
      <c r="M83" s="160">
        <v>1.1812499999999999</v>
      </c>
      <c r="N83" s="165">
        <v>12</v>
      </c>
      <c r="O83" s="162">
        <v>14000</v>
      </c>
      <c r="P83" s="163">
        <f t="shared" si="2"/>
        <v>168000</v>
      </c>
      <c r="Q83" s="164">
        <v>1</v>
      </c>
    </row>
    <row r="84" spans="1:17" ht="26.25" customHeight="1" thickBot="1" x14ac:dyDescent="0.25">
      <c r="A84" s="153">
        <v>402739</v>
      </c>
      <c r="B84" s="154" t="s">
        <v>164</v>
      </c>
      <c r="C84" s="155" t="s">
        <v>165</v>
      </c>
      <c r="D84" s="156" t="s">
        <v>60</v>
      </c>
      <c r="E84" s="157">
        <v>44556</v>
      </c>
      <c r="F84" s="156" t="s">
        <v>61</v>
      </c>
      <c r="G84" s="157">
        <v>44570</v>
      </c>
      <c r="H84" s="158" t="s">
        <v>114</v>
      </c>
      <c r="I84" s="159">
        <v>47</v>
      </c>
      <c r="J84" s="159">
        <v>41</v>
      </c>
      <c r="K84" s="159">
        <v>38</v>
      </c>
      <c r="L84" s="159">
        <v>11</v>
      </c>
      <c r="M84" s="160">
        <v>18.3065</v>
      </c>
      <c r="N84" s="161">
        <v>19</v>
      </c>
      <c r="O84" s="162">
        <v>14000</v>
      </c>
      <c r="P84" s="163">
        <f t="shared" si="2"/>
        <v>266000</v>
      </c>
      <c r="Q84" s="164">
        <v>1</v>
      </c>
    </row>
    <row r="85" spans="1:17" ht="26.25" customHeight="1" x14ac:dyDescent="0.2">
      <c r="A85" s="132">
        <v>402755</v>
      </c>
      <c r="B85" s="175" t="s">
        <v>166</v>
      </c>
      <c r="C85" s="133" t="s">
        <v>167</v>
      </c>
      <c r="D85" s="134" t="s">
        <v>60</v>
      </c>
      <c r="E85" s="135">
        <v>44560</v>
      </c>
      <c r="F85" s="134" t="s">
        <v>61</v>
      </c>
      <c r="G85" s="135">
        <v>44570</v>
      </c>
      <c r="H85" s="136" t="s">
        <v>173</v>
      </c>
      <c r="I85" s="137">
        <v>68</v>
      </c>
      <c r="J85" s="137">
        <v>58</v>
      </c>
      <c r="K85" s="137">
        <v>23</v>
      </c>
      <c r="L85" s="137">
        <v>10</v>
      </c>
      <c r="M85" s="138">
        <v>22.678000000000001</v>
      </c>
      <c r="N85" s="150">
        <v>22.678000000000001</v>
      </c>
      <c r="O85" s="140">
        <v>14000</v>
      </c>
      <c r="P85" s="141">
        <f t="shared" si="2"/>
        <v>317492</v>
      </c>
      <c r="Q85" s="201">
        <v>6</v>
      </c>
    </row>
    <row r="86" spans="1:17" ht="26.25" customHeight="1" x14ac:dyDescent="0.2">
      <c r="A86" s="13"/>
      <c r="B86" s="72"/>
      <c r="C86" s="8" t="s">
        <v>168</v>
      </c>
      <c r="D86" s="73" t="s">
        <v>60</v>
      </c>
      <c r="E86" s="12">
        <v>44560</v>
      </c>
      <c r="F86" s="73" t="s">
        <v>61</v>
      </c>
      <c r="G86" s="12">
        <v>44570</v>
      </c>
      <c r="H86" s="9" t="s">
        <v>173</v>
      </c>
      <c r="I86" s="1">
        <v>78</v>
      </c>
      <c r="J86" s="1">
        <v>40</v>
      </c>
      <c r="K86" s="1">
        <v>50</v>
      </c>
      <c r="L86" s="1">
        <v>11</v>
      </c>
      <c r="M86" s="77">
        <v>39</v>
      </c>
      <c r="N86" s="94">
        <v>39</v>
      </c>
      <c r="O86" s="61">
        <v>14000</v>
      </c>
      <c r="P86" s="62">
        <f t="shared" si="2"/>
        <v>546000</v>
      </c>
      <c r="Q86" s="203"/>
    </row>
    <row r="87" spans="1:17" ht="26.25" customHeight="1" x14ac:dyDescent="0.2">
      <c r="A87" s="13"/>
      <c r="B87" s="13"/>
      <c r="C87" s="8" t="s">
        <v>169</v>
      </c>
      <c r="D87" s="73" t="s">
        <v>60</v>
      </c>
      <c r="E87" s="12">
        <v>44560</v>
      </c>
      <c r="F87" s="73" t="s">
        <v>61</v>
      </c>
      <c r="G87" s="12">
        <v>44570</v>
      </c>
      <c r="H87" s="9" t="s">
        <v>173</v>
      </c>
      <c r="I87" s="1">
        <v>150</v>
      </c>
      <c r="J87" s="1">
        <v>65</v>
      </c>
      <c r="K87" s="1">
        <v>10</v>
      </c>
      <c r="L87" s="1">
        <v>11</v>
      </c>
      <c r="M87" s="77">
        <v>24.375</v>
      </c>
      <c r="N87" s="94">
        <v>25</v>
      </c>
      <c r="O87" s="61">
        <v>14000</v>
      </c>
      <c r="P87" s="62">
        <f t="shared" si="2"/>
        <v>350000</v>
      </c>
      <c r="Q87" s="203"/>
    </row>
    <row r="88" spans="1:17" ht="26.25" customHeight="1" x14ac:dyDescent="0.2">
      <c r="A88" s="13"/>
      <c r="B88" s="13"/>
      <c r="C88" s="70" t="s">
        <v>170</v>
      </c>
      <c r="D88" s="75" t="s">
        <v>60</v>
      </c>
      <c r="E88" s="12">
        <v>44560</v>
      </c>
      <c r="F88" s="73" t="s">
        <v>61</v>
      </c>
      <c r="G88" s="12">
        <v>44570</v>
      </c>
      <c r="H88" s="74" t="s">
        <v>173</v>
      </c>
      <c r="I88" s="15">
        <v>150</v>
      </c>
      <c r="J88" s="15">
        <v>65</v>
      </c>
      <c r="K88" s="15">
        <v>10</v>
      </c>
      <c r="L88" s="15">
        <v>11</v>
      </c>
      <c r="M88" s="78">
        <v>24.375</v>
      </c>
      <c r="N88" s="94">
        <v>25</v>
      </c>
      <c r="O88" s="61">
        <v>14000</v>
      </c>
      <c r="P88" s="62">
        <f t="shared" si="2"/>
        <v>350000</v>
      </c>
      <c r="Q88" s="203"/>
    </row>
    <row r="89" spans="1:17" ht="26.25" customHeight="1" x14ac:dyDescent="0.2">
      <c r="A89" s="13"/>
      <c r="B89" s="13"/>
      <c r="C89" s="70" t="s">
        <v>171</v>
      </c>
      <c r="D89" s="75" t="s">
        <v>60</v>
      </c>
      <c r="E89" s="12">
        <v>44560</v>
      </c>
      <c r="F89" s="73" t="s">
        <v>61</v>
      </c>
      <c r="G89" s="12">
        <v>44570</v>
      </c>
      <c r="H89" s="74" t="s">
        <v>173</v>
      </c>
      <c r="I89" s="15">
        <v>150</v>
      </c>
      <c r="J89" s="15">
        <v>65</v>
      </c>
      <c r="K89" s="15">
        <v>10</v>
      </c>
      <c r="L89" s="15">
        <v>11</v>
      </c>
      <c r="M89" s="78">
        <v>24.375</v>
      </c>
      <c r="N89" s="94">
        <v>25</v>
      </c>
      <c r="O89" s="61">
        <v>14000</v>
      </c>
      <c r="P89" s="62">
        <f t="shared" si="2"/>
        <v>350000</v>
      </c>
      <c r="Q89" s="203"/>
    </row>
    <row r="90" spans="1:17" ht="26.25" customHeight="1" thickBot="1" x14ac:dyDescent="0.25">
      <c r="A90" s="122"/>
      <c r="B90" s="122"/>
      <c r="C90" s="144" t="s">
        <v>172</v>
      </c>
      <c r="D90" s="145" t="s">
        <v>60</v>
      </c>
      <c r="E90" s="125">
        <v>44560</v>
      </c>
      <c r="F90" s="124" t="s">
        <v>61</v>
      </c>
      <c r="G90" s="125">
        <v>44570</v>
      </c>
      <c r="H90" s="146" t="s">
        <v>173</v>
      </c>
      <c r="I90" s="147">
        <v>150</v>
      </c>
      <c r="J90" s="147">
        <v>65</v>
      </c>
      <c r="K90" s="147">
        <v>10</v>
      </c>
      <c r="L90" s="147">
        <v>11</v>
      </c>
      <c r="M90" s="148">
        <v>24.375</v>
      </c>
      <c r="N90" s="129">
        <v>25</v>
      </c>
      <c r="O90" s="130">
        <v>14000</v>
      </c>
      <c r="P90" s="131">
        <f t="shared" si="2"/>
        <v>350000</v>
      </c>
      <c r="Q90" s="202"/>
    </row>
    <row r="91" spans="1:17" ht="26.25" customHeight="1" x14ac:dyDescent="0.2">
      <c r="A91" s="132">
        <v>402759</v>
      </c>
      <c r="B91" s="175" t="s">
        <v>181</v>
      </c>
      <c r="C91" s="133" t="s">
        <v>174</v>
      </c>
      <c r="D91" s="134" t="s">
        <v>60</v>
      </c>
      <c r="E91" s="135">
        <v>44561</v>
      </c>
      <c r="F91" s="134" t="s">
        <v>61</v>
      </c>
      <c r="G91" s="135">
        <v>44570</v>
      </c>
      <c r="H91" s="136" t="s">
        <v>173</v>
      </c>
      <c r="I91" s="137">
        <v>37</v>
      </c>
      <c r="J91" s="137">
        <v>37</v>
      </c>
      <c r="K91" s="137">
        <v>75</v>
      </c>
      <c r="L91" s="137">
        <v>10</v>
      </c>
      <c r="M91" s="138">
        <v>25.668749999999999</v>
      </c>
      <c r="N91" s="150">
        <v>25.668749999999999</v>
      </c>
      <c r="O91" s="140">
        <v>14000</v>
      </c>
      <c r="P91" s="141">
        <f t="shared" si="2"/>
        <v>359362.5</v>
      </c>
      <c r="Q91" s="201">
        <v>4</v>
      </c>
    </row>
    <row r="92" spans="1:17" ht="26.25" customHeight="1" x14ac:dyDescent="0.2">
      <c r="A92" s="13"/>
      <c r="B92" s="72"/>
      <c r="C92" s="8" t="s">
        <v>175</v>
      </c>
      <c r="D92" s="73" t="s">
        <v>60</v>
      </c>
      <c r="E92" s="12">
        <v>44561</v>
      </c>
      <c r="F92" s="73" t="s">
        <v>61</v>
      </c>
      <c r="G92" s="12">
        <v>44570</v>
      </c>
      <c r="H92" s="9" t="s">
        <v>173</v>
      </c>
      <c r="I92" s="1">
        <v>61</v>
      </c>
      <c r="J92" s="1">
        <v>41</v>
      </c>
      <c r="K92" s="1">
        <v>25</v>
      </c>
      <c r="L92" s="1">
        <v>11</v>
      </c>
      <c r="M92" s="77">
        <v>15.63125</v>
      </c>
      <c r="N92" s="94">
        <v>15.63125</v>
      </c>
      <c r="O92" s="61">
        <v>14000</v>
      </c>
      <c r="P92" s="62">
        <f t="shared" si="2"/>
        <v>218837.5</v>
      </c>
      <c r="Q92" s="203"/>
    </row>
    <row r="93" spans="1:17" ht="26.25" customHeight="1" x14ac:dyDescent="0.2">
      <c r="A93" s="13"/>
      <c r="B93" s="13"/>
      <c r="C93" s="8" t="s">
        <v>176</v>
      </c>
      <c r="D93" s="73" t="s">
        <v>60</v>
      </c>
      <c r="E93" s="12">
        <v>44561</v>
      </c>
      <c r="F93" s="73" t="s">
        <v>61</v>
      </c>
      <c r="G93" s="12">
        <v>44570</v>
      </c>
      <c r="H93" s="9" t="s">
        <v>173</v>
      </c>
      <c r="I93" s="1">
        <v>67</v>
      </c>
      <c r="J93" s="1">
        <v>55</v>
      </c>
      <c r="K93" s="1">
        <v>25</v>
      </c>
      <c r="L93" s="1">
        <v>10</v>
      </c>
      <c r="M93" s="77">
        <v>23.03125</v>
      </c>
      <c r="N93" s="94">
        <v>23.03125</v>
      </c>
      <c r="O93" s="61">
        <v>14000</v>
      </c>
      <c r="P93" s="62">
        <f t="shared" si="2"/>
        <v>322437.5</v>
      </c>
      <c r="Q93" s="203"/>
    </row>
    <row r="94" spans="1:17" ht="26.25" customHeight="1" thickBot="1" x14ac:dyDescent="0.25">
      <c r="A94" s="122"/>
      <c r="B94" s="122"/>
      <c r="C94" s="144" t="s">
        <v>177</v>
      </c>
      <c r="D94" s="145" t="s">
        <v>60</v>
      </c>
      <c r="E94" s="125">
        <v>44561</v>
      </c>
      <c r="F94" s="124" t="s">
        <v>61</v>
      </c>
      <c r="G94" s="125">
        <v>44570</v>
      </c>
      <c r="H94" s="146" t="s">
        <v>173</v>
      </c>
      <c r="I94" s="147">
        <v>67</v>
      </c>
      <c r="J94" s="147">
        <v>55</v>
      </c>
      <c r="K94" s="147">
        <v>25</v>
      </c>
      <c r="L94" s="147">
        <v>10</v>
      </c>
      <c r="M94" s="148">
        <v>23.03125</v>
      </c>
      <c r="N94" s="129">
        <v>23.03125</v>
      </c>
      <c r="O94" s="130">
        <v>14000</v>
      </c>
      <c r="P94" s="131">
        <f t="shared" si="2"/>
        <v>322437.5</v>
      </c>
      <c r="Q94" s="202"/>
    </row>
    <row r="95" spans="1:17" ht="22.5" customHeight="1" thickBot="1" x14ac:dyDescent="0.25">
      <c r="A95" s="196" t="s">
        <v>30</v>
      </c>
      <c r="B95" s="197"/>
      <c r="C95" s="197"/>
      <c r="D95" s="197"/>
      <c r="E95" s="197"/>
      <c r="F95" s="197"/>
      <c r="G95" s="197"/>
      <c r="H95" s="197"/>
      <c r="I95" s="197"/>
      <c r="J95" s="197"/>
      <c r="K95" s="197"/>
      <c r="L95" s="198"/>
      <c r="M95" s="176">
        <f>SUM(M3:M94)</f>
        <v>2367.3162499999994</v>
      </c>
      <c r="N95" s="177">
        <f>SUM(N3:N94)</f>
        <v>2500.6537499999995</v>
      </c>
      <c r="O95" s="199">
        <f>SUM(P3:P94)</f>
        <v>35009152.5</v>
      </c>
      <c r="P95" s="200"/>
      <c r="Q95" s="164">
        <f>SUM(Q3:Q91)</f>
        <v>92</v>
      </c>
    </row>
    <row r="96" spans="1:17" ht="18" customHeight="1" x14ac:dyDescent="0.2">
      <c r="A96" s="83"/>
      <c r="B96" s="55" t="s">
        <v>42</v>
      </c>
      <c r="C96" s="54"/>
      <c r="D96" s="56" t="s">
        <v>43</v>
      </c>
      <c r="E96" s="83"/>
      <c r="F96" s="83"/>
      <c r="G96" s="83"/>
      <c r="H96" s="83"/>
      <c r="I96" s="83"/>
      <c r="J96" s="83"/>
      <c r="K96" s="83"/>
      <c r="L96" s="83"/>
      <c r="M96" s="84"/>
      <c r="N96" s="85" t="s">
        <v>51</v>
      </c>
      <c r="O96" s="86"/>
      <c r="P96" s="86">
        <f>O95*10%</f>
        <v>3500915.25</v>
      </c>
    </row>
    <row r="97" spans="1:16" ht="18" customHeight="1" thickBot="1" x14ac:dyDescent="0.25">
      <c r="A97" s="83"/>
      <c r="B97" s="55"/>
      <c r="C97" s="54"/>
      <c r="D97" s="56"/>
      <c r="E97" s="83"/>
      <c r="F97" s="83"/>
      <c r="G97" s="83"/>
      <c r="H97" s="83"/>
      <c r="I97" s="83"/>
      <c r="J97" s="83"/>
      <c r="K97" s="83"/>
      <c r="L97" s="83"/>
      <c r="M97" s="84"/>
      <c r="N97" s="87" t="s">
        <v>52</v>
      </c>
      <c r="O97" s="88"/>
      <c r="P97" s="88">
        <f>O95-P96</f>
        <v>31508237.25</v>
      </c>
    </row>
    <row r="98" spans="1:16" ht="18" customHeight="1" x14ac:dyDescent="0.2">
      <c r="A98" s="10"/>
      <c r="H98" s="60"/>
      <c r="N98" s="59" t="s">
        <v>31</v>
      </c>
      <c r="P98" s="66">
        <f>P97*1%</f>
        <v>315082.3725</v>
      </c>
    </row>
    <row r="99" spans="1:16" ht="18" customHeight="1" thickBot="1" x14ac:dyDescent="0.25">
      <c r="A99" s="10"/>
      <c r="H99" s="60"/>
      <c r="N99" s="59" t="s">
        <v>53</v>
      </c>
      <c r="P99" s="68">
        <f>P97*2%</f>
        <v>630164.745</v>
      </c>
    </row>
    <row r="100" spans="1:16" ht="18" customHeight="1" x14ac:dyDescent="0.2">
      <c r="A100" s="10"/>
      <c r="H100" s="60"/>
      <c r="N100" s="63" t="s">
        <v>32</v>
      </c>
      <c r="O100" s="64"/>
      <c r="P100" s="67">
        <f>P97+P98-P99</f>
        <v>31193154.877499998</v>
      </c>
    </row>
    <row r="102" spans="1:16" x14ac:dyDescent="0.2">
      <c r="A102" s="10"/>
      <c r="H102" s="60"/>
      <c r="P102" s="68"/>
    </row>
    <row r="103" spans="1:16" x14ac:dyDescent="0.2">
      <c r="A103" s="10"/>
      <c r="H103" s="60"/>
      <c r="O103" s="57"/>
      <c r="P103" s="68"/>
    </row>
    <row r="104" spans="1:16" s="3" customFormat="1" x14ac:dyDescent="0.25">
      <c r="A104" s="10"/>
      <c r="B104" s="2"/>
      <c r="C104" s="2"/>
      <c r="E104" s="11"/>
      <c r="H104" s="60"/>
      <c r="N104" s="14"/>
      <c r="O104" s="14"/>
      <c r="P104" s="14"/>
    </row>
    <row r="105" spans="1:16" s="3" customFormat="1" x14ac:dyDescent="0.25">
      <c r="A105" s="10"/>
      <c r="B105" s="2"/>
      <c r="C105" s="2"/>
      <c r="E105" s="11"/>
      <c r="H105" s="60"/>
      <c r="N105" s="14"/>
      <c r="O105" s="14"/>
      <c r="P105" s="14"/>
    </row>
    <row r="106" spans="1:16" s="3" customFormat="1" x14ac:dyDescent="0.25">
      <c r="A106" s="10"/>
      <c r="B106" s="2"/>
      <c r="C106" s="2"/>
      <c r="E106" s="11"/>
      <c r="H106" s="60"/>
      <c r="N106" s="14"/>
      <c r="O106" s="14"/>
      <c r="P106" s="14"/>
    </row>
    <row r="107" spans="1:16" s="3" customFormat="1" x14ac:dyDescent="0.25">
      <c r="A107" s="10"/>
      <c r="B107" s="2"/>
      <c r="C107" s="2"/>
      <c r="E107" s="11"/>
      <c r="H107" s="60"/>
      <c r="N107" s="14"/>
      <c r="O107" s="14"/>
      <c r="P107" s="14"/>
    </row>
    <row r="108" spans="1:16" s="3" customFormat="1" x14ac:dyDescent="0.25">
      <c r="A108" s="10"/>
      <c r="B108" s="2"/>
      <c r="C108" s="2"/>
      <c r="E108" s="11"/>
      <c r="H108" s="60"/>
      <c r="N108" s="14"/>
      <c r="O108" s="14"/>
      <c r="P108" s="14"/>
    </row>
    <row r="109" spans="1:16" s="3" customFormat="1" x14ac:dyDescent="0.25">
      <c r="A109" s="10"/>
      <c r="B109" s="2"/>
      <c r="C109" s="2"/>
      <c r="E109" s="11"/>
      <c r="H109" s="60"/>
      <c r="N109" s="14"/>
      <c r="O109" s="14"/>
      <c r="P109" s="14"/>
    </row>
    <row r="110" spans="1:16" s="3" customFormat="1" x14ac:dyDescent="0.25">
      <c r="A110" s="10"/>
      <c r="B110" s="2"/>
      <c r="C110" s="2"/>
      <c r="E110" s="11"/>
      <c r="H110" s="60"/>
      <c r="N110" s="14"/>
      <c r="O110" s="14"/>
      <c r="P110" s="14"/>
    </row>
    <row r="111" spans="1:16" s="3" customFormat="1" x14ac:dyDescent="0.25">
      <c r="A111" s="10"/>
      <c r="B111" s="2"/>
      <c r="C111" s="2"/>
      <c r="E111" s="11"/>
      <c r="H111" s="60"/>
      <c r="N111" s="14"/>
      <c r="O111" s="14"/>
      <c r="P111" s="14"/>
    </row>
    <row r="112" spans="1:16" s="3" customFormat="1" x14ac:dyDescent="0.25">
      <c r="A112" s="10"/>
      <c r="B112" s="2"/>
      <c r="C112" s="2"/>
      <c r="E112" s="11"/>
      <c r="H112" s="60"/>
      <c r="N112" s="14"/>
      <c r="O112" s="14"/>
      <c r="P112" s="14"/>
    </row>
    <row r="113" spans="1:16" s="3" customFormat="1" x14ac:dyDescent="0.25">
      <c r="A113" s="10"/>
      <c r="B113" s="2"/>
      <c r="C113" s="2"/>
      <c r="E113" s="11"/>
      <c r="H113" s="60"/>
      <c r="N113" s="14"/>
      <c r="O113" s="14"/>
      <c r="P113" s="14"/>
    </row>
    <row r="114" spans="1:16" s="3" customFormat="1" x14ac:dyDescent="0.25">
      <c r="A114" s="10"/>
      <c r="B114" s="2"/>
      <c r="C114" s="2"/>
      <c r="E114" s="11"/>
      <c r="H114" s="60"/>
      <c r="N114" s="14"/>
      <c r="O114" s="14"/>
      <c r="P114" s="14"/>
    </row>
    <row r="115" spans="1:16" s="3" customFormat="1" x14ac:dyDescent="0.25">
      <c r="A115" s="10"/>
      <c r="B115" s="2"/>
      <c r="C115" s="2"/>
      <c r="E115" s="11"/>
      <c r="H115" s="60"/>
      <c r="N115" s="14"/>
      <c r="O115" s="14"/>
      <c r="P115" s="14"/>
    </row>
  </sheetData>
  <mergeCells count="16">
    <mergeCell ref="Q3:Q4"/>
    <mergeCell ref="A95:L95"/>
    <mergeCell ref="O95:P95"/>
    <mergeCell ref="Q5:Q6"/>
    <mergeCell ref="Q7:Q13"/>
    <mergeCell ref="Q14:Q21"/>
    <mergeCell ref="Q22:Q24"/>
    <mergeCell ref="Q25:Q31"/>
    <mergeCell ref="Q32:Q41"/>
    <mergeCell ref="Q43:Q45"/>
    <mergeCell ref="Q91:Q94"/>
    <mergeCell ref="Q46:Q47"/>
    <mergeCell ref="Q48:Q58"/>
    <mergeCell ref="Q61:Q73"/>
    <mergeCell ref="Q74:Q82"/>
    <mergeCell ref="Q85:Q90"/>
  </mergeCells>
  <conditionalFormatting sqref="B3">
    <cfRule type="duplicateValues" dxfId="357" priority="29"/>
  </conditionalFormatting>
  <conditionalFormatting sqref="B5">
    <cfRule type="duplicateValues" dxfId="356" priority="28"/>
  </conditionalFormatting>
  <conditionalFormatting sqref="B7">
    <cfRule type="duplicateValues" dxfId="355" priority="27"/>
  </conditionalFormatting>
  <conditionalFormatting sqref="B14">
    <cfRule type="duplicateValues" dxfId="354" priority="26"/>
  </conditionalFormatting>
  <conditionalFormatting sqref="B22">
    <cfRule type="duplicateValues" dxfId="353" priority="25"/>
  </conditionalFormatting>
  <conditionalFormatting sqref="B25">
    <cfRule type="duplicateValues" dxfId="352" priority="23"/>
  </conditionalFormatting>
  <conditionalFormatting sqref="B31">
    <cfRule type="duplicateValues" dxfId="351" priority="24"/>
  </conditionalFormatting>
  <conditionalFormatting sqref="B32">
    <cfRule type="duplicateValues" dxfId="350" priority="21"/>
  </conditionalFormatting>
  <conditionalFormatting sqref="B41">
    <cfRule type="duplicateValues" dxfId="349" priority="22"/>
  </conditionalFormatting>
  <conditionalFormatting sqref="B42">
    <cfRule type="duplicateValues" dxfId="348" priority="20"/>
  </conditionalFormatting>
  <conditionalFormatting sqref="B43">
    <cfRule type="duplicateValues" dxfId="347" priority="19"/>
  </conditionalFormatting>
  <conditionalFormatting sqref="B46">
    <cfRule type="duplicateValues" dxfId="346" priority="18"/>
  </conditionalFormatting>
  <conditionalFormatting sqref="B48">
    <cfRule type="duplicateValues" dxfId="345" priority="16"/>
  </conditionalFormatting>
  <conditionalFormatting sqref="B58">
    <cfRule type="duplicateValues" dxfId="344" priority="17"/>
  </conditionalFormatting>
  <conditionalFormatting sqref="B59">
    <cfRule type="duplicateValues" dxfId="343" priority="15"/>
  </conditionalFormatting>
  <conditionalFormatting sqref="B60">
    <cfRule type="duplicateValues" dxfId="342" priority="14"/>
  </conditionalFormatting>
  <conditionalFormatting sqref="B61">
    <cfRule type="duplicateValues" dxfId="341" priority="12"/>
  </conditionalFormatting>
  <conditionalFormatting sqref="B63:B64 B73">
    <cfRule type="duplicateValues" dxfId="340" priority="13"/>
  </conditionalFormatting>
  <conditionalFormatting sqref="B74">
    <cfRule type="duplicateValues" dxfId="339" priority="10"/>
  </conditionalFormatting>
  <conditionalFormatting sqref="B75">
    <cfRule type="duplicateValues" dxfId="338" priority="9"/>
  </conditionalFormatting>
  <conditionalFormatting sqref="B76:B82">
    <cfRule type="duplicateValues" dxfId="337" priority="11"/>
  </conditionalFormatting>
  <conditionalFormatting sqref="B83">
    <cfRule type="duplicateValues" dxfId="336" priority="8"/>
  </conditionalFormatting>
  <conditionalFormatting sqref="B84">
    <cfRule type="duplicateValues" dxfId="335" priority="7"/>
  </conditionalFormatting>
  <conditionalFormatting sqref="B85">
    <cfRule type="duplicateValues" dxfId="334" priority="5"/>
  </conditionalFormatting>
  <conditionalFormatting sqref="B86">
    <cfRule type="duplicateValues" dxfId="333" priority="4"/>
  </conditionalFormatting>
  <conditionalFormatting sqref="B87:B90">
    <cfRule type="duplicateValues" dxfId="332" priority="6"/>
  </conditionalFormatting>
  <conditionalFormatting sqref="B91">
    <cfRule type="duplicateValues" dxfId="331" priority="2"/>
  </conditionalFormatting>
  <conditionalFormatting sqref="B92">
    <cfRule type="duplicateValues" dxfId="330" priority="1"/>
  </conditionalFormatting>
  <conditionalFormatting sqref="B93:B94">
    <cfRule type="duplicateValues" dxfId="329" priority="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Q29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H10" sqref="H10"/>
    </sheetView>
  </sheetViews>
  <sheetFormatPr defaultRowHeight="15" x14ac:dyDescent="0.2"/>
  <cols>
    <col min="1" max="1" width="6.140625" style="4" customWidth="1"/>
    <col min="2" max="2" width="18.85546875" style="2" customWidth="1"/>
    <col min="3" max="3" width="14.5703125" style="2" customWidth="1"/>
    <col min="4" max="4" width="9" style="3" customWidth="1"/>
    <col min="5" max="5" width="7.42578125" style="11" customWidth="1"/>
    <col min="6" max="6" width="13.42578125" style="3" customWidth="1"/>
    <col min="7" max="7" width="8.7109375" style="3" customWidth="1"/>
    <col min="8" max="8" width="16.5703125" style="6" customWidth="1"/>
    <col min="9" max="12" width="4.42578125" style="3" customWidth="1"/>
    <col min="13" max="13" width="8" style="3" customWidth="1"/>
    <col min="14" max="14" width="12.28515625" style="14" customWidth="1"/>
    <col min="15" max="15" width="8" style="14" customWidth="1"/>
    <col min="16" max="16" width="10.42578125" style="14" customWidth="1"/>
    <col min="17" max="17" width="6.42578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8" t="s">
        <v>7</v>
      </c>
      <c r="C2" s="58" t="s">
        <v>0</v>
      </c>
      <c r="D2" s="58" t="s">
        <v>1</v>
      </c>
      <c r="E2" s="97" t="s">
        <v>4</v>
      </c>
      <c r="F2" s="58" t="s">
        <v>3</v>
      </c>
      <c r="G2" s="58" t="s">
        <v>5</v>
      </c>
      <c r="H2" s="97" t="s">
        <v>2</v>
      </c>
      <c r="I2" s="58" t="s">
        <v>39</v>
      </c>
      <c r="J2" s="58" t="s">
        <v>40</v>
      </c>
      <c r="K2" s="58" t="s">
        <v>41</v>
      </c>
      <c r="L2" s="58" t="s">
        <v>45</v>
      </c>
      <c r="M2" s="58" t="s">
        <v>46</v>
      </c>
      <c r="N2" s="58" t="s">
        <v>6</v>
      </c>
      <c r="O2" s="58" t="s">
        <v>47</v>
      </c>
      <c r="P2" s="58" t="s">
        <v>48</v>
      </c>
      <c r="Q2" s="58" t="s">
        <v>26</v>
      </c>
    </row>
    <row r="3" spans="1:17" ht="26.25" customHeight="1" x14ac:dyDescent="0.2">
      <c r="A3" s="80">
        <v>402755</v>
      </c>
      <c r="B3" s="71" t="s">
        <v>166</v>
      </c>
      <c r="C3" s="8" t="s">
        <v>167</v>
      </c>
      <c r="D3" s="73" t="s">
        <v>60</v>
      </c>
      <c r="E3" s="12">
        <v>44560</v>
      </c>
      <c r="F3" s="73" t="s">
        <v>61</v>
      </c>
      <c r="G3" s="12">
        <v>44570</v>
      </c>
      <c r="H3" s="9" t="s">
        <v>173</v>
      </c>
      <c r="I3" s="1">
        <v>68</v>
      </c>
      <c r="J3" s="1">
        <v>58</v>
      </c>
      <c r="K3" s="1">
        <v>23</v>
      </c>
      <c r="L3" s="1">
        <v>10</v>
      </c>
      <c r="M3" s="77">
        <v>22.678000000000001</v>
      </c>
      <c r="N3" s="94">
        <v>22.678000000000001</v>
      </c>
      <c r="O3" s="61">
        <v>14000</v>
      </c>
      <c r="P3" s="62">
        <f>Table2245789101123456789101112131415161718192021[[#This Row],[PEMBULATAN]]*O3</f>
        <v>317492</v>
      </c>
      <c r="Q3" s="205">
        <v>6</v>
      </c>
    </row>
    <row r="4" spans="1:17" ht="26.25" customHeight="1" x14ac:dyDescent="0.2">
      <c r="A4" s="13"/>
      <c r="B4" s="72"/>
      <c r="C4" s="8" t="s">
        <v>168</v>
      </c>
      <c r="D4" s="73" t="s">
        <v>60</v>
      </c>
      <c r="E4" s="12">
        <v>44560</v>
      </c>
      <c r="F4" s="73" t="s">
        <v>61</v>
      </c>
      <c r="G4" s="12">
        <v>44570</v>
      </c>
      <c r="H4" s="9" t="s">
        <v>173</v>
      </c>
      <c r="I4" s="1">
        <v>78</v>
      </c>
      <c r="J4" s="1">
        <v>40</v>
      </c>
      <c r="K4" s="1">
        <v>50</v>
      </c>
      <c r="L4" s="1">
        <v>11</v>
      </c>
      <c r="M4" s="77">
        <v>39</v>
      </c>
      <c r="N4" s="94">
        <v>39</v>
      </c>
      <c r="O4" s="61">
        <v>14000</v>
      </c>
      <c r="P4" s="62">
        <f>Table2245789101123456789101112131415161718192021[[#This Row],[PEMBULATAN]]*O4</f>
        <v>546000</v>
      </c>
      <c r="Q4" s="203"/>
    </row>
    <row r="5" spans="1:17" ht="26.25" customHeight="1" x14ac:dyDescent="0.2">
      <c r="A5" s="13"/>
      <c r="B5" s="13"/>
      <c r="C5" s="8" t="s">
        <v>169</v>
      </c>
      <c r="D5" s="73" t="s">
        <v>60</v>
      </c>
      <c r="E5" s="12">
        <v>44560</v>
      </c>
      <c r="F5" s="73" t="s">
        <v>61</v>
      </c>
      <c r="G5" s="12">
        <v>44570</v>
      </c>
      <c r="H5" s="9" t="s">
        <v>173</v>
      </c>
      <c r="I5" s="1">
        <v>150</v>
      </c>
      <c r="J5" s="1">
        <v>65</v>
      </c>
      <c r="K5" s="1">
        <v>10</v>
      </c>
      <c r="L5" s="1">
        <v>11</v>
      </c>
      <c r="M5" s="77">
        <v>24.375</v>
      </c>
      <c r="N5" s="94">
        <v>25</v>
      </c>
      <c r="O5" s="61">
        <v>14000</v>
      </c>
      <c r="P5" s="62">
        <f>Table2245789101123456789101112131415161718192021[[#This Row],[PEMBULATAN]]*O5</f>
        <v>350000</v>
      </c>
      <c r="Q5" s="203"/>
    </row>
    <row r="6" spans="1:17" ht="26.25" customHeight="1" x14ac:dyDescent="0.2">
      <c r="A6" s="13"/>
      <c r="B6" s="13"/>
      <c r="C6" s="70" t="s">
        <v>170</v>
      </c>
      <c r="D6" s="75" t="s">
        <v>60</v>
      </c>
      <c r="E6" s="12">
        <v>44560</v>
      </c>
      <c r="F6" s="73" t="s">
        <v>61</v>
      </c>
      <c r="G6" s="12">
        <v>44570</v>
      </c>
      <c r="H6" s="74" t="s">
        <v>173</v>
      </c>
      <c r="I6" s="15">
        <v>150</v>
      </c>
      <c r="J6" s="15">
        <v>65</v>
      </c>
      <c r="K6" s="15">
        <v>10</v>
      </c>
      <c r="L6" s="15">
        <v>11</v>
      </c>
      <c r="M6" s="78">
        <v>24.375</v>
      </c>
      <c r="N6" s="94">
        <v>25</v>
      </c>
      <c r="O6" s="61">
        <v>14000</v>
      </c>
      <c r="P6" s="62">
        <f>Table2245789101123456789101112131415161718192021[[#This Row],[PEMBULATAN]]*O6</f>
        <v>350000</v>
      </c>
      <c r="Q6" s="203"/>
    </row>
    <row r="7" spans="1:17" ht="26.25" customHeight="1" x14ac:dyDescent="0.2">
      <c r="A7" s="13"/>
      <c r="B7" s="13"/>
      <c r="C7" s="70" t="s">
        <v>171</v>
      </c>
      <c r="D7" s="75" t="s">
        <v>60</v>
      </c>
      <c r="E7" s="12">
        <v>44560</v>
      </c>
      <c r="F7" s="73" t="s">
        <v>61</v>
      </c>
      <c r="G7" s="12">
        <v>44570</v>
      </c>
      <c r="H7" s="74" t="s">
        <v>173</v>
      </c>
      <c r="I7" s="15">
        <v>150</v>
      </c>
      <c r="J7" s="15">
        <v>65</v>
      </c>
      <c r="K7" s="15">
        <v>10</v>
      </c>
      <c r="L7" s="15">
        <v>11</v>
      </c>
      <c r="M7" s="78">
        <v>24.375</v>
      </c>
      <c r="N7" s="94">
        <v>25</v>
      </c>
      <c r="O7" s="61">
        <v>14000</v>
      </c>
      <c r="P7" s="62">
        <f>Table2245789101123456789101112131415161718192021[[#This Row],[PEMBULATAN]]*O7</f>
        <v>350000</v>
      </c>
      <c r="Q7" s="203"/>
    </row>
    <row r="8" spans="1:17" ht="26.25" customHeight="1" x14ac:dyDescent="0.2">
      <c r="A8" s="13"/>
      <c r="B8" s="13"/>
      <c r="C8" s="70" t="s">
        <v>172</v>
      </c>
      <c r="D8" s="75" t="s">
        <v>60</v>
      </c>
      <c r="E8" s="12">
        <v>44560</v>
      </c>
      <c r="F8" s="73" t="s">
        <v>61</v>
      </c>
      <c r="G8" s="12">
        <v>44570</v>
      </c>
      <c r="H8" s="74" t="s">
        <v>173</v>
      </c>
      <c r="I8" s="15">
        <v>150</v>
      </c>
      <c r="J8" s="15">
        <v>65</v>
      </c>
      <c r="K8" s="15">
        <v>10</v>
      </c>
      <c r="L8" s="15">
        <v>11</v>
      </c>
      <c r="M8" s="78">
        <v>24.375</v>
      </c>
      <c r="N8" s="94">
        <v>25</v>
      </c>
      <c r="O8" s="61">
        <v>14000</v>
      </c>
      <c r="P8" s="62">
        <f>Table2245789101123456789101112131415161718192021[[#This Row],[PEMBULATAN]]*O8</f>
        <v>350000</v>
      </c>
      <c r="Q8" s="216"/>
    </row>
    <row r="9" spans="1:17" ht="22.5" customHeight="1" x14ac:dyDescent="0.2">
      <c r="A9" s="213" t="s">
        <v>30</v>
      </c>
      <c r="B9" s="208"/>
      <c r="C9" s="208"/>
      <c r="D9" s="208"/>
      <c r="E9" s="208"/>
      <c r="F9" s="208"/>
      <c r="G9" s="208"/>
      <c r="H9" s="208"/>
      <c r="I9" s="208"/>
      <c r="J9" s="208"/>
      <c r="K9" s="208"/>
      <c r="L9" s="209"/>
      <c r="M9" s="76">
        <f>SUBTOTAL(109,Table2245789101123456789101112131415161718192021[KG VOLUME])</f>
        <v>159.178</v>
      </c>
      <c r="N9" s="65">
        <f>SUM(N3:N8)</f>
        <v>161.678</v>
      </c>
      <c r="O9" s="210">
        <f>SUM(P3:P8)</f>
        <v>2263492</v>
      </c>
      <c r="P9" s="211"/>
    </row>
    <row r="10" spans="1:17" ht="18" customHeight="1" x14ac:dyDescent="0.2">
      <c r="A10" s="83"/>
      <c r="B10" s="55" t="s">
        <v>42</v>
      </c>
      <c r="C10" s="54"/>
      <c r="D10" s="56" t="s">
        <v>43</v>
      </c>
      <c r="E10" s="83"/>
      <c r="F10" s="83"/>
      <c r="G10" s="83"/>
      <c r="H10" s="83"/>
      <c r="I10" s="83"/>
      <c r="J10" s="83"/>
      <c r="K10" s="83"/>
      <c r="L10" s="83"/>
      <c r="M10" s="84"/>
      <c r="N10" s="85" t="s">
        <v>51</v>
      </c>
      <c r="O10" s="86"/>
      <c r="P10" s="86">
        <f>O9*10%</f>
        <v>226349.2</v>
      </c>
    </row>
    <row r="11" spans="1:17" ht="18" customHeight="1" thickBot="1" x14ac:dyDescent="0.25">
      <c r="A11" s="83"/>
      <c r="B11" s="55"/>
      <c r="C11" s="54"/>
      <c r="D11" s="56"/>
      <c r="E11" s="83"/>
      <c r="F11" s="83"/>
      <c r="G11" s="83"/>
      <c r="H11" s="83"/>
      <c r="I11" s="83"/>
      <c r="J11" s="83"/>
      <c r="K11" s="83"/>
      <c r="L11" s="83"/>
      <c r="M11" s="84"/>
      <c r="N11" s="87" t="s">
        <v>52</v>
      </c>
      <c r="O11" s="88"/>
      <c r="P11" s="88">
        <f>O9-P10</f>
        <v>2037142.8</v>
      </c>
    </row>
    <row r="12" spans="1:17" ht="18" customHeight="1" x14ac:dyDescent="0.2">
      <c r="A12" s="10"/>
      <c r="H12" s="60"/>
      <c r="N12" s="59" t="s">
        <v>31</v>
      </c>
      <c r="P12" s="66">
        <f>P11*1%</f>
        <v>20371.428</v>
      </c>
    </row>
    <row r="13" spans="1:17" ht="18" customHeight="1" thickBot="1" x14ac:dyDescent="0.25">
      <c r="A13" s="10"/>
      <c r="H13" s="60"/>
      <c r="N13" s="59" t="s">
        <v>53</v>
      </c>
      <c r="P13" s="68">
        <f>P11*2%</f>
        <v>40742.856</v>
      </c>
    </row>
    <row r="14" spans="1:17" ht="18" customHeight="1" x14ac:dyDescent="0.2">
      <c r="A14" s="10"/>
      <c r="H14" s="60"/>
      <c r="N14" s="63" t="s">
        <v>32</v>
      </c>
      <c r="O14" s="64"/>
      <c r="P14" s="67">
        <f>P11+P12-P13</f>
        <v>2016771.3720000002</v>
      </c>
    </row>
    <row r="16" spans="1:17" x14ac:dyDescent="0.2">
      <c r="A16" s="10"/>
      <c r="H16" s="60"/>
      <c r="P16" s="68"/>
    </row>
    <row r="17" spans="1:16" x14ac:dyDescent="0.2">
      <c r="A17" s="10"/>
      <c r="H17" s="60"/>
      <c r="O17" s="57"/>
      <c r="P17" s="68"/>
    </row>
    <row r="18" spans="1:16" s="3" customFormat="1" x14ac:dyDescent="0.25">
      <c r="A18" s="10"/>
      <c r="B18" s="2"/>
      <c r="C18" s="2"/>
      <c r="E18" s="11"/>
      <c r="H18" s="60"/>
      <c r="N18" s="14"/>
      <c r="O18" s="14"/>
      <c r="P18" s="14"/>
    </row>
    <row r="19" spans="1:16" s="3" customFormat="1" x14ac:dyDescent="0.25">
      <c r="A19" s="10"/>
      <c r="B19" s="2"/>
      <c r="C19" s="2"/>
      <c r="E19" s="11"/>
      <c r="H19" s="60"/>
      <c r="N19" s="14"/>
      <c r="O19" s="14"/>
      <c r="P19" s="14"/>
    </row>
    <row r="20" spans="1:16" s="3" customFormat="1" x14ac:dyDescent="0.25">
      <c r="A20" s="10"/>
      <c r="B20" s="2"/>
      <c r="C20" s="2"/>
      <c r="E20" s="11"/>
      <c r="H20" s="60"/>
      <c r="N20" s="14"/>
      <c r="O20" s="14"/>
      <c r="P20" s="14"/>
    </row>
    <row r="21" spans="1:16" s="3" customFormat="1" x14ac:dyDescent="0.25">
      <c r="A21" s="10"/>
      <c r="B21" s="2"/>
      <c r="C21" s="2"/>
      <c r="E21" s="11"/>
      <c r="H21" s="60"/>
      <c r="N21" s="14"/>
      <c r="O21" s="14"/>
      <c r="P21" s="14"/>
    </row>
    <row r="22" spans="1:16" s="3" customFormat="1" x14ac:dyDescent="0.25">
      <c r="A22" s="10"/>
      <c r="B22" s="2"/>
      <c r="C22" s="2"/>
      <c r="E22" s="11"/>
      <c r="H22" s="60"/>
      <c r="N22" s="14"/>
      <c r="O22" s="14"/>
      <c r="P22" s="14"/>
    </row>
    <row r="23" spans="1:16" s="3" customFormat="1" x14ac:dyDescent="0.25">
      <c r="A23" s="10"/>
      <c r="B23" s="2"/>
      <c r="C23" s="2"/>
      <c r="E23" s="11"/>
      <c r="H23" s="60"/>
      <c r="N23" s="14"/>
      <c r="O23" s="14"/>
      <c r="P23" s="14"/>
    </row>
    <row r="24" spans="1:16" s="3" customFormat="1" x14ac:dyDescent="0.25">
      <c r="A24" s="10"/>
      <c r="B24" s="2"/>
      <c r="C24" s="2"/>
      <c r="E24" s="11"/>
      <c r="H24" s="60"/>
      <c r="N24" s="14"/>
      <c r="O24" s="14"/>
      <c r="P24" s="14"/>
    </row>
    <row r="25" spans="1:16" s="3" customFormat="1" x14ac:dyDescent="0.25">
      <c r="A25" s="10"/>
      <c r="B25" s="2"/>
      <c r="C25" s="2"/>
      <c r="E25" s="11"/>
      <c r="H25" s="60"/>
      <c r="N25" s="14"/>
      <c r="O25" s="14"/>
      <c r="P25" s="14"/>
    </row>
    <row r="26" spans="1:16" s="3" customFormat="1" x14ac:dyDescent="0.25">
      <c r="A26" s="10"/>
      <c r="B26" s="2"/>
      <c r="C26" s="2"/>
      <c r="E26" s="11"/>
      <c r="H26" s="60"/>
      <c r="N26" s="14"/>
      <c r="O26" s="14"/>
      <c r="P26" s="14"/>
    </row>
    <row r="27" spans="1:16" s="3" customFormat="1" x14ac:dyDescent="0.25">
      <c r="A27" s="10"/>
      <c r="B27" s="2"/>
      <c r="C27" s="2"/>
      <c r="E27" s="11"/>
      <c r="H27" s="60"/>
      <c r="N27" s="14"/>
      <c r="O27" s="14"/>
      <c r="P27" s="14"/>
    </row>
    <row r="28" spans="1:16" s="3" customFormat="1" x14ac:dyDescent="0.25">
      <c r="A28" s="10"/>
      <c r="B28" s="2"/>
      <c r="C28" s="2"/>
      <c r="E28" s="11"/>
      <c r="H28" s="60"/>
      <c r="N28" s="14"/>
      <c r="O28" s="14"/>
      <c r="P28" s="14"/>
    </row>
    <row r="29" spans="1:16" s="3" customFormat="1" x14ac:dyDescent="0.25">
      <c r="A29" s="10"/>
      <c r="B29" s="2"/>
      <c r="C29" s="2"/>
      <c r="E29" s="11"/>
      <c r="H29" s="60"/>
      <c r="N29" s="14"/>
      <c r="O29" s="14"/>
      <c r="P29" s="14"/>
    </row>
  </sheetData>
  <mergeCells count="3">
    <mergeCell ref="A9:L9"/>
    <mergeCell ref="O9:P9"/>
    <mergeCell ref="Q3:Q8"/>
  </mergeCells>
  <conditionalFormatting sqref="B3">
    <cfRule type="duplicateValues" dxfId="35" priority="2"/>
  </conditionalFormatting>
  <conditionalFormatting sqref="B4">
    <cfRule type="duplicateValues" dxfId="34" priority="1"/>
  </conditionalFormatting>
  <conditionalFormatting sqref="B5:B8">
    <cfRule type="duplicateValues" dxfId="33" priority="14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Q27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H10" sqref="H10"/>
    </sheetView>
  </sheetViews>
  <sheetFormatPr defaultRowHeight="15" x14ac:dyDescent="0.2"/>
  <cols>
    <col min="1" max="1" width="6.28515625" style="4" customWidth="1"/>
    <col min="2" max="2" width="19.28515625" style="2" customWidth="1"/>
    <col min="3" max="3" width="14.5703125" style="2" customWidth="1"/>
    <col min="4" max="4" width="9" style="3" customWidth="1"/>
    <col min="5" max="5" width="8.5703125" style="11" customWidth="1"/>
    <col min="6" max="6" width="13.42578125" style="3" customWidth="1"/>
    <col min="7" max="7" width="8.5703125" style="3" customWidth="1"/>
    <col min="8" max="8" width="16.5703125" style="6" customWidth="1"/>
    <col min="9" max="11" width="4.42578125" style="3" customWidth="1"/>
    <col min="12" max="12" width="4.28515625" style="3" customWidth="1"/>
    <col min="13" max="13" width="7.85546875" style="3" customWidth="1"/>
    <col min="14" max="14" width="12.28515625" style="14" customWidth="1"/>
    <col min="15" max="15" width="7.85546875" style="14" customWidth="1"/>
    <col min="16" max="16" width="10.85546875" style="14" customWidth="1"/>
    <col min="17" max="17" width="6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8" t="s">
        <v>7</v>
      </c>
      <c r="C2" s="58" t="s">
        <v>0</v>
      </c>
      <c r="D2" s="58" t="s">
        <v>1</v>
      </c>
      <c r="E2" s="97" t="s">
        <v>4</v>
      </c>
      <c r="F2" s="58" t="s">
        <v>3</v>
      </c>
      <c r="G2" s="58" t="s">
        <v>5</v>
      </c>
      <c r="H2" s="97" t="s">
        <v>2</v>
      </c>
      <c r="I2" s="58" t="s">
        <v>39</v>
      </c>
      <c r="J2" s="58" t="s">
        <v>40</v>
      </c>
      <c r="K2" s="58" t="s">
        <v>41</v>
      </c>
      <c r="L2" s="58" t="s">
        <v>45</v>
      </c>
      <c r="M2" s="58" t="s">
        <v>46</v>
      </c>
      <c r="N2" s="58" t="s">
        <v>6</v>
      </c>
      <c r="O2" s="58" t="s">
        <v>47</v>
      </c>
      <c r="P2" s="58" t="s">
        <v>48</v>
      </c>
      <c r="Q2" s="58" t="s">
        <v>26</v>
      </c>
    </row>
    <row r="3" spans="1:17" ht="26.25" customHeight="1" x14ac:dyDescent="0.2">
      <c r="A3" s="80">
        <v>402759</v>
      </c>
      <c r="B3" s="71" t="s">
        <v>181</v>
      </c>
      <c r="C3" s="8" t="s">
        <v>174</v>
      </c>
      <c r="D3" s="73" t="s">
        <v>60</v>
      </c>
      <c r="E3" s="12">
        <v>44561</v>
      </c>
      <c r="F3" s="73" t="s">
        <v>61</v>
      </c>
      <c r="G3" s="12">
        <v>44570</v>
      </c>
      <c r="H3" s="9" t="s">
        <v>173</v>
      </c>
      <c r="I3" s="1">
        <v>37</v>
      </c>
      <c r="J3" s="1">
        <v>37</v>
      </c>
      <c r="K3" s="1">
        <v>75</v>
      </c>
      <c r="L3" s="1">
        <v>10</v>
      </c>
      <c r="M3" s="77">
        <v>25.668749999999999</v>
      </c>
      <c r="N3" s="94">
        <v>25.668749999999999</v>
      </c>
      <c r="O3" s="61">
        <v>14000</v>
      </c>
      <c r="P3" s="62">
        <f>Table224578910112345678910111213141516171819202122[[#This Row],[PEMBULATAN]]*O3</f>
        <v>359362.5</v>
      </c>
      <c r="Q3" s="214">
        <v>4</v>
      </c>
    </row>
    <row r="4" spans="1:17" ht="26.25" customHeight="1" x14ac:dyDescent="0.2">
      <c r="A4" s="13"/>
      <c r="B4" s="72"/>
      <c r="C4" s="8" t="s">
        <v>175</v>
      </c>
      <c r="D4" s="73" t="s">
        <v>60</v>
      </c>
      <c r="E4" s="12">
        <v>44561</v>
      </c>
      <c r="F4" s="73" t="s">
        <v>61</v>
      </c>
      <c r="G4" s="12">
        <v>44570</v>
      </c>
      <c r="H4" s="9" t="s">
        <v>173</v>
      </c>
      <c r="I4" s="1">
        <v>61</v>
      </c>
      <c r="J4" s="1">
        <v>41</v>
      </c>
      <c r="K4" s="1">
        <v>25</v>
      </c>
      <c r="L4" s="1">
        <v>11</v>
      </c>
      <c r="M4" s="77">
        <v>15.63125</v>
      </c>
      <c r="N4" s="94">
        <v>15.63125</v>
      </c>
      <c r="O4" s="61">
        <v>14000</v>
      </c>
      <c r="P4" s="62">
        <f>Table224578910112345678910111213141516171819202122[[#This Row],[PEMBULATAN]]*O4</f>
        <v>218837.5</v>
      </c>
      <c r="Q4" s="217"/>
    </row>
    <row r="5" spans="1:17" ht="26.25" customHeight="1" x14ac:dyDescent="0.2">
      <c r="A5" s="13"/>
      <c r="B5" s="13"/>
      <c r="C5" s="8" t="s">
        <v>176</v>
      </c>
      <c r="D5" s="73" t="s">
        <v>60</v>
      </c>
      <c r="E5" s="12">
        <v>44561</v>
      </c>
      <c r="F5" s="73" t="s">
        <v>61</v>
      </c>
      <c r="G5" s="12">
        <v>44570</v>
      </c>
      <c r="H5" s="9" t="s">
        <v>173</v>
      </c>
      <c r="I5" s="1">
        <v>67</v>
      </c>
      <c r="J5" s="1">
        <v>55</v>
      </c>
      <c r="K5" s="1">
        <v>25</v>
      </c>
      <c r="L5" s="1">
        <v>10</v>
      </c>
      <c r="M5" s="77">
        <v>23.03125</v>
      </c>
      <c r="N5" s="94">
        <v>23.03125</v>
      </c>
      <c r="O5" s="61">
        <v>14000</v>
      </c>
      <c r="P5" s="62">
        <f>Table224578910112345678910111213141516171819202122[[#This Row],[PEMBULATAN]]*O5</f>
        <v>322437.5</v>
      </c>
      <c r="Q5" s="217"/>
    </row>
    <row r="6" spans="1:17" ht="26.25" customHeight="1" x14ac:dyDescent="0.2">
      <c r="A6" s="13"/>
      <c r="B6" s="13"/>
      <c r="C6" s="70" t="s">
        <v>177</v>
      </c>
      <c r="D6" s="75" t="s">
        <v>60</v>
      </c>
      <c r="E6" s="12">
        <v>44561</v>
      </c>
      <c r="F6" s="73" t="s">
        <v>61</v>
      </c>
      <c r="G6" s="12">
        <v>44570</v>
      </c>
      <c r="H6" s="74" t="s">
        <v>173</v>
      </c>
      <c r="I6" s="15">
        <v>67</v>
      </c>
      <c r="J6" s="15">
        <v>55</v>
      </c>
      <c r="K6" s="15">
        <v>25</v>
      </c>
      <c r="L6" s="15">
        <v>10</v>
      </c>
      <c r="M6" s="78">
        <v>23.03125</v>
      </c>
      <c r="N6" s="94">
        <v>23.03125</v>
      </c>
      <c r="O6" s="61">
        <v>14000</v>
      </c>
      <c r="P6" s="62">
        <f>Table224578910112345678910111213141516171819202122[[#This Row],[PEMBULATAN]]*O6</f>
        <v>322437.5</v>
      </c>
      <c r="Q6" s="215"/>
    </row>
    <row r="7" spans="1:17" ht="22.5" customHeight="1" x14ac:dyDescent="0.2">
      <c r="A7" s="213" t="s">
        <v>30</v>
      </c>
      <c r="B7" s="208"/>
      <c r="C7" s="208"/>
      <c r="D7" s="208"/>
      <c r="E7" s="208"/>
      <c r="F7" s="208"/>
      <c r="G7" s="208"/>
      <c r="H7" s="208"/>
      <c r="I7" s="208"/>
      <c r="J7" s="208"/>
      <c r="K7" s="208"/>
      <c r="L7" s="209"/>
      <c r="M7" s="76">
        <f>SUBTOTAL(109,Table224578910112345678910111213141516171819202122[KG VOLUME])</f>
        <v>87.362499999999997</v>
      </c>
      <c r="N7" s="65">
        <f>SUM(N3:N6)</f>
        <v>87.362499999999997</v>
      </c>
      <c r="O7" s="210">
        <f>SUM(P3:P6)</f>
        <v>1223075</v>
      </c>
      <c r="P7" s="211"/>
    </row>
    <row r="8" spans="1:17" ht="18" customHeight="1" x14ac:dyDescent="0.2">
      <c r="A8" s="83"/>
      <c r="B8" s="55" t="s">
        <v>42</v>
      </c>
      <c r="C8" s="54"/>
      <c r="D8" s="56" t="s">
        <v>43</v>
      </c>
      <c r="E8" s="83"/>
      <c r="F8" s="83"/>
      <c r="G8" s="83"/>
      <c r="H8" s="83"/>
      <c r="I8" s="83"/>
      <c r="J8" s="83"/>
      <c r="K8" s="83"/>
      <c r="L8" s="83"/>
      <c r="M8" s="84"/>
      <c r="N8" s="85" t="s">
        <v>51</v>
      </c>
      <c r="O8" s="86"/>
      <c r="P8" s="86">
        <f>O7*10%</f>
        <v>122307.5</v>
      </c>
    </row>
    <row r="9" spans="1:17" ht="18" customHeight="1" thickBot="1" x14ac:dyDescent="0.25">
      <c r="A9" s="83"/>
      <c r="B9" s="55"/>
      <c r="C9" s="54"/>
      <c r="D9" s="56"/>
      <c r="E9" s="83"/>
      <c r="F9" s="83"/>
      <c r="G9" s="83"/>
      <c r="H9" s="83"/>
      <c r="I9" s="83"/>
      <c r="J9" s="83"/>
      <c r="K9" s="83"/>
      <c r="L9" s="83"/>
      <c r="M9" s="84"/>
      <c r="N9" s="87" t="s">
        <v>52</v>
      </c>
      <c r="O9" s="88"/>
      <c r="P9" s="88">
        <f>O7-P8</f>
        <v>1100767.5</v>
      </c>
    </row>
    <row r="10" spans="1:17" ht="18" customHeight="1" x14ac:dyDescent="0.2">
      <c r="A10" s="10"/>
      <c r="H10" s="60"/>
      <c r="N10" s="59" t="s">
        <v>31</v>
      </c>
      <c r="P10" s="66">
        <f>P9*1%</f>
        <v>11007.675000000001</v>
      </c>
    </row>
    <row r="11" spans="1:17" ht="18" customHeight="1" thickBot="1" x14ac:dyDescent="0.25">
      <c r="A11" s="10"/>
      <c r="H11" s="60"/>
      <c r="N11" s="59" t="s">
        <v>53</v>
      </c>
      <c r="P11" s="68">
        <f>P9*2%</f>
        <v>22015.350000000002</v>
      </c>
    </row>
    <row r="12" spans="1:17" ht="18" customHeight="1" x14ac:dyDescent="0.2">
      <c r="A12" s="10"/>
      <c r="H12" s="60"/>
      <c r="N12" s="63" t="s">
        <v>32</v>
      </c>
      <c r="O12" s="64"/>
      <c r="P12" s="67">
        <f>P9+P10-P11</f>
        <v>1089759.825</v>
      </c>
    </row>
    <row r="14" spans="1:17" x14ac:dyDescent="0.2">
      <c r="A14" s="10"/>
      <c r="H14" s="60"/>
      <c r="P14" s="68"/>
    </row>
    <row r="15" spans="1:17" x14ac:dyDescent="0.2">
      <c r="A15" s="10"/>
      <c r="H15" s="60"/>
      <c r="O15" s="57"/>
      <c r="P15" s="68"/>
    </row>
    <row r="16" spans="1:17" s="3" customFormat="1" x14ac:dyDescent="0.25">
      <c r="A16" s="10"/>
      <c r="B16" s="2"/>
      <c r="C16" s="2"/>
      <c r="E16" s="11"/>
      <c r="H16" s="60"/>
      <c r="N16" s="14"/>
      <c r="O16" s="14"/>
      <c r="P16" s="14"/>
    </row>
    <row r="17" spans="1:16" s="3" customFormat="1" x14ac:dyDescent="0.25">
      <c r="A17" s="10"/>
      <c r="B17" s="2"/>
      <c r="C17" s="2"/>
      <c r="E17" s="11"/>
      <c r="H17" s="60"/>
      <c r="N17" s="14"/>
      <c r="O17" s="14"/>
      <c r="P17" s="14"/>
    </row>
    <row r="18" spans="1:16" s="3" customFormat="1" x14ac:dyDescent="0.25">
      <c r="A18" s="10"/>
      <c r="B18" s="2"/>
      <c r="C18" s="2"/>
      <c r="E18" s="11"/>
      <c r="H18" s="60"/>
      <c r="N18" s="14"/>
      <c r="O18" s="14"/>
      <c r="P18" s="14"/>
    </row>
    <row r="19" spans="1:16" s="3" customFormat="1" x14ac:dyDescent="0.25">
      <c r="A19" s="10"/>
      <c r="B19" s="2"/>
      <c r="C19" s="2"/>
      <c r="E19" s="11"/>
      <c r="H19" s="60"/>
      <c r="N19" s="14"/>
      <c r="O19" s="14"/>
      <c r="P19" s="14"/>
    </row>
    <row r="20" spans="1:16" s="3" customFormat="1" x14ac:dyDescent="0.25">
      <c r="A20" s="10"/>
      <c r="B20" s="2"/>
      <c r="C20" s="2"/>
      <c r="E20" s="11"/>
      <c r="H20" s="60"/>
      <c r="N20" s="14"/>
      <c r="O20" s="14"/>
      <c r="P20" s="14"/>
    </row>
    <row r="21" spans="1:16" s="3" customFormat="1" x14ac:dyDescent="0.25">
      <c r="A21" s="10"/>
      <c r="B21" s="2"/>
      <c r="C21" s="2"/>
      <c r="E21" s="11"/>
      <c r="H21" s="60"/>
      <c r="N21" s="14"/>
      <c r="O21" s="14"/>
      <c r="P21" s="14"/>
    </row>
    <row r="22" spans="1:16" s="3" customFormat="1" x14ac:dyDescent="0.25">
      <c r="A22" s="10"/>
      <c r="B22" s="2"/>
      <c r="C22" s="2"/>
      <c r="E22" s="11"/>
      <c r="H22" s="60"/>
      <c r="N22" s="14"/>
      <c r="O22" s="14"/>
      <c r="P22" s="14"/>
    </row>
    <row r="23" spans="1:16" s="3" customFormat="1" x14ac:dyDescent="0.25">
      <c r="A23" s="10"/>
      <c r="B23" s="2"/>
      <c r="C23" s="2"/>
      <c r="E23" s="11"/>
      <c r="H23" s="60"/>
      <c r="N23" s="14"/>
      <c r="O23" s="14"/>
      <c r="P23" s="14"/>
    </row>
    <row r="24" spans="1:16" s="3" customFormat="1" x14ac:dyDescent="0.25">
      <c r="A24" s="10"/>
      <c r="B24" s="2"/>
      <c r="C24" s="2"/>
      <c r="E24" s="11"/>
      <c r="H24" s="60"/>
      <c r="N24" s="14"/>
      <c r="O24" s="14"/>
      <c r="P24" s="14"/>
    </row>
    <row r="25" spans="1:16" s="3" customFormat="1" x14ac:dyDescent="0.25">
      <c r="A25" s="10"/>
      <c r="B25" s="2"/>
      <c r="C25" s="2"/>
      <c r="E25" s="11"/>
      <c r="H25" s="60"/>
      <c r="N25" s="14"/>
      <c r="O25" s="14"/>
      <c r="P25" s="14"/>
    </row>
    <row r="26" spans="1:16" s="3" customFormat="1" x14ac:dyDescent="0.25">
      <c r="A26" s="10"/>
      <c r="B26" s="2"/>
      <c r="C26" s="2"/>
      <c r="E26" s="11"/>
      <c r="H26" s="60"/>
      <c r="N26" s="14"/>
      <c r="O26" s="14"/>
      <c r="P26" s="14"/>
    </row>
    <row r="27" spans="1:16" s="3" customFormat="1" x14ac:dyDescent="0.25">
      <c r="A27" s="10"/>
      <c r="B27" s="2"/>
      <c r="C27" s="2"/>
      <c r="E27" s="11"/>
      <c r="H27" s="60"/>
      <c r="N27" s="14"/>
      <c r="O27" s="14"/>
      <c r="P27" s="14"/>
    </row>
  </sheetData>
  <mergeCells count="3">
    <mergeCell ref="A7:L7"/>
    <mergeCell ref="O7:P7"/>
    <mergeCell ref="Q3:Q6"/>
  </mergeCells>
  <conditionalFormatting sqref="B3">
    <cfRule type="duplicateValues" dxfId="17" priority="2"/>
  </conditionalFormatting>
  <conditionalFormatting sqref="B4">
    <cfRule type="duplicateValues" dxfId="16" priority="1"/>
  </conditionalFormatting>
  <conditionalFormatting sqref="B5:B6">
    <cfRule type="duplicateValues" dxfId="15" priority="15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Q25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F10" sqref="F10"/>
    </sheetView>
  </sheetViews>
  <sheetFormatPr defaultRowHeight="15" x14ac:dyDescent="0.2"/>
  <cols>
    <col min="1" max="1" width="7.28515625" style="4" customWidth="1"/>
    <col min="2" max="2" width="18.5703125" style="2" customWidth="1"/>
    <col min="3" max="3" width="14.5703125" style="2" customWidth="1"/>
    <col min="4" max="4" width="9.42578125" style="3" customWidth="1"/>
    <col min="5" max="5" width="7.7109375" style="11" customWidth="1"/>
    <col min="6" max="6" width="13.140625" style="3" customWidth="1"/>
    <col min="7" max="7" width="9.5703125" style="3" customWidth="1"/>
    <col min="8" max="8" width="13.85546875" style="6" customWidth="1"/>
    <col min="9" max="11" width="4.42578125" style="3" customWidth="1"/>
    <col min="12" max="12" width="5.28515625" style="3" customWidth="1"/>
    <col min="13" max="13" width="8.28515625" style="3" customWidth="1"/>
    <col min="14" max="14" width="12.28515625" style="14" customWidth="1"/>
    <col min="15" max="15" width="8" style="14" customWidth="1"/>
    <col min="16" max="16" width="10.85546875" style="14" customWidth="1"/>
    <col min="17" max="17" width="6.855468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111" t="s">
        <v>7</v>
      </c>
      <c r="C2" s="58" t="s">
        <v>0</v>
      </c>
      <c r="D2" s="58" t="s">
        <v>1</v>
      </c>
      <c r="E2" s="97" t="s">
        <v>4</v>
      </c>
      <c r="F2" s="58" t="s">
        <v>3</v>
      </c>
      <c r="G2" s="58" t="s">
        <v>5</v>
      </c>
      <c r="H2" s="97" t="s">
        <v>2</v>
      </c>
      <c r="I2" s="58" t="s">
        <v>39</v>
      </c>
      <c r="J2" s="58" t="s">
        <v>40</v>
      </c>
      <c r="K2" s="58" t="s">
        <v>41</v>
      </c>
      <c r="L2" s="58" t="s">
        <v>45</v>
      </c>
      <c r="M2" s="58" t="s">
        <v>46</v>
      </c>
      <c r="N2" s="58" t="s">
        <v>6</v>
      </c>
      <c r="O2" s="58" t="s">
        <v>47</v>
      </c>
      <c r="P2" s="58" t="s">
        <v>48</v>
      </c>
      <c r="Q2" s="58" t="s">
        <v>26</v>
      </c>
    </row>
    <row r="3" spans="1:17" ht="26.25" customHeight="1" x14ac:dyDescent="0.2">
      <c r="A3" s="80">
        <v>405805</v>
      </c>
      <c r="B3" s="80" t="s">
        <v>57</v>
      </c>
      <c r="C3" s="110" t="s">
        <v>58</v>
      </c>
      <c r="D3" s="73" t="s">
        <v>60</v>
      </c>
      <c r="E3" s="12">
        <v>44533</v>
      </c>
      <c r="F3" s="73" t="s">
        <v>61</v>
      </c>
      <c r="G3" s="12">
        <v>44556</v>
      </c>
      <c r="H3" s="9" t="s">
        <v>62</v>
      </c>
      <c r="I3" s="1">
        <v>70</v>
      </c>
      <c r="J3" s="1">
        <v>42</v>
      </c>
      <c r="K3" s="1">
        <v>82</v>
      </c>
      <c r="L3" s="1">
        <v>9</v>
      </c>
      <c r="M3" s="77">
        <v>60.27</v>
      </c>
      <c r="N3" s="94">
        <v>60.27</v>
      </c>
      <c r="O3" s="61">
        <v>14000</v>
      </c>
      <c r="P3" s="62">
        <f>Table22457891011234[[#This Row],[PEMBULATAN]]*O3</f>
        <v>843780</v>
      </c>
      <c r="Q3" s="212">
        <v>2</v>
      </c>
    </row>
    <row r="4" spans="1:17" ht="26.25" customHeight="1" x14ac:dyDescent="0.2">
      <c r="A4" s="103"/>
      <c r="B4" s="103"/>
      <c r="C4" s="110" t="s">
        <v>59</v>
      </c>
      <c r="D4" s="73" t="s">
        <v>60</v>
      </c>
      <c r="E4" s="12">
        <v>44533</v>
      </c>
      <c r="F4" s="73" t="s">
        <v>61</v>
      </c>
      <c r="G4" s="12">
        <v>44556</v>
      </c>
      <c r="H4" s="9" t="s">
        <v>62</v>
      </c>
      <c r="I4" s="1">
        <v>70</v>
      </c>
      <c r="J4" s="1">
        <v>42</v>
      </c>
      <c r="K4" s="1">
        <v>82</v>
      </c>
      <c r="L4" s="1">
        <v>9</v>
      </c>
      <c r="M4" s="77">
        <v>60.27</v>
      </c>
      <c r="N4" s="94">
        <v>60.27</v>
      </c>
      <c r="O4" s="61">
        <v>14000</v>
      </c>
      <c r="P4" s="62">
        <f>Table22457891011234[[#This Row],[PEMBULATAN]]*O4</f>
        <v>843780</v>
      </c>
      <c r="Q4" s="212"/>
    </row>
    <row r="5" spans="1:17" ht="22.5" customHeight="1" x14ac:dyDescent="0.2">
      <c r="A5" s="206" t="s">
        <v>30</v>
      </c>
      <c r="B5" s="207"/>
      <c r="C5" s="208"/>
      <c r="D5" s="208"/>
      <c r="E5" s="208"/>
      <c r="F5" s="208"/>
      <c r="G5" s="208"/>
      <c r="H5" s="208"/>
      <c r="I5" s="208"/>
      <c r="J5" s="208"/>
      <c r="K5" s="208"/>
      <c r="L5" s="209"/>
      <c r="M5" s="76">
        <f>SUBTOTAL(109,Table22457891011234[KG VOLUME])</f>
        <v>120.54</v>
      </c>
      <c r="N5" s="65">
        <f>SUM(N3:N4)</f>
        <v>120.54</v>
      </c>
      <c r="O5" s="210">
        <f>SUM(P3:P4)</f>
        <v>1687560</v>
      </c>
      <c r="P5" s="211"/>
    </row>
    <row r="6" spans="1:17" ht="18" customHeight="1" x14ac:dyDescent="0.2">
      <c r="A6" s="83"/>
      <c r="B6" s="55" t="s">
        <v>42</v>
      </c>
      <c r="C6" s="54"/>
      <c r="D6" s="56" t="s">
        <v>43</v>
      </c>
      <c r="E6" s="83"/>
      <c r="F6" s="83"/>
      <c r="G6" s="83"/>
      <c r="H6" s="83"/>
      <c r="I6" s="83"/>
      <c r="J6" s="83"/>
      <c r="K6" s="83"/>
      <c r="L6" s="83"/>
      <c r="M6" s="84"/>
      <c r="N6" s="85" t="s">
        <v>51</v>
      </c>
      <c r="O6" s="86"/>
      <c r="P6" s="86">
        <f>O5*10%</f>
        <v>168756</v>
      </c>
    </row>
    <row r="7" spans="1:17" ht="18" customHeight="1" thickBot="1" x14ac:dyDescent="0.25">
      <c r="A7" s="83"/>
      <c r="B7" s="55"/>
      <c r="C7" s="54"/>
      <c r="D7" s="56"/>
      <c r="E7" s="83"/>
      <c r="F7" s="83"/>
      <c r="G7" s="83"/>
      <c r="H7" s="83"/>
      <c r="I7" s="83"/>
      <c r="J7" s="83"/>
      <c r="K7" s="83"/>
      <c r="L7" s="83"/>
      <c r="M7" s="84"/>
      <c r="N7" s="87" t="s">
        <v>52</v>
      </c>
      <c r="O7" s="88"/>
      <c r="P7" s="88">
        <f>O5-P6</f>
        <v>1518804</v>
      </c>
    </row>
    <row r="8" spans="1:17" ht="18" customHeight="1" x14ac:dyDescent="0.2">
      <c r="A8" s="10"/>
      <c r="H8" s="60"/>
      <c r="N8" s="59" t="s">
        <v>31</v>
      </c>
      <c r="P8" s="66">
        <f>P7*1%</f>
        <v>15188.04</v>
      </c>
    </row>
    <row r="9" spans="1:17" ht="18" customHeight="1" thickBot="1" x14ac:dyDescent="0.25">
      <c r="A9" s="10"/>
      <c r="H9" s="60"/>
      <c r="N9" s="59" t="s">
        <v>53</v>
      </c>
      <c r="P9" s="68">
        <f>P7*2%</f>
        <v>30376.080000000002</v>
      </c>
    </row>
    <row r="10" spans="1:17" ht="18" customHeight="1" x14ac:dyDescent="0.2">
      <c r="A10" s="10"/>
      <c r="H10" s="60"/>
      <c r="N10" s="63" t="s">
        <v>32</v>
      </c>
      <c r="O10" s="64"/>
      <c r="P10" s="67">
        <f>P7+P8-P9</f>
        <v>1503615.96</v>
      </c>
    </row>
    <row r="12" spans="1:17" x14ac:dyDescent="0.2">
      <c r="A12" s="10"/>
      <c r="H12" s="60"/>
      <c r="P12" s="68"/>
    </row>
    <row r="13" spans="1:17" x14ac:dyDescent="0.2">
      <c r="A13" s="10"/>
      <c r="H13" s="60"/>
      <c r="O13" s="57"/>
      <c r="P13" s="68"/>
    </row>
    <row r="14" spans="1:17" s="3" customFormat="1" x14ac:dyDescent="0.25">
      <c r="A14" s="10"/>
      <c r="B14" s="2"/>
      <c r="C14" s="2"/>
      <c r="E14" s="11"/>
      <c r="H14" s="60"/>
      <c r="N14" s="14"/>
      <c r="O14" s="14"/>
      <c r="P14" s="14"/>
    </row>
    <row r="15" spans="1:17" s="3" customFormat="1" x14ac:dyDescent="0.25">
      <c r="A15" s="10"/>
      <c r="B15" s="2"/>
      <c r="C15" s="2"/>
      <c r="E15" s="11"/>
      <c r="H15" s="60"/>
      <c r="N15" s="14"/>
      <c r="O15" s="14"/>
      <c r="P15" s="14"/>
    </row>
    <row r="16" spans="1:17" s="3" customFormat="1" x14ac:dyDescent="0.25">
      <c r="A16" s="10"/>
      <c r="B16" s="2"/>
      <c r="C16" s="2"/>
      <c r="E16" s="11"/>
      <c r="H16" s="60"/>
      <c r="N16" s="14"/>
      <c r="O16" s="14"/>
      <c r="P16" s="14"/>
    </row>
    <row r="17" spans="1:16" s="3" customFormat="1" x14ac:dyDescent="0.25">
      <c r="A17" s="10"/>
      <c r="B17" s="2"/>
      <c r="C17" s="2"/>
      <c r="E17" s="11"/>
      <c r="H17" s="60"/>
      <c r="N17" s="14"/>
      <c r="O17" s="14"/>
      <c r="P17" s="14"/>
    </row>
    <row r="18" spans="1:16" s="3" customFormat="1" x14ac:dyDescent="0.25">
      <c r="A18" s="10"/>
      <c r="B18" s="2"/>
      <c r="C18" s="2"/>
      <c r="E18" s="11"/>
      <c r="H18" s="60"/>
      <c r="N18" s="14"/>
      <c r="O18" s="14"/>
      <c r="P18" s="14"/>
    </row>
    <row r="19" spans="1:16" s="3" customFormat="1" x14ac:dyDescent="0.25">
      <c r="A19" s="10"/>
      <c r="B19" s="2"/>
      <c r="C19" s="2"/>
      <c r="E19" s="11"/>
      <c r="H19" s="60"/>
      <c r="N19" s="14"/>
      <c r="O19" s="14"/>
      <c r="P19" s="14"/>
    </row>
    <row r="20" spans="1:16" s="3" customFormat="1" x14ac:dyDescent="0.25">
      <c r="A20" s="10"/>
      <c r="B20" s="2"/>
      <c r="C20" s="2"/>
      <c r="E20" s="11"/>
      <c r="H20" s="60"/>
      <c r="N20" s="14"/>
      <c r="O20" s="14"/>
      <c r="P20" s="14"/>
    </row>
    <row r="21" spans="1:16" s="3" customFormat="1" x14ac:dyDescent="0.25">
      <c r="A21" s="10"/>
      <c r="B21" s="2"/>
      <c r="C21" s="2"/>
      <c r="E21" s="11"/>
      <c r="H21" s="60"/>
      <c r="N21" s="14"/>
      <c r="O21" s="14"/>
      <c r="P21" s="14"/>
    </row>
    <row r="22" spans="1:16" s="3" customFormat="1" x14ac:dyDescent="0.25">
      <c r="A22" s="10"/>
      <c r="B22" s="2"/>
      <c r="C22" s="2"/>
      <c r="E22" s="11"/>
      <c r="H22" s="60"/>
      <c r="N22" s="14"/>
      <c r="O22" s="14"/>
      <c r="P22" s="14"/>
    </row>
    <row r="23" spans="1:16" s="3" customFormat="1" x14ac:dyDescent="0.25">
      <c r="A23" s="10"/>
      <c r="B23" s="2"/>
      <c r="C23" s="2"/>
      <c r="E23" s="11"/>
      <c r="H23" s="60"/>
      <c r="N23" s="14"/>
      <c r="O23" s="14"/>
      <c r="P23" s="14"/>
    </row>
    <row r="24" spans="1:16" s="3" customFormat="1" x14ac:dyDescent="0.25">
      <c r="A24" s="10"/>
      <c r="B24" s="2"/>
      <c r="C24" s="2"/>
      <c r="E24" s="11"/>
      <c r="H24" s="60"/>
      <c r="N24" s="14"/>
      <c r="O24" s="14"/>
      <c r="P24" s="14"/>
    </row>
    <row r="25" spans="1:16" s="3" customFormat="1" x14ac:dyDescent="0.25">
      <c r="A25" s="10"/>
      <c r="B25" s="2"/>
      <c r="C25" s="2"/>
      <c r="E25" s="11"/>
      <c r="H25" s="60"/>
      <c r="N25" s="14"/>
      <c r="O25" s="14"/>
      <c r="P25" s="14"/>
    </row>
  </sheetData>
  <mergeCells count="3">
    <mergeCell ref="A5:L5"/>
    <mergeCell ref="O5:P5"/>
    <mergeCell ref="Q3:Q4"/>
  </mergeCells>
  <conditionalFormatting sqref="B3">
    <cfRule type="duplicateValues" dxfId="313" priority="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Q25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C13" sqref="C13"/>
    </sheetView>
  </sheetViews>
  <sheetFormatPr defaultRowHeight="15" x14ac:dyDescent="0.2"/>
  <cols>
    <col min="1" max="1" width="6.7109375" style="4" customWidth="1"/>
    <col min="2" max="2" width="19.28515625" style="2" customWidth="1"/>
    <col min="3" max="3" width="14.5703125" style="2" customWidth="1"/>
    <col min="4" max="4" width="9.5703125" style="3" customWidth="1"/>
    <col min="5" max="5" width="7.85546875" style="11" customWidth="1"/>
    <col min="6" max="6" width="14.42578125" style="3" customWidth="1"/>
    <col min="7" max="7" width="8.28515625" style="3" customWidth="1"/>
    <col min="8" max="8" width="14.28515625" style="6" customWidth="1"/>
    <col min="9" max="11" width="4.42578125" style="3" customWidth="1"/>
    <col min="12" max="12" width="5.28515625" style="3" customWidth="1"/>
    <col min="13" max="13" width="8.28515625" style="3" customWidth="1"/>
    <col min="14" max="14" width="13" style="14" customWidth="1"/>
    <col min="15" max="15" width="8.140625" style="14" customWidth="1"/>
    <col min="16" max="16" width="9.7109375" style="14" customWidth="1"/>
    <col min="17" max="17" width="6.71093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8" t="s">
        <v>7</v>
      </c>
      <c r="C2" s="58" t="s">
        <v>0</v>
      </c>
      <c r="D2" s="58" t="s">
        <v>1</v>
      </c>
      <c r="E2" s="97" t="s">
        <v>4</v>
      </c>
      <c r="F2" s="58" t="s">
        <v>3</v>
      </c>
      <c r="G2" s="58" t="s">
        <v>5</v>
      </c>
      <c r="H2" s="97" t="s">
        <v>2</v>
      </c>
      <c r="I2" s="58" t="s">
        <v>39</v>
      </c>
      <c r="J2" s="58" t="s">
        <v>40</v>
      </c>
      <c r="K2" s="58" t="s">
        <v>41</v>
      </c>
      <c r="L2" s="58" t="s">
        <v>45</v>
      </c>
      <c r="M2" s="58" t="s">
        <v>46</v>
      </c>
      <c r="N2" s="58" t="s">
        <v>6</v>
      </c>
      <c r="O2" s="58" t="s">
        <v>47</v>
      </c>
      <c r="P2" s="58" t="s">
        <v>48</v>
      </c>
      <c r="Q2" s="58" t="s">
        <v>26</v>
      </c>
    </row>
    <row r="3" spans="1:17" ht="26.25" customHeight="1" x14ac:dyDescent="0.2">
      <c r="A3" s="80">
        <v>405822</v>
      </c>
      <c r="B3" s="80" t="s">
        <v>63</v>
      </c>
      <c r="C3" s="8" t="s">
        <v>64</v>
      </c>
      <c r="D3" s="73" t="s">
        <v>60</v>
      </c>
      <c r="E3" s="12">
        <v>44535</v>
      </c>
      <c r="F3" s="73" t="s">
        <v>61</v>
      </c>
      <c r="G3" s="12">
        <v>44556</v>
      </c>
      <c r="H3" s="9" t="s">
        <v>62</v>
      </c>
      <c r="I3" s="1">
        <v>28</v>
      </c>
      <c r="J3" s="1">
        <v>23</v>
      </c>
      <c r="K3" s="1">
        <v>21</v>
      </c>
      <c r="L3" s="1">
        <v>8</v>
      </c>
      <c r="M3" s="77">
        <v>3.3809999999999998</v>
      </c>
      <c r="N3" s="7">
        <v>8</v>
      </c>
      <c r="O3" s="61">
        <v>14000</v>
      </c>
      <c r="P3" s="62">
        <f>Table224578910112345[[#This Row],[PEMBULATAN]]*O3</f>
        <v>112000</v>
      </c>
      <c r="Q3" s="214">
        <v>2</v>
      </c>
    </row>
    <row r="4" spans="1:17" ht="26.25" customHeight="1" x14ac:dyDescent="0.2">
      <c r="A4" s="103"/>
      <c r="B4" s="103"/>
      <c r="C4" s="8" t="s">
        <v>65</v>
      </c>
      <c r="D4" s="73" t="s">
        <v>60</v>
      </c>
      <c r="E4" s="12">
        <v>44535</v>
      </c>
      <c r="F4" s="73" t="s">
        <v>61</v>
      </c>
      <c r="G4" s="12">
        <v>44556</v>
      </c>
      <c r="H4" s="9" t="s">
        <v>62</v>
      </c>
      <c r="I4" s="1">
        <v>28</v>
      </c>
      <c r="J4" s="1">
        <v>23</v>
      </c>
      <c r="K4" s="1">
        <v>21</v>
      </c>
      <c r="L4" s="1">
        <v>8</v>
      </c>
      <c r="M4" s="77">
        <v>3.3809999999999998</v>
      </c>
      <c r="N4" s="7">
        <v>8</v>
      </c>
      <c r="O4" s="61">
        <v>14000</v>
      </c>
      <c r="P4" s="62">
        <f>Table224578910112345[[#This Row],[PEMBULATAN]]*O4</f>
        <v>112000</v>
      </c>
      <c r="Q4" s="215"/>
    </row>
    <row r="5" spans="1:17" ht="22.5" customHeight="1" x14ac:dyDescent="0.2">
      <c r="A5" s="213" t="s">
        <v>30</v>
      </c>
      <c r="B5" s="208"/>
      <c r="C5" s="208"/>
      <c r="D5" s="208"/>
      <c r="E5" s="208"/>
      <c r="F5" s="208"/>
      <c r="G5" s="208"/>
      <c r="H5" s="208"/>
      <c r="I5" s="208"/>
      <c r="J5" s="208"/>
      <c r="K5" s="208"/>
      <c r="L5" s="209"/>
      <c r="M5" s="76">
        <f>SUBTOTAL(109,Table224578910112345[KG VOLUME])</f>
        <v>6.7619999999999996</v>
      </c>
      <c r="N5" s="65">
        <f>SUM(N3:N4)</f>
        <v>16</v>
      </c>
      <c r="O5" s="210">
        <f>SUM(P3:P4)</f>
        <v>224000</v>
      </c>
      <c r="P5" s="211"/>
    </row>
    <row r="6" spans="1:17" ht="18" customHeight="1" x14ac:dyDescent="0.2">
      <c r="A6" s="83"/>
      <c r="B6" s="55" t="s">
        <v>42</v>
      </c>
      <c r="C6" s="54"/>
      <c r="D6" s="56" t="s">
        <v>43</v>
      </c>
      <c r="E6" s="83"/>
      <c r="F6" s="83"/>
      <c r="G6" s="83"/>
      <c r="H6" s="83"/>
      <c r="I6" s="83"/>
      <c r="J6" s="83"/>
      <c r="K6" s="83"/>
      <c r="L6" s="83"/>
      <c r="M6" s="84"/>
      <c r="N6" s="85" t="s">
        <v>51</v>
      </c>
      <c r="O6" s="86"/>
      <c r="P6" s="86">
        <f>O5*10%</f>
        <v>22400</v>
      </c>
    </row>
    <row r="7" spans="1:17" ht="18" customHeight="1" thickBot="1" x14ac:dyDescent="0.25">
      <c r="A7" s="83"/>
      <c r="B7" s="55"/>
      <c r="C7" s="54"/>
      <c r="D7" s="56"/>
      <c r="E7" s="83"/>
      <c r="F7" s="83"/>
      <c r="G7" s="83"/>
      <c r="H7" s="83"/>
      <c r="I7" s="83"/>
      <c r="J7" s="83"/>
      <c r="K7" s="83"/>
      <c r="L7" s="83"/>
      <c r="M7" s="84"/>
      <c r="N7" s="87" t="s">
        <v>52</v>
      </c>
      <c r="O7" s="88"/>
      <c r="P7" s="88">
        <f>O5-P6</f>
        <v>201600</v>
      </c>
    </row>
    <row r="8" spans="1:17" ht="18" customHeight="1" x14ac:dyDescent="0.2">
      <c r="A8" s="10"/>
      <c r="H8" s="60"/>
      <c r="N8" s="59" t="s">
        <v>31</v>
      </c>
      <c r="P8" s="66">
        <f>P7*1%</f>
        <v>2016</v>
      </c>
    </row>
    <row r="9" spans="1:17" ht="18" customHeight="1" thickBot="1" x14ac:dyDescent="0.25">
      <c r="A9" s="10"/>
      <c r="H9" s="60"/>
      <c r="N9" s="59" t="s">
        <v>53</v>
      </c>
      <c r="P9" s="68">
        <f>P7*2%</f>
        <v>4032</v>
      </c>
    </row>
    <row r="10" spans="1:17" ht="18" customHeight="1" x14ac:dyDescent="0.2">
      <c r="A10" s="10"/>
      <c r="H10" s="60"/>
      <c r="N10" s="63" t="s">
        <v>32</v>
      </c>
      <c r="O10" s="64"/>
      <c r="P10" s="67">
        <f>P7+P8-P9</f>
        <v>199584</v>
      </c>
    </row>
    <row r="12" spans="1:17" x14ac:dyDescent="0.2">
      <c r="A12" s="10"/>
      <c r="H12" s="60"/>
      <c r="P12" s="68"/>
    </row>
    <row r="13" spans="1:17" x14ac:dyDescent="0.2">
      <c r="A13" s="10"/>
      <c r="H13" s="60"/>
      <c r="O13" s="57"/>
      <c r="P13" s="68"/>
    </row>
    <row r="14" spans="1:17" s="3" customFormat="1" x14ac:dyDescent="0.25">
      <c r="A14" s="10"/>
      <c r="B14" s="2"/>
      <c r="C14" s="2"/>
      <c r="E14" s="11"/>
      <c r="H14" s="60"/>
      <c r="N14" s="14"/>
      <c r="O14" s="14"/>
      <c r="P14" s="14"/>
    </row>
    <row r="15" spans="1:17" s="3" customFormat="1" x14ac:dyDescent="0.25">
      <c r="A15" s="10"/>
      <c r="B15" s="2"/>
      <c r="C15" s="2"/>
      <c r="E15" s="11"/>
      <c r="H15" s="60"/>
      <c r="N15" s="14"/>
      <c r="O15" s="14"/>
      <c r="P15" s="14"/>
    </row>
    <row r="16" spans="1:17" s="3" customFormat="1" x14ac:dyDescent="0.25">
      <c r="A16" s="10"/>
      <c r="B16" s="2"/>
      <c r="C16" s="2"/>
      <c r="E16" s="11"/>
      <c r="H16" s="60"/>
      <c r="N16" s="14"/>
      <c r="O16" s="14"/>
      <c r="P16" s="14"/>
    </row>
    <row r="17" spans="1:16" s="3" customFormat="1" x14ac:dyDescent="0.25">
      <c r="A17" s="10"/>
      <c r="B17" s="2"/>
      <c r="C17" s="2"/>
      <c r="E17" s="11"/>
      <c r="H17" s="60"/>
      <c r="N17" s="14"/>
      <c r="O17" s="14"/>
      <c r="P17" s="14"/>
    </row>
    <row r="18" spans="1:16" s="3" customFormat="1" x14ac:dyDescent="0.25">
      <c r="A18" s="10"/>
      <c r="B18" s="2"/>
      <c r="C18" s="2"/>
      <c r="E18" s="11"/>
      <c r="H18" s="60"/>
      <c r="N18" s="14"/>
      <c r="O18" s="14"/>
      <c r="P18" s="14"/>
    </row>
    <row r="19" spans="1:16" s="3" customFormat="1" x14ac:dyDescent="0.25">
      <c r="A19" s="10"/>
      <c r="B19" s="2"/>
      <c r="C19" s="2"/>
      <c r="E19" s="11"/>
      <c r="H19" s="60"/>
      <c r="N19" s="14"/>
      <c r="O19" s="14"/>
      <c r="P19" s="14"/>
    </row>
    <row r="20" spans="1:16" s="3" customFormat="1" x14ac:dyDescent="0.25">
      <c r="A20" s="10"/>
      <c r="B20" s="2"/>
      <c r="C20" s="2"/>
      <c r="E20" s="11"/>
      <c r="H20" s="60"/>
      <c r="N20" s="14"/>
      <c r="O20" s="14"/>
      <c r="P20" s="14"/>
    </row>
    <row r="21" spans="1:16" s="3" customFormat="1" x14ac:dyDescent="0.25">
      <c r="A21" s="10"/>
      <c r="B21" s="2"/>
      <c r="C21" s="2"/>
      <c r="E21" s="11"/>
      <c r="H21" s="60"/>
      <c r="N21" s="14"/>
      <c r="O21" s="14"/>
      <c r="P21" s="14"/>
    </row>
    <row r="22" spans="1:16" s="3" customFormat="1" x14ac:dyDescent="0.25">
      <c r="A22" s="10"/>
      <c r="B22" s="2"/>
      <c r="C22" s="2"/>
      <c r="E22" s="11"/>
      <c r="H22" s="60"/>
      <c r="N22" s="14"/>
      <c r="O22" s="14"/>
      <c r="P22" s="14"/>
    </row>
    <row r="23" spans="1:16" s="3" customFormat="1" x14ac:dyDescent="0.25">
      <c r="A23" s="10"/>
      <c r="B23" s="2"/>
      <c r="C23" s="2"/>
      <c r="E23" s="11"/>
      <c r="H23" s="60"/>
      <c r="N23" s="14"/>
      <c r="O23" s="14"/>
      <c r="P23" s="14"/>
    </row>
    <row r="24" spans="1:16" s="3" customFormat="1" x14ac:dyDescent="0.25">
      <c r="A24" s="10"/>
      <c r="B24" s="2"/>
      <c r="C24" s="2"/>
      <c r="E24" s="11"/>
      <c r="H24" s="60"/>
      <c r="N24" s="14"/>
      <c r="O24" s="14"/>
      <c r="P24" s="14"/>
    </row>
    <row r="25" spans="1:16" s="3" customFormat="1" x14ac:dyDescent="0.25">
      <c r="A25" s="10"/>
      <c r="B25" s="2"/>
      <c r="C25" s="2"/>
      <c r="E25" s="11"/>
      <c r="H25" s="60"/>
      <c r="N25" s="14"/>
      <c r="O25" s="14"/>
      <c r="P25" s="14"/>
    </row>
  </sheetData>
  <mergeCells count="3">
    <mergeCell ref="A5:L5"/>
    <mergeCell ref="O5:P5"/>
    <mergeCell ref="Q3:Q4"/>
  </mergeCells>
  <conditionalFormatting sqref="B3">
    <cfRule type="duplicateValues" dxfId="297" priority="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Q30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D12" sqref="D12"/>
    </sheetView>
  </sheetViews>
  <sheetFormatPr defaultRowHeight="15" x14ac:dyDescent="0.2"/>
  <cols>
    <col min="1" max="1" width="7.5703125" style="4" customWidth="1"/>
    <col min="2" max="2" width="18.42578125" style="2" customWidth="1"/>
    <col min="3" max="3" width="14.85546875" style="2" customWidth="1"/>
    <col min="4" max="4" width="9.85546875" style="3" customWidth="1"/>
    <col min="5" max="5" width="8.140625" style="11" customWidth="1"/>
    <col min="6" max="6" width="13.140625" style="3" customWidth="1"/>
    <col min="7" max="7" width="8.140625" style="3" customWidth="1"/>
    <col min="8" max="8" width="15.7109375" style="6" customWidth="1"/>
    <col min="9" max="11" width="4.42578125" style="3" customWidth="1"/>
    <col min="12" max="12" width="5.28515625" style="3" customWidth="1"/>
    <col min="13" max="13" width="8.28515625" style="3" customWidth="1"/>
    <col min="14" max="14" width="12.5703125" style="14" customWidth="1"/>
    <col min="15" max="15" width="8.140625" style="14" customWidth="1"/>
    <col min="16" max="16" width="9.5703125" style="14" customWidth="1"/>
    <col min="17" max="17" width="6.855468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8" t="s">
        <v>7</v>
      </c>
      <c r="C2" s="58" t="s">
        <v>0</v>
      </c>
      <c r="D2" s="58" t="s">
        <v>1</v>
      </c>
      <c r="E2" s="97" t="s">
        <v>4</v>
      </c>
      <c r="F2" s="58" t="s">
        <v>3</v>
      </c>
      <c r="G2" s="58" t="s">
        <v>5</v>
      </c>
      <c r="H2" s="97" t="s">
        <v>2</v>
      </c>
      <c r="I2" s="58" t="s">
        <v>39</v>
      </c>
      <c r="J2" s="58" t="s">
        <v>40</v>
      </c>
      <c r="K2" s="58" t="s">
        <v>41</v>
      </c>
      <c r="L2" s="58" t="s">
        <v>45</v>
      </c>
      <c r="M2" s="58" t="s">
        <v>46</v>
      </c>
      <c r="N2" s="58" t="s">
        <v>6</v>
      </c>
      <c r="O2" s="58" t="s">
        <v>47</v>
      </c>
      <c r="P2" s="58" t="s">
        <v>48</v>
      </c>
      <c r="Q2" s="58" t="s">
        <v>26</v>
      </c>
    </row>
    <row r="3" spans="1:17" ht="26.25" customHeight="1" x14ac:dyDescent="0.2">
      <c r="A3" s="80">
        <v>405816</v>
      </c>
      <c r="B3" s="80" t="s">
        <v>66</v>
      </c>
      <c r="C3" s="8" t="s">
        <v>67</v>
      </c>
      <c r="D3" s="73" t="s">
        <v>60</v>
      </c>
      <c r="E3" s="12">
        <v>44534</v>
      </c>
      <c r="F3" s="73" t="s">
        <v>61</v>
      </c>
      <c r="G3" s="12">
        <v>44556</v>
      </c>
      <c r="H3" s="9" t="s">
        <v>62</v>
      </c>
      <c r="I3" s="1">
        <v>54</v>
      </c>
      <c r="J3" s="1">
        <v>32</v>
      </c>
      <c r="K3" s="1">
        <v>12</v>
      </c>
      <c r="L3" s="1">
        <v>10</v>
      </c>
      <c r="M3" s="77">
        <v>5.1840000000000002</v>
      </c>
      <c r="N3" s="7">
        <v>10</v>
      </c>
      <c r="O3" s="61">
        <v>14000</v>
      </c>
      <c r="P3" s="62">
        <f>Table2245789101123456[[#This Row],[PEMBULATAN]]*O3</f>
        <v>140000</v>
      </c>
      <c r="Q3" s="205">
        <v>7</v>
      </c>
    </row>
    <row r="4" spans="1:17" ht="26.25" customHeight="1" x14ac:dyDescent="0.2">
      <c r="A4" s="13"/>
      <c r="B4" s="13"/>
      <c r="C4" s="8" t="s">
        <v>68</v>
      </c>
      <c r="D4" s="73" t="s">
        <v>60</v>
      </c>
      <c r="E4" s="12">
        <v>44534</v>
      </c>
      <c r="F4" s="73" t="s">
        <v>61</v>
      </c>
      <c r="G4" s="12">
        <v>44556</v>
      </c>
      <c r="H4" s="9" t="s">
        <v>62</v>
      </c>
      <c r="I4" s="1">
        <v>54</v>
      </c>
      <c r="J4" s="1">
        <v>32</v>
      </c>
      <c r="K4" s="1">
        <v>12</v>
      </c>
      <c r="L4" s="1">
        <v>10</v>
      </c>
      <c r="M4" s="77">
        <v>5.1840000000000002</v>
      </c>
      <c r="N4" s="7">
        <v>10</v>
      </c>
      <c r="O4" s="61">
        <v>14000</v>
      </c>
      <c r="P4" s="62">
        <f>Table2245789101123456[[#This Row],[PEMBULATAN]]*O4</f>
        <v>140000</v>
      </c>
      <c r="Q4" s="203"/>
    </row>
    <row r="5" spans="1:17" ht="26.25" customHeight="1" x14ac:dyDescent="0.2">
      <c r="A5" s="13"/>
      <c r="B5" s="13"/>
      <c r="C5" s="8" t="s">
        <v>69</v>
      </c>
      <c r="D5" s="73" t="s">
        <v>60</v>
      </c>
      <c r="E5" s="12">
        <v>44534</v>
      </c>
      <c r="F5" s="73" t="s">
        <v>61</v>
      </c>
      <c r="G5" s="12">
        <v>44556</v>
      </c>
      <c r="H5" s="9" t="s">
        <v>62</v>
      </c>
      <c r="I5" s="1">
        <v>54</v>
      </c>
      <c r="J5" s="1">
        <v>32</v>
      </c>
      <c r="K5" s="1">
        <v>12</v>
      </c>
      <c r="L5" s="1">
        <v>10</v>
      </c>
      <c r="M5" s="77">
        <v>5.1840000000000002</v>
      </c>
      <c r="N5" s="7">
        <v>10</v>
      </c>
      <c r="O5" s="61">
        <v>14000</v>
      </c>
      <c r="P5" s="62">
        <f>Table2245789101123456[[#This Row],[PEMBULATAN]]*O5</f>
        <v>140000</v>
      </c>
      <c r="Q5" s="203"/>
    </row>
    <row r="6" spans="1:17" ht="26.25" customHeight="1" x14ac:dyDescent="0.2">
      <c r="A6" s="13"/>
      <c r="B6" s="13"/>
      <c r="C6" s="70" t="s">
        <v>70</v>
      </c>
      <c r="D6" s="75" t="s">
        <v>60</v>
      </c>
      <c r="E6" s="12">
        <v>44534</v>
      </c>
      <c r="F6" s="73" t="s">
        <v>61</v>
      </c>
      <c r="G6" s="12">
        <v>44556</v>
      </c>
      <c r="H6" s="74" t="s">
        <v>62</v>
      </c>
      <c r="I6" s="15">
        <v>54</v>
      </c>
      <c r="J6" s="15">
        <v>32</v>
      </c>
      <c r="K6" s="15">
        <v>12</v>
      </c>
      <c r="L6" s="15">
        <v>10</v>
      </c>
      <c r="M6" s="78">
        <v>5.1840000000000002</v>
      </c>
      <c r="N6" s="69">
        <v>10</v>
      </c>
      <c r="O6" s="61">
        <v>14000</v>
      </c>
      <c r="P6" s="62">
        <f>Table2245789101123456[[#This Row],[PEMBULATAN]]*O6</f>
        <v>140000</v>
      </c>
      <c r="Q6" s="203"/>
    </row>
    <row r="7" spans="1:17" ht="26.25" customHeight="1" x14ac:dyDescent="0.2">
      <c r="A7" s="13"/>
      <c r="B7" s="13"/>
      <c r="C7" s="70" t="s">
        <v>71</v>
      </c>
      <c r="D7" s="75" t="s">
        <v>60</v>
      </c>
      <c r="E7" s="12">
        <v>44534</v>
      </c>
      <c r="F7" s="73" t="s">
        <v>61</v>
      </c>
      <c r="G7" s="12">
        <v>44556</v>
      </c>
      <c r="H7" s="74" t="s">
        <v>62</v>
      </c>
      <c r="I7" s="15">
        <v>54</v>
      </c>
      <c r="J7" s="15">
        <v>32</v>
      </c>
      <c r="K7" s="15">
        <v>12</v>
      </c>
      <c r="L7" s="15">
        <v>10</v>
      </c>
      <c r="M7" s="78">
        <v>5.1840000000000002</v>
      </c>
      <c r="N7" s="69">
        <v>10</v>
      </c>
      <c r="O7" s="61">
        <v>14000</v>
      </c>
      <c r="P7" s="62">
        <f>Table2245789101123456[[#This Row],[PEMBULATAN]]*O7</f>
        <v>140000</v>
      </c>
      <c r="Q7" s="203"/>
    </row>
    <row r="8" spans="1:17" ht="26.25" customHeight="1" x14ac:dyDescent="0.2">
      <c r="A8" s="13"/>
      <c r="B8" s="13"/>
      <c r="C8" s="70" t="s">
        <v>72</v>
      </c>
      <c r="D8" s="75" t="s">
        <v>60</v>
      </c>
      <c r="E8" s="12">
        <v>44534</v>
      </c>
      <c r="F8" s="73" t="s">
        <v>61</v>
      </c>
      <c r="G8" s="12">
        <v>44556</v>
      </c>
      <c r="H8" s="74" t="s">
        <v>62</v>
      </c>
      <c r="I8" s="15">
        <v>54</v>
      </c>
      <c r="J8" s="15">
        <v>32</v>
      </c>
      <c r="K8" s="15">
        <v>12</v>
      </c>
      <c r="L8" s="15">
        <v>10</v>
      </c>
      <c r="M8" s="78">
        <v>5.1840000000000002</v>
      </c>
      <c r="N8" s="69">
        <v>10</v>
      </c>
      <c r="O8" s="61">
        <v>14000</v>
      </c>
      <c r="P8" s="62">
        <f>Table2245789101123456[[#This Row],[PEMBULATAN]]*O8</f>
        <v>140000</v>
      </c>
      <c r="Q8" s="203"/>
    </row>
    <row r="9" spans="1:17" ht="26.25" customHeight="1" x14ac:dyDescent="0.2">
      <c r="A9" s="103"/>
      <c r="B9" s="103"/>
      <c r="C9" s="70" t="s">
        <v>73</v>
      </c>
      <c r="D9" s="75" t="s">
        <v>60</v>
      </c>
      <c r="E9" s="12">
        <v>44534</v>
      </c>
      <c r="F9" s="73" t="s">
        <v>61</v>
      </c>
      <c r="G9" s="12">
        <v>44556</v>
      </c>
      <c r="H9" s="74" t="s">
        <v>62</v>
      </c>
      <c r="I9" s="15">
        <v>54</v>
      </c>
      <c r="J9" s="15">
        <v>32</v>
      </c>
      <c r="K9" s="15">
        <v>12</v>
      </c>
      <c r="L9" s="15">
        <v>10</v>
      </c>
      <c r="M9" s="78">
        <v>5.1840000000000002</v>
      </c>
      <c r="N9" s="69">
        <v>10</v>
      </c>
      <c r="O9" s="61">
        <v>14000</v>
      </c>
      <c r="P9" s="62">
        <f>Table2245789101123456[[#This Row],[PEMBULATAN]]*O9</f>
        <v>140000</v>
      </c>
      <c r="Q9" s="216"/>
    </row>
    <row r="10" spans="1:17" ht="22.5" customHeight="1" x14ac:dyDescent="0.2">
      <c r="A10" s="213" t="s">
        <v>30</v>
      </c>
      <c r="B10" s="208"/>
      <c r="C10" s="208"/>
      <c r="D10" s="208"/>
      <c r="E10" s="208"/>
      <c r="F10" s="208"/>
      <c r="G10" s="208"/>
      <c r="H10" s="208"/>
      <c r="I10" s="208"/>
      <c r="J10" s="208"/>
      <c r="K10" s="208"/>
      <c r="L10" s="209"/>
      <c r="M10" s="76">
        <f>SUBTOTAL(109,Table2245789101123456[KG VOLUME])</f>
        <v>36.288000000000004</v>
      </c>
      <c r="N10" s="65">
        <f>SUM(N3:N9)</f>
        <v>70</v>
      </c>
      <c r="O10" s="210">
        <f>SUM(P3:P9)</f>
        <v>980000</v>
      </c>
      <c r="P10" s="211"/>
    </row>
    <row r="11" spans="1:17" ht="18" customHeight="1" x14ac:dyDescent="0.2">
      <c r="A11" s="83"/>
      <c r="B11" s="55" t="s">
        <v>42</v>
      </c>
      <c r="C11" s="54"/>
      <c r="D11" s="56" t="s">
        <v>43</v>
      </c>
      <c r="E11" s="83"/>
      <c r="F11" s="83"/>
      <c r="G11" s="83"/>
      <c r="H11" s="83"/>
      <c r="I11" s="83"/>
      <c r="J11" s="83"/>
      <c r="K11" s="83"/>
      <c r="L11" s="83"/>
      <c r="M11" s="84"/>
      <c r="N11" s="85" t="s">
        <v>51</v>
      </c>
      <c r="O11" s="86"/>
      <c r="P11" s="86">
        <f>O10*10%</f>
        <v>98000</v>
      </c>
    </row>
    <row r="12" spans="1:17" ht="18" customHeight="1" thickBot="1" x14ac:dyDescent="0.25">
      <c r="A12" s="83"/>
      <c r="B12" s="55"/>
      <c r="C12" s="54"/>
      <c r="D12" s="56"/>
      <c r="E12" s="83"/>
      <c r="F12" s="83"/>
      <c r="G12" s="83"/>
      <c r="H12" s="83"/>
      <c r="I12" s="83"/>
      <c r="J12" s="83"/>
      <c r="K12" s="83"/>
      <c r="L12" s="83"/>
      <c r="M12" s="84"/>
      <c r="N12" s="87" t="s">
        <v>52</v>
      </c>
      <c r="O12" s="88"/>
      <c r="P12" s="88">
        <f>O10-P11</f>
        <v>882000</v>
      </c>
    </row>
    <row r="13" spans="1:17" ht="18" customHeight="1" x14ac:dyDescent="0.2">
      <c r="A13" s="10"/>
      <c r="H13" s="60"/>
      <c r="N13" s="59" t="s">
        <v>31</v>
      </c>
      <c r="P13" s="66">
        <f>P12*1%</f>
        <v>8820</v>
      </c>
    </row>
    <row r="14" spans="1:17" ht="18" customHeight="1" thickBot="1" x14ac:dyDescent="0.25">
      <c r="A14" s="10"/>
      <c r="H14" s="60"/>
      <c r="N14" s="59" t="s">
        <v>53</v>
      </c>
      <c r="P14" s="68">
        <f>P12*2%</f>
        <v>17640</v>
      </c>
    </row>
    <row r="15" spans="1:17" ht="18" customHeight="1" x14ac:dyDescent="0.2">
      <c r="A15" s="10"/>
      <c r="H15" s="60"/>
      <c r="N15" s="63" t="s">
        <v>32</v>
      </c>
      <c r="O15" s="64"/>
      <c r="P15" s="67">
        <f>P12+P13-P14</f>
        <v>873180</v>
      </c>
    </row>
    <row r="17" spans="1:16" x14ac:dyDescent="0.2">
      <c r="A17" s="10"/>
      <c r="H17" s="60"/>
      <c r="P17" s="68"/>
    </row>
    <row r="18" spans="1:16" x14ac:dyDescent="0.2">
      <c r="A18" s="10"/>
      <c r="H18" s="60"/>
      <c r="O18" s="57"/>
      <c r="P18" s="68"/>
    </row>
    <row r="19" spans="1:16" s="3" customFormat="1" x14ac:dyDescent="0.25">
      <c r="A19" s="10"/>
      <c r="B19" s="2"/>
      <c r="C19" s="2"/>
      <c r="E19" s="11"/>
      <c r="H19" s="60"/>
      <c r="N19" s="14"/>
      <c r="O19" s="14"/>
      <c r="P19" s="14"/>
    </row>
    <row r="20" spans="1:16" s="3" customFormat="1" x14ac:dyDescent="0.25">
      <c r="A20" s="10"/>
      <c r="B20" s="2"/>
      <c r="C20" s="2"/>
      <c r="E20" s="11"/>
      <c r="H20" s="60"/>
      <c r="N20" s="14"/>
      <c r="O20" s="14"/>
      <c r="P20" s="14"/>
    </row>
    <row r="21" spans="1:16" s="3" customFormat="1" x14ac:dyDescent="0.25">
      <c r="A21" s="10"/>
      <c r="B21" s="2"/>
      <c r="C21" s="2"/>
      <c r="E21" s="11"/>
      <c r="H21" s="60"/>
      <c r="N21" s="14"/>
      <c r="O21" s="14"/>
      <c r="P21" s="14"/>
    </row>
    <row r="22" spans="1:16" s="3" customFormat="1" x14ac:dyDescent="0.25">
      <c r="A22" s="10"/>
      <c r="B22" s="2"/>
      <c r="C22" s="2"/>
      <c r="E22" s="11"/>
      <c r="H22" s="60"/>
      <c r="N22" s="14"/>
      <c r="O22" s="14"/>
      <c r="P22" s="14"/>
    </row>
    <row r="23" spans="1:16" s="3" customFormat="1" x14ac:dyDescent="0.25">
      <c r="A23" s="10"/>
      <c r="B23" s="2"/>
      <c r="C23" s="2"/>
      <c r="E23" s="11"/>
      <c r="H23" s="60"/>
      <c r="N23" s="14"/>
      <c r="O23" s="14"/>
      <c r="P23" s="14"/>
    </row>
    <row r="24" spans="1:16" s="3" customFormat="1" x14ac:dyDescent="0.25">
      <c r="A24" s="10"/>
      <c r="B24" s="2"/>
      <c r="C24" s="2"/>
      <c r="E24" s="11"/>
      <c r="H24" s="60"/>
      <c r="N24" s="14"/>
      <c r="O24" s="14"/>
      <c r="P24" s="14"/>
    </row>
    <row r="25" spans="1:16" s="3" customFormat="1" x14ac:dyDescent="0.25">
      <c r="A25" s="10"/>
      <c r="B25" s="2"/>
      <c r="C25" s="2"/>
      <c r="E25" s="11"/>
      <c r="H25" s="60"/>
      <c r="N25" s="14"/>
      <c r="O25" s="14"/>
      <c r="P25" s="14"/>
    </row>
    <row r="26" spans="1:16" s="3" customFormat="1" x14ac:dyDescent="0.25">
      <c r="A26" s="10"/>
      <c r="B26" s="2"/>
      <c r="C26" s="2"/>
      <c r="E26" s="11"/>
      <c r="H26" s="60"/>
      <c r="N26" s="14"/>
      <c r="O26" s="14"/>
      <c r="P26" s="14"/>
    </row>
    <row r="27" spans="1:16" s="3" customFormat="1" x14ac:dyDescent="0.25">
      <c r="A27" s="10"/>
      <c r="B27" s="2"/>
      <c r="C27" s="2"/>
      <c r="E27" s="11"/>
      <c r="H27" s="60"/>
      <c r="N27" s="14"/>
      <c r="O27" s="14"/>
      <c r="P27" s="14"/>
    </row>
    <row r="28" spans="1:16" s="3" customFormat="1" x14ac:dyDescent="0.25">
      <c r="A28" s="10"/>
      <c r="B28" s="2"/>
      <c r="C28" s="2"/>
      <c r="E28" s="11"/>
      <c r="H28" s="60"/>
      <c r="N28" s="14"/>
      <c r="O28" s="14"/>
      <c r="P28" s="14"/>
    </row>
    <row r="29" spans="1:16" s="3" customFormat="1" x14ac:dyDescent="0.25">
      <c r="A29" s="10"/>
      <c r="B29" s="2"/>
      <c r="C29" s="2"/>
      <c r="E29" s="11"/>
      <c r="H29" s="60"/>
      <c r="N29" s="14"/>
      <c r="O29" s="14"/>
      <c r="P29" s="14"/>
    </row>
    <row r="30" spans="1:16" s="3" customFormat="1" x14ac:dyDescent="0.25">
      <c r="A30" s="10"/>
      <c r="B30" s="2"/>
      <c r="C30" s="2"/>
      <c r="E30" s="11"/>
      <c r="H30" s="60"/>
      <c r="N30" s="14"/>
      <c r="O30" s="14"/>
      <c r="P30" s="14"/>
    </row>
  </sheetData>
  <mergeCells count="3">
    <mergeCell ref="A10:L10"/>
    <mergeCell ref="O10:P10"/>
    <mergeCell ref="Q3:Q9"/>
  </mergeCells>
  <conditionalFormatting sqref="B3">
    <cfRule type="duplicateValues" dxfId="281" priority="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Q31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N4" sqref="N4"/>
    </sheetView>
  </sheetViews>
  <sheetFormatPr defaultRowHeight="15" x14ac:dyDescent="0.2"/>
  <cols>
    <col min="1" max="1" width="6.5703125" style="4" customWidth="1"/>
    <col min="2" max="2" width="18.5703125" style="2" customWidth="1"/>
    <col min="3" max="3" width="14.5703125" style="2" customWidth="1"/>
    <col min="4" max="4" width="9.5703125" style="3" customWidth="1"/>
    <col min="5" max="5" width="7.5703125" style="11" customWidth="1"/>
    <col min="6" max="6" width="14.140625" style="3" customWidth="1"/>
    <col min="7" max="7" width="8.85546875" style="3" customWidth="1"/>
    <col min="8" max="8" width="13.85546875" style="6" customWidth="1"/>
    <col min="9" max="11" width="4.42578125" style="3" customWidth="1"/>
    <col min="12" max="12" width="5" style="3" customWidth="1"/>
    <col min="13" max="13" width="7.42578125" style="3" customWidth="1"/>
    <col min="14" max="14" width="12.5703125" style="14" customWidth="1"/>
    <col min="15" max="15" width="8.140625" style="14" customWidth="1"/>
    <col min="16" max="16" width="10.28515625" style="14" customWidth="1"/>
    <col min="17" max="17" width="6.85546875" style="4" customWidth="1"/>
    <col min="18" max="16384" width="9.140625" style="4"/>
  </cols>
  <sheetData>
    <row r="1" spans="1:17" x14ac:dyDescent="0.2">
      <c r="H1" s="5"/>
    </row>
    <row r="2" spans="1:17" ht="38.25" x14ac:dyDescent="0.2">
      <c r="A2" s="93" t="s">
        <v>44</v>
      </c>
      <c r="B2" s="58" t="s">
        <v>7</v>
      </c>
      <c r="C2" s="58" t="s">
        <v>0</v>
      </c>
      <c r="D2" s="58" t="s">
        <v>1</v>
      </c>
      <c r="E2" s="97" t="s">
        <v>4</v>
      </c>
      <c r="F2" s="58" t="s">
        <v>3</v>
      </c>
      <c r="G2" s="58" t="s">
        <v>5</v>
      </c>
      <c r="H2" s="97" t="s">
        <v>2</v>
      </c>
      <c r="I2" s="58" t="s">
        <v>39</v>
      </c>
      <c r="J2" s="58" t="s">
        <v>40</v>
      </c>
      <c r="K2" s="58" t="s">
        <v>41</v>
      </c>
      <c r="L2" s="58" t="s">
        <v>45</v>
      </c>
      <c r="M2" s="58" t="s">
        <v>46</v>
      </c>
      <c r="N2" s="58" t="s">
        <v>6</v>
      </c>
      <c r="O2" s="58" t="s">
        <v>47</v>
      </c>
      <c r="P2" s="58" t="s">
        <v>48</v>
      </c>
      <c r="Q2" s="58" t="s">
        <v>26</v>
      </c>
    </row>
    <row r="3" spans="1:17" ht="26.25" customHeight="1" x14ac:dyDescent="0.2">
      <c r="A3" s="80">
        <v>405836</v>
      </c>
      <c r="B3" s="80" t="s">
        <v>74</v>
      </c>
      <c r="C3" s="8" t="s">
        <v>75</v>
      </c>
      <c r="D3" s="73" t="s">
        <v>60</v>
      </c>
      <c r="E3" s="12">
        <v>44537</v>
      </c>
      <c r="F3" s="73" t="s">
        <v>61</v>
      </c>
      <c r="G3" s="12">
        <v>44556</v>
      </c>
      <c r="H3" s="9" t="s">
        <v>62</v>
      </c>
      <c r="I3" s="1">
        <v>48</v>
      </c>
      <c r="J3" s="1">
        <v>43</v>
      </c>
      <c r="K3" s="1">
        <v>36</v>
      </c>
      <c r="L3" s="1">
        <v>18</v>
      </c>
      <c r="M3" s="77">
        <v>18.576000000000001</v>
      </c>
      <c r="N3" s="94">
        <v>18.576000000000001</v>
      </c>
      <c r="O3" s="61">
        <v>14000</v>
      </c>
      <c r="P3" s="62">
        <f>Table22457891011234567[[#This Row],[PEMBULATAN]]*O3</f>
        <v>260064</v>
      </c>
      <c r="Q3" s="205">
        <v>8</v>
      </c>
    </row>
    <row r="4" spans="1:17" ht="26.25" customHeight="1" x14ac:dyDescent="0.2">
      <c r="A4" s="13"/>
      <c r="B4" s="13"/>
      <c r="C4" s="8" t="s">
        <v>76</v>
      </c>
      <c r="D4" s="73" t="s">
        <v>60</v>
      </c>
      <c r="E4" s="12">
        <v>44537</v>
      </c>
      <c r="F4" s="73" t="s">
        <v>61</v>
      </c>
      <c r="G4" s="12">
        <v>44556</v>
      </c>
      <c r="H4" s="9" t="s">
        <v>62</v>
      </c>
      <c r="I4" s="1">
        <v>48</v>
      </c>
      <c r="J4" s="1">
        <v>43</v>
      </c>
      <c r="K4" s="1">
        <v>36</v>
      </c>
      <c r="L4" s="1">
        <v>18</v>
      </c>
      <c r="M4" s="77">
        <v>18.576000000000001</v>
      </c>
      <c r="N4" s="94">
        <v>18.576000000000001</v>
      </c>
      <c r="O4" s="61">
        <v>14000</v>
      </c>
      <c r="P4" s="62">
        <f>Table22457891011234567[[#This Row],[PEMBULATAN]]*O4</f>
        <v>260064</v>
      </c>
      <c r="Q4" s="203"/>
    </row>
    <row r="5" spans="1:17" ht="26.25" customHeight="1" x14ac:dyDescent="0.2">
      <c r="A5" s="13"/>
      <c r="B5" s="13"/>
      <c r="C5" s="8" t="s">
        <v>77</v>
      </c>
      <c r="D5" s="73" t="s">
        <v>60</v>
      </c>
      <c r="E5" s="12">
        <v>44537</v>
      </c>
      <c r="F5" s="73" t="s">
        <v>61</v>
      </c>
      <c r="G5" s="12">
        <v>44556</v>
      </c>
      <c r="H5" s="9" t="s">
        <v>62</v>
      </c>
      <c r="I5" s="1">
        <v>64</v>
      </c>
      <c r="J5" s="1">
        <v>56</v>
      </c>
      <c r="K5" s="1">
        <v>21</v>
      </c>
      <c r="L5" s="1">
        <v>18</v>
      </c>
      <c r="M5" s="77">
        <v>18.815999999999999</v>
      </c>
      <c r="N5" s="94">
        <v>18.815999999999999</v>
      </c>
      <c r="O5" s="61">
        <v>14000</v>
      </c>
      <c r="P5" s="62">
        <f>Table22457891011234567[[#This Row],[PEMBULATAN]]*O5</f>
        <v>263424</v>
      </c>
      <c r="Q5" s="203"/>
    </row>
    <row r="6" spans="1:17" ht="26.25" customHeight="1" x14ac:dyDescent="0.2">
      <c r="A6" s="13"/>
      <c r="B6" s="13"/>
      <c r="C6" s="70" t="s">
        <v>78</v>
      </c>
      <c r="D6" s="75" t="s">
        <v>60</v>
      </c>
      <c r="E6" s="12">
        <v>44537</v>
      </c>
      <c r="F6" s="73" t="s">
        <v>61</v>
      </c>
      <c r="G6" s="12">
        <v>44556</v>
      </c>
      <c r="H6" s="74" t="s">
        <v>62</v>
      </c>
      <c r="I6" s="15">
        <v>64</v>
      </c>
      <c r="J6" s="15">
        <v>56</v>
      </c>
      <c r="K6" s="15">
        <v>21</v>
      </c>
      <c r="L6" s="15">
        <v>18</v>
      </c>
      <c r="M6" s="78">
        <v>18.815999999999999</v>
      </c>
      <c r="N6" s="94">
        <v>18.815999999999999</v>
      </c>
      <c r="O6" s="61">
        <v>14000</v>
      </c>
      <c r="P6" s="62">
        <f>Table22457891011234567[[#This Row],[PEMBULATAN]]*O6</f>
        <v>263424</v>
      </c>
      <c r="Q6" s="203"/>
    </row>
    <row r="7" spans="1:17" ht="26.25" customHeight="1" x14ac:dyDescent="0.2">
      <c r="A7" s="13"/>
      <c r="B7" s="13"/>
      <c r="C7" s="70" t="s">
        <v>79</v>
      </c>
      <c r="D7" s="75" t="s">
        <v>60</v>
      </c>
      <c r="E7" s="12">
        <v>44537</v>
      </c>
      <c r="F7" s="73" t="s">
        <v>61</v>
      </c>
      <c r="G7" s="12">
        <v>44556</v>
      </c>
      <c r="H7" s="74" t="s">
        <v>62</v>
      </c>
      <c r="I7" s="15">
        <v>64</v>
      </c>
      <c r="J7" s="15">
        <v>56</v>
      </c>
      <c r="K7" s="15">
        <v>21</v>
      </c>
      <c r="L7" s="15">
        <v>18</v>
      </c>
      <c r="M7" s="78">
        <v>18.815999999999999</v>
      </c>
      <c r="N7" s="94">
        <v>18.815999999999999</v>
      </c>
      <c r="O7" s="61">
        <v>14000</v>
      </c>
      <c r="P7" s="62">
        <f>Table22457891011234567[[#This Row],[PEMBULATAN]]*O7</f>
        <v>263424</v>
      </c>
      <c r="Q7" s="203"/>
    </row>
    <row r="8" spans="1:17" ht="26.25" customHeight="1" x14ac:dyDescent="0.2">
      <c r="A8" s="13"/>
      <c r="B8" s="13"/>
      <c r="C8" s="70" t="s">
        <v>80</v>
      </c>
      <c r="D8" s="75" t="s">
        <v>60</v>
      </c>
      <c r="E8" s="12">
        <v>44537</v>
      </c>
      <c r="F8" s="73" t="s">
        <v>61</v>
      </c>
      <c r="G8" s="12">
        <v>44556</v>
      </c>
      <c r="H8" s="74" t="s">
        <v>62</v>
      </c>
      <c r="I8" s="15">
        <v>64</v>
      </c>
      <c r="J8" s="15">
        <v>56</v>
      </c>
      <c r="K8" s="15">
        <v>21</v>
      </c>
      <c r="L8" s="15">
        <v>18</v>
      </c>
      <c r="M8" s="78">
        <v>18.815999999999999</v>
      </c>
      <c r="N8" s="94">
        <v>18.815999999999999</v>
      </c>
      <c r="O8" s="61">
        <v>14000</v>
      </c>
      <c r="P8" s="62">
        <f>Table22457891011234567[[#This Row],[PEMBULATAN]]*O8</f>
        <v>263424</v>
      </c>
      <c r="Q8" s="203"/>
    </row>
    <row r="9" spans="1:17" ht="26.25" customHeight="1" x14ac:dyDescent="0.2">
      <c r="A9" s="13"/>
      <c r="B9" s="13"/>
      <c r="C9" s="70" t="s">
        <v>81</v>
      </c>
      <c r="D9" s="75" t="s">
        <v>60</v>
      </c>
      <c r="E9" s="12">
        <v>44537</v>
      </c>
      <c r="F9" s="73" t="s">
        <v>61</v>
      </c>
      <c r="G9" s="12">
        <v>44556</v>
      </c>
      <c r="H9" s="74" t="s">
        <v>62</v>
      </c>
      <c r="I9" s="15">
        <v>38</v>
      </c>
      <c r="J9" s="15">
        <v>38</v>
      </c>
      <c r="K9" s="15">
        <v>46</v>
      </c>
      <c r="L9" s="15">
        <v>14</v>
      </c>
      <c r="M9" s="78">
        <v>16.606000000000002</v>
      </c>
      <c r="N9" s="94">
        <v>16.606000000000002</v>
      </c>
      <c r="O9" s="61">
        <v>14000</v>
      </c>
      <c r="P9" s="62">
        <f>Table22457891011234567[[#This Row],[PEMBULATAN]]*O9</f>
        <v>232484.00000000003</v>
      </c>
      <c r="Q9" s="203"/>
    </row>
    <row r="10" spans="1:17" ht="26.25" customHeight="1" x14ac:dyDescent="0.2">
      <c r="A10" s="103"/>
      <c r="B10" s="103"/>
      <c r="C10" s="70" t="s">
        <v>82</v>
      </c>
      <c r="D10" s="75" t="s">
        <v>60</v>
      </c>
      <c r="E10" s="12">
        <v>44537</v>
      </c>
      <c r="F10" s="73" t="s">
        <v>61</v>
      </c>
      <c r="G10" s="12">
        <v>44556</v>
      </c>
      <c r="H10" s="74" t="s">
        <v>62</v>
      </c>
      <c r="I10" s="15">
        <v>38</v>
      </c>
      <c r="J10" s="15">
        <v>38</v>
      </c>
      <c r="K10" s="15">
        <v>46</v>
      </c>
      <c r="L10" s="15">
        <v>14</v>
      </c>
      <c r="M10" s="78">
        <v>16.606000000000002</v>
      </c>
      <c r="N10" s="94">
        <v>16.606000000000002</v>
      </c>
      <c r="O10" s="61">
        <v>14000</v>
      </c>
      <c r="P10" s="62">
        <f>Table22457891011234567[[#This Row],[PEMBULATAN]]*O10</f>
        <v>232484.00000000003</v>
      </c>
      <c r="Q10" s="216"/>
    </row>
    <row r="11" spans="1:17" ht="22.5" customHeight="1" x14ac:dyDescent="0.2">
      <c r="A11" s="213" t="s">
        <v>30</v>
      </c>
      <c r="B11" s="208"/>
      <c r="C11" s="208"/>
      <c r="D11" s="208"/>
      <c r="E11" s="208"/>
      <c r="F11" s="208"/>
      <c r="G11" s="208"/>
      <c r="H11" s="208"/>
      <c r="I11" s="208"/>
      <c r="J11" s="208"/>
      <c r="K11" s="208"/>
      <c r="L11" s="209"/>
      <c r="M11" s="76">
        <f>SUBTOTAL(109,Table22457891011234567[KG VOLUME])</f>
        <v>145.62800000000001</v>
      </c>
      <c r="N11" s="65">
        <f>SUM(N3:N10)</f>
        <v>145.62800000000001</v>
      </c>
      <c r="O11" s="210">
        <f>SUM(P3:P10)</f>
        <v>2038792</v>
      </c>
      <c r="P11" s="211"/>
    </row>
    <row r="12" spans="1:17" ht="18" customHeight="1" x14ac:dyDescent="0.2">
      <c r="A12" s="83"/>
      <c r="B12" s="55" t="s">
        <v>42</v>
      </c>
      <c r="C12" s="54"/>
      <c r="D12" s="56" t="s">
        <v>43</v>
      </c>
      <c r="E12" s="83"/>
      <c r="F12" s="83"/>
      <c r="G12" s="83"/>
      <c r="H12" s="83"/>
      <c r="I12" s="83"/>
      <c r="J12" s="83"/>
      <c r="K12" s="83"/>
      <c r="L12" s="83"/>
      <c r="M12" s="84"/>
      <c r="N12" s="85" t="s">
        <v>51</v>
      </c>
      <c r="O12" s="86"/>
      <c r="P12" s="86">
        <f>O11*10%</f>
        <v>203879.2</v>
      </c>
    </row>
    <row r="13" spans="1:17" ht="18" customHeight="1" thickBot="1" x14ac:dyDescent="0.25">
      <c r="A13" s="83"/>
      <c r="B13" s="55"/>
      <c r="C13" s="54"/>
      <c r="D13" s="56"/>
      <c r="E13" s="83"/>
      <c r="F13" s="83"/>
      <c r="G13" s="83"/>
      <c r="H13" s="83"/>
      <c r="I13" s="83"/>
      <c r="J13" s="83"/>
      <c r="K13" s="83"/>
      <c r="L13" s="83"/>
      <c r="M13" s="84"/>
      <c r="N13" s="87" t="s">
        <v>52</v>
      </c>
      <c r="O13" s="88"/>
      <c r="P13" s="88">
        <f>O11-P12</f>
        <v>1834912.8</v>
      </c>
    </row>
    <row r="14" spans="1:17" ht="18" customHeight="1" x14ac:dyDescent="0.2">
      <c r="A14" s="10"/>
      <c r="H14" s="60"/>
      <c r="N14" s="59" t="s">
        <v>31</v>
      </c>
      <c r="P14" s="66">
        <f>P13*1%</f>
        <v>18349.128000000001</v>
      </c>
    </row>
    <row r="15" spans="1:17" ht="18" customHeight="1" thickBot="1" x14ac:dyDescent="0.25">
      <c r="A15" s="10"/>
      <c r="H15" s="60"/>
      <c r="N15" s="59" t="s">
        <v>53</v>
      </c>
      <c r="P15" s="68">
        <f>P13*2%</f>
        <v>36698.256000000001</v>
      </c>
    </row>
    <row r="16" spans="1:17" ht="18" customHeight="1" x14ac:dyDescent="0.2">
      <c r="A16" s="10"/>
      <c r="H16" s="60"/>
      <c r="N16" s="63" t="s">
        <v>32</v>
      </c>
      <c r="O16" s="64"/>
      <c r="P16" s="67">
        <f>P13+P14-P15</f>
        <v>1816563.672</v>
      </c>
    </row>
    <row r="18" spans="1:16" x14ac:dyDescent="0.2">
      <c r="A18" s="10"/>
      <c r="H18" s="60"/>
      <c r="P18" s="68"/>
    </row>
    <row r="19" spans="1:16" x14ac:dyDescent="0.2">
      <c r="A19" s="10"/>
      <c r="H19" s="60"/>
      <c r="O19" s="57"/>
      <c r="P19" s="68"/>
    </row>
    <row r="20" spans="1:16" s="3" customFormat="1" x14ac:dyDescent="0.25">
      <c r="A20" s="10"/>
      <c r="B20" s="2"/>
      <c r="C20" s="2"/>
      <c r="E20" s="11"/>
      <c r="H20" s="60"/>
      <c r="N20" s="14"/>
      <c r="O20" s="14"/>
      <c r="P20" s="14"/>
    </row>
    <row r="21" spans="1:16" s="3" customFormat="1" x14ac:dyDescent="0.25">
      <c r="A21" s="10"/>
      <c r="B21" s="2"/>
      <c r="C21" s="2"/>
      <c r="E21" s="11"/>
      <c r="H21" s="60"/>
      <c r="N21" s="14"/>
      <c r="O21" s="14"/>
      <c r="P21" s="14"/>
    </row>
    <row r="22" spans="1:16" s="3" customFormat="1" x14ac:dyDescent="0.25">
      <c r="A22" s="10"/>
      <c r="B22" s="2"/>
      <c r="C22" s="2"/>
      <c r="E22" s="11"/>
      <c r="H22" s="60"/>
      <c r="N22" s="14"/>
      <c r="O22" s="14"/>
      <c r="P22" s="14"/>
    </row>
    <row r="23" spans="1:16" s="3" customFormat="1" x14ac:dyDescent="0.25">
      <c r="A23" s="10"/>
      <c r="B23" s="2"/>
      <c r="C23" s="2"/>
      <c r="E23" s="11"/>
      <c r="H23" s="60"/>
      <c r="N23" s="14"/>
      <c r="O23" s="14"/>
      <c r="P23" s="14"/>
    </row>
    <row r="24" spans="1:16" s="3" customFormat="1" x14ac:dyDescent="0.25">
      <c r="A24" s="10"/>
      <c r="B24" s="2"/>
      <c r="C24" s="2"/>
      <c r="E24" s="11"/>
      <c r="H24" s="60"/>
      <c r="N24" s="14"/>
      <c r="O24" s="14"/>
      <c r="P24" s="14"/>
    </row>
    <row r="25" spans="1:16" s="3" customFormat="1" x14ac:dyDescent="0.25">
      <c r="A25" s="10"/>
      <c r="B25" s="2"/>
      <c r="C25" s="2"/>
      <c r="E25" s="11"/>
      <c r="H25" s="60"/>
      <c r="N25" s="14"/>
      <c r="O25" s="14"/>
      <c r="P25" s="14"/>
    </row>
    <row r="26" spans="1:16" s="3" customFormat="1" x14ac:dyDescent="0.25">
      <c r="A26" s="10"/>
      <c r="B26" s="2"/>
      <c r="C26" s="2"/>
      <c r="E26" s="11"/>
      <c r="H26" s="60"/>
      <c r="N26" s="14"/>
      <c r="O26" s="14"/>
      <c r="P26" s="14"/>
    </row>
    <row r="27" spans="1:16" s="3" customFormat="1" x14ac:dyDescent="0.25">
      <c r="A27" s="10"/>
      <c r="B27" s="2"/>
      <c r="C27" s="2"/>
      <c r="E27" s="11"/>
      <c r="H27" s="60"/>
      <c r="N27" s="14"/>
      <c r="O27" s="14"/>
      <c r="P27" s="14"/>
    </row>
    <row r="28" spans="1:16" s="3" customFormat="1" x14ac:dyDescent="0.25">
      <c r="A28" s="10"/>
      <c r="B28" s="2"/>
      <c r="C28" s="2"/>
      <c r="E28" s="11"/>
      <c r="H28" s="60"/>
      <c r="N28" s="14"/>
      <c r="O28" s="14"/>
      <c r="P28" s="14"/>
    </row>
    <row r="29" spans="1:16" s="3" customFormat="1" x14ac:dyDescent="0.25">
      <c r="A29" s="10"/>
      <c r="B29" s="2"/>
      <c r="C29" s="2"/>
      <c r="E29" s="11"/>
      <c r="H29" s="60"/>
      <c r="N29" s="14"/>
      <c r="O29" s="14"/>
      <c r="P29" s="14"/>
    </row>
    <row r="30" spans="1:16" s="3" customFormat="1" x14ac:dyDescent="0.25">
      <c r="A30" s="10"/>
      <c r="B30" s="2"/>
      <c r="C30" s="2"/>
      <c r="E30" s="11"/>
      <c r="H30" s="60"/>
      <c r="N30" s="14"/>
      <c r="O30" s="14"/>
      <c r="P30" s="14"/>
    </row>
    <row r="31" spans="1:16" s="3" customFormat="1" x14ac:dyDescent="0.25">
      <c r="A31" s="10"/>
      <c r="B31" s="2"/>
      <c r="C31" s="2"/>
      <c r="E31" s="11"/>
      <c r="H31" s="60"/>
      <c r="N31" s="14"/>
      <c r="O31" s="14"/>
      <c r="P31" s="14"/>
    </row>
  </sheetData>
  <mergeCells count="3">
    <mergeCell ref="A11:L11"/>
    <mergeCell ref="O11:P11"/>
    <mergeCell ref="Q3:Q10"/>
  </mergeCells>
  <conditionalFormatting sqref="B3">
    <cfRule type="duplicateValues" dxfId="265" priority="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Q26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H9" sqref="H9"/>
    </sheetView>
  </sheetViews>
  <sheetFormatPr defaultRowHeight="15" x14ac:dyDescent="0.2"/>
  <cols>
    <col min="1" max="1" width="6.42578125" style="4" customWidth="1"/>
    <col min="2" max="2" width="18.5703125" style="2" customWidth="1"/>
    <col min="3" max="3" width="14.5703125" style="2" customWidth="1"/>
    <col min="4" max="4" width="9.28515625" style="3" customWidth="1"/>
    <col min="5" max="5" width="8.28515625" style="11" customWidth="1"/>
    <col min="6" max="6" width="13.85546875" style="3" customWidth="1"/>
    <col min="7" max="7" width="8" style="3" customWidth="1"/>
    <col min="8" max="8" width="16.140625" style="6" customWidth="1"/>
    <col min="9" max="11" width="3.7109375" style="3" customWidth="1"/>
    <col min="12" max="12" width="5" style="3" customWidth="1"/>
    <col min="13" max="13" width="8" style="3" customWidth="1"/>
    <col min="14" max="14" width="12.28515625" style="14" customWidth="1"/>
    <col min="15" max="15" width="8.140625" style="14" customWidth="1"/>
    <col min="16" max="16" width="10.7109375" style="14" customWidth="1"/>
    <col min="17" max="17" width="6.855468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8" t="s">
        <v>7</v>
      </c>
      <c r="C2" s="58" t="s">
        <v>0</v>
      </c>
      <c r="D2" s="58" t="s">
        <v>1</v>
      </c>
      <c r="E2" s="97" t="s">
        <v>4</v>
      </c>
      <c r="F2" s="58" t="s">
        <v>3</v>
      </c>
      <c r="G2" s="58" t="s">
        <v>5</v>
      </c>
      <c r="H2" s="97" t="s">
        <v>2</v>
      </c>
      <c r="I2" s="58" t="s">
        <v>39</v>
      </c>
      <c r="J2" s="58" t="s">
        <v>40</v>
      </c>
      <c r="K2" s="58" t="s">
        <v>41</v>
      </c>
      <c r="L2" s="58" t="s">
        <v>45</v>
      </c>
      <c r="M2" s="58" t="s">
        <v>46</v>
      </c>
      <c r="N2" s="58" t="s">
        <v>6</v>
      </c>
      <c r="O2" s="58" t="s">
        <v>47</v>
      </c>
      <c r="P2" s="58" t="s">
        <v>48</v>
      </c>
      <c r="Q2" s="58" t="s">
        <v>26</v>
      </c>
    </row>
    <row r="3" spans="1:17" ht="26.25" customHeight="1" x14ac:dyDescent="0.2">
      <c r="A3" s="80">
        <v>405844</v>
      </c>
      <c r="B3" s="80" t="s">
        <v>83</v>
      </c>
      <c r="C3" s="8" t="s">
        <v>84</v>
      </c>
      <c r="D3" s="73" t="s">
        <v>60</v>
      </c>
      <c r="E3" s="12">
        <v>44538</v>
      </c>
      <c r="F3" s="73" t="s">
        <v>61</v>
      </c>
      <c r="G3" s="12">
        <v>44556</v>
      </c>
      <c r="H3" s="9" t="s">
        <v>62</v>
      </c>
      <c r="I3" s="1">
        <v>80</v>
      </c>
      <c r="J3" s="1">
        <v>50</v>
      </c>
      <c r="K3" s="1">
        <v>39</v>
      </c>
      <c r="L3" s="1">
        <v>14</v>
      </c>
      <c r="M3" s="77">
        <v>39</v>
      </c>
      <c r="N3" s="7">
        <v>39</v>
      </c>
      <c r="O3" s="61">
        <v>14000</v>
      </c>
      <c r="P3" s="62">
        <f>Table224578910112345678[[#This Row],[PEMBULATAN]]*O3</f>
        <v>546000</v>
      </c>
      <c r="Q3" s="205">
        <v>3</v>
      </c>
    </row>
    <row r="4" spans="1:17" ht="26.25" customHeight="1" x14ac:dyDescent="0.2">
      <c r="A4" s="13"/>
      <c r="B4" s="13"/>
      <c r="C4" s="8" t="s">
        <v>85</v>
      </c>
      <c r="D4" s="73" t="s">
        <v>60</v>
      </c>
      <c r="E4" s="12">
        <v>44538</v>
      </c>
      <c r="F4" s="73" t="s">
        <v>61</v>
      </c>
      <c r="G4" s="12">
        <v>44556</v>
      </c>
      <c r="H4" s="9" t="s">
        <v>62</v>
      </c>
      <c r="I4" s="1">
        <v>80</v>
      </c>
      <c r="J4" s="1">
        <v>50</v>
      </c>
      <c r="K4" s="1">
        <v>39</v>
      </c>
      <c r="L4" s="1">
        <v>14</v>
      </c>
      <c r="M4" s="77">
        <v>39</v>
      </c>
      <c r="N4" s="7">
        <v>39</v>
      </c>
      <c r="O4" s="61">
        <v>14000</v>
      </c>
      <c r="P4" s="62">
        <f>Table224578910112345678[[#This Row],[PEMBULATAN]]*O4</f>
        <v>546000</v>
      </c>
      <c r="Q4" s="203"/>
    </row>
    <row r="5" spans="1:17" ht="26.25" customHeight="1" x14ac:dyDescent="0.2">
      <c r="A5" s="103"/>
      <c r="B5" s="103"/>
      <c r="C5" s="8" t="s">
        <v>86</v>
      </c>
      <c r="D5" s="73" t="s">
        <v>60</v>
      </c>
      <c r="E5" s="12">
        <v>44538</v>
      </c>
      <c r="F5" s="73" t="s">
        <v>61</v>
      </c>
      <c r="G5" s="12">
        <v>44556</v>
      </c>
      <c r="H5" s="9" t="s">
        <v>62</v>
      </c>
      <c r="I5" s="1">
        <v>80</v>
      </c>
      <c r="J5" s="1">
        <v>50</v>
      </c>
      <c r="K5" s="1">
        <v>39</v>
      </c>
      <c r="L5" s="1">
        <v>14</v>
      </c>
      <c r="M5" s="77">
        <v>39</v>
      </c>
      <c r="N5" s="7">
        <v>39</v>
      </c>
      <c r="O5" s="61">
        <v>14000</v>
      </c>
      <c r="P5" s="62">
        <f>Table224578910112345678[[#This Row],[PEMBULATAN]]*O5</f>
        <v>546000</v>
      </c>
      <c r="Q5" s="216"/>
    </row>
    <row r="6" spans="1:17" ht="22.5" customHeight="1" x14ac:dyDescent="0.2">
      <c r="A6" s="213" t="s">
        <v>30</v>
      </c>
      <c r="B6" s="208"/>
      <c r="C6" s="208"/>
      <c r="D6" s="208"/>
      <c r="E6" s="208"/>
      <c r="F6" s="208"/>
      <c r="G6" s="208"/>
      <c r="H6" s="208"/>
      <c r="I6" s="208"/>
      <c r="J6" s="208"/>
      <c r="K6" s="208"/>
      <c r="L6" s="209"/>
      <c r="M6" s="76">
        <f>SUBTOTAL(109,Table224578910112345678[KG VOLUME])</f>
        <v>117</v>
      </c>
      <c r="N6" s="65">
        <f>SUM(N3:N5)</f>
        <v>117</v>
      </c>
      <c r="O6" s="210">
        <f>SUM(P3:P5)</f>
        <v>1638000</v>
      </c>
      <c r="P6" s="211"/>
    </row>
    <row r="7" spans="1:17" ht="18" customHeight="1" x14ac:dyDescent="0.2">
      <c r="A7" s="83"/>
      <c r="B7" s="55" t="s">
        <v>42</v>
      </c>
      <c r="C7" s="54"/>
      <c r="D7" s="56" t="s">
        <v>43</v>
      </c>
      <c r="E7" s="83"/>
      <c r="F7" s="83"/>
      <c r="G7" s="83"/>
      <c r="H7" s="83"/>
      <c r="I7" s="83"/>
      <c r="J7" s="83"/>
      <c r="K7" s="83"/>
      <c r="L7" s="83"/>
      <c r="M7" s="84"/>
      <c r="N7" s="85" t="s">
        <v>51</v>
      </c>
      <c r="O7" s="86"/>
      <c r="P7" s="86">
        <f>O6*10%</f>
        <v>163800</v>
      </c>
    </row>
    <row r="8" spans="1:17" ht="18" customHeight="1" thickBot="1" x14ac:dyDescent="0.25">
      <c r="A8" s="83"/>
      <c r="B8" s="55"/>
      <c r="C8" s="54"/>
      <c r="D8" s="56"/>
      <c r="E8" s="83"/>
      <c r="F8" s="83"/>
      <c r="G8" s="83"/>
      <c r="H8" s="83"/>
      <c r="I8" s="83"/>
      <c r="J8" s="83"/>
      <c r="K8" s="83"/>
      <c r="L8" s="83"/>
      <c r="M8" s="84"/>
      <c r="N8" s="87" t="s">
        <v>52</v>
      </c>
      <c r="O8" s="88"/>
      <c r="P8" s="88">
        <f>O6-P7</f>
        <v>1474200</v>
      </c>
    </row>
    <row r="9" spans="1:17" ht="18" customHeight="1" x14ac:dyDescent="0.2">
      <c r="A9" s="10"/>
      <c r="H9" s="60"/>
      <c r="N9" s="59" t="s">
        <v>31</v>
      </c>
      <c r="P9" s="66">
        <f>P8*1%</f>
        <v>14742</v>
      </c>
    </row>
    <row r="10" spans="1:17" ht="18" customHeight="1" thickBot="1" x14ac:dyDescent="0.25">
      <c r="A10" s="10"/>
      <c r="H10" s="60"/>
      <c r="N10" s="59" t="s">
        <v>53</v>
      </c>
      <c r="P10" s="68">
        <f>P8*2%</f>
        <v>29484</v>
      </c>
    </row>
    <row r="11" spans="1:17" ht="18" customHeight="1" x14ac:dyDescent="0.2">
      <c r="A11" s="10"/>
      <c r="H11" s="60"/>
      <c r="N11" s="63" t="s">
        <v>32</v>
      </c>
      <c r="O11" s="64"/>
      <c r="P11" s="67">
        <f>P8+P9-P10</f>
        <v>1459458</v>
      </c>
    </row>
    <row r="13" spans="1:17" x14ac:dyDescent="0.2">
      <c r="A13" s="10"/>
      <c r="H13" s="60"/>
      <c r="P13" s="68"/>
    </row>
    <row r="14" spans="1:17" x14ac:dyDescent="0.2">
      <c r="A14" s="10"/>
      <c r="H14" s="60"/>
      <c r="O14" s="57"/>
      <c r="P14" s="68"/>
    </row>
    <row r="15" spans="1:17" s="3" customFormat="1" x14ac:dyDescent="0.25">
      <c r="A15" s="10"/>
      <c r="B15" s="2"/>
      <c r="C15" s="2"/>
      <c r="E15" s="11"/>
      <c r="H15" s="60"/>
      <c r="N15" s="14"/>
      <c r="O15" s="14"/>
      <c r="P15" s="14"/>
    </row>
    <row r="16" spans="1:17" s="3" customFormat="1" x14ac:dyDescent="0.25">
      <c r="A16" s="10"/>
      <c r="B16" s="2"/>
      <c r="C16" s="2"/>
      <c r="E16" s="11"/>
      <c r="H16" s="60"/>
      <c r="N16" s="14"/>
      <c r="O16" s="14"/>
      <c r="P16" s="14"/>
    </row>
    <row r="17" spans="1:16" s="3" customFormat="1" x14ac:dyDescent="0.25">
      <c r="A17" s="10"/>
      <c r="B17" s="2"/>
      <c r="C17" s="2"/>
      <c r="E17" s="11"/>
      <c r="H17" s="60"/>
      <c r="N17" s="14"/>
      <c r="O17" s="14"/>
      <c r="P17" s="14"/>
    </row>
    <row r="18" spans="1:16" s="3" customFormat="1" x14ac:dyDescent="0.25">
      <c r="A18" s="10"/>
      <c r="B18" s="2"/>
      <c r="C18" s="2"/>
      <c r="E18" s="11"/>
      <c r="H18" s="60"/>
      <c r="N18" s="14"/>
      <c r="O18" s="14"/>
      <c r="P18" s="14"/>
    </row>
    <row r="19" spans="1:16" s="3" customFormat="1" x14ac:dyDescent="0.25">
      <c r="A19" s="10"/>
      <c r="B19" s="2"/>
      <c r="C19" s="2"/>
      <c r="E19" s="11"/>
      <c r="H19" s="60"/>
      <c r="N19" s="14"/>
      <c r="O19" s="14"/>
      <c r="P19" s="14"/>
    </row>
    <row r="20" spans="1:16" s="3" customFormat="1" x14ac:dyDescent="0.25">
      <c r="A20" s="10"/>
      <c r="B20" s="2"/>
      <c r="C20" s="2"/>
      <c r="E20" s="11"/>
      <c r="H20" s="60"/>
      <c r="N20" s="14"/>
      <c r="O20" s="14"/>
      <c r="P20" s="14"/>
    </row>
    <row r="21" spans="1:16" s="3" customFormat="1" x14ac:dyDescent="0.25">
      <c r="A21" s="10"/>
      <c r="B21" s="2"/>
      <c r="C21" s="2"/>
      <c r="E21" s="11"/>
      <c r="H21" s="60"/>
      <c r="N21" s="14"/>
      <c r="O21" s="14"/>
      <c r="P21" s="14"/>
    </row>
    <row r="22" spans="1:16" s="3" customFormat="1" x14ac:dyDescent="0.25">
      <c r="A22" s="10"/>
      <c r="B22" s="2"/>
      <c r="C22" s="2"/>
      <c r="E22" s="11"/>
      <c r="H22" s="60"/>
      <c r="N22" s="14"/>
      <c r="O22" s="14"/>
      <c r="P22" s="14"/>
    </row>
    <row r="23" spans="1:16" s="3" customFormat="1" x14ac:dyDescent="0.25">
      <c r="A23" s="10"/>
      <c r="B23" s="2"/>
      <c r="C23" s="2"/>
      <c r="E23" s="11"/>
      <c r="H23" s="60"/>
      <c r="N23" s="14"/>
      <c r="O23" s="14"/>
      <c r="P23" s="14"/>
    </row>
    <row r="24" spans="1:16" s="3" customFormat="1" x14ac:dyDescent="0.25">
      <c r="A24" s="10"/>
      <c r="B24" s="2"/>
      <c r="C24" s="2"/>
      <c r="E24" s="11"/>
      <c r="H24" s="60"/>
      <c r="N24" s="14"/>
      <c r="O24" s="14"/>
      <c r="P24" s="14"/>
    </row>
    <row r="25" spans="1:16" s="3" customFormat="1" x14ac:dyDescent="0.25">
      <c r="A25" s="10"/>
      <c r="B25" s="2"/>
      <c r="C25" s="2"/>
      <c r="E25" s="11"/>
      <c r="H25" s="60"/>
      <c r="N25" s="14"/>
      <c r="O25" s="14"/>
      <c r="P25" s="14"/>
    </row>
    <row r="26" spans="1:16" s="3" customFormat="1" x14ac:dyDescent="0.25">
      <c r="A26" s="10"/>
      <c r="B26" s="2"/>
      <c r="C26" s="2"/>
      <c r="E26" s="11"/>
      <c r="H26" s="60"/>
      <c r="N26" s="14"/>
      <c r="O26" s="14"/>
      <c r="P26" s="14"/>
    </row>
  </sheetData>
  <mergeCells count="3">
    <mergeCell ref="A6:L6"/>
    <mergeCell ref="O6:P6"/>
    <mergeCell ref="Q3:Q5"/>
  </mergeCells>
  <conditionalFormatting sqref="B3">
    <cfRule type="duplicateValues" dxfId="249" priority="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S30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H7" sqref="H7"/>
    </sheetView>
  </sheetViews>
  <sheetFormatPr defaultRowHeight="15" x14ac:dyDescent="0.2"/>
  <cols>
    <col min="1" max="1" width="6.42578125" style="4" customWidth="1"/>
    <col min="2" max="2" width="19.85546875" style="2" customWidth="1"/>
    <col min="3" max="3" width="14.5703125" style="2" customWidth="1"/>
    <col min="4" max="4" width="9.5703125" style="3" customWidth="1"/>
    <col min="5" max="5" width="7.42578125" style="11" customWidth="1"/>
    <col min="6" max="6" width="14.7109375" style="3" customWidth="1"/>
    <col min="7" max="7" width="10.28515625" style="3" customWidth="1"/>
    <col min="8" max="8" width="15.7109375" style="6" customWidth="1"/>
    <col min="9" max="11" width="4.42578125" style="3" customWidth="1"/>
    <col min="12" max="12" width="4.28515625" style="3" customWidth="1"/>
    <col min="13" max="13" width="7.85546875" style="3" customWidth="1"/>
    <col min="14" max="14" width="12.28515625" style="14" customWidth="1"/>
    <col min="15" max="15" width="8.140625" style="14" customWidth="1"/>
    <col min="16" max="16" width="10.85546875" style="14" customWidth="1"/>
    <col min="17" max="17" width="6.85546875" style="4" customWidth="1"/>
    <col min="18" max="16384" width="9.140625" style="4"/>
  </cols>
  <sheetData>
    <row r="1" spans="1:19" x14ac:dyDescent="0.2">
      <c r="H1" s="5"/>
    </row>
    <row r="2" spans="1:19" ht="25.5" x14ac:dyDescent="0.2">
      <c r="A2" s="93" t="s">
        <v>44</v>
      </c>
      <c r="B2" s="58" t="s">
        <v>7</v>
      </c>
      <c r="C2" s="58" t="s">
        <v>0</v>
      </c>
      <c r="D2" s="58" t="s">
        <v>1</v>
      </c>
      <c r="E2" s="97" t="s">
        <v>4</v>
      </c>
      <c r="F2" s="58" t="s">
        <v>3</v>
      </c>
      <c r="G2" s="58" t="s">
        <v>5</v>
      </c>
      <c r="H2" s="97" t="s">
        <v>2</v>
      </c>
      <c r="I2" s="58" t="s">
        <v>39</v>
      </c>
      <c r="J2" s="58" t="s">
        <v>40</v>
      </c>
      <c r="K2" s="58" t="s">
        <v>41</v>
      </c>
      <c r="L2" s="58" t="s">
        <v>45</v>
      </c>
      <c r="M2" s="58" t="s">
        <v>46</v>
      </c>
      <c r="N2" s="58" t="s">
        <v>6</v>
      </c>
      <c r="O2" s="58" t="s">
        <v>47</v>
      </c>
      <c r="P2" s="58" t="s">
        <v>48</v>
      </c>
      <c r="Q2" s="95" t="s">
        <v>26</v>
      </c>
      <c r="R2" s="96"/>
      <c r="S2" s="96"/>
    </row>
    <row r="3" spans="1:19" ht="26.25" customHeight="1" x14ac:dyDescent="0.2">
      <c r="A3" s="80">
        <v>406458</v>
      </c>
      <c r="B3" s="80" t="s">
        <v>87</v>
      </c>
      <c r="C3" s="8" t="s">
        <v>88</v>
      </c>
      <c r="D3" s="73" t="s">
        <v>60</v>
      </c>
      <c r="E3" s="12">
        <v>44540</v>
      </c>
      <c r="F3" s="73" t="s">
        <v>61</v>
      </c>
      <c r="G3" s="12">
        <v>44556</v>
      </c>
      <c r="H3" s="9" t="s">
        <v>62</v>
      </c>
      <c r="I3" s="1">
        <v>49</v>
      </c>
      <c r="J3" s="1">
        <v>60</v>
      </c>
      <c r="K3" s="1">
        <v>73</v>
      </c>
      <c r="L3" s="1">
        <v>17</v>
      </c>
      <c r="M3" s="77">
        <v>53.655000000000001</v>
      </c>
      <c r="N3" s="94">
        <v>53.655000000000001</v>
      </c>
      <c r="O3" s="61">
        <v>14000</v>
      </c>
      <c r="P3" s="62">
        <f>Table2245789101123456789[[#This Row],[PEMBULATAN]]*O3</f>
        <v>751170</v>
      </c>
      <c r="Q3" s="194">
        <v>7</v>
      </c>
      <c r="R3" s="96"/>
      <c r="S3" s="96"/>
    </row>
    <row r="4" spans="1:19" ht="26.25" customHeight="1" x14ac:dyDescent="0.2">
      <c r="A4" s="13"/>
      <c r="B4" s="13"/>
      <c r="C4" s="8" t="s">
        <v>89</v>
      </c>
      <c r="D4" s="73" t="s">
        <v>60</v>
      </c>
      <c r="E4" s="12">
        <v>44540</v>
      </c>
      <c r="F4" s="73" t="s">
        <v>61</v>
      </c>
      <c r="G4" s="12">
        <v>44556</v>
      </c>
      <c r="H4" s="9" t="s">
        <v>62</v>
      </c>
      <c r="I4" s="1">
        <v>49</v>
      </c>
      <c r="J4" s="1">
        <v>60</v>
      </c>
      <c r="K4" s="1">
        <v>73</v>
      </c>
      <c r="L4" s="1">
        <v>17</v>
      </c>
      <c r="M4" s="77">
        <v>53.655000000000001</v>
      </c>
      <c r="N4" s="94">
        <v>53.655000000000001</v>
      </c>
      <c r="O4" s="61">
        <v>14000</v>
      </c>
      <c r="P4" s="62">
        <f>Table2245789101123456789[[#This Row],[PEMBULATAN]]*O4</f>
        <v>751170</v>
      </c>
      <c r="Q4" s="194"/>
      <c r="R4" s="96"/>
      <c r="S4" s="96"/>
    </row>
    <row r="5" spans="1:19" ht="26.25" customHeight="1" x14ac:dyDescent="0.2">
      <c r="A5" s="13"/>
      <c r="B5" s="13"/>
      <c r="C5" s="8" t="s">
        <v>90</v>
      </c>
      <c r="D5" s="73" t="s">
        <v>60</v>
      </c>
      <c r="E5" s="12">
        <v>44540</v>
      </c>
      <c r="F5" s="73" t="s">
        <v>61</v>
      </c>
      <c r="G5" s="12">
        <v>44556</v>
      </c>
      <c r="H5" s="9" t="s">
        <v>62</v>
      </c>
      <c r="I5" s="1">
        <v>49</v>
      </c>
      <c r="J5" s="1">
        <v>60</v>
      </c>
      <c r="K5" s="1">
        <v>73</v>
      </c>
      <c r="L5" s="1">
        <v>17</v>
      </c>
      <c r="M5" s="77">
        <v>53.655000000000001</v>
      </c>
      <c r="N5" s="94">
        <v>53.655000000000001</v>
      </c>
      <c r="O5" s="61">
        <v>14000</v>
      </c>
      <c r="P5" s="62">
        <f>Table2245789101123456789[[#This Row],[PEMBULATAN]]*O5</f>
        <v>751170</v>
      </c>
      <c r="Q5" s="194"/>
      <c r="R5" s="96"/>
      <c r="S5" s="96"/>
    </row>
    <row r="6" spans="1:19" ht="26.25" customHeight="1" x14ac:dyDescent="0.2">
      <c r="A6" s="13"/>
      <c r="B6" s="13"/>
      <c r="C6" s="70" t="s">
        <v>91</v>
      </c>
      <c r="D6" s="75" t="s">
        <v>60</v>
      </c>
      <c r="E6" s="12">
        <v>44540</v>
      </c>
      <c r="F6" s="73" t="s">
        <v>61</v>
      </c>
      <c r="G6" s="12">
        <v>44556</v>
      </c>
      <c r="H6" s="74" t="s">
        <v>62</v>
      </c>
      <c r="I6" s="15">
        <v>49</v>
      </c>
      <c r="J6" s="15">
        <v>60</v>
      </c>
      <c r="K6" s="15">
        <v>73</v>
      </c>
      <c r="L6" s="15">
        <v>17</v>
      </c>
      <c r="M6" s="78">
        <v>53.655000000000001</v>
      </c>
      <c r="N6" s="94">
        <v>53.655000000000001</v>
      </c>
      <c r="O6" s="61">
        <v>14000</v>
      </c>
      <c r="P6" s="62">
        <f>Table2245789101123456789[[#This Row],[PEMBULATAN]]*O6</f>
        <v>751170</v>
      </c>
      <c r="Q6" s="194"/>
      <c r="R6" s="96"/>
      <c r="S6" s="96"/>
    </row>
    <row r="7" spans="1:19" ht="26.25" customHeight="1" x14ac:dyDescent="0.2">
      <c r="A7" s="13"/>
      <c r="B7" s="13"/>
      <c r="C7" s="70" t="s">
        <v>92</v>
      </c>
      <c r="D7" s="75" t="s">
        <v>60</v>
      </c>
      <c r="E7" s="12">
        <v>44540</v>
      </c>
      <c r="F7" s="73" t="s">
        <v>61</v>
      </c>
      <c r="G7" s="12">
        <v>44556</v>
      </c>
      <c r="H7" s="74" t="s">
        <v>62</v>
      </c>
      <c r="I7" s="15">
        <v>49</v>
      </c>
      <c r="J7" s="15">
        <v>60</v>
      </c>
      <c r="K7" s="15">
        <v>73</v>
      </c>
      <c r="L7" s="15">
        <v>17</v>
      </c>
      <c r="M7" s="78">
        <v>53.655000000000001</v>
      </c>
      <c r="N7" s="94">
        <v>53.655000000000001</v>
      </c>
      <c r="O7" s="61">
        <v>14000</v>
      </c>
      <c r="P7" s="62">
        <f>Table2245789101123456789[[#This Row],[PEMBULATAN]]*O7</f>
        <v>751170</v>
      </c>
      <c r="Q7" s="194"/>
    </row>
    <row r="8" spans="1:19" ht="26.25" customHeight="1" x14ac:dyDescent="0.2">
      <c r="A8" s="13"/>
      <c r="B8" s="103"/>
      <c r="C8" s="70" t="s">
        <v>93</v>
      </c>
      <c r="D8" s="75" t="s">
        <v>60</v>
      </c>
      <c r="E8" s="12">
        <v>44540</v>
      </c>
      <c r="F8" s="73" t="s">
        <v>61</v>
      </c>
      <c r="G8" s="12">
        <v>44556</v>
      </c>
      <c r="H8" s="74" t="s">
        <v>62</v>
      </c>
      <c r="I8" s="15">
        <v>49</v>
      </c>
      <c r="J8" s="15">
        <v>59</v>
      </c>
      <c r="K8" s="15">
        <v>72</v>
      </c>
      <c r="L8" s="15">
        <v>18</v>
      </c>
      <c r="M8" s="78">
        <v>52.037999999999997</v>
      </c>
      <c r="N8" s="94">
        <v>52.037999999999997</v>
      </c>
      <c r="O8" s="61">
        <v>14000</v>
      </c>
      <c r="P8" s="62">
        <f>Table2245789101123456789[[#This Row],[PEMBULATAN]]*O8</f>
        <v>728532</v>
      </c>
      <c r="Q8" s="194"/>
    </row>
    <row r="9" spans="1:19" ht="26.25" customHeight="1" x14ac:dyDescent="0.2">
      <c r="A9" s="103"/>
      <c r="B9" s="109" t="s">
        <v>94</v>
      </c>
      <c r="C9" s="70" t="s">
        <v>95</v>
      </c>
      <c r="D9" s="75" t="s">
        <v>60</v>
      </c>
      <c r="E9" s="12">
        <v>44540</v>
      </c>
      <c r="F9" s="73" t="s">
        <v>61</v>
      </c>
      <c r="G9" s="12">
        <v>44556</v>
      </c>
      <c r="H9" s="74" t="s">
        <v>62</v>
      </c>
      <c r="I9" s="15">
        <v>49</v>
      </c>
      <c r="J9" s="15">
        <v>59</v>
      </c>
      <c r="K9" s="15">
        <v>72</v>
      </c>
      <c r="L9" s="15">
        <v>18</v>
      </c>
      <c r="M9" s="78">
        <v>52.037999999999997</v>
      </c>
      <c r="N9" s="94">
        <v>52.037999999999997</v>
      </c>
      <c r="O9" s="61">
        <v>14000</v>
      </c>
      <c r="P9" s="62">
        <f>Table2245789101123456789[[#This Row],[PEMBULATAN]]*O9</f>
        <v>728532</v>
      </c>
      <c r="Q9" s="194"/>
    </row>
    <row r="10" spans="1:19" ht="22.5" customHeight="1" x14ac:dyDescent="0.2">
      <c r="A10" s="213" t="s">
        <v>30</v>
      </c>
      <c r="B10" s="208"/>
      <c r="C10" s="208"/>
      <c r="D10" s="208"/>
      <c r="E10" s="208"/>
      <c r="F10" s="208"/>
      <c r="G10" s="208"/>
      <c r="H10" s="208"/>
      <c r="I10" s="208"/>
      <c r="J10" s="208"/>
      <c r="K10" s="208"/>
      <c r="L10" s="209"/>
      <c r="M10" s="76">
        <f>SUBTOTAL(109,Table2245789101123456789[KG VOLUME])</f>
        <v>372.351</v>
      </c>
      <c r="N10" s="65">
        <f>SUM(N3:N9)</f>
        <v>372.351</v>
      </c>
      <c r="O10" s="210">
        <f>SUM(P3:P9)</f>
        <v>5212914</v>
      </c>
      <c r="P10" s="211"/>
    </row>
    <row r="11" spans="1:19" ht="18" customHeight="1" x14ac:dyDescent="0.2">
      <c r="A11" s="83"/>
      <c r="B11" s="55" t="s">
        <v>42</v>
      </c>
      <c r="C11" s="54"/>
      <c r="D11" s="56" t="s">
        <v>43</v>
      </c>
      <c r="E11" s="83"/>
      <c r="F11" s="83"/>
      <c r="G11" s="83"/>
      <c r="H11" s="83"/>
      <c r="I11" s="83"/>
      <c r="J11" s="83"/>
      <c r="K11" s="83"/>
      <c r="L11" s="83"/>
      <c r="M11" s="84"/>
      <c r="N11" s="85" t="s">
        <v>51</v>
      </c>
      <c r="O11" s="86"/>
      <c r="P11" s="86">
        <f>O10*10%</f>
        <v>521291.4</v>
      </c>
    </row>
    <row r="12" spans="1:19" ht="18" customHeight="1" thickBot="1" x14ac:dyDescent="0.25">
      <c r="A12" s="83"/>
      <c r="B12" s="55"/>
      <c r="C12" s="54"/>
      <c r="D12" s="56"/>
      <c r="E12" s="83"/>
      <c r="F12" s="83"/>
      <c r="G12" s="83"/>
      <c r="H12" s="83"/>
      <c r="I12" s="83"/>
      <c r="J12" s="83"/>
      <c r="K12" s="83"/>
      <c r="L12" s="83"/>
      <c r="M12" s="84"/>
      <c r="N12" s="87" t="s">
        <v>52</v>
      </c>
      <c r="O12" s="88"/>
      <c r="P12" s="88">
        <f>O10-P11</f>
        <v>4691622.5999999996</v>
      </c>
    </row>
    <row r="13" spans="1:19" ht="18" customHeight="1" x14ac:dyDescent="0.2">
      <c r="A13" s="10"/>
      <c r="H13" s="60"/>
      <c r="N13" s="59" t="s">
        <v>31</v>
      </c>
      <c r="P13" s="66">
        <f>P12*1%</f>
        <v>46916.225999999995</v>
      </c>
    </row>
    <row r="14" spans="1:19" ht="18" customHeight="1" thickBot="1" x14ac:dyDescent="0.25">
      <c r="A14" s="10"/>
      <c r="H14" s="60"/>
      <c r="N14" s="59" t="s">
        <v>53</v>
      </c>
      <c r="P14" s="68">
        <f>P12*2%</f>
        <v>93832.45199999999</v>
      </c>
    </row>
    <row r="15" spans="1:19" ht="18" customHeight="1" x14ac:dyDescent="0.2">
      <c r="A15" s="10"/>
      <c r="H15" s="60"/>
      <c r="N15" s="63" t="s">
        <v>32</v>
      </c>
      <c r="O15" s="64"/>
      <c r="P15" s="67">
        <f>P12+P13-P14</f>
        <v>4644706.3739999998</v>
      </c>
    </row>
    <row r="17" spans="1:16" x14ac:dyDescent="0.2">
      <c r="A17" s="10"/>
      <c r="H17" s="60"/>
      <c r="P17" s="68"/>
    </row>
    <row r="18" spans="1:16" x14ac:dyDescent="0.2">
      <c r="A18" s="10"/>
      <c r="H18" s="60"/>
      <c r="O18" s="57"/>
      <c r="P18" s="68"/>
    </row>
    <row r="19" spans="1:16" s="3" customFormat="1" x14ac:dyDescent="0.25">
      <c r="A19" s="10"/>
      <c r="B19" s="2"/>
      <c r="C19" s="2"/>
      <c r="E19" s="11"/>
      <c r="H19" s="60"/>
      <c r="N19" s="14"/>
      <c r="O19" s="14"/>
      <c r="P19" s="14"/>
    </row>
    <row r="20" spans="1:16" s="3" customFormat="1" x14ac:dyDescent="0.25">
      <c r="A20" s="10"/>
      <c r="B20" s="2"/>
      <c r="C20" s="2"/>
      <c r="E20" s="11"/>
      <c r="H20" s="60"/>
      <c r="N20" s="14"/>
      <c r="O20" s="14"/>
      <c r="P20" s="14"/>
    </row>
    <row r="21" spans="1:16" s="3" customFormat="1" x14ac:dyDescent="0.25">
      <c r="A21" s="10"/>
      <c r="B21" s="2"/>
      <c r="C21" s="2"/>
      <c r="E21" s="11"/>
      <c r="H21" s="60"/>
      <c r="N21" s="14"/>
      <c r="O21" s="14"/>
      <c r="P21" s="14"/>
    </row>
    <row r="22" spans="1:16" s="3" customFormat="1" x14ac:dyDescent="0.25">
      <c r="A22" s="10"/>
      <c r="B22" s="2"/>
      <c r="C22" s="2"/>
      <c r="E22" s="11"/>
      <c r="H22" s="60"/>
      <c r="N22" s="14"/>
      <c r="O22" s="14"/>
      <c r="P22" s="14"/>
    </row>
    <row r="23" spans="1:16" s="3" customFormat="1" x14ac:dyDescent="0.25">
      <c r="A23" s="10"/>
      <c r="B23" s="2"/>
      <c r="C23" s="2"/>
      <c r="E23" s="11"/>
      <c r="H23" s="60"/>
      <c r="N23" s="14"/>
      <c r="O23" s="14"/>
      <c r="P23" s="14"/>
    </row>
    <row r="24" spans="1:16" s="3" customFormat="1" x14ac:dyDescent="0.25">
      <c r="A24" s="10"/>
      <c r="B24" s="2"/>
      <c r="C24" s="2"/>
      <c r="E24" s="11"/>
      <c r="H24" s="60"/>
      <c r="N24" s="14"/>
      <c r="O24" s="14"/>
      <c r="P24" s="14"/>
    </row>
    <row r="25" spans="1:16" s="3" customFormat="1" x14ac:dyDescent="0.25">
      <c r="A25" s="10"/>
      <c r="B25" s="2"/>
      <c r="C25" s="2"/>
      <c r="E25" s="11"/>
      <c r="H25" s="60"/>
      <c r="N25" s="14"/>
      <c r="O25" s="14"/>
      <c r="P25" s="14"/>
    </row>
    <row r="26" spans="1:16" s="3" customFormat="1" x14ac:dyDescent="0.25">
      <c r="A26" s="10"/>
      <c r="B26" s="2"/>
      <c r="C26" s="2"/>
      <c r="E26" s="11"/>
      <c r="H26" s="60"/>
      <c r="N26" s="14"/>
      <c r="O26" s="14"/>
      <c r="P26" s="14"/>
    </row>
    <row r="27" spans="1:16" s="3" customFormat="1" x14ac:dyDescent="0.25">
      <c r="A27" s="10"/>
      <c r="B27" s="2"/>
      <c r="C27" s="2"/>
      <c r="E27" s="11"/>
      <c r="H27" s="60"/>
      <c r="N27" s="14"/>
      <c r="O27" s="14"/>
      <c r="P27" s="14"/>
    </row>
    <row r="28" spans="1:16" s="3" customFormat="1" x14ac:dyDescent="0.25">
      <c r="A28" s="10"/>
      <c r="B28" s="2"/>
      <c r="C28" s="2"/>
      <c r="E28" s="11"/>
      <c r="H28" s="60"/>
      <c r="N28" s="14"/>
      <c r="O28" s="14"/>
      <c r="P28" s="14"/>
    </row>
    <row r="29" spans="1:16" s="3" customFormat="1" x14ac:dyDescent="0.25">
      <c r="A29" s="10"/>
      <c r="B29" s="2"/>
      <c r="C29" s="2"/>
      <c r="E29" s="11"/>
      <c r="H29" s="60"/>
      <c r="N29" s="14"/>
      <c r="O29" s="14"/>
      <c r="P29" s="14"/>
    </row>
    <row r="30" spans="1:16" s="3" customFormat="1" x14ac:dyDescent="0.25">
      <c r="A30" s="10"/>
      <c r="B30" s="2"/>
      <c r="C30" s="2"/>
      <c r="E30" s="11"/>
      <c r="H30" s="60"/>
      <c r="N30" s="14"/>
      <c r="O30" s="14"/>
      <c r="P30" s="14"/>
    </row>
  </sheetData>
  <mergeCells count="3">
    <mergeCell ref="A10:L10"/>
    <mergeCell ref="O10:P10"/>
    <mergeCell ref="Q3:Q9"/>
  </mergeCells>
  <conditionalFormatting sqref="B3">
    <cfRule type="duplicateValues" dxfId="233" priority="2"/>
  </conditionalFormatting>
  <conditionalFormatting sqref="B9">
    <cfRule type="duplicateValues" dxfId="232" priority="7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Q33"/>
  <sheetViews>
    <sheetView zoomScale="110" zoomScaleNormal="110" workbookViewId="0">
      <pane xSplit="3" ySplit="2" topLeftCell="D6" activePane="bottomRight" state="frozen"/>
      <selection pane="topRight" activeCell="B1" sqref="B1"/>
      <selection pane="bottomLeft" activeCell="A3" sqref="A3"/>
      <selection pane="bottomRight" activeCell="I5" sqref="I5"/>
    </sheetView>
  </sheetViews>
  <sheetFormatPr defaultRowHeight="15" x14ac:dyDescent="0.2"/>
  <cols>
    <col min="1" max="1" width="6.42578125" style="4" customWidth="1"/>
    <col min="2" max="2" width="19.5703125" style="2" customWidth="1"/>
    <col min="3" max="3" width="14.5703125" style="2" customWidth="1"/>
    <col min="4" max="4" width="9.140625" style="3" customWidth="1"/>
    <col min="5" max="5" width="7.5703125" style="11" customWidth="1"/>
    <col min="6" max="6" width="13.140625" style="3" customWidth="1"/>
    <col min="7" max="7" width="9.28515625" style="3" customWidth="1"/>
    <col min="8" max="8" width="15.85546875" style="6" customWidth="1"/>
    <col min="9" max="12" width="4.42578125" style="3" customWidth="1"/>
    <col min="13" max="13" width="8" style="3" customWidth="1"/>
    <col min="14" max="14" width="12.28515625" style="14" customWidth="1"/>
    <col min="15" max="15" width="7.85546875" style="14" customWidth="1"/>
    <col min="16" max="16" width="11.28515625" style="14" customWidth="1"/>
    <col min="17" max="17" width="6.855468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8" t="s">
        <v>7</v>
      </c>
      <c r="C2" s="58" t="s">
        <v>0</v>
      </c>
      <c r="D2" s="58" t="s">
        <v>1</v>
      </c>
      <c r="E2" s="97" t="s">
        <v>4</v>
      </c>
      <c r="F2" s="58" t="s">
        <v>3</v>
      </c>
      <c r="G2" s="58" t="s">
        <v>5</v>
      </c>
      <c r="H2" s="97" t="s">
        <v>2</v>
      </c>
      <c r="I2" s="58" t="s">
        <v>39</v>
      </c>
      <c r="J2" s="58" t="s">
        <v>40</v>
      </c>
      <c r="K2" s="58" t="s">
        <v>41</v>
      </c>
      <c r="L2" s="58" t="s">
        <v>45</v>
      </c>
      <c r="M2" s="58" t="s">
        <v>46</v>
      </c>
      <c r="N2" s="58" t="s">
        <v>6</v>
      </c>
      <c r="O2" s="58" t="s">
        <v>47</v>
      </c>
      <c r="P2" s="58" t="s">
        <v>48</v>
      </c>
      <c r="Q2" s="58" t="s">
        <v>26</v>
      </c>
    </row>
    <row r="3" spans="1:17" ht="26.25" customHeight="1" x14ac:dyDescent="0.2">
      <c r="A3" s="80">
        <v>406465</v>
      </c>
      <c r="B3" s="80" t="s">
        <v>96</v>
      </c>
      <c r="C3" s="8" t="s">
        <v>97</v>
      </c>
      <c r="D3" s="73" t="s">
        <v>60</v>
      </c>
      <c r="E3" s="12">
        <v>44541</v>
      </c>
      <c r="F3" s="73" t="s">
        <v>61</v>
      </c>
      <c r="G3" s="12">
        <v>44556</v>
      </c>
      <c r="H3" s="9" t="s">
        <v>62</v>
      </c>
      <c r="I3" s="1">
        <v>65</v>
      </c>
      <c r="J3" s="1">
        <v>46</v>
      </c>
      <c r="K3" s="1">
        <v>21</v>
      </c>
      <c r="L3" s="1">
        <v>16</v>
      </c>
      <c r="M3" s="77">
        <v>15.6975</v>
      </c>
      <c r="N3" s="7">
        <v>16</v>
      </c>
      <c r="O3" s="61">
        <v>7000</v>
      </c>
      <c r="P3" s="62">
        <f>Table224578910112345678910[[#This Row],[PEMBULATAN]]*O3</f>
        <v>112000</v>
      </c>
      <c r="Q3" s="194">
        <v>10</v>
      </c>
    </row>
    <row r="4" spans="1:17" ht="26.25" customHeight="1" x14ac:dyDescent="0.2">
      <c r="A4" s="13"/>
      <c r="B4" s="13"/>
      <c r="C4" s="8" t="s">
        <v>98</v>
      </c>
      <c r="D4" s="73" t="s">
        <v>60</v>
      </c>
      <c r="E4" s="12">
        <v>44541</v>
      </c>
      <c r="F4" s="73" t="s">
        <v>61</v>
      </c>
      <c r="G4" s="12">
        <v>44556</v>
      </c>
      <c r="H4" s="9" t="s">
        <v>62</v>
      </c>
      <c r="I4" s="1">
        <v>65</v>
      </c>
      <c r="J4" s="1">
        <v>46</v>
      </c>
      <c r="K4" s="1">
        <v>21</v>
      </c>
      <c r="L4" s="1">
        <v>16</v>
      </c>
      <c r="M4" s="77">
        <v>15.6975</v>
      </c>
      <c r="N4" s="7">
        <v>16</v>
      </c>
      <c r="O4" s="61">
        <v>7000</v>
      </c>
      <c r="P4" s="62">
        <f>Table224578910112345678910[[#This Row],[PEMBULATAN]]*O4</f>
        <v>112000</v>
      </c>
      <c r="Q4" s="194"/>
    </row>
    <row r="5" spans="1:17" ht="26.25" customHeight="1" x14ac:dyDescent="0.2">
      <c r="A5" s="13"/>
      <c r="B5" s="13"/>
      <c r="C5" s="8" t="s">
        <v>99</v>
      </c>
      <c r="D5" s="73" t="s">
        <v>60</v>
      </c>
      <c r="E5" s="12">
        <v>44541</v>
      </c>
      <c r="F5" s="73" t="s">
        <v>61</v>
      </c>
      <c r="G5" s="12">
        <v>44556</v>
      </c>
      <c r="H5" s="9" t="s">
        <v>62</v>
      </c>
      <c r="I5" s="1">
        <v>65</v>
      </c>
      <c r="J5" s="1">
        <v>46</v>
      </c>
      <c r="K5" s="1">
        <v>21</v>
      </c>
      <c r="L5" s="1">
        <v>16</v>
      </c>
      <c r="M5" s="77">
        <v>15.6975</v>
      </c>
      <c r="N5" s="7">
        <v>16</v>
      </c>
      <c r="O5" s="61">
        <v>7000</v>
      </c>
      <c r="P5" s="62">
        <f>Table224578910112345678910[[#This Row],[PEMBULATAN]]*O5</f>
        <v>112000</v>
      </c>
      <c r="Q5" s="194"/>
    </row>
    <row r="6" spans="1:17" ht="26.25" customHeight="1" x14ac:dyDescent="0.2">
      <c r="A6" s="13"/>
      <c r="B6" s="13"/>
      <c r="C6" s="70" t="s">
        <v>100</v>
      </c>
      <c r="D6" s="75" t="s">
        <v>60</v>
      </c>
      <c r="E6" s="12">
        <v>44541</v>
      </c>
      <c r="F6" s="73" t="s">
        <v>61</v>
      </c>
      <c r="G6" s="12">
        <v>44556</v>
      </c>
      <c r="H6" s="74" t="s">
        <v>62</v>
      </c>
      <c r="I6" s="15">
        <v>65</v>
      </c>
      <c r="J6" s="15">
        <v>46</v>
      </c>
      <c r="K6" s="15">
        <v>21</v>
      </c>
      <c r="L6" s="15">
        <v>16</v>
      </c>
      <c r="M6" s="78">
        <v>15.6975</v>
      </c>
      <c r="N6" s="69">
        <v>16</v>
      </c>
      <c r="O6" s="61">
        <v>7000</v>
      </c>
      <c r="P6" s="62">
        <f>Table224578910112345678910[[#This Row],[PEMBULATAN]]*O6</f>
        <v>112000</v>
      </c>
      <c r="Q6" s="194"/>
    </row>
    <row r="7" spans="1:17" ht="26.25" customHeight="1" x14ac:dyDescent="0.2">
      <c r="A7" s="13"/>
      <c r="B7" s="13"/>
      <c r="C7" s="70" t="s">
        <v>101</v>
      </c>
      <c r="D7" s="75" t="s">
        <v>60</v>
      </c>
      <c r="E7" s="12">
        <v>44541</v>
      </c>
      <c r="F7" s="73" t="s">
        <v>61</v>
      </c>
      <c r="G7" s="12">
        <v>44556</v>
      </c>
      <c r="H7" s="74" t="s">
        <v>62</v>
      </c>
      <c r="I7" s="15">
        <v>32</v>
      </c>
      <c r="J7" s="15">
        <v>32</v>
      </c>
      <c r="K7" s="15">
        <v>46</v>
      </c>
      <c r="L7" s="15">
        <v>14</v>
      </c>
      <c r="M7" s="78">
        <v>11.776</v>
      </c>
      <c r="N7" s="69">
        <v>14</v>
      </c>
      <c r="O7" s="61">
        <v>7000</v>
      </c>
      <c r="P7" s="62">
        <f>Table224578910112345678910[[#This Row],[PEMBULATAN]]*O7</f>
        <v>98000</v>
      </c>
      <c r="Q7" s="194"/>
    </row>
    <row r="8" spans="1:17" ht="26.25" customHeight="1" x14ac:dyDescent="0.2">
      <c r="A8" s="13"/>
      <c r="B8" s="13"/>
      <c r="C8" s="70" t="s">
        <v>102</v>
      </c>
      <c r="D8" s="75" t="s">
        <v>60</v>
      </c>
      <c r="E8" s="12">
        <v>44541</v>
      </c>
      <c r="F8" s="73" t="s">
        <v>61</v>
      </c>
      <c r="G8" s="12">
        <v>44556</v>
      </c>
      <c r="H8" s="74" t="s">
        <v>62</v>
      </c>
      <c r="I8" s="15">
        <v>32</v>
      </c>
      <c r="J8" s="15">
        <v>32</v>
      </c>
      <c r="K8" s="15">
        <v>46</v>
      </c>
      <c r="L8" s="15">
        <v>14</v>
      </c>
      <c r="M8" s="78">
        <v>11.776</v>
      </c>
      <c r="N8" s="69">
        <v>14</v>
      </c>
      <c r="O8" s="61">
        <v>7000</v>
      </c>
      <c r="P8" s="62">
        <f>Table224578910112345678910[[#This Row],[PEMBULATAN]]*O8</f>
        <v>98000</v>
      </c>
      <c r="Q8" s="194"/>
    </row>
    <row r="9" spans="1:17" ht="26.25" customHeight="1" x14ac:dyDescent="0.2">
      <c r="A9" s="13"/>
      <c r="B9" s="13"/>
      <c r="C9" s="70" t="s">
        <v>103</v>
      </c>
      <c r="D9" s="75" t="s">
        <v>60</v>
      </c>
      <c r="E9" s="12">
        <v>44541</v>
      </c>
      <c r="F9" s="73" t="s">
        <v>61</v>
      </c>
      <c r="G9" s="12">
        <v>44556</v>
      </c>
      <c r="H9" s="74" t="s">
        <v>62</v>
      </c>
      <c r="I9" s="15">
        <v>32</v>
      </c>
      <c r="J9" s="15">
        <v>32</v>
      </c>
      <c r="K9" s="15">
        <v>46</v>
      </c>
      <c r="L9" s="15">
        <v>14</v>
      </c>
      <c r="M9" s="78">
        <v>11.776</v>
      </c>
      <c r="N9" s="69">
        <v>14</v>
      </c>
      <c r="O9" s="61">
        <v>7000</v>
      </c>
      <c r="P9" s="62">
        <f>Table224578910112345678910[[#This Row],[PEMBULATAN]]*O9</f>
        <v>98000</v>
      </c>
      <c r="Q9" s="194"/>
    </row>
    <row r="10" spans="1:17" ht="26.25" customHeight="1" x14ac:dyDescent="0.2">
      <c r="A10" s="13"/>
      <c r="B10" s="13"/>
      <c r="C10" s="70" t="s">
        <v>104</v>
      </c>
      <c r="D10" s="75" t="s">
        <v>60</v>
      </c>
      <c r="E10" s="12">
        <v>44541</v>
      </c>
      <c r="F10" s="73" t="s">
        <v>61</v>
      </c>
      <c r="G10" s="12">
        <v>44556</v>
      </c>
      <c r="H10" s="74" t="s">
        <v>62</v>
      </c>
      <c r="I10" s="15">
        <v>41</v>
      </c>
      <c r="J10" s="15">
        <v>22</v>
      </c>
      <c r="K10" s="15">
        <v>29</v>
      </c>
      <c r="L10" s="15">
        <v>18</v>
      </c>
      <c r="M10" s="78">
        <v>6.5395000000000003</v>
      </c>
      <c r="N10" s="69">
        <v>18</v>
      </c>
      <c r="O10" s="61">
        <v>7000</v>
      </c>
      <c r="P10" s="62">
        <f>Table224578910112345678910[[#This Row],[PEMBULATAN]]*O10</f>
        <v>126000</v>
      </c>
      <c r="Q10" s="194"/>
    </row>
    <row r="11" spans="1:17" ht="26.25" customHeight="1" x14ac:dyDescent="0.2">
      <c r="A11" s="13"/>
      <c r="B11" s="103"/>
      <c r="C11" s="70" t="s">
        <v>105</v>
      </c>
      <c r="D11" s="75" t="s">
        <v>60</v>
      </c>
      <c r="E11" s="12">
        <v>44541</v>
      </c>
      <c r="F11" s="73" t="s">
        <v>61</v>
      </c>
      <c r="G11" s="12">
        <v>44556</v>
      </c>
      <c r="H11" s="74" t="s">
        <v>62</v>
      </c>
      <c r="I11" s="15">
        <v>41</v>
      </c>
      <c r="J11" s="15">
        <v>22</v>
      </c>
      <c r="K11" s="15">
        <v>29</v>
      </c>
      <c r="L11" s="15">
        <v>18</v>
      </c>
      <c r="M11" s="78">
        <v>6.5395000000000003</v>
      </c>
      <c r="N11" s="69">
        <v>18</v>
      </c>
      <c r="O11" s="61">
        <v>7000</v>
      </c>
      <c r="P11" s="62">
        <f>Table224578910112345678910[[#This Row],[PEMBULATAN]]*O11</f>
        <v>126000</v>
      </c>
      <c r="Q11" s="194"/>
    </row>
    <row r="12" spans="1:17" ht="26.25" customHeight="1" x14ac:dyDescent="0.2">
      <c r="A12" s="103"/>
      <c r="B12" s="109" t="s">
        <v>106</v>
      </c>
      <c r="C12" s="70" t="s">
        <v>107</v>
      </c>
      <c r="D12" s="75" t="s">
        <v>60</v>
      </c>
      <c r="E12" s="12">
        <v>44541</v>
      </c>
      <c r="F12" s="73" t="s">
        <v>61</v>
      </c>
      <c r="G12" s="12">
        <v>44556</v>
      </c>
      <c r="H12" s="74" t="s">
        <v>62</v>
      </c>
      <c r="I12" s="15">
        <v>65</v>
      </c>
      <c r="J12" s="15">
        <v>46</v>
      </c>
      <c r="K12" s="15">
        <v>21</v>
      </c>
      <c r="L12" s="15">
        <v>16</v>
      </c>
      <c r="M12" s="78">
        <v>15.6975</v>
      </c>
      <c r="N12" s="69">
        <v>16</v>
      </c>
      <c r="O12" s="61">
        <v>7000</v>
      </c>
      <c r="P12" s="62">
        <f>Table224578910112345678910[[#This Row],[PEMBULATAN]]*O12</f>
        <v>112000</v>
      </c>
      <c r="Q12" s="194"/>
    </row>
    <row r="13" spans="1:17" ht="22.5" customHeight="1" x14ac:dyDescent="0.2">
      <c r="A13" s="213" t="s">
        <v>30</v>
      </c>
      <c r="B13" s="208"/>
      <c r="C13" s="208"/>
      <c r="D13" s="208"/>
      <c r="E13" s="208"/>
      <c r="F13" s="208"/>
      <c r="G13" s="208"/>
      <c r="H13" s="208"/>
      <c r="I13" s="208"/>
      <c r="J13" s="208"/>
      <c r="K13" s="208"/>
      <c r="L13" s="209"/>
      <c r="M13" s="76">
        <f>SUBTOTAL(109,Table224578910112345678910[KG VOLUME])</f>
        <v>126.89450000000001</v>
      </c>
      <c r="N13" s="65">
        <f>SUM(N3:N12)</f>
        <v>158</v>
      </c>
      <c r="O13" s="210">
        <f>SUM(P3:P12)</f>
        <v>1106000</v>
      </c>
      <c r="P13" s="211"/>
    </row>
    <row r="14" spans="1:17" ht="18" customHeight="1" x14ac:dyDescent="0.2">
      <c r="A14" s="83"/>
      <c r="B14" s="55" t="s">
        <v>42</v>
      </c>
      <c r="C14" s="54"/>
      <c r="D14" s="56" t="s">
        <v>43</v>
      </c>
      <c r="E14" s="83"/>
      <c r="F14" s="83"/>
      <c r="G14" s="83"/>
      <c r="H14" s="83"/>
      <c r="I14" s="83"/>
      <c r="J14" s="83"/>
      <c r="K14" s="83"/>
      <c r="L14" s="83"/>
      <c r="M14" s="84"/>
      <c r="N14" s="85" t="s">
        <v>51</v>
      </c>
      <c r="O14" s="86"/>
      <c r="P14" s="86">
        <f>O13*10%</f>
        <v>110600</v>
      </c>
    </row>
    <row r="15" spans="1:17" ht="18" customHeight="1" thickBot="1" x14ac:dyDescent="0.25">
      <c r="A15" s="83"/>
      <c r="B15" s="55"/>
      <c r="C15" s="54"/>
      <c r="D15" s="56"/>
      <c r="E15" s="83"/>
      <c r="F15" s="83"/>
      <c r="G15" s="83"/>
      <c r="H15" s="83"/>
      <c r="I15" s="83"/>
      <c r="J15" s="83"/>
      <c r="K15" s="83"/>
      <c r="L15" s="83"/>
      <c r="M15" s="84"/>
      <c r="N15" s="87" t="s">
        <v>52</v>
      </c>
      <c r="O15" s="88"/>
      <c r="P15" s="88">
        <f>O13-P14</f>
        <v>995400</v>
      </c>
    </row>
    <row r="16" spans="1:17" ht="18" customHeight="1" x14ac:dyDescent="0.2">
      <c r="A16" s="10"/>
      <c r="H16" s="60"/>
      <c r="N16" s="59" t="s">
        <v>31</v>
      </c>
      <c r="P16" s="66">
        <f>P15*1%</f>
        <v>9954</v>
      </c>
    </row>
    <row r="17" spans="1:16" ht="18" customHeight="1" thickBot="1" x14ac:dyDescent="0.25">
      <c r="A17" s="10"/>
      <c r="H17" s="60"/>
      <c r="N17" s="59" t="s">
        <v>53</v>
      </c>
      <c r="P17" s="68">
        <f>P15*2%</f>
        <v>19908</v>
      </c>
    </row>
    <row r="18" spans="1:16" ht="18" customHeight="1" x14ac:dyDescent="0.2">
      <c r="A18" s="10"/>
      <c r="H18" s="60"/>
      <c r="N18" s="63" t="s">
        <v>32</v>
      </c>
      <c r="O18" s="64"/>
      <c r="P18" s="67">
        <f>P15+P16-P17</f>
        <v>985446</v>
      </c>
    </row>
    <row r="20" spans="1:16" x14ac:dyDescent="0.2">
      <c r="A20" s="10"/>
      <c r="H20" s="60"/>
      <c r="P20" s="68"/>
    </row>
    <row r="21" spans="1:16" x14ac:dyDescent="0.2">
      <c r="A21" s="10"/>
      <c r="H21" s="60"/>
      <c r="O21" s="57"/>
      <c r="P21" s="68"/>
    </row>
    <row r="22" spans="1:16" s="3" customFormat="1" x14ac:dyDescent="0.25">
      <c r="A22" s="10"/>
      <c r="B22" s="2"/>
      <c r="C22" s="2"/>
      <c r="E22" s="11"/>
      <c r="H22" s="60"/>
      <c r="N22" s="14"/>
      <c r="O22" s="14"/>
      <c r="P22" s="14"/>
    </row>
    <row r="23" spans="1:16" s="3" customFormat="1" x14ac:dyDescent="0.25">
      <c r="A23" s="10"/>
      <c r="B23" s="2"/>
      <c r="C23" s="2"/>
      <c r="E23" s="11"/>
      <c r="H23" s="60"/>
      <c r="N23" s="14"/>
      <c r="O23" s="14"/>
      <c r="P23" s="14"/>
    </row>
    <row r="24" spans="1:16" s="3" customFormat="1" x14ac:dyDescent="0.25">
      <c r="A24" s="10"/>
      <c r="B24" s="2"/>
      <c r="C24" s="2"/>
      <c r="E24" s="11"/>
      <c r="H24" s="60"/>
      <c r="N24" s="14"/>
      <c r="O24" s="14"/>
      <c r="P24" s="14"/>
    </row>
    <row r="25" spans="1:16" s="3" customFormat="1" x14ac:dyDescent="0.25">
      <c r="A25" s="10"/>
      <c r="B25" s="2"/>
      <c r="C25" s="2"/>
      <c r="E25" s="11"/>
      <c r="H25" s="60"/>
      <c r="N25" s="14"/>
      <c r="O25" s="14"/>
      <c r="P25" s="14"/>
    </row>
    <row r="26" spans="1:16" s="3" customFormat="1" x14ac:dyDescent="0.25">
      <c r="A26" s="10"/>
      <c r="B26" s="2"/>
      <c r="C26" s="2"/>
      <c r="E26" s="11"/>
      <c r="H26" s="60"/>
      <c r="N26" s="14"/>
      <c r="O26" s="14"/>
      <c r="P26" s="14"/>
    </row>
    <row r="27" spans="1:16" s="3" customFormat="1" x14ac:dyDescent="0.25">
      <c r="A27" s="10"/>
      <c r="B27" s="2"/>
      <c r="C27" s="2"/>
      <c r="E27" s="11"/>
      <c r="H27" s="60"/>
      <c r="N27" s="14"/>
      <c r="O27" s="14"/>
      <c r="P27" s="14"/>
    </row>
    <row r="28" spans="1:16" s="3" customFormat="1" x14ac:dyDescent="0.25">
      <c r="A28" s="10"/>
      <c r="B28" s="2"/>
      <c r="C28" s="2"/>
      <c r="E28" s="11"/>
      <c r="H28" s="60"/>
      <c r="N28" s="14"/>
      <c r="O28" s="14"/>
      <c r="P28" s="14"/>
    </row>
    <row r="29" spans="1:16" s="3" customFormat="1" x14ac:dyDescent="0.25">
      <c r="A29" s="10"/>
      <c r="B29" s="2"/>
      <c r="C29" s="2"/>
      <c r="E29" s="11"/>
      <c r="H29" s="60"/>
      <c r="N29" s="14"/>
      <c r="O29" s="14"/>
      <c r="P29" s="14"/>
    </row>
    <row r="30" spans="1:16" s="3" customFormat="1" x14ac:dyDescent="0.25">
      <c r="A30" s="10"/>
      <c r="B30" s="2"/>
      <c r="C30" s="2"/>
      <c r="E30" s="11"/>
      <c r="H30" s="60"/>
      <c r="N30" s="14"/>
      <c r="O30" s="14"/>
      <c r="P30" s="14"/>
    </row>
    <row r="31" spans="1:16" s="3" customFormat="1" x14ac:dyDescent="0.25">
      <c r="A31" s="10"/>
      <c r="B31" s="2"/>
      <c r="C31" s="2"/>
      <c r="E31" s="11"/>
      <c r="H31" s="60"/>
      <c r="N31" s="14"/>
      <c r="O31" s="14"/>
      <c r="P31" s="14"/>
    </row>
    <row r="32" spans="1:16" s="3" customFormat="1" x14ac:dyDescent="0.25">
      <c r="A32" s="10"/>
      <c r="B32" s="2"/>
      <c r="C32" s="2"/>
      <c r="E32" s="11"/>
      <c r="H32" s="60"/>
      <c r="N32" s="14"/>
      <c r="O32" s="14"/>
      <c r="P32" s="14"/>
    </row>
    <row r="33" spans="1:16" s="3" customFormat="1" x14ac:dyDescent="0.25">
      <c r="A33" s="10"/>
      <c r="B33" s="2"/>
      <c r="C33" s="2"/>
      <c r="E33" s="11"/>
      <c r="H33" s="60"/>
      <c r="N33" s="14"/>
      <c r="O33" s="14"/>
      <c r="P33" s="14"/>
    </row>
  </sheetData>
  <mergeCells count="3">
    <mergeCell ref="A13:L13"/>
    <mergeCell ref="O13:P13"/>
    <mergeCell ref="Q3:Q12"/>
  </mergeCells>
  <conditionalFormatting sqref="B3">
    <cfRule type="duplicateValues" dxfId="216" priority="2"/>
  </conditionalFormatting>
  <conditionalFormatting sqref="B12">
    <cfRule type="duplicateValues" dxfId="215" priority="8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21</vt:i4>
      </vt:variant>
    </vt:vector>
  </HeadingPairs>
  <TitlesOfParts>
    <vt:vector size="42" baseType="lpstr">
      <vt:lpstr>Sicepat_Ternate Des 2021</vt:lpstr>
      <vt:lpstr>ALL</vt:lpstr>
      <vt:lpstr>405805</vt:lpstr>
      <vt:lpstr>405822</vt:lpstr>
      <vt:lpstr>405816</vt:lpstr>
      <vt:lpstr>405836</vt:lpstr>
      <vt:lpstr>405844</vt:lpstr>
      <vt:lpstr>406458</vt:lpstr>
      <vt:lpstr>406465</vt:lpstr>
      <vt:lpstr>402656</vt:lpstr>
      <vt:lpstr>402670</vt:lpstr>
      <vt:lpstr>402676</vt:lpstr>
      <vt:lpstr>402693</vt:lpstr>
      <vt:lpstr>402701</vt:lpstr>
      <vt:lpstr>402710</vt:lpstr>
      <vt:lpstr>402719</vt:lpstr>
      <vt:lpstr>402730</vt:lpstr>
      <vt:lpstr>402735</vt:lpstr>
      <vt:lpstr>402739</vt:lpstr>
      <vt:lpstr>402755</vt:lpstr>
      <vt:lpstr>402759</vt:lpstr>
      <vt:lpstr>'402656'!Print_Titles</vt:lpstr>
      <vt:lpstr>'402670'!Print_Titles</vt:lpstr>
      <vt:lpstr>'402676'!Print_Titles</vt:lpstr>
      <vt:lpstr>'402693'!Print_Titles</vt:lpstr>
      <vt:lpstr>'402701'!Print_Titles</vt:lpstr>
      <vt:lpstr>'402710'!Print_Titles</vt:lpstr>
      <vt:lpstr>'402719'!Print_Titles</vt:lpstr>
      <vt:lpstr>'402730'!Print_Titles</vt:lpstr>
      <vt:lpstr>'402735'!Print_Titles</vt:lpstr>
      <vt:lpstr>'402739'!Print_Titles</vt:lpstr>
      <vt:lpstr>'402755'!Print_Titles</vt:lpstr>
      <vt:lpstr>'402759'!Print_Titles</vt:lpstr>
      <vt:lpstr>'405805'!Print_Titles</vt:lpstr>
      <vt:lpstr>'405816'!Print_Titles</vt:lpstr>
      <vt:lpstr>'405822'!Print_Titles</vt:lpstr>
      <vt:lpstr>'405836'!Print_Titles</vt:lpstr>
      <vt:lpstr>'405844'!Print_Titles</vt:lpstr>
      <vt:lpstr>'406458'!Print_Titles</vt:lpstr>
      <vt:lpstr>'406465'!Print_Titles</vt:lpstr>
      <vt:lpstr>ALL!Print_Titles</vt:lpstr>
      <vt:lpstr>'Sicepat_Ternate Des 2021'!Print_Titles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PCI</cp:lastModifiedBy>
  <cp:lastPrinted>2022-02-15T04:19:27Z</cp:lastPrinted>
  <dcterms:created xsi:type="dcterms:W3CDTF">2021-07-02T11:08:00Z</dcterms:created>
  <dcterms:modified xsi:type="dcterms:W3CDTF">2022-02-15T04:48:53Z</dcterms:modified>
</cp:coreProperties>
</file>