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Performa yang sudah ter invoice\"/>
    </mc:Choice>
  </mc:AlternateContent>
  <bookViews>
    <workbookView xWindow="0" yWindow="0" windowWidth="20490" windowHeight="7320" tabRatio="842"/>
  </bookViews>
  <sheets>
    <sheet name="Sicepat_Ambon_Feb 22" sheetId="2" r:id="rId1"/>
    <sheet name="ALL" sheetId="96" r:id="rId2"/>
    <sheet name="403306" sheetId="26" r:id="rId3"/>
    <sheet name="403310" sheetId="58" r:id="rId4"/>
    <sheet name="403320" sheetId="59" r:id="rId5"/>
    <sheet name="403339" sheetId="60" r:id="rId6"/>
    <sheet name="403349" sheetId="61" r:id="rId7"/>
    <sheet name="404664" sheetId="62" r:id="rId8"/>
    <sheet name="404760" sheetId="91" r:id="rId9"/>
    <sheet name="404684" sheetId="92" r:id="rId10"/>
  </sheets>
  <definedNames>
    <definedName name="_xlnm.Print_Titles" localSheetId="2">'403306'!$2:$2</definedName>
    <definedName name="_xlnm.Print_Titles" localSheetId="3">'403310'!$2:$2</definedName>
    <definedName name="_xlnm.Print_Titles" localSheetId="4">'403320'!$2:$2</definedName>
    <definedName name="_xlnm.Print_Titles" localSheetId="5">'403339'!$2:$2</definedName>
    <definedName name="_xlnm.Print_Titles" localSheetId="6">'403349'!$2:$2</definedName>
    <definedName name="_xlnm.Print_Titles" localSheetId="7">'404664'!$2:$2</definedName>
    <definedName name="_xlnm.Print_Titles" localSheetId="9">'404684'!$2:$2</definedName>
    <definedName name="_xlnm.Print_Titles" localSheetId="8">'404760'!$2:$2</definedName>
    <definedName name="_xlnm.Print_Titles" localSheetId="1">ALL!$2:$2</definedName>
    <definedName name="_xlnm.Print_Titles" localSheetId="0">'Sicepat_Ambon_Feb 22'!$2:$17</definedName>
  </definedNames>
  <calcPr calcId="162913"/>
</workbook>
</file>

<file path=xl/calcChain.xml><?xml version="1.0" encoding="utf-8"?>
<calcChain xmlns="http://schemas.openxmlformats.org/spreadsheetml/2006/main">
  <c r="O45" i="96" l="1"/>
  <c r="P44" i="96"/>
  <c r="P43" i="96"/>
  <c r="P42" i="96"/>
  <c r="P40" i="96"/>
  <c r="P39" i="96"/>
  <c r="P38" i="96"/>
  <c r="P37" i="96"/>
  <c r="P36" i="96"/>
  <c r="P35" i="96"/>
  <c r="P34" i="96"/>
  <c r="P33" i="96"/>
  <c r="P32" i="96"/>
  <c r="P31" i="96"/>
  <c r="P30" i="96"/>
  <c r="P29" i="96"/>
  <c r="P28" i="96"/>
  <c r="P27" i="96"/>
  <c r="P26" i="96"/>
  <c r="P25" i="96"/>
  <c r="P24" i="96"/>
  <c r="P23" i="96"/>
  <c r="P22" i="96"/>
  <c r="P21" i="96"/>
  <c r="P20" i="96"/>
  <c r="P19" i="96"/>
  <c r="P18" i="96"/>
  <c r="P17" i="96"/>
  <c r="P16" i="96"/>
  <c r="P15" i="96"/>
  <c r="P14" i="96"/>
  <c r="P13" i="96"/>
  <c r="P12" i="96"/>
  <c r="P11" i="96"/>
  <c r="P10" i="96"/>
  <c r="P9" i="96"/>
  <c r="P8" i="96"/>
  <c r="P7" i="96"/>
  <c r="P6" i="96"/>
  <c r="P5" i="96"/>
  <c r="P4" i="96"/>
  <c r="P3" i="96"/>
  <c r="M45" i="96"/>
  <c r="N45" i="96"/>
  <c r="Q45" i="96"/>
  <c r="P41" i="96"/>
  <c r="O5" i="92"/>
  <c r="N5" i="92"/>
  <c r="P3" i="92"/>
  <c r="P4" i="92"/>
  <c r="O5" i="91"/>
  <c r="N5" i="91"/>
  <c r="P3" i="91"/>
  <c r="P4" i="91"/>
  <c r="N4" i="62"/>
  <c r="P4" i="60"/>
  <c r="N5" i="60"/>
  <c r="O16" i="59"/>
  <c r="M16" i="59"/>
  <c r="N16" i="59"/>
  <c r="P3" i="59"/>
  <c r="P15" i="59"/>
  <c r="P14" i="59"/>
  <c r="P13" i="59"/>
  <c r="P12" i="59"/>
  <c r="P11" i="59"/>
  <c r="P10" i="59"/>
  <c r="P9" i="59"/>
  <c r="P8" i="59"/>
  <c r="P7" i="59"/>
  <c r="P6" i="59"/>
  <c r="P5" i="59"/>
  <c r="P4" i="59"/>
  <c r="P21" i="58"/>
  <c r="P20" i="58"/>
  <c r="P19" i="58"/>
  <c r="P18" i="58"/>
  <c r="P17" i="58"/>
  <c r="P16" i="58"/>
  <c r="P15" i="58"/>
  <c r="P14" i="58"/>
  <c r="P13" i="58"/>
  <c r="P12" i="58"/>
  <c r="P11" i="58"/>
  <c r="P10" i="58"/>
  <c r="P9" i="58"/>
  <c r="P8" i="58"/>
  <c r="P7" i="58"/>
  <c r="P6" i="58"/>
  <c r="P5" i="58"/>
  <c r="P3" i="58"/>
  <c r="P4" i="58"/>
  <c r="F25" i="2"/>
  <c r="F24" i="2"/>
  <c r="P46" i="96" l="1"/>
  <c r="P47" i="96" s="1"/>
  <c r="J25" i="2"/>
  <c r="J24" i="2"/>
  <c r="J23" i="2"/>
  <c r="G21" i="2"/>
  <c r="J21" i="2" s="1"/>
  <c r="C25" i="2"/>
  <c r="B25" i="2"/>
  <c r="C24" i="2"/>
  <c r="B24" i="2"/>
  <c r="M5" i="92"/>
  <c r="M5" i="91"/>
  <c r="P3" i="61"/>
  <c r="P4" i="61"/>
  <c r="N5" i="61"/>
  <c r="J22" i="2" s="1"/>
  <c r="N22" i="58"/>
  <c r="G19" i="2" s="1"/>
  <c r="J19" i="2" s="1"/>
  <c r="N4" i="26"/>
  <c r="J18" i="2" s="1"/>
  <c r="J26" i="2" s="1"/>
  <c r="P49" i="96" l="1"/>
  <c r="P48" i="96"/>
  <c r="P6" i="92"/>
  <c r="P7" i="92" s="1"/>
  <c r="P6" i="91"/>
  <c r="P7" i="91" s="1"/>
  <c r="O5" i="61"/>
  <c r="P3" i="26"/>
  <c r="P50" i="96" l="1"/>
  <c r="P9" i="92"/>
  <c r="P8" i="92"/>
  <c r="P9" i="91"/>
  <c r="P8" i="91"/>
  <c r="P10" i="91" s="1"/>
  <c r="O4" i="26"/>
  <c r="F23" i="2"/>
  <c r="F22" i="2"/>
  <c r="F21" i="2"/>
  <c r="F20" i="2"/>
  <c r="F19" i="2"/>
  <c r="F18" i="2"/>
  <c r="B23" i="2"/>
  <c r="C23" i="2"/>
  <c r="B22" i="2"/>
  <c r="C22" i="2"/>
  <c r="B21" i="2"/>
  <c r="C21" i="2"/>
  <c r="B20" i="2"/>
  <c r="C20" i="2"/>
  <c r="C19" i="2"/>
  <c r="B19" i="2"/>
  <c r="C18" i="2"/>
  <c r="B18" i="2"/>
  <c r="A19" i="2"/>
  <c r="G20" i="2"/>
  <c r="J20" i="2" s="1"/>
  <c r="P10" i="92" l="1"/>
  <c r="M4" i="62"/>
  <c r="P3" i="62"/>
  <c r="M5" i="61"/>
  <c r="M5" i="60"/>
  <c r="P3" i="60"/>
  <c r="M22" i="58"/>
  <c r="O22" i="58"/>
  <c r="O4" i="62" l="1"/>
  <c r="O5" i="60"/>
  <c r="P5" i="62" l="1"/>
  <c r="P6" i="62" s="1"/>
  <c r="P6" i="61"/>
  <c r="P7" i="61" s="1"/>
  <c r="P6" i="60"/>
  <c r="P7" i="60" s="1"/>
  <c r="P8" i="60" s="1"/>
  <c r="P17" i="59"/>
  <c r="P18" i="59" s="1"/>
  <c r="P23" i="58"/>
  <c r="P24" i="58" s="1"/>
  <c r="I31" i="2"/>
  <c r="I30" i="2"/>
  <c r="I32" i="2" s="1"/>
  <c r="P8" i="62" l="1"/>
  <c r="P7" i="62"/>
  <c r="P9" i="61"/>
  <c r="P8" i="61"/>
  <c r="P9" i="60"/>
  <c r="P10" i="60" s="1"/>
  <c r="P20" i="59"/>
  <c r="P19" i="59"/>
  <c r="P26" i="58"/>
  <c r="P25" i="58"/>
  <c r="M4" i="26"/>
  <c r="P27" i="58" l="1"/>
  <c r="P9" i="62"/>
  <c r="P10" i="61"/>
  <c r="P21" i="59"/>
  <c r="P5" i="26" l="1"/>
  <c r="P6" i="26" s="1"/>
  <c r="P8" i="26" l="1"/>
  <c r="P7" i="26"/>
  <c r="A20" i="2"/>
  <c r="A21" i="2" s="1"/>
  <c r="A22" i="2" s="1"/>
  <c r="A23" i="2" s="1"/>
  <c r="A24" i="2" s="1"/>
  <c r="A25" i="2" s="1"/>
  <c r="P9" i="26" l="1"/>
  <c r="L26" i="2" s="1"/>
  <c r="I43" i="2"/>
  <c r="J28" i="2" l="1"/>
  <c r="J29" i="2" s="1"/>
  <c r="J31" i="2" s="1"/>
  <c r="J30" i="2" l="1"/>
  <c r="J32" i="2" s="1"/>
</calcChain>
</file>

<file path=xl/sharedStrings.xml><?xml version="1.0" encoding="utf-8"?>
<sst xmlns="http://schemas.openxmlformats.org/spreadsheetml/2006/main" count="640" uniqueCount="118">
  <si>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</si>
  <si>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</si>
  <si>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</si>
  <si>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</si>
  <si>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</si>
  <si>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</si>
  <si>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</si>
  <si>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</si>
  <si>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</si>
  <si>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</si>
  <si>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</si>
  <si>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</si>
  <si>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</si>
  <si>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</si>
  <si>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</si>
  <si>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</si>
  <si>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</si>
  <si>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</si>
  <si>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</si>
  <si>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</si>
  <si>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</si>
  <si>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</si>
  <si>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</si>
  <si>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</si>
  <si>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</si>
  <si>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</si>
  <si>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</si>
  <si>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</si>
  <si>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</si>
  <si>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</si>
  <si>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</si>
  <si>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</si>
  <si>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</si>
  <si>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</si>
  <si>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</si>
  <si>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</si>
  <si>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</si>
  <si>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</si>
  <si>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</si>
  <si>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</si>
  <si>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</si>
  <si>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</si>
  <si>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</si>
  <si>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</si>
  <si>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</si>
  <si>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</si>
  <si>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</si>
  <si>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</si>
  <si>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</si>
  <si>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</si>
  <si>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</si>
  <si>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</si>
  <si>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</si>
  <si>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</si>
  <si>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</si>
  <si>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</si>
  <si>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 xml:space="preserve"> FEBRUARI 2022</t>
  </si>
  <si>
    <t xml:space="preserve"> AMBON</t>
  </si>
  <si>
    <t>DMD/2202/05/SMYN6851</t>
  </si>
  <si>
    <t>GSK220205EYD318</t>
  </si>
  <si>
    <t>DMP AMQ (AMBON)</t>
  </si>
  <si>
    <t>KM TANTO SEMANGAT</t>
  </si>
  <si>
    <t>03/01/2022 ALWI</t>
  </si>
  <si>
    <t xml:space="preserve"> DMD/2202/08/ODME3402</t>
  </si>
  <si>
    <t>GSK220204QDU671</t>
  </si>
  <si>
    <t>GSK220208QAG715</t>
  </si>
  <si>
    <t>GSK220205IGT095</t>
  </si>
  <si>
    <t>DMD/2202/08/TJOP1394</t>
  </si>
  <si>
    <t>GSK220208YRU768</t>
  </si>
  <si>
    <t>GSK220208FML738</t>
  </si>
  <si>
    <t>GSK220208YAS983</t>
  </si>
  <si>
    <t>GSK220208ZQH542</t>
  </si>
  <si>
    <t>GSK220208PRJ037</t>
  </si>
  <si>
    <t>GSK220208ELT871</t>
  </si>
  <si>
    <t>GSK220208YMT064</t>
  </si>
  <si>
    <t>GSK220208ZWL465</t>
  </si>
  <si>
    <t>GSK220208GWJ583</t>
  </si>
  <si>
    <t>GSK220208YSK706</t>
  </si>
  <si>
    <t>GSK220208GZJ721</t>
  </si>
  <si>
    <t>GSK220208TRX710</t>
  </si>
  <si>
    <t>GSK220208VFP026</t>
  </si>
  <si>
    <t>GSK220208BZE701</t>
  </si>
  <si>
    <t>GSK220208HTQ385</t>
  </si>
  <si>
    <t>GSK220208ASG437</t>
  </si>
  <si>
    <t>DMD/2202/10/IZXA4976</t>
  </si>
  <si>
    <t>gsk220210rgk261</t>
  </si>
  <si>
    <t>gsk220210vfc975</t>
  </si>
  <si>
    <t>GSK220210GAW548</t>
  </si>
  <si>
    <t>GSK220210HVZ514</t>
  </si>
  <si>
    <t>GSK220210OUP024</t>
  </si>
  <si>
    <t>GSK220210CQT830</t>
  </si>
  <si>
    <t>GSK220210FXW695</t>
  </si>
  <si>
    <t>GSK220210LFM672</t>
  </si>
  <si>
    <t>GSK220210SQT214</t>
  </si>
  <si>
    <t>GSK220210NBQ046</t>
  </si>
  <si>
    <t>GSK220210ZYA546</t>
  </si>
  <si>
    <t>GSK220210SPK632</t>
  </si>
  <si>
    <t>DMD/2202/10/TDWO6375</t>
  </si>
  <si>
    <t>GSK220210qvy481</t>
  </si>
  <si>
    <t>DMD/2202/15/GBQJ2367</t>
  </si>
  <si>
    <t>GSK220215JLV457</t>
  </si>
  <si>
    <t>GSK220215GMD496</t>
  </si>
  <si>
    <t>KM DOBONSOLO</t>
  </si>
  <si>
    <t>03/14/2022 NINO</t>
  </si>
  <si>
    <t>DMD/2202/17/NHMJ9162</t>
  </si>
  <si>
    <t>GSK220217EOQ160</t>
  </si>
  <si>
    <t>GSK220217JQL362</t>
  </si>
  <si>
    <t>DMD/2202/20/UOIB3619</t>
  </si>
  <si>
    <t>GSK220220CLF675</t>
  </si>
  <si>
    <t>DMD/2202/25/LGPB6853</t>
  </si>
  <si>
    <t>GSK220225BPK391</t>
  </si>
  <si>
    <t>GSK220225ZXN231</t>
  </si>
  <si>
    <t>DMD/2202/26/OUXS8259</t>
  </si>
  <si>
    <t>GSK220226SXG560</t>
  </si>
  <si>
    <t>GSK220226NYH968</t>
  </si>
  <si>
    <t xml:space="preserve"> 23 Maret 2022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</si>
  <si>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Belas Juta Delapan Puluh Tiga Ribu Seratus Empat Puluh Enam Rupiah.</t>
    </r>
  </si>
  <si>
    <t>PENGIRIMAN BARANG TUJUAN AMBON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</si>
</sst>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5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166" fontId="3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" fontId="9" fillId="4" borderId="1" xfId="3" applyNumberFormat="1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2" applyFont="1" applyBorder="1" applyAlignment="1">
      <alignment horizontal="center" vertical="center"/>
    </xf>
    <xf numFmtId="2" fontId="0" fillId="0" borderId="32" xfId="0" applyNumberFormat="1" applyFont="1" applyBorder="1" applyAlignment="1">
      <alignment vertical="center"/>
    </xf>
    <xf numFmtId="167" fontId="5" fillId="0" borderId="32" xfId="1" applyNumberFormat="1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167" fontId="0" fillId="0" borderId="1" xfId="1" applyNumberFormat="1" applyFont="1" applyBorder="1" applyAlignment="1">
      <alignment vertical="center"/>
    </xf>
    <xf numFmtId="0" fontId="1" fillId="0" borderId="29" xfId="0" applyFont="1" applyBorder="1" applyAlignment="1">
      <alignment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167" fontId="5" fillId="0" borderId="33" xfId="1" applyNumberFormat="1" applyFont="1" applyBorder="1" applyAlignment="1">
      <alignment horizontal="center" vertical="center"/>
    </xf>
    <xf numFmtId="167" fontId="5" fillId="0" borderId="31" xfId="1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6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9" name="Table22457891011210" displayName="Table22457891011210" ref="C2:N3" totalsRowShown="0" headerRowDxfId="148" dataDxfId="146" headerRowBorderDxfId="147">
  <tableColumns count="12">
    <tableColumn id="1" name="NOMOR" dataDxfId="145" dataCellStyle="Normal"/>
    <tableColumn id="3" name="TUJUAN" dataDxfId="144" dataCellStyle="Normal"/>
    <tableColumn id="16" name="Pick Up" dataDxfId="143"/>
    <tableColumn id="14" name="KAPAL" dataDxfId="142"/>
    <tableColumn id="15" name="ETD Kapal" dataDxfId="141"/>
    <tableColumn id="10" name="KETERANGAN" dataDxfId="140" dataCellStyle="Normal"/>
    <tableColumn id="5" name="P" dataDxfId="139" dataCellStyle="Normal"/>
    <tableColumn id="6" name="L" dataDxfId="138" dataCellStyle="Normal"/>
    <tableColumn id="7" name="T" dataDxfId="137" dataCellStyle="Normal"/>
    <tableColumn id="4" name="ACT KG" dataDxfId="136" dataCellStyle="Normal"/>
    <tableColumn id="8" name="KG VOLUME" dataDxfId="135" dataCellStyle="Normal"/>
    <tableColumn id="19" name="PEMBULATAN" dataDxfId="134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224578910112" displayName="Table224578910112" ref="C2:N3" totalsRowShown="0" headerRowDxfId="132" dataDxfId="130" headerRowBorderDxfId="131">
  <tableColumns count="12">
    <tableColumn id="1" name="NOMOR" dataDxfId="129" dataCellStyle="Normal"/>
    <tableColumn id="3" name="TUJUAN" dataDxfId="128" dataCellStyle="Normal"/>
    <tableColumn id="16" name="Pick Up" dataDxfId="127"/>
    <tableColumn id="14" name="KAPAL" dataDxfId="126"/>
    <tableColumn id="15" name="ETD Kapal" dataDxfId="125"/>
    <tableColumn id="10" name="KETERANGAN" dataDxfId="124" dataCellStyle="Normal"/>
    <tableColumn id="5" name="P" dataDxfId="123" dataCellStyle="Normal"/>
    <tableColumn id="6" name="L" dataDxfId="122" dataCellStyle="Normal"/>
    <tableColumn id="7" name="T" dataDxfId="121" dataCellStyle="Normal"/>
    <tableColumn id="4" name="ACT KG" dataDxfId="120" dataCellStyle="Normal"/>
    <tableColumn id="8" name="KG VOLUME" dataDxfId="119" dataCellStyle="Normal"/>
    <tableColumn id="19" name="PEMBULATAN" dataDxfId="118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7891011234" displayName="Table22457891011234" ref="C2:N3" totalsRowShown="0" headerRowDxfId="115" dataDxfId="113" headerRowBorderDxfId="114">
  <tableColumns count="12">
    <tableColumn id="1" name="NOMOR" dataDxfId="112" dataCellStyle="Normal"/>
    <tableColumn id="3" name="TUJUAN" dataDxfId="111" dataCellStyle="Normal"/>
    <tableColumn id="16" name="Pick Up" dataDxfId="110"/>
    <tableColumn id="14" name="KAPAL" dataDxfId="109"/>
    <tableColumn id="15" name="ETD Kapal" dataDxfId="108"/>
    <tableColumn id="10" name="KETERANGAN" dataDxfId="107" dataCellStyle="Normal"/>
    <tableColumn id="5" name="P" dataDxfId="106" dataCellStyle="Normal"/>
    <tableColumn id="6" name="L" dataDxfId="105" dataCellStyle="Normal"/>
    <tableColumn id="7" name="T" dataDxfId="104" dataCellStyle="Normal"/>
    <tableColumn id="4" name="ACT KG" dataDxfId="103" dataCellStyle="Normal"/>
    <tableColumn id="8" name="KG VOLUME" dataDxfId="102" dataCellStyle="Normal"/>
    <tableColumn id="19" name="PEMBULATAN" dataDxfId="101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24578910112345" displayName="Table224578910112345" ref="C2:N3" totalsRowShown="0" headerRowDxfId="98" dataDxfId="96" headerRowBorderDxfId="97">
  <tableColumns count="12">
    <tableColumn id="1" name="NOMOR" dataDxfId="95" dataCellStyle="Normal"/>
    <tableColumn id="3" name="TUJUAN" dataDxfId="94" dataCellStyle="Normal"/>
    <tableColumn id="16" name="Pick Up" dataDxfId="93"/>
    <tableColumn id="14" name="KAPAL" dataDxfId="92"/>
    <tableColumn id="15" name="ETD Kapal" dataDxfId="91"/>
    <tableColumn id="10" name="KETERANGAN" dataDxfId="90" dataCellStyle="Normal"/>
    <tableColumn id="5" name="P" dataDxfId="89" dataCellStyle="Normal"/>
    <tableColumn id="6" name="L" dataDxfId="88" dataCellStyle="Normal"/>
    <tableColumn id="7" name="T" dataDxfId="87" dataCellStyle="Normal"/>
    <tableColumn id="4" name="ACT KG" dataDxfId="86" dataCellStyle="Normal"/>
    <tableColumn id="8" name="KG VOLUME" dataDxfId="85" dataCellStyle="Normal"/>
    <tableColumn id="19" name="PEMBULATAN" dataDxfId="84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789101123456" displayName="Table2245789101123456" ref="C2:N3" totalsRowShown="0" headerRowDxfId="81" dataDxfId="79" headerRowBorderDxfId="80">
  <tableColumns count="12">
    <tableColumn id="1" name="NOMOR" dataDxfId="78" dataCellStyle="Normal"/>
    <tableColumn id="3" name="TUJUAN" dataDxfId="77" dataCellStyle="Normal"/>
    <tableColumn id="16" name="Pick Up" dataDxfId="76"/>
    <tableColumn id="14" name="KAPAL" dataDxfId="75"/>
    <tableColumn id="15" name="ETD Kapal" dataDxfId="74"/>
    <tableColumn id="10" name="KETERANGAN" dataDxfId="73" dataCellStyle="Normal"/>
    <tableColumn id="5" name="P" dataDxfId="72" dataCellStyle="Normal"/>
    <tableColumn id="6" name="L" dataDxfId="71" dataCellStyle="Normal"/>
    <tableColumn id="7" name="T" dataDxfId="70" dataCellStyle="Normal"/>
    <tableColumn id="4" name="ACT KG" dataDxfId="69" dataCellStyle="Normal"/>
    <tableColumn id="8" name="KG VOLUME" dataDxfId="68" dataCellStyle="Normal"/>
    <tableColumn id="19" name="PEMBULATAN" dataDxfId="67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2457891011234567" displayName="Table22457891011234567" ref="C2:N3" totalsRowShown="0" headerRowDxfId="64" dataDxfId="62" headerRowBorderDxfId="63">
  <tableColumns count="12">
    <tableColumn id="1" name="NOMOR" dataDxfId="61" dataCellStyle="Normal"/>
    <tableColumn id="3" name="TUJUAN" dataDxfId="60" dataCellStyle="Normal"/>
    <tableColumn id="16" name="Pick Up" dataDxfId="59"/>
    <tableColumn id="14" name="KAPAL" dataDxfId="58"/>
    <tableColumn id="15" name="ETD Kapal" dataDxfId="57"/>
    <tableColumn id="10" name="KETERANGAN" dataDxfId="56" dataCellStyle="Normal"/>
    <tableColumn id="5" name="P" dataDxfId="55" dataCellStyle="Normal"/>
    <tableColumn id="6" name="L" dataDxfId="54" dataCellStyle="Normal"/>
    <tableColumn id="7" name="T" dataDxfId="53" dataCellStyle="Normal"/>
    <tableColumn id="4" name="ACT KG" dataDxfId="52" dataCellStyle="Normal"/>
    <tableColumn id="8" name="KG VOLUME" dataDxfId="51" dataCellStyle="Normal"/>
    <tableColumn id="19" name="PEMBULATAN" dataDxfId="50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7" name="Table224578910112345678" displayName="Table224578910112345678" ref="C2:N3" totalsRowShown="0" headerRowDxfId="48" dataDxfId="46" headerRowBorderDxfId="47">
  <tableColumns count="12">
    <tableColumn id="1" name="NOMOR" dataDxfId="45" dataCellStyle="Normal"/>
    <tableColumn id="3" name="TUJUAN" dataDxfId="44" dataCellStyle="Normal"/>
    <tableColumn id="16" name="Pick Up" dataDxfId="43"/>
    <tableColumn id="14" name="KAPAL" dataDxfId="42"/>
    <tableColumn id="15" name="ETD Kapal" dataDxfId="41"/>
    <tableColumn id="10" name="KETERANGAN" dataDxfId="40" dataCellStyle="Normal"/>
    <tableColumn id="5" name="P" dataDxfId="39" dataCellStyle="Normal"/>
    <tableColumn id="6" name="L" dataDxfId="38" dataCellStyle="Normal"/>
    <tableColumn id="7" name="T" dataDxfId="37" dataCellStyle="Normal"/>
    <tableColumn id="4" name="ACT KG" dataDxfId="36" dataCellStyle="Normal"/>
    <tableColumn id="8" name="KG VOLUME" dataDxfId="35" dataCellStyle="Normal"/>
    <tableColumn id="19" name="PEMBULATAN" dataDxfId="34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2" name="Table2245789101123456783" displayName="Table2245789101123456783" ref="C2:N3" totalsRowShown="0" headerRowDxfId="31" dataDxfId="29" headerRowBorderDxfId="30">
  <tableColumns count="12">
    <tableColumn id="1" name="NOMOR" dataDxfId="28" dataCellStyle="Normal"/>
    <tableColumn id="3" name="TUJUAN" dataDxfId="27" dataCellStyle="Normal"/>
    <tableColumn id="16" name="Pick Up" dataDxfId="26"/>
    <tableColumn id="14" name="KAPAL" dataDxfId="25"/>
    <tableColumn id="15" name="ETD Kapal" dataDxfId="24"/>
    <tableColumn id="10" name="KETERANGAN" dataDxfId="23" dataCellStyle="Normal"/>
    <tableColumn id="5" name="P" dataDxfId="22" dataCellStyle="Normal"/>
    <tableColumn id="6" name="L" dataDxfId="21" dataCellStyle="Normal"/>
    <tableColumn id="7" name="T" dataDxfId="20" dataCellStyle="Normal"/>
    <tableColumn id="4" name="ACT KG" dataDxfId="19" dataCellStyle="Normal"/>
    <tableColumn id="8" name="KG VOLUME" dataDxfId="18" dataCellStyle="Normal"/>
    <tableColumn id="19" name="PEMBULATAN" dataDxfId="17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8" name="Table22457891011234567839" displayName="Table22457891011234567839" ref="C2:N3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50"/>
  <sheetViews>
    <sheetView tabSelected="1" topLeftCell="A28" workbookViewId="0">
      <selection activeCell="B25" sqref="B18:C25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8.85546875" style="17" customWidth="1"/>
    <col min="4" max="4" width="26.42578125" style="17" customWidth="1"/>
    <col min="5" max="5" width="13.85546875" style="17" customWidth="1"/>
    <col min="6" max="6" width="8.85546875" style="17" bestFit="1" customWidth="1"/>
    <col min="7" max="7" width="6.42578125" style="17" customWidth="1"/>
    <col min="8" max="8" width="14.140625" style="18" bestFit="1" customWidth="1"/>
    <col min="9" max="9" width="1.5703125" style="18" customWidth="1"/>
    <col min="10" max="10" width="19.5703125" style="17" customWidth="1"/>
    <col min="11" max="11" width="9.140625" style="17"/>
    <col min="12" max="12" width="15.7109375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24" t="s">
        <v>14</v>
      </c>
      <c r="B10" s="125"/>
      <c r="C10" s="125"/>
      <c r="D10" s="125"/>
      <c r="E10" s="125"/>
      <c r="F10" s="125"/>
      <c r="G10" s="125"/>
      <c r="H10" s="125"/>
      <c r="I10" s="125"/>
      <c r="J10" s="126"/>
    </row>
    <row r="12" spans="1:10" x14ac:dyDescent="0.25">
      <c r="A12" s="17" t="s">
        <v>15</v>
      </c>
      <c r="B12" s="17" t="s">
        <v>16</v>
      </c>
      <c r="G12" s="136" t="s">
        <v>49</v>
      </c>
      <c r="H12" s="136"/>
      <c r="I12" s="22" t="s">
        <v>17</v>
      </c>
      <c r="J12" s="23"/>
    </row>
    <row r="13" spans="1:10" x14ac:dyDescent="0.25">
      <c r="G13" s="136" t="s">
        <v>18</v>
      </c>
      <c r="H13" s="136"/>
      <c r="I13" s="22" t="s">
        <v>17</v>
      </c>
      <c r="J13" s="24" t="s">
        <v>115</v>
      </c>
    </row>
    <row r="14" spans="1:10" x14ac:dyDescent="0.25">
      <c r="G14" s="136" t="s">
        <v>50</v>
      </c>
      <c r="H14" s="136"/>
      <c r="I14" s="22" t="s">
        <v>17</v>
      </c>
      <c r="J14" s="17" t="s">
        <v>57</v>
      </c>
    </row>
    <row r="15" spans="1:10" x14ac:dyDescent="0.25">
      <c r="A15" s="17" t="s">
        <v>19</v>
      </c>
      <c r="B15" s="23" t="s">
        <v>20</v>
      </c>
      <c r="C15" s="23"/>
      <c r="I15" s="22"/>
      <c r="J15" s="17" t="s">
        <v>56</v>
      </c>
    </row>
    <row r="16" spans="1:10" ht="16.5" thickBot="1" x14ac:dyDescent="0.3"/>
    <row r="17" spans="1:12" ht="26.25" customHeight="1" x14ac:dyDescent="0.25">
      <c r="A17" s="25" t="s">
        <v>21</v>
      </c>
      <c r="B17" s="26" t="s">
        <v>22</v>
      </c>
      <c r="C17" s="26" t="s">
        <v>23</v>
      </c>
      <c r="D17" s="26" t="s">
        <v>24</v>
      </c>
      <c r="E17" s="26" t="s">
        <v>25</v>
      </c>
      <c r="F17" s="27" t="s">
        <v>26</v>
      </c>
      <c r="G17" s="27" t="s">
        <v>27</v>
      </c>
      <c r="H17" s="127" t="s">
        <v>28</v>
      </c>
      <c r="I17" s="128"/>
      <c r="J17" s="28" t="s">
        <v>29</v>
      </c>
    </row>
    <row r="18" spans="1:12" ht="37.5" customHeight="1" x14ac:dyDescent="0.25">
      <c r="A18" s="29">
        <v>1</v>
      </c>
      <c r="B18" s="30">
        <f>'403306'!E3</f>
        <v>44597</v>
      </c>
      <c r="C18" s="77">
        <f>'403306'!A3</f>
        <v>403306</v>
      </c>
      <c r="D18" s="31" t="s">
        <v>117</v>
      </c>
      <c r="E18" s="31" t="s">
        <v>60</v>
      </c>
      <c r="F18" s="32">
        <f>'403306'!Q3</f>
        <v>1</v>
      </c>
      <c r="G18" s="103">
        <v>50</v>
      </c>
      <c r="H18" s="129">
        <v>14000</v>
      </c>
      <c r="I18" s="130"/>
      <c r="J18" s="33">
        <f>G18*H18</f>
        <v>700000</v>
      </c>
      <c r="L18"/>
    </row>
    <row r="19" spans="1:12" ht="37.5" customHeight="1" x14ac:dyDescent="0.25">
      <c r="A19" s="29">
        <f>A18+1</f>
        <v>2</v>
      </c>
      <c r="B19" s="30">
        <f>'403310'!E3</f>
        <v>44600</v>
      </c>
      <c r="C19" s="77">
        <f>'403310'!A3</f>
        <v>403310</v>
      </c>
      <c r="D19" s="31" t="s">
        <v>117</v>
      </c>
      <c r="E19" s="31" t="s">
        <v>60</v>
      </c>
      <c r="F19" s="32">
        <f>'403310'!Q3</f>
        <v>19</v>
      </c>
      <c r="G19" s="98">
        <f>'403310'!N22</f>
        <v>185</v>
      </c>
      <c r="H19" s="129">
        <v>14000</v>
      </c>
      <c r="I19" s="130"/>
      <c r="J19" s="33">
        <f t="shared" ref="J19:J25" si="0">G19*H19</f>
        <v>2590000</v>
      </c>
      <c r="L19"/>
    </row>
    <row r="20" spans="1:12" ht="37.5" customHeight="1" x14ac:dyDescent="0.25">
      <c r="A20" s="29">
        <f t="shared" ref="A20:A25" si="1">A19+1</f>
        <v>3</v>
      </c>
      <c r="B20" s="30">
        <f>'403320'!E3</f>
        <v>44602</v>
      </c>
      <c r="C20" s="77">
        <f>'403320'!A3</f>
        <v>403320</v>
      </c>
      <c r="D20" s="31" t="s">
        <v>117</v>
      </c>
      <c r="E20" s="31" t="s">
        <v>60</v>
      </c>
      <c r="F20" s="32">
        <f>'403320'!Q3</f>
        <v>13</v>
      </c>
      <c r="G20" s="98">
        <f>'403320'!N16</f>
        <v>322</v>
      </c>
      <c r="H20" s="129">
        <v>14000</v>
      </c>
      <c r="I20" s="130"/>
      <c r="J20" s="33">
        <f t="shared" si="0"/>
        <v>4508000</v>
      </c>
      <c r="L20"/>
    </row>
    <row r="21" spans="1:12" ht="37.5" customHeight="1" x14ac:dyDescent="0.25">
      <c r="A21" s="29">
        <f t="shared" si="1"/>
        <v>4</v>
      </c>
      <c r="B21" s="30">
        <f>'403339'!E3</f>
        <v>44607</v>
      </c>
      <c r="C21" s="77">
        <f>'403339'!A3</f>
        <v>403339</v>
      </c>
      <c r="D21" s="31" t="s">
        <v>117</v>
      </c>
      <c r="E21" s="31" t="s">
        <v>60</v>
      </c>
      <c r="F21" s="32">
        <f>'403339'!Q3</f>
        <v>2</v>
      </c>
      <c r="G21" s="98">
        <f>'403339'!N5</f>
        <v>122</v>
      </c>
      <c r="H21" s="129">
        <v>14000</v>
      </c>
      <c r="I21" s="130"/>
      <c r="J21" s="33">
        <f t="shared" si="0"/>
        <v>1708000</v>
      </c>
      <c r="L21"/>
    </row>
    <row r="22" spans="1:12" ht="37.5" customHeight="1" x14ac:dyDescent="0.25">
      <c r="A22" s="29">
        <f t="shared" si="1"/>
        <v>5</v>
      </c>
      <c r="B22" s="30">
        <f>'403349'!E3</f>
        <v>44609</v>
      </c>
      <c r="C22" s="77">
        <f>'403349'!A3</f>
        <v>403349</v>
      </c>
      <c r="D22" s="31" t="s">
        <v>117</v>
      </c>
      <c r="E22" s="31" t="s">
        <v>60</v>
      </c>
      <c r="F22" s="32">
        <f>'403349'!Q3</f>
        <v>2</v>
      </c>
      <c r="G22" s="98">
        <v>100</v>
      </c>
      <c r="H22" s="129">
        <v>14000</v>
      </c>
      <c r="I22" s="130"/>
      <c r="J22" s="33">
        <f t="shared" si="0"/>
        <v>1400000</v>
      </c>
      <c r="L22"/>
    </row>
    <row r="23" spans="1:12" ht="37.5" customHeight="1" x14ac:dyDescent="0.25">
      <c r="A23" s="29">
        <f t="shared" si="1"/>
        <v>6</v>
      </c>
      <c r="B23" s="30">
        <f>'404664'!E3</f>
        <v>44612</v>
      </c>
      <c r="C23" s="77">
        <f>'404664'!A3</f>
        <v>404664</v>
      </c>
      <c r="D23" s="31" t="s">
        <v>117</v>
      </c>
      <c r="E23" s="31" t="s">
        <v>60</v>
      </c>
      <c r="F23" s="32">
        <f>'404664'!Q3</f>
        <v>1</v>
      </c>
      <c r="G23" s="98">
        <v>100</v>
      </c>
      <c r="H23" s="129">
        <v>14000</v>
      </c>
      <c r="I23" s="130"/>
      <c r="J23" s="33">
        <f t="shared" si="0"/>
        <v>1400000</v>
      </c>
      <c r="L23"/>
    </row>
    <row r="24" spans="1:12" ht="37.5" customHeight="1" x14ac:dyDescent="0.25">
      <c r="A24" s="29">
        <f t="shared" si="1"/>
        <v>7</v>
      </c>
      <c r="B24" s="30">
        <f>Table2245789101123456783[Pick Up]</f>
        <v>44617</v>
      </c>
      <c r="C24" s="77">
        <f>'404760'!A3</f>
        <v>404760</v>
      </c>
      <c r="D24" s="31" t="s">
        <v>117</v>
      </c>
      <c r="E24" s="31" t="s">
        <v>60</v>
      </c>
      <c r="F24" s="32">
        <f>'404760'!Q3</f>
        <v>2</v>
      </c>
      <c r="G24" s="98">
        <v>100</v>
      </c>
      <c r="H24" s="129">
        <v>14000</v>
      </c>
      <c r="I24" s="130"/>
      <c r="J24" s="33">
        <f t="shared" si="0"/>
        <v>1400000</v>
      </c>
      <c r="L24"/>
    </row>
    <row r="25" spans="1:12" ht="37.5" customHeight="1" x14ac:dyDescent="0.25">
      <c r="A25" s="29">
        <f t="shared" si="1"/>
        <v>8</v>
      </c>
      <c r="B25" s="30">
        <f>Table22457891011234567839[Pick Up]</f>
        <v>44618</v>
      </c>
      <c r="C25" s="77">
        <f>'404684'!A3</f>
        <v>404684</v>
      </c>
      <c r="D25" s="31" t="s">
        <v>117</v>
      </c>
      <c r="E25" s="31" t="s">
        <v>60</v>
      </c>
      <c r="F25" s="32">
        <f>'404684'!Q3</f>
        <v>2</v>
      </c>
      <c r="G25" s="98">
        <v>100</v>
      </c>
      <c r="H25" s="129">
        <v>14000</v>
      </c>
      <c r="I25" s="130"/>
      <c r="J25" s="33">
        <f t="shared" si="0"/>
        <v>1400000</v>
      </c>
      <c r="L25"/>
    </row>
    <row r="26" spans="1:12" ht="32.25" customHeight="1" thickBot="1" x14ac:dyDescent="0.3">
      <c r="A26" s="131" t="s">
        <v>30</v>
      </c>
      <c r="B26" s="132"/>
      <c r="C26" s="132"/>
      <c r="D26" s="132"/>
      <c r="E26" s="132"/>
      <c r="F26" s="132"/>
      <c r="G26" s="132"/>
      <c r="H26" s="132"/>
      <c r="I26" s="133"/>
      <c r="J26" s="34">
        <f>SUM(J18:J25)</f>
        <v>15106000</v>
      </c>
      <c r="L26" s="75" t="e">
        <f>'403306'!P9+#REF!+#REF!+#REF!+#REF!+#REF!+#REF!+#REF!+#REF!+#REF!+#REF!+#REF!+#REF!+#REF!+#REF!+#REF!+#REF!+#REF!+#REF!+#REF!+#REF!+#REF!+#REF!+#REF!+#REF!+#REF!+#REF!+#REF!+#REF!+#REF!</f>
        <v>#REF!</v>
      </c>
    </row>
    <row r="27" spans="1:12" x14ac:dyDescent="0.25">
      <c r="A27" s="134"/>
      <c r="B27" s="134"/>
      <c r="C27" s="35"/>
      <c r="D27" s="35"/>
      <c r="E27" s="35"/>
      <c r="F27" s="35"/>
      <c r="G27" s="35"/>
      <c r="H27" s="36"/>
      <c r="I27" s="36"/>
      <c r="J27" s="37"/>
    </row>
    <row r="28" spans="1:12" x14ac:dyDescent="0.25">
      <c r="A28" s="78"/>
      <c r="B28" s="78"/>
      <c r="C28" s="78"/>
      <c r="D28" s="78"/>
      <c r="E28" s="78"/>
      <c r="F28" s="78"/>
      <c r="G28" s="38" t="s">
        <v>51</v>
      </c>
      <c r="H28" s="38"/>
      <c r="I28" s="36"/>
      <c r="J28" s="37">
        <f>J26*10%</f>
        <v>1510600</v>
      </c>
      <c r="L28" s="39"/>
    </row>
    <row r="29" spans="1:12" x14ac:dyDescent="0.25">
      <c r="A29" s="78"/>
      <c r="B29" s="78"/>
      <c r="C29" s="78"/>
      <c r="D29" s="78"/>
      <c r="E29" s="78"/>
      <c r="F29" s="78"/>
      <c r="G29" s="85" t="s">
        <v>52</v>
      </c>
      <c r="H29" s="85"/>
      <c r="I29" s="86"/>
      <c r="J29" s="88">
        <f>J26-J28</f>
        <v>13595400</v>
      </c>
      <c r="L29" s="39"/>
    </row>
    <row r="30" spans="1:12" x14ac:dyDescent="0.25">
      <c r="A30" s="78"/>
      <c r="B30" s="78"/>
      <c r="C30" s="78"/>
      <c r="D30" s="78"/>
      <c r="E30" s="78"/>
      <c r="F30" s="78"/>
      <c r="G30" s="38" t="s">
        <v>31</v>
      </c>
      <c r="H30" s="38"/>
      <c r="I30" s="39" t="e">
        <f>#REF!*1%</f>
        <v>#REF!</v>
      </c>
      <c r="J30" s="37">
        <f>J29*1%</f>
        <v>135954</v>
      </c>
    </row>
    <row r="31" spans="1:12" ht="16.5" thickBot="1" x14ac:dyDescent="0.3">
      <c r="A31" s="78"/>
      <c r="B31" s="78"/>
      <c r="C31" s="78"/>
      <c r="D31" s="78"/>
      <c r="E31" s="78"/>
      <c r="F31" s="78"/>
      <c r="G31" s="87" t="s">
        <v>54</v>
      </c>
      <c r="H31" s="87"/>
      <c r="I31" s="40">
        <f>I27*10%</f>
        <v>0</v>
      </c>
      <c r="J31" s="40">
        <f>J29*2%</f>
        <v>271908</v>
      </c>
    </row>
    <row r="32" spans="1:12" x14ac:dyDescent="0.25">
      <c r="E32" s="16"/>
      <c r="F32" s="16"/>
      <c r="G32" s="41" t="s">
        <v>55</v>
      </c>
      <c r="H32" s="41"/>
      <c r="I32" s="42" t="e">
        <f>I26+I30</f>
        <v>#REF!</v>
      </c>
      <c r="J32" s="42">
        <f>J29+J30-J31</f>
        <v>13459446</v>
      </c>
    </row>
    <row r="33" spans="1:10" x14ac:dyDescent="0.25">
      <c r="E33" s="16"/>
      <c r="F33" s="16"/>
      <c r="G33" s="41"/>
      <c r="H33" s="41"/>
      <c r="I33" s="42"/>
      <c r="J33" s="42"/>
    </row>
    <row r="34" spans="1:10" x14ac:dyDescent="0.25">
      <c r="A34" s="16" t="s">
        <v>116</v>
      </c>
      <c r="D34" s="16"/>
      <c r="E34" s="16"/>
      <c r="F34" s="16"/>
      <c r="G34" s="16"/>
      <c r="H34" s="41"/>
      <c r="I34" s="41"/>
      <c r="J34" s="42"/>
    </row>
    <row r="35" spans="1:10" x14ac:dyDescent="0.25">
      <c r="A35" s="43"/>
      <c r="D35" s="16"/>
      <c r="E35" s="16"/>
      <c r="F35" s="16"/>
      <c r="G35" s="16"/>
      <c r="H35" s="41"/>
      <c r="I35" s="41"/>
      <c r="J35" s="42"/>
    </row>
    <row r="36" spans="1:10" x14ac:dyDescent="0.25">
      <c r="D36" s="16"/>
      <c r="E36" s="16"/>
      <c r="F36" s="16"/>
      <c r="G36" s="16"/>
      <c r="H36" s="41"/>
      <c r="I36" s="41"/>
      <c r="J36" s="42"/>
    </row>
    <row r="37" spans="1:10" x14ac:dyDescent="0.25">
      <c r="A37" s="44" t="s">
        <v>33</v>
      </c>
    </row>
    <row r="38" spans="1:10" x14ac:dyDescent="0.25">
      <c r="A38" s="45" t="s">
        <v>34</v>
      </c>
      <c r="B38" s="46"/>
      <c r="C38" s="46"/>
      <c r="D38" s="47"/>
      <c r="E38" s="47"/>
      <c r="F38" s="47"/>
      <c r="G38" s="47"/>
    </row>
    <row r="39" spans="1:10" x14ac:dyDescent="0.25">
      <c r="A39" s="45" t="s">
        <v>35</v>
      </c>
      <c r="B39" s="46"/>
      <c r="C39" s="46"/>
      <c r="D39" s="47"/>
      <c r="E39" s="47"/>
      <c r="F39" s="47"/>
      <c r="G39" s="47"/>
    </row>
    <row r="40" spans="1:10" x14ac:dyDescent="0.25">
      <c r="A40" s="48" t="s">
        <v>36</v>
      </c>
      <c r="B40" s="49"/>
      <c r="C40" s="49"/>
      <c r="D40" s="47"/>
      <c r="E40" s="47"/>
      <c r="F40" s="47"/>
      <c r="G40" s="47"/>
    </row>
    <row r="41" spans="1:10" x14ac:dyDescent="0.25">
      <c r="A41" s="50" t="s">
        <v>8</v>
      </c>
      <c r="B41" s="51"/>
      <c r="C41" s="51"/>
      <c r="D41" s="47"/>
      <c r="E41" s="47"/>
      <c r="F41" s="47"/>
      <c r="G41" s="47"/>
    </row>
    <row r="42" spans="1:10" x14ac:dyDescent="0.25">
      <c r="A42" s="52"/>
      <c r="B42" s="52"/>
      <c r="C42" s="52"/>
    </row>
    <row r="43" spans="1:10" x14ac:dyDescent="0.25">
      <c r="H43" s="53" t="s">
        <v>37</v>
      </c>
      <c r="I43" s="137" t="str">
        <f>+J13</f>
        <v xml:space="preserve"> 23 Maret 2022</v>
      </c>
      <c r="J43" s="138"/>
    </row>
    <row r="47" spans="1:10" ht="18" customHeight="1" x14ac:dyDescent="0.25"/>
    <row r="48" spans="1:10" ht="17.25" customHeight="1" x14ac:dyDescent="0.25"/>
    <row r="50" spans="8:10" x14ac:dyDescent="0.25">
      <c r="H50" s="135" t="s">
        <v>38</v>
      </c>
      <c r="I50" s="135"/>
      <c r="J50" s="135"/>
    </row>
  </sheetData>
  <mergeCells count="17">
    <mergeCell ref="H50:J50"/>
    <mergeCell ref="G14:H14"/>
    <mergeCell ref="G13:H13"/>
    <mergeCell ref="G12:H12"/>
    <mergeCell ref="I43:J43"/>
    <mergeCell ref="H24:I24"/>
    <mergeCell ref="H25:I25"/>
    <mergeCell ref="A10:J10"/>
    <mergeCell ref="H17:I17"/>
    <mergeCell ref="H18:I18"/>
    <mergeCell ref="A26:I26"/>
    <mergeCell ref="A27:B27"/>
    <mergeCell ref="H19:I19"/>
    <mergeCell ref="H23:I23"/>
    <mergeCell ref="H21:I21"/>
    <mergeCell ref="H20:I20"/>
    <mergeCell ref="H22:I22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5"/>
  <sheetViews>
    <sheetView zoomScale="110" zoomScaleNormal="110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F6" sqref="F6"/>
    </sheetView>
  </sheetViews>
  <sheetFormatPr defaultRowHeight="15" x14ac:dyDescent="0.2"/>
  <cols>
    <col min="1" max="1" width="6.5703125" style="4" customWidth="1"/>
    <col min="2" max="2" width="19.5703125" style="2" customWidth="1"/>
    <col min="3" max="3" width="14.5703125" style="2" customWidth="1"/>
    <col min="4" max="4" width="9.7109375" style="3" customWidth="1"/>
    <col min="5" max="5" width="8" style="12" customWidth="1"/>
    <col min="6" max="6" width="13.5703125" style="3" customWidth="1"/>
    <col min="7" max="7" width="9.5703125" style="3" customWidth="1"/>
    <col min="8" max="8" width="14.85546875" style="6" customWidth="1"/>
    <col min="9" max="11" width="3.285156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9" t="s">
        <v>44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39</v>
      </c>
      <c r="J2" s="7" t="s">
        <v>40</v>
      </c>
      <c r="K2" s="7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76">
        <v>404684</v>
      </c>
      <c r="B3" s="70" t="s">
        <v>112</v>
      </c>
      <c r="C3" s="9" t="s">
        <v>113</v>
      </c>
      <c r="D3" s="72" t="s">
        <v>60</v>
      </c>
      <c r="E3" s="13">
        <v>44618</v>
      </c>
      <c r="F3" s="72" t="s">
        <v>102</v>
      </c>
      <c r="G3" s="13">
        <v>44637</v>
      </c>
      <c r="H3" s="10" t="s">
        <v>103</v>
      </c>
      <c r="I3" s="1">
        <v>30</v>
      </c>
      <c r="J3" s="1">
        <v>21</v>
      </c>
      <c r="K3" s="1">
        <v>13</v>
      </c>
      <c r="L3" s="1">
        <v>12</v>
      </c>
      <c r="M3" s="74">
        <v>2.0474999999999999</v>
      </c>
      <c r="N3" s="8">
        <v>12</v>
      </c>
      <c r="O3" s="62">
        <v>14000</v>
      </c>
      <c r="P3" s="63">
        <f>N3*O3</f>
        <v>168000</v>
      </c>
      <c r="Q3" s="152">
        <v>2</v>
      </c>
    </row>
    <row r="4" spans="1:17" ht="26.25" customHeight="1" x14ac:dyDescent="0.2">
      <c r="A4" s="117"/>
      <c r="B4" s="102"/>
      <c r="C4" s="9" t="s">
        <v>114</v>
      </c>
      <c r="D4" s="72" t="s">
        <v>60</v>
      </c>
      <c r="E4" s="13">
        <v>44618</v>
      </c>
      <c r="F4" s="72" t="s">
        <v>102</v>
      </c>
      <c r="G4" s="13">
        <v>44637</v>
      </c>
      <c r="H4" s="10" t="s">
        <v>103</v>
      </c>
      <c r="I4" s="1">
        <v>70</v>
      </c>
      <c r="J4" s="1">
        <v>52</v>
      </c>
      <c r="K4" s="1">
        <v>56</v>
      </c>
      <c r="L4" s="1">
        <v>10</v>
      </c>
      <c r="M4" s="74">
        <v>50.96</v>
      </c>
      <c r="N4" s="8">
        <v>21</v>
      </c>
      <c r="O4" s="62">
        <v>14000</v>
      </c>
      <c r="P4" s="63">
        <f>N4*O4</f>
        <v>294000</v>
      </c>
      <c r="Q4" s="153"/>
    </row>
    <row r="5" spans="1:17" ht="22.5" customHeight="1" x14ac:dyDescent="0.2">
      <c r="A5" s="147" t="s">
        <v>30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9"/>
      <c r="M5" s="73">
        <f>SUBTOTAL(109,Table22457891011234567839[KG VOLUME])</f>
        <v>2.0474999999999999</v>
      </c>
      <c r="N5" s="66">
        <f>SUM(N3:N4)</f>
        <v>33</v>
      </c>
      <c r="O5" s="150">
        <f>SUM(P3:P4)</f>
        <v>462000</v>
      </c>
      <c r="P5" s="151"/>
    </row>
    <row r="6" spans="1:17" ht="18" customHeight="1" x14ac:dyDescent="0.2">
      <c r="A6" s="79"/>
      <c r="B6" s="55" t="s">
        <v>42</v>
      </c>
      <c r="C6" s="54"/>
      <c r="D6" s="56" t="s">
        <v>43</v>
      </c>
      <c r="E6" s="79"/>
      <c r="F6" s="79"/>
      <c r="G6" s="79"/>
      <c r="H6" s="79"/>
      <c r="I6" s="79"/>
      <c r="J6" s="79"/>
      <c r="K6" s="79"/>
      <c r="L6" s="79"/>
      <c r="M6" s="80"/>
      <c r="N6" s="81" t="s">
        <v>51</v>
      </c>
      <c r="O6" s="82"/>
      <c r="P6" s="82">
        <f>O5*10%</f>
        <v>46200</v>
      </c>
    </row>
    <row r="7" spans="1:17" ht="18" customHeight="1" thickBot="1" x14ac:dyDescent="0.25">
      <c r="A7" s="79"/>
      <c r="B7" s="55"/>
      <c r="C7" s="54"/>
      <c r="D7" s="56"/>
      <c r="E7" s="79"/>
      <c r="F7" s="79"/>
      <c r="G7" s="79"/>
      <c r="H7" s="79"/>
      <c r="I7" s="79"/>
      <c r="J7" s="79"/>
      <c r="K7" s="79"/>
      <c r="L7" s="79"/>
      <c r="M7" s="80"/>
      <c r="N7" s="83" t="s">
        <v>52</v>
      </c>
      <c r="O7" s="84"/>
      <c r="P7" s="84">
        <f>O5-P6</f>
        <v>415800</v>
      </c>
    </row>
    <row r="8" spans="1:17" ht="18" customHeight="1" x14ac:dyDescent="0.2">
      <c r="A8" s="11"/>
      <c r="H8" s="61"/>
      <c r="N8" s="60" t="s">
        <v>31</v>
      </c>
      <c r="P8" s="67">
        <f>P7*1%</f>
        <v>4158</v>
      </c>
    </row>
    <row r="9" spans="1:17" ht="18" customHeight="1" thickBot="1" x14ac:dyDescent="0.25">
      <c r="A9" s="11"/>
      <c r="H9" s="61"/>
      <c r="N9" s="60" t="s">
        <v>53</v>
      </c>
      <c r="P9" s="69">
        <f>P7*2%</f>
        <v>8316</v>
      </c>
    </row>
    <row r="10" spans="1:17" ht="18" customHeight="1" x14ac:dyDescent="0.2">
      <c r="A10" s="11"/>
      <c r="H10" s="61"/>
      <c r="N10" s="64" t="s">
        <v>32</v>
      </c>
      <c r="O10" s="65"/>
      <c r="P10" s="68">
        <f>P7+P8-P9</f>
        <v>411642</v>
      </c>
    </row>
    <row r="12" spans="1:17" x14ac:dyDescent="0.2">
      <c r="A12" s="11"/>
      <c r="H12" s="61"/>
      <c r="P12" s="69"/>
    </row>
    <row r="13" spans="1:17" x14ac:dyDescent="0.2">
      <c r="A13" s="11"/>
      <c r="H13" s="61"/>
      <c r="O13" s="57"/>
      <c r="P13" s="69"/>
    </row>
    <row r="14" spans="1:17" s="3" customFormat="1" x14ac:dyDescent="0.25">
      <c r="A14" s="11"/>
      <c r="B14" s="2"/>
      <c r="C14" s="2"/>
      <c r="E14" s="12"/>
      <c r="H14" s="61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1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1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1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1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1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1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1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1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1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1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1"/>
      <c r="N25" s="15"/>
      <c r="O25" s="15"/>
      <c r="P25" s="15"/>
    </row>
  </sheetData>
  <mergeCells count="3">
    <mergeCell ref="A5:L5"/>
    <mergeCell ref="O5:P5"/>
    <mergeCell ref="Q3:Q4"/>
  </mergeCells>
  <conditionalFormatting sqref="B3">
    <cfRule type="duplicateValues" dxfId="16" priority="2"/>
  </conditionalFormatting>
  <conditionalFormatting sqref="B4">
    <cfRule type="duplicateValues" dxfId="1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5"/>
  <sheetViews>
    <sheetView zoomScale="110" zoomScaleNormal="110" workbookViewId="0">
      <pane xSplit="3" ySplit="2" topLeftCell="D42" activePane="bottomRight" state="frozen"/>
      <selection activeCell="G12" sqref="G12"/>
      <selection pane="topRight" activeCell="G12" sqref="G12"/>
      <selection pane="bottomLeft" activeCell="G12" sqref="G12"/>
      <selection pane="bottomRight" activeCell="H52" sqref="H52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11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5.85546875" style="6" customWidth="1"/>
    <col min="9" max="11" width="3.85546875" style="3" customWidth="1"/>
    <col min="12" max="12" width="5" style="3" customWidth="1"/>
    <col min="13" max="13" width="8.5703125" style="3" customWidth="1"/>
    <col min="14" max="14" width="12.140625" style="15" customWidth="1"/>
    <col min="15" max="15" width="8.140625" style="15" customWidth="1"/>
    <col min="16" max="16" width="12.28515625" style="15" customWidth="1"/>
    <col min="17" max="17" width="6.42578125" style="4" customWidth="1"/>
    <col min="18" max="16384" width="9.140625" style="4"/>
  </cols>
  <sheetData>
    <row r="1" spans="1:17" ht="15.75" thickBot="1" x14ac:dyDescent="0.25">
      <c r="H1" s="5"/>
    </row>
    <row r="2" spans="1:17" ht="25.5" x14ac:dyDescent="0.2">
      <c r="A2" s="91" t="s">
        <v>44</v>
      </c>
      <c r="B2" s="92" t="s">
        <v>7</v>
      </c>
      <c r="C2" s="92" t="s">
        <v>0</v>
      </c>
      <c r="D2" s="92" t="s">
        <v>1</v>
      </c>
      <c r="E2" s="93" t="s">
        <v>4</v>
      </c>
      <c r="F2" s="92" t="s">
        <v>3</v>
      </c>
      <c r="G2" s="92" t="s">
        <v>5</v>
      </c>
      <c r="H2" s="93" t="s">
        <v>2</v>
      </c>
      <c r="I2" s="92" t="s">
        <v>39</v>
      </c>
      <c r="J2" s="92" t="s">
        <v>40</v>
      </c>
      <c r="K2" s="92" t="s">
        <v>41</v>
      </c>
      <c r="L2" s="94" t="s">
        <v>45</v>
      </c>
      <c r="M2" s="94" t="s">
        <v>46</v>
      </c>
      <c r="N2" s="94" t="s">
        <v>6</v>
      </c>
      <c r="O2" s="94" t="s">
        <v>47</v>
      </c>
      <c r="P2" s="94" t="s">
        <v>48</v>
      </c>
      <c r="Q2" s="95" t="s">
        <v>26</v>
      </c>
    </row>
    <row r="3" spans="1:17" ht="26.25" customHeight="1" x14ac:dyDescent="0.2">
      <c r="A3" s="96">
        <v>403306</v>
      </c>
      <c r="B3" s="70" t="s">
        <v>58</v>
      </c>
      <c r="C3" s="9" t="s">
        <v>59</v>
      </c>
      <c r="D3" s="72" t="s">
        <v>60</v>
      </c>
      <c r="E3" s="13">
        <v>44597</v>
      </c>
      <c r="F3" s="72" t="s">
        <v>61</v>
      </c>
      <c r="G3" s="13">
        <v>44629</v>
      </c>
      <c r="H3" s="10" t="s">
        <v>62</v>
      </c>
      <c r="I3" s="1">
        <v>20</v>
      </c>
      <c r="J3" s="1">
        <v>10</v>
      </c>
      <c r="K3" s="1">
        <v>10</v>
      </c>
      <c r="L3" s="1">
        <v>1</v>
      </c>
      <c r="M3" s="74">
        <v>0.5</v>
      </c>
      <c r="N3" s="100">
        <v>1</v>
      </c>
      <c r="O3" s="62">
        <v>14000</v>
      </c>
      <c r="P3" s="63">
        <f t="shared" ref="P3:P40" si="0">N3*O3</f>
        <v>14000</v>
      </c>
      <c r="Q3" s="106">
        <v>1</v>
      </c>
    </row>
    <row r="4" spans="1:17" ht="26.25" customHeight="1" x14ac:dyDescent="0.2">
      <c r="A4" s="104">
        <v>403310</v>
      </c>
      <c r="B4" s="70" t="s">
        <v>63</v>
      </c>
      <c r="C4" s="9" t="s">
        <v>64</v>
      </c>
      <c r="D4" s="72" t="s">
        <v>60</v>
      </c>
      <c r="E4" s="13">
        <v>44600</v>
      </c>
      <c r="F4" s="72" t="s">
        <v>61</v>
      </c>
      <c r="G4" s="13">
        <v>44629</v>
      </c>
      <c r="H4" s="10" t="s">
        <v>62</v>
      </c>
      <c r="I4" s="1">
        <v>15</v>
      </c>
      <c r="J4" s="1">
        <v>11</v>
      </c>
      <c r="K4" s="1">
        <v>6</v>
      </c>
      <c r="L4" s="1">
        <v>8</v>
      </c>
      <c r="M4" s="74">
        <v>0.2475</v>
      </c>
      <c r="N4" s="8">
        <v>8</v>
      </c>
      <c r="O4" s="62">
        <v>14000</v>
      </c>
      <c r="P4" s="63">
        <f t="shared" si="0"/>
        <v>112000</v>
      </c>
      <c r="Q4" s="144">
        <v>19</v>
      </c>
    </row>
    <row r="5" spans="1:17" ht="26.25" customHeight="1" x14ac:dyDescent="0.2">
      <c r="A5" s="105"/>
      <c r="B5" s="71"/>
      <c r="C5" s="9" t="s">
        <v>65</v>
      </c>
      <c r="D5" s="72" t="s">
        <v>60</v>
      </c>
      <c r="E5" s="13">
        <v>44600</v>
      </c>
      <c r="F5" s="72" t="s">
        <v>61</v>
      </c>
      <c r="G5" s="13">
        <v>44629</v>
      </c>
      <c r="H5" s="10" t="s">
        <v>62</v>
      </c>
      <c r="I5" s="1">
        <v>23</v>
      </c>
      <c r="J5" s="1">
        <v>23</v>
      </c>
      <c r="K5" s="1">
        <v>20</v>
      </c>
      <c r="L5" s="1">
        <v>7</v>
      </c>
      <c r="M5" s="74">
        <v>2.645</v>
      </c>
      <c r="N5" s="8">
        <v>7</v>
      </c>
      <c r="O5" s="62">
        <v>14000</v>
      </c>
      <c r="P5" s="63">
        <f t="shared" si="0"/>
        <v>98000</v>
      </c>
      <c r="Q5" s="145"/>
    </row>
    <row r="6" spans="1:17" ht="26.25" customHeight="1" x14ac:dyDescent="0.2">
      <c r="A6" s="105"/>
      <c r="B6" s="102"/>
      <c r="C6" s="9" t="s">
        <v>66</v>
      </c>
      <c r="D6" s="72" t="s">
        <v>60</v>
      </c>
      <c r="E6" s="13">
        <v>44600</v>
      </c>
      <c r="F6" s="72" t="s">
        <v>61</v>
      </c>
      <c r="G6" s="13">
        <v>44629</v>
      </c>
      <c r="H6" s="10" t="s">
        <v>62</v>
      </c>
      <c r="I6" s="1">
        <v>56</v>
      </c>
      <c r="J6" s="1">
        <v>32</v>
      </c>
      <c r="K6" s="1">
        <v>32</v>
      </c>
      <c r="L6" s="1">
        <v>5</v>
      </c>
      <c r="M6" s="74">
        <v>14.336</v>
      </c>
      <c r="N6" s="8">
        <v>15</v>
      </c>
      <c r="O6" s="62">
        <v>14000</v>
      </c>
      <c r="P6" s="63">
        <f t="shared" si="0"/>
        <v>210000</v>
      </c>
      <c r="Q6" s="145"/>
    </row>
    <row r="7" spans="1:17" ht="26.25" customHeight="1" x14ac:dyDescent="0.2">
      <c r="A7" s="105"/>
      <c r="B7" s="71" t="s">
        <v>67</v>
      </c>
      <c r="C7" s="9" t="s">
        <v>68</v>
      </c>
      <c r="D7" s="72" t="s">
        <v>60</v>
      </c>
      <c r="E7" s="13">
        <v>44600</v>
      </c>
      <c r="F7" s="72" t="s">
        <v>61</v>
      </c>
      <c r="G7" s="13">
        <v>44629</v>
      </c>
      <c r="H7" s="10" t="s">
        <v>62</v>
      </c>
      <c r="I7" s="1">
        <v>23</v>
      </c>
      <c r="J7" s="1">
        <v>23</v>
      </c>
      <c r="K7" s="1">
        <v>20</v>
      </c>
      <c r="L7" s="1">
        <v>7</v>
      </c>
      <c r="M7" s="74">
        <v>2.645</v>
      </c>
      <c r="N7" s="8">
        <v>7</v>
      </c>
      <c r="O7" s="62">
        <v>14000</v>
      </c>
      <c r="P7" s="63">
        <f t="shared" si="0"/>
        <v>98000</v>
      </c>
      <c r="Q7" s="145"/>
    </row>
    <row r="8" spans="1:17" ht="26.25" customHeight="1" x14ac:dyDescent="0.2">
      <c r="A8" s="105"/>
      <c r="B8" s="71"/>
      <c r="C8" s="9" t="s">
        <v>69</v>
      </c>
      <c r="D8" s="72" t="s">
        <v>60</v>
      </c>
      <c r="E8" s="13">
        <v>44600</v>
      </c>
      <c r="F8" s="72" t="s">
        <v>61</v>
      </c>
      <c r="G8" s="13">
        <v>44629</v>
      </c>
      <c r="H8" s="10" t="s">
        <v>62</v>
      </c>
      <c r="I8" s="1">
        <v>23</v>
      </c>
      <c r="J8" s="1">
        <v>23</v>
      </c>
      <c r="K8" s="1">
        <v>20</v>
      </c>
      <c r="L8" s="1">
        <v>7</v>
      </c>
      <c r="M8" s="74">
        <v>2.645</v>
      </c>
      <c r="N8" s="8">
        <v>7</v>
      </c>
      <c r="O8" s="62">
        <v>14000</v>
      </c>
      <c r="P8" s="63">
        <f t="shared" si="0"/>
        <v>98000</v>
      </c>
      <c r="Q8" s="145"/>
    </row>
    <row r="9" spans="1:17" ht="26.25" customHeight="1" x14ac:dyDescent="0.2">
      <c r="A9" s="105"/>
      <c r="B9" s="71"/>
      <c r="C9" s="9" t="s">
        <v>70</v>
      </c>
      <c r="D9" s="72" t="s">
        <v>60</v>
      </c>
      <c r="E9" s="13">
        <v>44600</v>
      </c>
      <c r="F9" s="72" t="s">
        <v>61</v>
      </c>
      <c r="G9" s="13">
        <v>44629</v>
      </c>
      <c r="H9" s="10" t="s">
        <v>62</v>
      </c>
      <c r="I9" s="1">
        <v>45</v>
      </c>
      <c r="J9" s="1">
        <v>35</v>
      </c>
      <c r="K9" s="1">
        <v>20</v>
      </c>
      <c r="L9" s="1">
        <v>9</v>
      </c>
      <c r="M9" s="74">
        <v>7.875</v>
      </c>
      <c r="N9" s="8">
        <v>9</v>
      </c>
      <c r="O9" s="62">
        <v>14000</v>
      </c>
      <c r="P9" s="63">
        <f t="shared" si="0"/>
        <v>126000</v>
      </c>
      <c r="Q9" s="145"/>
    </row>
    <row r="10" spans="1:17" ht="26.25" customHeight="1" x14ac:dyDescent="0.2">
      <c r="A10" s="105"/>
      <c r="B10" s="71"/>
      <c r="C10" s="9" t="s">
        <v>71</v>
      </c>
      <c r="D10" s="72" t="s">
        <v>60</v>
      </c>
      <c r="E10" s="13">
        <v>44600</v>
      </c>
      <c r="F10" s="72" t="s">
        <v>61</v>
      </c>
      <c r="G10" s="13">
        <v>44629</v>
      </c>
      <c r="H10" s="10" t="s">
        <v>62</v>
      </c>
      <c r="I10" s="1">
        <v>36</v>
      </c>
      <c r="J10" s="1">
        <v>36</v>
      </c>
      <c r="K10" s="1">
        <v>18</v>
      </c>
      <c r="L10" s="1">
        <v>12</v>
      </c>
      <c r="M10" s="74">
        <v>5.8319999999999999</v>
      </c>
      <c r="N10" s="8">
        <v>12</v>
      </c>
      <c r="O10" s="62">
        <v>14000</v>
      </c>
      <c r="P10" s="63">
        <f t="shared" si="0"/>
        <v>168000</v>
      </c>
      <c r="Q10" s="145"/>
    </row>
    <row r="11" spans="1:17" ht="26.25" customHeight="1" x14ac:dyDescent="0.2">
      <c r="A11" s="105"/>
      <c r="B11" s="71"/>
      <c r="C11" s="9" t="s">
        <v>72</v>
      </c>
      <c r="D11" s="72" t="s">
        <v>60</v>
      </c>
      <c r="E11" s="13">
        <v>44600</v>
      </c>
      <c r="F11" s="72" t="s">
        <v>61</v>
      </c>
      <c r="G11" s="13">
        <v>44629</v>
      </c>
      <c r="H11" s="10" t="s">
        <v>62</v>
      </c>
      <c r="I11" s="1">
        <v>43</v>
      </c>
      <c r="J11" s="1">
        <v>30</v>
      </c>
      <c r="K11" s="1">
        <v>16</v>
      </c>
      <c r="L11" s="1">
        <v>10</v>
      </c>
      <c r="M11" s="74">
        <v>5.16</v>
      </c>
      <c r="N11" s="8">
        <v>10</v>
      </c>
      <c r="O11" s="62">
        <v>14000</v>
      </c>
      <c r="P11" s="63">
        <f t="shared" si="0"/>
        <v>140000</v>
      </c>
      <c r="Q11" s="145"/>
    </row>
    <row r="12" spans="1:17" ht="26.25" customHeight="1" x14ac:dyDescent="0.2">
      <c r="A12" s="105"/>
      <c r="B12" s="71"/>
      <c r="C12" s="9" t="s">
        <v>73</v>
      </c>
      <c r="D12" s="72" t="s">
        <v>60</v>
      </c>
      <c r="E12" s="13">
        <v>44600</v>
      </c>
      <c r="F12" s="72" t="s">
        <v>61</v>
      </c>
      <c r="G12" s="13">
        <v>44629</v>
      </c>
      <c r="H12" s="10" t="s">
        <v>62</v>
      </c>
      <c r="I12" s="1">
        <v>43</v>
      </c>
      <c r="J12" s="1">
        <v>30</v>
      </c>
      <c r="K12" s="1">
        <v>16</v>
      </c>
      <c r="L12" s="1">
        <v>10</v>
      </c>
      <c r="M12" s="74">
        <v>5.16</v>
      </c>
      <c r="N12" s="8">
        <v>10</v>
      </c>
      <c r="O12" s="62">
        <v>14000</v>
      </c>
      <c r="P12" s="63">
        <f t="shared" si="0"/>
        <v>140000</v>
      </c>
      <c r="Q12" s="145"/>
    </row>
    <row r="13" spans="1:17" ht="26.25" customHeight="1" x14ac:dyDescent="0.2">
      <c r="A13" s="105"/>
      <c r="B13" s="71"/>
      <c r="C13" s="9" t="s">
        <v>74</v>
      </c>
      <c r="D13" s="72" t="s">
        <v>60</v>
      </c>
      <c r="E13" s="13">
        <v>44600</v>
      </c>
      <c r="F13" s="72" t="s">
        <v>61</v>
      </c>
      <c r="G13" s="13">
        <v>44629</v>
      </c>
      <c r="H13" s="10" t="s">
        <v>62</v>
      </c>
      <c r="I13" s="1">
        <v>43</v>
      </c>
      <c r="J13" s="1">
        <v>30</v>
      </c>
      <c r="K13" s="1">
        <v>16</v>
      </c>
      <c r="L13" s="1">
        <v>10</v>
      </c>
      <c r="M13" s="74">
        <v>5.16</v>
      </c>
      <c r="N13" s="8">
        <v>10</v>
      </c>
      <c r="O13" s="62">
        <v>14000</v>
      </c>
      <c r="P13" s="63">
        <f t="shared" si="0"/>
        <v>140000</v>
      </c>
      <c r="Q13" s="145"/>
    </row>
    <row r="14" spans="1:17" ht="26.25" customHeight="1" x14ac:dyDescent="0.2">
      <c r="A14" s="105"/>
      <c r="B14" s="71"/>
      <c r="C14" s="9" t="s">
        <v>75</v>
      </c>
      <c r="D14" s="72" t="s">
        <v>60</v>
      </c>
      <c r="E14" s="13">
        <v>44600</v>
      </c>
      <c r="F14" s="72" t="s">
        <v>61</v>
      </c>
      <c r="G14" s="13">
        <v>44629</v>
      </c>
      <c r="H14" s="10" t="s">
        <v>62</v>
      </c>
      <c r="I14" s="1">
        <v>53</v>
      </c>
      <c r="J14" s="1">
        <v>41</v>
      </c>
      <c r="K14" s="1">
        <v>11</v>
      </c>
      <c r="L14" s="1">
        <v>10</v>
      </c>
      <c r="M14" s="74">
        <v>5.9757499999999997</v>
      </c>
      <c r="N14" s="8">
        <v>10</v>
      </c>
      <c r="O14" s="62">
        <v>14000</v>
      </c>
      <c r="P14" s="63">
        <f t="shared" si="0"/>
        <v>140000</v>
      </c>
      <c r="Q14" s="145"/>
    </row>
    <row r="15" spans="1:17" ht="26.25" customHeight="1" x14ac:dyDescent="0.2">
      <c r="A15" s="105"/>
      <c r="B15" s="71"/>
      <c r="C15" s="9" t="s">
        <v>76</v>
      </c>
      <c r="D15" s="72" t="s">
        <v>60</v>
      </c>
      <c r="E15" s="13">
        <v>44600</v>
      </c>
      <c r="F15" s="72" t="s">
        <v>61</v>
      </c>
      <c r="G15" s="13">
        <v>44629</v>
      </c>
      <c r="H15" s="10" t="s">
        <v>62</v>
      </c>
      <c r="I15" s="1">
        <v>53</v>
      </c>
      <c r="J15" s="1">
        <v>41</v>
      </c>
      <c r="K15" s="1">
        <v>11</v>
      </c>
      <c r="L15" s="1">
        <v>10</v>
      </c>
      <c r="M15" s="74">
        <v>5.9757499999999997</v>
      </c>
      <c r="N15" s="8">
        <v>10</v>
      </c>
      <c r="O15" s="62">
        <v>14000</v>
      </c>
      <c r="P15" s="63">
        <f t="shared" si="0"/>
        <v>140000</v>
      </c>
      <c r="Q15" s="145"/>
    </row>
    <row r="16" spans="1:17" ht="26.25" customHeight="1" x14ac:dyDescent="0.2">
      <c r="A16" s="105"/>
      <c r="B16" s="71"/>
      <c r="C16" s="9" t="s">
        <v>77</v>
      </c>
      <c r="D16" s="72" t="s">
        <v>60</v>
      </c>
      <c r="E16" s="13">
        <v>44600</v>
      </c>
      <c r="F16" s="72" t="s">
        <v>61</v>
      </c>
      <c r="G16" s="13">
        <v>44629</v>
      </c>
      <c r="H16" s="10" t="s">
        <v>62</v>
      </c>
      <c r="I16" s="1">
        <v>53</v>
      </c>
      <c r="J16" s="1">
        <v>41</v>
      </c>
      <c r="K16" s="1">
        <v>11</v>
      </c>
      <c r="L16" s="1">
        <v>10</v>
      </c>
      <c r="M16" s="74">
        <v>5.9757499999999997</v>
      </c>
      <c r="N16" s="8">
        <v>10</v>
      </c>
      <c r="O16" s="62">
        <v>14000</v>
      </c>
      <c r="P16" s="63">
        <f t="shared" si="0"/>
        <v>140000</v>
      </c>
      <c r="Q16" s="145"/>
    </row>
    <row r="17" spans="1:17" ht="26.25" customHeight="1" x14ac:dyDescent="0.2">
      <c r="A17" s="105"/>
      <c r="B17" s="71"/>
      <c r="C17" s="9" t="s">
        <v>78</v>
      </c>
      <c r="D17" s="72" t="s">
        <v>60</v>
      </c>
      <c r="E17" s="13">
        <v>44600</v>
      </c>
      <c r="F17" s="72" t="s">
        <v>61</v>
      </c>
      <c r="G17" s="13">
        <v>44629</v>
      </c>
      <c r="H17" s="10" t="s">
        <v>62</v>
      </c>
      <c r="I17" s="1">
        <v>53</v>
      </c>
      <c r="J17" s="1">
        <v>41</v>
      </c>
      <c r="K17" s="1">
        <v>11</v>
      </c>
      <c r="L17" s="1">
        <v>10</v>
      </c>
      <c r="M17" s="74">
        <v>5.9757499999999997</v>
      </c>
      <c r="N17" s="8">
        <v>10</v>
      </c>
      <c r="O17" s="62">
        <v>14000</v>
      </c>
      <c r="P17" s="63">
        <f t="shared" si="0"/>
        <v>140000</v>
      </c>
      <c r="Q17" s="145"/>
    </row>
    <row r="18" spans="1:17" ht="26.25" customHeight="1" x14ac:dyDescent="0.2">
      <c r="A18" s="105"/>
      <c r="B18" s="71"/>
      <c r="C18" s="9" t="s">
        <v>79</v>
      </c>
      <c r="D18" s="72" t="s">
        <v>60</v>
      </c>
      <c r="E18" s="13">
        <v>44600</v>
      </c>
      <c r="F18" s="72" t="s">
        <v>61</v>
      </c>
      <c r="G18" s="13">
        <v>44629</v>
      </c>
      <c r="H18" s="10" t="s">
        <v>62</v>
      </c>
      <c r="I18" s="1">
        <v>53</v>
      </c>
      <c r="J18" s="1">
        <v>41</v>
      </c>
      <c r="K18" s="1">
        <v>11</v>
      </c>
      <c r="L18" s="1">
        <v>10</v>
      </c>
      <c r="M18" s="74">
        <v>5.9757499999999997</v>
      </c>
      <c r="N18" s="8">
        <v>10</v>
      </c>
      <c r="O18" s="62">
        <v>14000</v>
      </c>
      <c r="P18" s="63">
        <f t="shared" si="0"/>
        <v>140000</v>
      </c>
      <c r="Q18" s="145"/>
    </row>
    <row r="19" spans="1:17" ht="26.25" customHeight="1" x14ac:dyDescent="0.2">
      <c r="A19" s="105"/>
      <c r="B19" s="71"/>
      <c r="C19" s="9" t="s">
        <v>80</v>
      </c>
      <c r="D19" s="72" t="s">
        <v>60</v>
      </c>
      <c r="E19" s="13">
        <v>44600</v>
      </c>
      <c r="F19" s="72" t="s">
        <v>61</v>
      </c>
      <c r="G19" s="13">
        <v>44629</v>
      </c>
      <c r="H19" s="10" t="s">
        <v>62</v>
      </c>
      <c r="I19" s="1">
        <v>58</v>
      </c>
      <c r="J19" s="1">
        <v>35</v>
      </c>
      <c r="K19" s="1">
        <v>11</v>
      </c>
      <c r="L19" s="1">
        <v>10</v>
      </c>
      <c r="M19" s="74">
        <v>5.5824999999999996</v>
      </c>
      <c r="N19" s="8">
        <v>10</v>
      </c>
      <c r="O19" s="62">
        <v>14000</v>
      </c>
      <c r="P19" s="63">
        <f t="shared" si="0"/>
        <v>140000</v>
      </c>
      <c r="Q19" s="145"/>
    </row>
    <row r="20" spans="1:17" ht="26.25" customHeight="1" x14ac:dyDescent="0.2">
      <c r="A20" s="105"/>
      <c r="B20" s="71"/>
      <c r="C20" s="9" t="s">
        <v>81</v>
      </c>
      <c r="D20" s="72" t="s">
        <v>60</v>
      </c>
      <c r="E20" s="13">
        <v>44600</v>
      </c>
      <c r="F20" s="72" t="s">
        <v>61</v>
      </c>
      <c r="G20" s="13">
        <v>44629</v>
      </c>
      <c r="H20" s="10" t="s">
        <v>62</v>
      </c>
      <c r="I20" s="1">
        <v>41</v>
      </c>
      <c r="J20" s="1">
        <v>25</v>
      </c>
      <c r="K20" s="1">
        <v>22</v>
      </c>
      <c r="L20" s="1">
        <v>8</v>
      </c>
      <c r="M20" s="74">
        <v>5.6375000000000002</v>
      </c>
      <c r="N20" s="8">
        <v>8</v>
      </c>
      <c r="O20" s="62">
        <v>14000</v>
      </c>
      <c r="P20" s="63">
        <f t="shared" si="0"/>
        <v>112000</v>
      </c>
      <c r="Q20" s="145"/>
    </row>
    <row r="21" spans="1:17" ht="26.25" customHeight="1" x14ac:dyDescent="0.2">
      <c r="A21" s="105"/>
      <c r="B21" s="71"/>
      <c r="C21" s="9" t="s">
        <v>82</v>
      </c>
      <c r="D21" s="72" t="s">
        <v>60</v>
      </c>
      <c r="E21" s="13">
        <v>44600</v>
      </c>
      <c r="F21" s="72" t="s">
        <v>61</v>
      </c>
      <c r="G21" s="13">
        <v>44629</v>
      </c>
      <c r="H21" s="10" t="s">
        <v>62</v>
      </c>
      <c r="I21" s="1">
        <v>90</v>
      </c>
      <c r="J21" s="1">
        <v>65</v>
      </c>
      <c r="K21" s="1">
        <v>8</v>
      </c>
      <c r="L21" s="1">
        <v>7</v>
      </c>
      <c r="M21" s="74">
        <v>11.7</v>
      </c>
      <c r="N21" s="8">
        <v>12</v>
      </c>
      <c r="O21" s="62">
        <v>14000</v>
      </c>
      <c r="P21" s="63">
        <f t="shared" si="0"/>
        <v>168000</v>
      </c>
      <c r="Q21" s="145"/>
    </row>
    <row r="22" spans="1:17" ht="26.25" customHeight="1" x14ac:dyDescent="0.2">
      <c r="A22" s="105"/>
      <c r="B22" s="102"/>
      <c r="C22" s="9" t="s">
        <v>83</v>
      </c>
      <c r="D22" s="72" t="s">
        <v>60</v>
      </c>
      <c r="E22" s="13">
        <v>44600</v>
      </c>
      <c r="F22" s="72" t="s">
        <v>61</v>
      </c>
      <c r="G22" s="13">
        <v>44629</v>
      </c>
      <c r="H22" s="10" t="s">
        <v>62</v>
      </c>
      <c r="I22" s="1">
        <v>75</v>
      </c>
      <c r="J22" s="1">
        <v>50</v>
      </c>
      <c r="K22" s="1">
        <v>8</v>
      </c>
      <c r="L22" s="1">
        <v>10</v>
      </c>
      <c r="M22" s="74">
        <v>7.5</v>
      </c>
      <c r="N22" s="8">
        <v>10</v>
      </c>
      <c r="O22" s="62">
        <v>14000</v>
      </c>
      <c r="P22" s="63">
        <f t="shared" si="0"/>
        <v>140000</v>
      </c>
      <c r="Q22" s="146"/>
    </row>
    <row r="23" spans="1:17" ht="26.25" customHeight="1" x14ac:dyDescent="0.2">
      <c r="A23" s="96">
        <v>403320</v>
      </c>
      <c r="B23" s="70" t="s">
        <v>84</v>
      </c>
      <c r="C23" s="9" t="s">
        <v>85</v>
      </c>
      <c r="D23" s="72" t="s">
        <v>60</v>
      </c>
      <c r="E23" s="13">
        <v>44602</v>
      </c>
      <c r="F23" s="72" t="s">
        <v>61</v>
      </c>
      <c r="G23" s="13">
        <v>44629</v>
      </c>
      <c r="H23" s="10" t="s">
        <v>62</v>
      </c>
      <c r="I23" s="1">
        <v>50</v>
      </c>
      <c r="J23" s="1">
        <v>42</v>
      </c>
      <c r="K23" s="1">
        <v>39</v>
      </c>
      <c r="L23" s="1">
        <v>10</v>
      </c>
      <c r="M23" s="74">
        <v>20.475000000000001</v>
      </c>
      <c r="N23" s="8">
        <v>21</v>
      </c>
      <c r="O23" s="62">
        <v>14000</v>
      </c>
      <c r="P23" s="63">
        <f t="shared" si="0"/>
        <v>294000</v>
      </c>
      <c r="Q23" s="144">
        <v>13</v>
      </c>
    </row>
    <row r="24" spans="1:17" ht="26.25" customHeight="1" x14ac:dyDescent="0.2">
      <c r="A24" s="97"/>
      <c r="B24" s="71"/>
      <c r="C24" s="9" t="s">
        <v>86</v>
      </c>
      <c r="D24" s="72" t="s">
        <v>60</v>
      </c>
      <c r="E24" s="13">
        <v>44602</v>
      </c>
      <c r="F24" s="72" t="s">
        <v>61</v>
      </c>
      <c r="G24" s="13">
        <v>44629</v>
      </c>
      <c r="H24" s="10" t="s">
        <v>62</v>
      </c>
      <c r="I24" s="1">
        <v>42</v>
      </c>
      <c r="J24" s="1">
        <v>25</v>
      </c>
      <c r="K24" s="1">
        <v>80</v>
      </c>
      <c r="L24" s="1">
        <v>10</v>
      </c>
      <c r="M24" s="74">
        <v>21</v>
      </c>
      <c r="N24" s="8">
        <v>21</v>
      </c>
      <c r="O24" s="62">
        <v>14000</v>
      </c>
      <c r="P24" s="63">
        <f t="shared" si="0"/>
        <v>294000</v>
      </c>
      <c r="Q24" s="145"/>
    </row>
    <row r="25" spans="1:17" ht="26.25" customHeight="1" x14ac:dyDescent="0.2">
      <c r="A25" s="97"/>
      <c r="B25" s="71"/>
      <c r="C25" s="9" t="s">
        <v>87</v>
      </c>
      <c r="D25" s="72" t="s">
        <v>60</v>
      </c>
      <c r="E25" s="13">
        <v>44602</v>
      </c>
      <c r="F25" s="72" t="s">
        <v>61</v>
      </c>
      <c r="G25" s="13">
        <v>44629</v>
      </c>
      <c r="H25" s="10" t="s">
        <v>62</v>
      </c>
      <c r="I25" s="1">
        <v>52</v>
      </c>
      <c r="J25" s="1">
        <v>42</v>
      </c>
      <c r="K25" s="1">
        <v>17</v>
      </c>
      <c r="L25" s="1">
        <v>11</v>
      </c>
      <c r="M25" s="74">
        <v>9.282</v>
      </c>
      <c r="N25" s="8">
        <v>11</v>
      </c>
      <c r="O25" s="62">
        <v>14000</v>
      </c>
      <c r="P25" s="63">
        <f t="shared" si="0"/>
        <v>154000</v>
      </c>
      <c r="Q25" s="145"/>
    </row>
    <row r="26" spans="1:17" ht="26.25" customHeight="1" x14ac:dyDescent="0.2">
      <c r="A26" s="97"/>
      <c r="B26" s="71"/>
      <c r="C26" s="9" t="s">
        <v>88</v>
      </c>
      <c r="D26" s="72" t="s">
        <v>60</v>
      </c>
      <c r="E26" s="13">
        <v>44602</v>
      </c>
      <c r="F26" s="72" t="s">
        <v>61</v>
      </c>
      <c r="G26" s="13">
        <v>44629</v>
      </c>
      <c r="H26" s="10" t="s">
        <v>62</v>
      </c>
      <c r="I26" s="1">
        <v>23</v>
      </c>
      <c r="J26" s="1">
        <v>21</v>
      </c>
      <c r="K26" s="1">
        <v>10</v>
      </c>
      <c r="L26" s="1">
        <v>10</v>
      </c>
      <c r="M26" s="74">
        <v>1.2075</v>
      </c>
      <c r="N26" s="8">
        <v>10</v>
      </c>
      <c r="O26" s="62">
        <v>14000</v>
      </c>
      <c r="P26" s="63">
        <f t="shared" si="0"/>
        <v>140000</v>
      </c>
      <c r="Q26" s="145"/>
    </row>
    <row r="27" spans="1:17" ht="26.25" customHeight="1" x14ac:dyDescent="0.2">
      <c r="A27" s="97"/>
      <c r="B27" s="71"/>
      <c r="C27" s="9" t="s">
        <v>89</v>
      </c>
      <c r="D27" s="72" t="s">
        <v>60</v>
      </c>
      <c r="E27" s="13">
        <v>44602</v>
      </c>
      <c r="F27" s="72" t="s">
        <v>61</v>
      </c>
      <c r="G27" s="13">
        <v>44629</v>
      </c>
      <c r="H27" s="10" t="s">
        <v>62</v>
      </c>
      <c r="I27" s="1">
        <v>17</v>
      </c>
      <c r="J27" s="1">
        <v>13</v>
      </c>
      <c r="K27" s="1">
        <v>7</v>
      </c>
      <c r="L27" s="1">
        <v>10</v>
      </c>
      <c r="M27" s="74">
        <v>0.38674999999999998</v>
      </c>
      <c r="N27" s="8">
        <v>10</v>
      </c>
      <c r="O27" s="62">
        <v>14000</v>
      </c>
      <c r="P27" s="63">
        <f t="shared" si="0"/>
        <v>140000</v>
      </c>
      <c r="Q27" s="145"/>
    </row>
    <row r="28" spans="1:17" ht="26.25" customHeight="1" x14ac:dyDescent="0.2">
      <c r="A28" s="97"/>
      <c r="B28" s="71"/>
      <c r="C28" s="9" t="s">
        <v>90</v>
      </c>
      <c r="D28" s="72" t="s">
        <v>60</v>
      </c>
      <c r="E28" s="13">
        <v>44602</v>
      </c>
      <c r="F28" s="72" t="s">
        <v>61</v>
      </c>
      <c r="G28" s="13">
        <v>44629</v>
      </c>
      <c r="H28" s="10" t="s">
        <v>62</v>
      </c>
      <c r="I28" s="1">
        <v>36</v>
      </c>
      <c r="J28" s="1">
        <v>13</v>
      </c>
      <c r="K28" s="1">
        <v>8</v>
      </c>
      <c r="L28" s="1">
        <v>10</v>
      </c>
      <c r="M28" s="74">
        <v>0.93600000000000005</v>
      </c>
      <c r="N28" s="8">
        <v>10</v>
      </c>
      <c r="O28" s="62">
        <v>14000</v>
      </c>
      <c r="P28" s="63">
        <f t="shared" si="0"/>
        <v>140000</v>
      </c>
      <c r="Q28" s="145"/>
    </row>
    <row r="29" spans="1:17" ht="26.25" customHeight="1" x14ac:dyDescent="0.2">
      <c r="A29" s="97"/>
      <c r="B29" s="71"/>
      <c r="C29" s="9" t="s">
        <v>91</v>
      </c>
      <c r="D29" s="72" t="s">
        <v>60</v>
      </c>
      <c r="E29" s="13">
        <v>44602</v>
      </c>
      <c r="F29" s="72" t="s">
        <v>61</v>
      </c>
      <c r="G29" s="13">
        <v>44629</v>
      </c>
      <c r="H29" s="10" t="s">
        <v>62</v>
      </c>
      <c r="I29" s="1">
        <v>150</v>
      </c>
      <c r="J29" s="1">
        <v>65</v>
      </c>
      <c r="K29" s="1">
        <v>10</v>
      </c>
      <c r="L29" s="1">
        <v>11</v>
      </c>
      <c r="M29" s="74">
        <v>24.375</v>
      </c>
      <c r="N29" s="8">
        <v>25</v>
      </c>
      <c r="O29" s="62">
        <v>14000</v>
      </c>
      <c r="P29" s="63">
        <f t="shared" si="0"/>
        <v>350000</v>
      </c>
      <c r="Q29" s="145"/>
    </row>
    <row r="30" spans="1:17" ht="26.25" customHeight="1" x14ac:dyDescent="0.2">
      <c r="A30" s="97"/>
      <c r="B30" s="71"/>
      <c r="C30" s="9" t="s">
        <v>92</v>
      </c>
      <c r="D30" s="72" t="s">
        <v>60</v>
      </c>
      <c r="E30" s="13">
        <v>44602</v>
      </c>
      <c r="F30" s="72" t="s">
        <v>61</v>
      </c>
      <c r="G30" s="13">
        <v>44629</v>
      </c>
      <c r="H30" s="10" t="s">
        <v>62</v>
      </c>
      <c r="I30" s="1">
        <v>150</v>
      </c>
      <c r="J30" s="1">
        <v>65</v>
      </c>
      <c r="K30" s="1">
        <v>10</v>
      </c>
      <c r="L30" s="1">
        <v>11</v>
      </c>
      <c r="M30" s="74">
        <v>24.375</v>
      </c>
      <c r="N30" s="8">
        <v>25</v>
      </c>
      <c r="O30" s="62">
        <v>14000</v>
      </c>
      <c r="P30" s="63">
        <f t="shared" si="0"/>
        <v>350000</v>
      </c>
      <c r="Q30" s="145"/>
    </row>
    <row r="31" spans="1:17" ht="26.25" customHeight="1" x14ac:dyDescent="0.2">
      <c r="A31" s="97"/>
      <c r="B31" s="71"/>
      <c r="C31" s="9" t="s">
        <v>93</v>
      </c>
      <c r="D31" s="72" t="s">
        <v>60</v>
      </c>
      <c r="E31" s="13">
        <v>44602</v>
      </c>
      <c r="F31" s="72" t="s">
        <v>61</v>
      </c>
      <c r="G31" s="13">
        <v>44629</v>
      </c>
      <c r="H31" s="10" t="s">
        <v>62</v>
      </c>
      <c r="I31" s="1">
        <v>150</v>
      </c>
      <c r="J31" s="1">
        <v>65</v>
      </c>
      <c r="K31" s="1">
        <v>10</v>
      </c>
      <c r="L31" s="1">
        <v>11</v>
      </c>
      <c r="M31" s="74">
        <v>24.375</v>
      </c>
      <c r="N31" s="8">
        <v>25</v>
      </c>
      <c r="O31" s="62">
        <v>14000</v>
      </c>
      <c r="P31" s="63">
        <f t="shared" si="0"/>
        <v>350000</v>
      </c>
      <c r="Q31" s="145"/>
    </row>
    <row r="32" spans="1:17" ht="26.25" customHeight="1" x14ac:dyDescent="0.2">
      <c r="A32" s="97"/>
      <c r="B32" s="71"/>
      <c r="C32" s="9" t="s">
        <v>94</v>
      </c>
      <c r="D32" s="72" t="s">
        <v>60</v>
      </c>
      <c r="E32" s="13">
        <v>44602</v>
      </c>
      <c r="F32" s="72" t="s">
        <v>61</v>
      </c>
      <c r="G32" s="13">
        <v>44629</v>
      </c>
      <c r="H32" s="10" t="s">
        <v>62</v>
      </c>
      <c r="I32" s="1">
        <v>76</v>
      </c>
      <c r="J32" s="1">
        <v>100</v>
      </c>
      <c r="K32" s="1">
        <v>35</v>
      </c>
      <c r="L32" s="1">
        <v>12</v>
      </c>
      <c r="M32" s="74">
        <v>66.5</v>
      </c>
      <c r="N32" s="8">
        <v>67</v>
      </c>
      <c r="O32" s="62">
        <v>14000</v>
      </c>
      <c r="P32" s="63">
        <f t="shared" si="0"/>
        <v>938000</v>
      </c>
      <c r="Q32" s="145"/>
    </row>
    <row r="33" spans="1:17" ht="26.25" customHeight="1" x14ac:dyDescent="0.2">
      <c r="A33" s="97"/>
      <c r="B33" s="71"/>
      <c r="C33" s="9" t="s">
        <v>95</v>
      </c>
      <c r="D33" s="72" t="s">
        <v>60</v>
      </c>
      <c r="E33" s="13">
        <v>44602</v>
      </c>
      <c r="F33" s="72" t="s">
        <v>61</v>
      </c>
      <c r="G33" s="13">
        <v>44629</v>
      </c>
      <c r="H33" s="10" t="s">
        <v>62</v>
      </c>
      <c r="I33" s="1">
        <v>70</v>
      </c>
      <c r="J33" s="1">
        <v>55</v>
      </c>
      <c r="K33" s="1">
        <v>57</v>
      </c>
      <c r="L33" s="1">
        <v>11</v>
      </c>
      <c r="M33" s="74">
        <v>54.862499999999997</v>
      </c>
      <c r="N33" s="8">
        <v>55</v>
      </c>
      <c r="O33" s="62">
        <v>14000</v>
      </c>
      <c r="P33" s="63">
        <f t="shared" si="0"/>
        <v>770000</v>
      </c>
      <c r="Q33" s="145"/>
    </row>
    <row r="34" spans="1:17" ht="26.25" customHeight="1" x14ac:dyDescent="0.2">
      <c r="A34" s="97"/>
      <c r="B34" s="102"/>
      <c r="C34" s="9" t="s">
        <v>96</v>
      </c>
      <c r="D34" s="72" t="s">
        <v>60</v>
      </c>
      <c r="E34" s="13">
        <v>44602</v>
      </c>
      <c r="F34" s="72" t="s">
        <v>61</v>
      </c>
      <c r="G34" s="13">
        <v>44629</v>
      </c>
      <c r="H34" s="10" t="s">
        <v>62</v>
      </c>
      <c r="I34" s="1">
        <v>87</v>
      </c>
      <c r="J34" s="1">
        <v>50</v>
      </c>
      <c r="K34" s="1">
        <v>25</v>
      </c>
      <c r="L34" s="1">
        <v>10</v>
      </c>
      <c r="M34" s="74">
        <v>27.1875</v>
      </c>
      <c r="N34" s="8">
        <v>27</v>
      </c>
      <c r="O34" s="62">
        <v>14000</v>
      </c>
      <c r="P34" s="63">
        <f t="shared" si="0"/>
        <v>378000</v>
      </c>
      <c r="Q34" s="145"/>
    </row>
    <row r="35" spans="1:17" ht="26.25" customHeight="1" x14ac:dyDescent="0.2">
      <c r="A35" s="119"/>
      <c r="B35" s="102" t="s">
        <v>97</v>
      </c>
      <c r="C35" s="9" t="s">
        <v>98</v>
      </c>
      <c r="D35" s="72" t="s">
        <v>60</v>
      </c>
      <c r="E35" s="13">
        <v>44602</v>
      </c>
      <c r="F35" s="72" t="s">
        <v>61</v>
      </c>
      <c r="G35" s="13">
        <v>44629</v>
      </c>
      <c r="H35" s="10" t="s">
        <v>62</v>
      </c>
      <c r="I35" s="1">
        <v>56</v>
      </c>
      <c r="J35" s="1">
        <v>40</v>
      </c>
      <c r="K35" s="1">
        <v>26</v>
      </c>
      <c r="L35" s="1">
        <v>10</v>
      </c>
      <c r="M35" s="74">
        <v>14.56</v>
      </c>
      <c r="N35" s="8">
        <v>15</v>
      </c>
      <c r="O35" s="62">
        <v>14000</v>
      </c>
      <c r="P35" s="63">
        <f t="shared" si="0"/>
        <v>210000</v>
      </c>
      <c r="Q35" s="146"/>
    </row>
    <row r="36" spans="1:17" ht="26.25" customHeight="1" x14ac:dyDescent="0.2">
      <c r="A36" s="96">
        <v>403339</v>
      </c>
      <c r="B36" s="70" t="s">
        <v>99</v>
      </c>
      <c r="C36" s="9" t="s">
        <v>100</v>
      </c>
      <c r="D36" s="72" t="s">
        <v>60</v>
      </c>
      <c r="E36" s="13">
        <v>44607</v>
      </c>
      <c r="F36" s="72" t="s">
        <v>102</v>
      </c>
      <c r="G36" s="13">
        <v>44637</v>
      </c>
      <c r="H36" s="10" t="s">
        <v>103</v>
      </c>
      <c r="I36" s="1">
        <v>68</v>
      </c>
      <c r="J36" s="1">
        <v>44</v>
      </c>
      <c r="K36" s="1">
        <v>81</v>
      </c>
      <c r="L36" s="1">
        <v>10</v>
      </c>
      <c r="M36" s="74">
        <v>60.588000000000001</v>
      </c>
      <c r="N36" s="8">
        <v>61</v>
      </c>
      <c r="O36" s="62">
        <v>14000</v>
      </c>
      <c r="P36" s="63">
        <f t="shared" si="0"/>
        <v>854000</v>
      </c>
      <c r="Q36" s="144">
        <v>2</v>
      </c>
    </row>
    <row r="37" spans="1:17" ht="26.25" customHeight="1" x14ac:dyDescent="0.2">
      <c r="A37" s="119"/>
      <c r="B37" s="102"/>
      <c r="C37" s="9" t="s">
        <v>101</v>
      </c>
      <c r="D37" s="72" t="s">
        <v>60</v>
      </c>
      <c r="E37" s="13">
        <v>44607</v>
      </c>
      <c r="F37" s="72" t="s">
        <v>102</v>
      </c>
      <c r="G37" s="13">
        <v>44637</v>
      </c>
      <c r="H37" s="10" t="s">
        <v>103</v>
      </c>
      <c r="I37" s="1">
        <v>68</v>
      </c>
      <c r="J37" s="1">
        <v>44</v>
      </c>
      <c r="K37" s="1">
        <v>81</v>
      </c>
      <c r="L37" s="1">
        <v>10</v>
      </c>
      <c r="M37" s="74">
        <v>60.588000000000001</v>
      </c>
      <c r="N37" s="8">
        <v>61</v>
      </c>
      <c r="O37" s="62">
        <v>14000</v>
      </c>
      <c r="P37" s="63">
        <f t="shared" si="0"/>
        <v>854000</v>
      </c>
      <c r="Q37" s="146"/>
    </row>
    <row r="38" spans="1:17" ht="26.25" customHeight="1" x14ac:dyDescent="0.2">
      <c r="A38" s="96">
        <v>403349</v>
      </c>
      <c r="B38" s="70" t="s">
        <v>104</v>
      </c>
      <c r="C38" s="9" t="s">
        <v>105</v>
      </c>
      <c r="D38" s="72" t="s">
        <v>60</v>
      </c>
      <c r="E38" s="13">
        <v>44609</v>
      </c>
      <c r="F38" s="72" t="s">
        <v>102</v>
      </c>
      <c r="G38" s="13">
        <v>44637</v>
      </c>
      <c r="H38" s="10" t="s">
        <v>103</v>
      </c>
      <c r="I38" s="1">
        <v>37</v>
      </c>
      <c r="J38" s="1">
        <v>37</v>
      </c>
      <c r="K38" s="1">
        <v>59</v>
      </c>
      <c r="L38" s="1">
        <v>8</v>
      </c>
      <c r="M38" s="74">
        <v>20.19275</v>
      </c>
      <c r="N38" s="100">
        <v>20.19275</v>
      </c>
      <c r="O38" s="62">
        <v>14000</v>
      </c>
      <c r="P38" s="63">
        <f t="shared" si="0"/>
        <v>282698.5</v>
      </c>
      <c r="Q38" s="144">
        <v>2</v>
      </c>
    </row>
    <row r="39" spans="1:17" ht="26.25" customHeight="1" x14ac:dyDescent="0.2">
      <c r="A39" s="97"/>
      <c r="B39" s="71"/>
      <c r="C39" s="9" t="s">
        <v>106</v>
      </c>
      <c r="D39" s="72" t="s">
        <v>60</v>
      </c>
      <c r="E39" s="13">
        <v>44609</v>
      </c>
      <c r="F39" s="72" t="s">
        <v>102</v>
      </c>
      <c r="G39" s="13">
        <v>44637</v>
      </c>
      <c r="H39" s="10" t="s">
        <v>103</v>
      </c>
      <c r="I39" s="1">
        <v>87</v>
      </c>
      <c r="J39" s="1">
        <v>46</v>
      </c>
      <c r="K39" s="1">
        <v>17</v>
      </c>
      <c r="L39" s="1">
        <v>9</v>
      </c>
      <c r="M39" s="74">
        <v>17.008500000000002</v>
      </c>
      <c r="N39" s="100">
        <v>17.008500000000002</v>
      </c>
      <c r="O39" s="62">
        <v>14000</v>
      </c>
      <c r="P39" s="63">
        <f t="shared" si="0"/>
        <v>238119.00000000003</v>
      </c>
      <c r="Q39" s="146"/>
    </row>
    <row r="40" spans="1:17" ht="26.25" customHeight="1" x14ac:dyDescent="0.2">
      <c r="A40" s="96">
        <v>404664</v>
      </c>
      <c r="B40" s="70" t="s">
        <v>107</v>
      </c>
      <c r="C40" s="9" t="s">
        <v>108</v>
      </c>
      <c r="D40" s="72" t="s">
        <v>60</v>
      </c>
      <c r="E40" s="13">
        <v>44612</v>
      </c>
      <c r="F40" s="72" t="s">
        <v>102</v>
      </c>
      <c r="G40" s="13">
        <v>44637</v>
      </c>
      <c r="H40" s="10" t="s">
        <v>103</v>
      </c>
      <c r="I40" s="1">
        <v>20</v>
      </c>
      <c r="J40" s="1">
        <v>11</v>
      </c>
      <c r="K40" s="1">
        <v>11</v>
      </c>
      <c r="L40" s="1">
        <v>5</v>
      </c>
      <c r="M40" s="74">
        <v>0.60499999999999998</v>
      </c>
      <c r="N40" s="8">
        <v>5</v>
      </c>
      <c r="O40" s="62">
        <v>14000</v>
      </c>
      <c r="P40" s="63">
        <f t="shared" si="0"/>
        <v>70000</v>
      </c>
      <c r="Q40" s="106">
        <v>1</v>
      </c>
    </row>
    <row r="41" spans="1:17" ht="26.25" customHeight="1" x14ac:dyDescent="0.2">
      <c r="A41" s="96">
        <v>404760</v>
      </c>
      <c r="B41" s="70" t="s">
        <v>109</v>
      </c>
      <c r="C41" s="9" t="s">
        <v>110</v>
      </c>
      <c r="D41" s="72" t="s">
        <v>60</v>
      </c>
      <c r="E41" s="13">
        <v>44617</v>
      </c>
      <c r="F41" s="72" t="s">
        <v>102</v>
      </c>
      <c r="G41" s="13">
        <v>44637</v>
      </c>
      <c r="H41" s="10" t="s">
        <v>103</v>
      </c>
      <c r="I41" s="1">
        <v>17</v>
      </c>
      <c r="J41" s="1">
        <v>12</v>
      </c>
      <c r="K41" s="1">
        <v>8</v>
      </c>
      <c r="L41" s="1">
        <v>13</v>
      </c>
      <c r="M41" s="74">
        <v>0.40799999999999997</v>
      </c>
      <c r="N41" s="8">
        <v>13</v>
      </c>
      <c r="O41" s="62">
        <v>14000</v>
      </c>
      <c r="P41" s="63">
        <f>N41*O41</f>
        <v>182000</v>
      </c>
      <c r="Q41" s="144">
        <v>2</v>
      </c>
    </row>
    <row r="42" spans="1:17" ht="26.25" customHeight="1" x14ac:dyDescent="0.2">
      <c r="A42" s="119"/>
      <c r="B42" s="102"/>
      <c r="C42" s="9" t="s">
        <v>111</v>
      </c>
      <c r="D42" s="72" t="s">
        <v>60</v>
      </c>
      <c r="E42" s="13">
        <v>44617</v>
      </c>
      <c r="F42" s="72" t="s">
        <v>102</v>
      </c>
      <c r="G42" s="13">
        <v>44637</v>
      </c>
      <c r="H42" s="10" t="s">
        <v>103</v>
      </c>
      <c r="I42" s="1">
        <v>17</v>
      </c>
      <c r="J42" s="1">
        <v>12</v>
      </c>
      <c r="K42" s="1">
        <v>8</v>
      </c>
      <c r="L42" s="1">
        <v>13</v>
      </c>
      <c r="M42" s="74">
        <v>0.40799999999999997</v>
      </c>
      <c r="N42" s="8">
        <v>13</v>
      </c>
      <c r="O42" s="62">
        <v>14000</v>
      </c>
      <c r="P42" s="63">
        <f t="shared" ref="P42:P44" si="1">N42*O42</f>
        <v>182000</v>
      </c>
      <c r="Q42" s="146"/>
    </row>
    <row r="43" spans="1:17" ht="26.25" customHeight="1" x14ac:dyDescent="0.2">
      <c r="A43" s="96">
        <v>404684</v>
      </c>
      <c r="B43" s="70" t="s">
        <v>112</v>
      </c>
      <c r="C43" s="9" t="s">
        <v>113</v>
      </c>
      <c r="D43" s="72" t="s">
        <v>60</v>
      </c>
      <c r="E43" s="13">
        <v>44618</v>
      </c>
      <c r="F43" s="72" t="s">
        <v>102</v>
      </c>
      <c r="G43" s="13">
        <v>44637</v>
      </c>
      <c r="H43" s="10" t="s">
        <v>103</v>
      </c>
      <c r="I43" s="1">
        <v>30</v>
      </c>
      <c r="J43" s="1">
        <v>21</v>
      </c>
      <c r="K43" s="1">
        <v>13</v>
      </c>
      <c r="L43" s="1">
        <v>12</v>
      </c>
      <c r="M43" s="74">
        <v>2.0474999999999999</v>
      </c>
      <c r="N43" s="8">
        <v>12</v>
      </c>
      <c r="O43" s="62">
        <v>14000</v>
      </c>
      <c r="P43" s="63">
        <f t="shared" si="1"/>
        <v>168000</v>
      </c>
      <c r="Q43" s="144">
        <v>2</v>
      </c>
    </row>
    <row r="44" spans="1:17" ht="26.25" customHeight="1" thickBot="1" x14ac:dyDescent="0.25">
      <c r="A44" s="97"/>
      <c r="B44" s="71"/>
      <c r="C44" s="107" t="s">
        <v>114</v>
      </c>
      <c r="D44" s="108" t="s">
        <v>60</v>
      </c>
      <c r="E44" s="109">
        <v>44618</v>
      </c>
      <c r="F44" s="108" t="s">
        <v>102</v>
      </c>
      <c r="G44" s="109">
        <v>44637</v>
      </c>
      <c r="H44" s="110" t="s">
        <v>103</v>
      </c>
      <c r="I44" s="111">
        <v>70</v>
      </c>
      <c r="J44" s="111">
        <v>52</v>
      </c>
      <c r="K44" s="111">
        <v>56</v>
      </c>
      <c r="L44" s="111">
        <v>10</v>
      </c>
      <c r="M44" s="112">
        <v>50.96</v>
      </c>
      <c r="N44" s="113">
        <v>21</v>
      </c>
      <c r="O44" s="114">
        <v>14000</v>
      </c>
      <c r="P44" s="63">
        <f t="shared" si="1"/>
        <v>294000</v>
      </c>
      <c r="Q44" s="145"/>
    </row>
    <row r="45" spans="1:17" ht="22.5" customHeight="1" thickBot="1" x14ac:dyDescent="0.25">
      <c r="A45" s="139" t="s">
        <v>30</v>
      </c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1"/>
      <c r="M45" s="115">
        <f>SUM(M3:M44)</f>
        <v>614.83225000000027</v>
      </c>
      <c r="N45" s="116">
        <f>SUM(N3:N44)</f>
        <v>731.20125000000007</v>
      </c>
      <c r="O45" s="142">
        <f>SUM(P3:P44)</f>
        <v>10236817.5</v>
      </c>
      <c r="P45" s="143"/>
      <c r="Q45" s="120">
        <f>SUM(Q3:Q44)</f>
        <v>42</v>
      </c>
    </row>
    <row r="46" spans="1:17" ht="18" customHeight="1" x14ac:dyDescent="0.2">
      <c r="A46" s="79"/>
      <c r="B46" s="55" t="s">
        <v>42</v>
      </c>
      <c r="C46" s="54"/>
      <c r="D46" s="56" t="s">
        <v>43</v>
      </c>
      <c r="E46" s="79"/>
      <c r="F46" s="79"/>
      <c r="G46" s="79"/>
      <c r="H46" s="79"/>
      <c r="I46" s="79"/>
      <c r="J46" s="79"/>
      <c r="K46" s="79"/>
      <c r="L46" s="79"/>
      <c r="M46" s="80"/>
      <c r="N46" s="81" t="s">
        <v>51</v>
      </c>
      <c r="O46" s="82"/>
      <c r="P46" s="82">
        <f>O45*10%</f>
        <v>1023681.75</v>
      </c>
    </row>
    <row r="47" spans="1:17" ht="18" customHeight="1" thickBot="1" x14ac:dyDescent="0.25">
      <c r="A47" s="79"/>
      <c r="B47" s="55"/>
      <c r="C47" s="54"/>
      <c r="D47" s="56"/>
      <c r="E47" s="79"/>
      <c r="F47" s="79"/>
      <c r="G47" s="79"/>
      <c r="H47" s="79"/>
      <c r="I47" s="79"/>
      <c r="J47" s="79"/>
      <c r="K47" s="79"/>
      <c r="L47" s="79"/>
      <c r="M47" s="80"/>
      <c r="N47" s="83" t="s">
        <v>52</v>
      </c>
      <c r="O47" s="84"/>
      <c r="P47" s="84">
        <f>O45-P46</f>
        <v>9213135.75</v>
      </c>
    </row>
    <row r="48" spans="1:17" ht="18" customHeight="1" x14ac:dyDescent="0.2">
      <c r="A48" s="11"/>
      <c r="H48" s="61"/>
      <c r="N48" s="60" t="s">
        <v>31</v>
      </c>
      <c r="P48" s="67">
        <f>P47*1%</f>
        <v>92131.357499999998</v>
      </c>
    </row>
    <row r="49" spans="1:16" ht="18" customHeight="1" thickBot="1" x14ac:dyDescent="0.25">
      <c r="A49" s="11"/>
      <c r="H49" s="61"/>
      <c r="N49" s="60" t="s">
        <v>53</v>
      </c>
      <c r="P49" s="69">
        <f>P47*2%</f>
        <v>184262.715</v>
      </c>
    </row>
    <row r="50" spans="1:16" ht="18" customHeight="1" x14ac:dyDescent="0.2">
      <c r="A50" s="11"/>
      <c r="H50" s="61"/>
      <c r="N50" s="64" t="s">
        <v>32</v>
      </c>
      <c r="O50" s="65"/>
      <c r="P50" s="68">
        <f>P47+P48-P49</f>
        <v>9121004.3925000001</v>
      </c>
    </row>
    <row r="52" spans="1:16" x14ac:dyDescent="0.2">
      <c r="A52" s="11"/>
      <c r="H52" s="61"/>
      <c r="P52" s="69"/>
    </row>
    <row r="53" spans="1:16" x14ac:dyDescent="0.2">
      <c r="A53" s="11"/>
      <c r="H53" s="61"/>
      <c r="O53" s="57"/>
      <c r="P53" s="69"/>
    </row>
    <row r="54" spans="1:16" s="3" customFormat="1" x14ac:dyDescent="0.25">
      <c r="A54" s="11"/>
      <c r="B54" s="2"/>
      <c r="C54" s="2"/>
      <c r="E54" s="12"/>
      <c r="H54" s="61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1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1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1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1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1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1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1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1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1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1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1"/>
      <c r="N65" s="15"/>
      <c r="O65" s="15"/>
      <c r="P65" s="15"/>
    </row>
  </sheetData>
  <mergeCells count="8">
    <mergeCell ref="A45:L45"/>
    <mergeCell ref="O45:P45"/>
    <mergeCell ref="Q4:Q22"/>
    <mergeCell ref="Q23:Q35"/>
    <mergeCell ref="Q36:Q37"/>
    <mergeCell ref="Q38:Q39"/>
    <mergeCell ref="Q41:Q42"/>
    <mergeCell ref="Q43:Q44"/>
  </mergeCells>
  <conditionalFormatting sqref="B3">
    <cfRule type="duplicateValues" dxfId="162" priority="14"/>
  </conditionalFormatting>
  <conditionalFormatting sqref="B4">
    <cfRule type="duplicateValues" dxfId="161" priority="12"/>
  </conditionalFormatting>
  <conditionalFormatting sqref="B5:B22">
    <cfRule type="duplicateValues" dxfId="160" priority="13"/>
  </conditionalFormatting>
  <conditionalFormatting sqref="B23">
    <cfRule type="duplicateValues" dxfId="159" priority="10"/>
  </conditionalFormatting>
  <conditionalFormatting sqref="B24:B35">
    <cfRule type="duplicateValues" dxfId="158" priority="11"/>
  </conditionalFormatting>
  <conditionalFormatting sqref="B36">
    <cfRule type="duplicateValues" dxfId="157" priority="9"/>
  </conditionalFormatting>
  <conditionalFormatting sqref="B37">
    <cfRule type="duplicateValues" dxfId="156" priority="8"/>
  </conditionalFormatting>
  <conditionalFormatting sqref="B38">
    <cfRule type="duplicateValues" dxfId="155" priority="7"/>
  </conditionalFormatting>
  <conditionalFormatting sqref="B39">
    <cfRule type="duplicateValues" dxfId="154" priority="6"/>
  </conditionalFormatting>
  <conditionalFormatting sqref="B40">
    <cfRule type="duplicateValues" dxfId="153" priority="5"/>
  </conditionalFormatting>
  <conditionalFormatting sqref="B41">
    <cfRule type="duplicateValues" dxfId="152" priority="4"/>
  </conditionalFormatting>
  <conditionalFormatting sqref="B42">
    <cfRule type="duplicateValues" dxfId="151" priority="3"/>
  </conditionalFormatting>
  <conditionalFormatting sqref="B43">
    <cfRule type="duplicateValues" dxfId="150" priority="2"/>
  </conditionalFormatting>
  <conditionalFormatting sqref="B44">
    <cfRule type="duplicateValues" dxfId="149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4"/>
  <sheetViews>
    <sheetView zoomScale="110" zoomScaleNormal="110" workbookViewId="0">
      <pane xSplit="3" ySplit="2" topLeftCell="D3" activePane="bottomRight" state="frozen"/>
      <selection activeCell="G12" sqref="G12"/>
      <selection pane="topRight" activeCell="G12" sqref="G12"/>
      <selection pane="bottomLeft" activeCell="G12" sqref="G12"/>
      <selection pane="bottomRight" activeCell="H10" sqref="H10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11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5.85546875" style="6" customWidth="1"/>
    <col min="9" max="11" width="3.85546875" style="3" customWidth="1"/>
    <col min="12" max="12" width="5" style="3" customWidth="1"/>
    <col min="13" max="13" width="8.5703125" style="3" customWidth="1"/>
    <col min="14" max="14" width="12.140625" style="15" customWidth="1"/>
    <col min="15" max="15" width="8.140625" style="15" customWidth="1"/>
    <col min="16" max="16" width="12.28515625" style="15" customWidth="1"/>
    <col min="17" max="17" width="6.42578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9" t="s">
        <v>44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39</v>
      </c>
      <c r="J2" s="7" t="s">
        <v>40</v>
      </c>
      <c r="K2" s="7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76">
        <v>403306</v>
      </c>
      <c r="B3" s="70" t="s">
        <v>58</v>
      </c>
      <c r="C3" s="9" t="s">
        <v>59</v>
      </c>
      <c r="D3" s="72" t="s">
        <v>60</v>
      </c>
      <c r="E3" s="13">
        <v>44597</v>
      </c>
      <c r="F3" s="72" t="s">
        <v>61</v>
      </c>
      <c r="G3" s="13">
        <v>44629</v>
      </c>
      <c r="H3" s="10" t="s">
        <v>62</v>
      </c>
      <c r="I3" s="1">
        <v>20</v>
      </c>
      <c r="J3" s="1">
        <v>10</v>
      </c>
      <c r="K3" s="1">
        <v>10</v>
      </c>
      <c r="L3" s="1">
        <v>1</v>
      </c>
      <c r="M3" s="74">
        <v>0.5</v>
      </c>
      <c r="N3" s="100">
        <v>1</v>
      </c>
      <c r="O3" s="62">
        <v>14000</v>
      </c>
      <c r="P3" s="63">
        <f>Table224578910112[[#This Row],[PEMBULATAN]]*O3</f>
        <v>14000</v>
      </c>
      <c r="Q3" s="99">
        <v>1</v>
      </c>
    </row>
    <row r="4" spans="1:17" ht="22.5" customHeight="1" x14ac:dyDescent="0.2">
      <c r="A4" s="147" t="s">
        <v>30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9"/>
      <c r="M4" s="73">
        <f>SUBTOTAL(109,Table224578910112[KG VOLUME])</f>
        <v>0.5</v>
      </c>
      <c r="N4" s="66">
        <f>SUM(N3:N3)</f>
        <v>1</v>
      </c>
      <c r="O4" s="150">
        <f>SUM(P3:P3)</f>
        <v>14000</v>
      </c>
      <c r="P4" s="151"/>
    </row>
    <row r="5" spans="1:17" ht="18" customHeight="1" x14ac:dyDescent="0.2">
      <c r="A5" s="79"/>
      <c r="B5" s="55" t="s">
        <v>42</v>
      </c>
      <c r="C5" s="54"/>
      <c r="D5" s="56" t="s">
        <v>43</v>
      </c>
      <c r="E5" s="79"/>
      <c r="F5" s="79"/>
      <c r="G5" s="79"/>
      <c r="H5" s="79"/>
      <c r="I5" s="79"/>
      <c r="J5" s="79"/>
      <c r="K5" s="79"/>
      <c r="L5" s="79"/>
      <c r="M5" s="80"/>
      <c r="N5" s="81" t="s">
        <v>51</v>
      </c>
      <c r="O5" s="82"/>
      <c r="P5" s="82">
        <f>O4*10%</f>
        <v>1400</v>
      </c>
    </row>
    <row r="6" spans="1:17" ht="18" customHeight="1" thickBot="1" x14ac:dyDescent="0.25">
      <c r="A6" s="79"/>
      <c r="B6" s="55"/>
      <c r="C6" s="54"/>
      <c r="D6" s="56"/>
      <c r="E6" s="79"/>
      <c r="F6" s="79"/>
      <c r="G6" s="79"/>
      <c r="H6" s="79"/>
      <c r="I6" s="79"/>
      <c r="J6" s="79"/>
      <c r="K6" s="79"/>
      <c r="L6" s="79"/>
      <c r="M6" s="80"/>
      <c r="N6" s="83" t="s">
        <v>52</v>
      </c>
      <c r="O6" s="84"/>
      <c r="P6" s="84">
        <f>O4-P5</f>
        <v>12600</v>
      </c>
    </row>
    <row r="7" spans="1:17" ht="18" customHeight="1" x14ac:dyDescent="0.2">
      <c r="A7" s="11"/>
      <c r="H7" s="61"/>
      <c r="N7" s="60" t="s">
        <v>31</v>
      </c>
      <c r="P7" s="67">
        <f>P6*1%</f>
        <v>126</v>
      </c>
    </row>
    <row r="8" spans="1:17" ht="18" customHeight="1" thickBot="1" x14ac:dyDescent="0.25">
      <c r="A8" s="11"/>
      <c r="H8" s="61"/>
      <c r="N8" s="60" t="s">
        <v>53</v>
      </c>
      <c r="P8" s="69">
        <f>P6*2%</f>
        <v>252</v>
      </c>
    </row>
    <row r="9" spans="1:17" ht="18" customHeight="1" x14ac:dyDescent="0.2">
      <c r="A9" s="11"/>
      <c r="H9" s="61"/>
      <c r="N9" s="64" t="s">
        <v>32</v>
      </c>
      <c r="O9" s="65"/>
      <c r="P9" s="68">
        <f>P6+P7-P8</f>
        <v>12474</v>
      </c>
    </row>
    <row r="11" spans="1:17" x14ac:dyDescent="0.2">
      <c r="A11" s="11"/>
      <c r="H11" s="61"/>
      <c r="P11" s="69"/>
    </row>
    <row r="12" spans="1:17" x14ac:dyDescent="0.2">
      <c r="A12" s="11"/>
      <c r="H12" s="61"/>
      <c r="O12" s="57"/>
      <c r="P12" s="69"/>
    </row>
    <row r="13" spans="1:17" s="3" customFormat="1" x14ac:dyDescent="0.25">
      <c r="A13" s="11"/>
      <c r="B13" s="2"/>
      <c r="C13" s="2"/>
      <c r="E13" s="12"/>
      <c r="H13" s="61"/>
      <c r="N13" s="15"/>
      <c r="O13" s="15"/>
      <c r="P13" s="15"/>
    </row>
    <row r="14" spans="1:17" s="3" customFormat="1" x14ac:dyDescent="0.25">
      <c r="A14" s="11"/>
      <c r="B14" s="2"/>
      <c r="C14" s="2"/>
      <c r="E14" s="12"/>
      <c r="H14" s="61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1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1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1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1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1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1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1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1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1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1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133" priority="1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42"/>
  <sheetViews>
    <sheetView zoomScale="110" zoomScaleNormal="110" workbookViewId="0">
      <pane xSplit="3" ySplit="2" topLeftCell="G3" activePane="bottomRight" state="frozen"/>
      <selection activeCell="G12" sqref="G12"/>
      <selection pane="topRight" activeCell="G12" sqref="G12"/>
      <selection pane="bottomLeft" activeCell="G12" sqref="G12"/>
      <selection pane="bottomRight" activeCell="K6" sqref="K6"/>
    </sheetView>
  </sheetViews>
  <sheetFormatPr defaultRowHeight="15" x14ac:dyDescent="0.2"/>
  <cols>
    <col min="1" max="1" width="7" style="4" customWidth="1"/>
    <col min="2" max="2" width="19.5703125" style="2" customWidth="1"/>
    <col min="3" max="3" width="14.7109375" style="2" customWidth="1"/>
    <col min="4" max="4" width="10.7109375" style="3" customWidth="1"/>
    <col min="5" max="5" width="8" style="12" customWidth="1"/>
    <col min="6" max="6" width="11.85546875" style="3" customWidth="1"/>
    <col min="7" max="7" width="9.5703125" style="3" customWidth="1"/>
    <col min="8" max="8" width="18.285156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9" t="s">
        <v>44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39</v>
      </c>
      <c r="J2" s="7" t="s">
        <v>40</v>
      </c>
      <c r="K2" s="7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90">
        <v>403310</v>
      </c>
      <c r="B3" s="70" t="s">
        <v>63</v>
      </c>
      <c r="C3" s="9" t="s">
        <v>64</v>
      </c>
      <c r="D3" s="72" t="s">
        <v>60</v>
      </c>
      <c r="E3" s="13">
        <v>44600</v>
      </c>
      <c r="F3" s="72" t="s">
        <v>61</v>
      </c>
      <c r="G3" s="13">
        <v>44629</v>
      </c>
      <c r="H3" s="10" t="s">
        <v>62</v>
      </c>
      <c r="I3" s="1">
        <v>15</v>
      </c>
      <c r="J3" s="1">
        <v>11</v>
      </c>
      <c r="K3" s="1">
        <v>6</v>
      </c>
      <c r="L3" s="1">
        <v>8</v>
      </c>
      <c r="M3" s="74">
        <v>0.2475</v>
      </c>
      <c r="N3" s="8">
        <v>8</v>
      </c>
      <c r="O3" s="62">
        <v>14000</v>
      </c>
      <c r="P3" s="63">
        <f t="shared" ref="P3" si="0">N3*O3</f>
        <v>112000</v>
      </c>
      <c r="Q3" s="121">
        <v>19</v>
      </c>
    </row>
    <row r="4" spans="1:17" ht="26.25" customHeight="1" x14ac:dyDescent="0.2">
      <c r="A4" s="101"/>
      <c r="B4" s="71"/>
      <c r="C4" s="9" t="s">
        <v>65</v>
      </c>
      <c r="D4" s="72" t="s">
        <v>60</v>
      </c>
      <c r="E4" s="13">
        <v>44600</v>
      </c>
      <c r="F4" s="72" t="s">
        <v>61</v>
      </c>
      <c r="G4" s="13">
        <v>44629</v>
      </c>
      <c r="H4" s="10" t="s">
        <v>62</v>
      </c>
      <c r="I4" s="1">
        <v>23</v>
      </c>
      <c r="J4" s="1">
        <v>23</v>
      </c>
      <c r="K4" s="1">
        <v>20</v>
      </c>
      <c r="L4" s="1">
        <v>7</v>
      </c>
      <c r="M4" s="74">
        <v>2.645</v>
      </c>
      <c r="N4" s="8">
        <v>7</v>
      </c>
      <c r="O4" s="62">
        <v>14000</v>
      </c>
      <c r="P4" s="63">
        <f>N4*O4</f>
        <v>98000</v>
      </c>
      <c r="Q4" s="122"/>
    </row>
    <row r="5" spans="1:17" ht="26.25" customHeight="1" x14ac:dyDescent="0.2">
      <c r="A5" s="101"/>
      <c r="B5" s="102"/>
      <c r="C5" s="9" t="s">
        <v>66</v>
      </c>
      <c r="D5" s="72" t="s">
        <v>60</v>
      </c>
      <c r="E5" s="13">
        <v>44600</v>
      </c>
      <c r="F5" s="72" t="s">
        <v>61</v>
      </c>
      <c r="G5" s="13">
        <v>44629</v>
      </c>
      <c r="H5" s="10" t="s">
        <v>62</v>
      </c>
      <c r="I5" s="1">
        <v>56</v>
      </c>
      <c r="J5" s="1">
        <v>32</v>
      </c>
      <c r="K5" s="1">
        <v>32</v>
      </c>
      <c r="L5" s="1">
        <v>5</v>
      </c>
      <c r="M5" s="74">
        <v>14.336</v>
      </c>
      <c r="N5" s="8">
        <v>15</v>
      </c>
      <c r="O5" s="62">
        <v>14000</v>
      </c>
      <c r="P5" s="63">
        <f t="shared" ref="P5:P21" si="1">N5*O5</f>
        <v>210000</v>
      </c>
      <c r="Q5" s="122"/>
    </row>
    <row r="6" spans="1:17" ht="26.25" customHeight="1" x14ac:dyDescent="0.2">
      <c r="A6" s="101"/>
      <c r="B6" s="71" t="s">
        <v>67</v>
      </c>
      <c r="C6" s="9" t="s">
        <v>68</v>
      </c>
      <c r="D6" s="72" t="s">
        <v>60</v>
      </c>
      <c r="E6" s="13">
        <v>44600</v>
      </c>
      <c r="F6" s="72" t="s">
        <v>61</v>
      </c>
      <c r="G6" s="13">
        <v>44629</v>
      </c>
      <c r="H6" s="10" t="s">
        <v>62</v>
      </c>
      <c r="I6" s="1">
        <v>23</v>
      </c>
      <c r="J6" s="1">
        <v>23</v>
      </c>
      <c r="K6" s="1">
        <v>20</v>
      </c>
      <c r="L6" s="1">
        <v>7</v>
      </c>
      <c r="M6" s="74">
        <v>2.645</v>
      </c>
      <c r="N6" s="8">
        <v>7</v>
      </c>
      <c r="O6" s="62">
        <v>14000</v>
      </c>
      <c r="P6" s="63">
        <f t="shared" si="1"/>
        <v>98000</v>
      </c>
      <c r="Q6" s="122"/>
    </row>
    <row r="7" spans="1:17" ht="26.25" customHeight="1" x14ac:dyDescent="0.2">
      <c r="A7" s="101"/>
      <c r="B7" s="71"/>
      <c r="C7" s="9" t="s">
        <v>69</v>
      </c>
      <c r="D7" s="72" t="s">
        <v>60</v>
      </c>
      <c r="E7" s="13">
        <v>44600</v>
      </c>
      <c r="F7" s="72" t="s">
        <v>61</v>
      </c>
      <c r="G7" s="13">
        <v>44629</v>
      </c>
      <c r="H7" s="10" t="s">
        <v>62</v>
      </c>
      <c r="I7" s="1">
        <v>23</v>
      </c>
      <c r="J7" s="1">
        <v>23</v>
      </c>
      <c r="K7" s="1">
        <v>20</v>
      </c>
      <c r="L7" s="1">
        <v>7</v>
      </c>
      <c r="M7" s="74">
        <v>2.645</v>
      </c>
      <c r="N7" s="8">
        <v>7</v>
      </c>
      <c r="O7" s="62">
        <v>14000</v>
      </c>
      <c r="P7" s="63">
        <f t="shared" si="1"/>
        <v>98000</v>
      </c>
      <c r="Q7" s="122"/>
    </row>
    <row r="8" spans="1:17" ht="26.25" customHeight="1" x14ac:dyDescent="0.2">
      <c r="A8" s="101"/>
      <c r="B8" s="71"/>
      <c r="C8" s="9" t="s">
        <v>70</v>
      </c>
      <c r="D8" s="72" t="s">
        <v>60</v>
      </c>
      <c r="E8" s="13">
        <v>44600</v>
      </c>
      <c r="F8" s="72" t="s">
        <v>61</v>
      </c>
      <c r="G8" s="13">
        <v>44629</v>
      </c>
      <c r="H8" s="10" t="s">
        <v>62</v>
      </c>
      <c r="I8" s="1">
        <v>45</v>
      </c>
      <c r="J8" s="1">
        <v>35</v>
      </c>
      <c r="K8" s="1">
        <v>20</v>
      </c>
      <c r="L8" s="1">
        <v>9</v>
      </c>
      <c r="M8" s="74">
        <v>7.875</v>
      </c>
      <c r="N8" s="8">
        <v>9</v>
      </c>
      <c r="O8" s="62">
        <v>14000</v>
      </c>
      <c r="P8" s="63">
        <f t="shared" si="1"/>
        <v>126000</v>
      </c>
      <c r="Q8" s="122"/>
    </row>
    <row r="9" spans="1:17" ht="26.25" customHeight="1" x14ac:dyDescent="0.2">
      <c r="A9" s="101"/>
      <c r="B9" s="71"/>
      <c r="C9" s="9" t="s">
        <v>71</v>
      </c>
      <c r="D9" s="72" t="s">
        <v>60</v>
      </c>
      <c r="E9" s="13">
        <v>44600</v>
      </c>
      <c r="F9" s="72" t="s">
        <v>61</v>
      </c>
      <c r="G9" s="13">
        <v>44629</v>
      </c>
      <c r="H9" s="10" t="s">
        <v>62</v>
      </c>
      <c r="I9" s="1">
        <v>36</v>
      </c>
      <c r="J9" s="1">
        <v>36</v>
      </c>
      <c r="K9" s="1">
        <v>18</v>
      </c>
      <c r="L9" s="1">
        <v>12</v>
      </c>
      <c r="M9" s="74">
        <v>5.8319999999999999</v>
      </c>
      <c r="N9" s="8">
        <v>12</v>
      </c>
      <c r="O9" s="62">
        <v>14000</v>
      </c>
      <c r="P9" s="63">
        <f t="shared" si="1"/>
        <v>168000</v>
      </c>
      <c r="Q9" s="122"/>
    </row>
    <row r="10" spans="1:17" ht="26.25" customHeight="1" x14ac:dyDescent="0.2">
      <c r="A10" s="101"/>
      <c r="B10" s="71"/>
      <c r="C10" s="9" t="s">
        <v>72</v>
      </c>
      <c r="D10" s="72" t="s">
        <v>60</v>
      </c>
      <c r="E10" s="13">
        <v>44600</v>
      </c>
      <c r="F10" s="72" t="s">
        <v>61</v>
      </c>
      <c r="G10" s="13">
        <v>44629</v>
      </c>
      <c r="H10" s="10" t="s">
        <v>62</v>
      </c>
      <c r="I10" s="1">
        <v>43</v>
      </c>
      <c r="J10" s="1">
        <v>30</v>
      </c>
      <c r="K10" s="1">
        <v>16</v>
      </c>
      <c r="L10" s="1">
        <v>10</v>
      </c>
      <c r="M10" s="74">
        <v>5.16</v>
      </c>
      <c r="N10" s="8">
        <v>10</v>
      </c>
      <c r="O10" s="62">
        <v>14000</v>
      </c>
      <c r="P10" s="63">
        <f t="shared" si="1"/>
        <v>140000</v>
      </c>
      <c r="Q10" s="122"/>
    </row>
    <row r="11" spans="1:17" ht="26.25" customHeight="1" x14ac:dyDescent="0.2">
      <c r="A11" s="101"/>
      <c r="B11" s="71"/>
      <c r="C11" s="9" t="s">
        <v>73</v>
      </c>
      <c r="D11" s="72" t="s">
        <v>60</v>
      </c>
      <c r="E11" s="13">
        <v>44600</v>
      </c>
      <c r="F11" s="72" t="s">
        <v>61</v>
      </c>
      <c r="G11" s="13">
        <v>44629</v>
      </c>
      <c r="H11" s="10" t="s">
        <v>62</v>
      </c>
      <c r="I11" s="1">
        <v>43</v>
      </c>
      <c r="J11" s="1">
        <v>30</v>
      </c>
      <c r="K11" s="1">
        <v>16</v>
      </c>
      <c r="L11" s="1">
        <v>10</v>
      </c>
      <c r="M11" s="74">
        <v>5.16</v>
      </c>
      <c r="N11" s="8">
        <v>10</v>
      </c>
      <c r="O11" s="62">
        <v>14000</v>
      </c>
      <c r="P11" s="63">
        <f t="shared" si="1"/>
        <v>140000</v>
      </c>
      <c r="Q11" s="122"/>
    </row>
    <row r="12" spans="1:17" ht="26.25" customHeight="1" x14ac:dyDescent="0.2">
      <c r="A12" s="101"/>
      <c r="B12" s="71"/>
      <c r="C12" s="9" t="s">
        <v>74</v>
      </c>
      <c r="D12" s="72" t="s">
        <v>60</v>
      </c>
      <c r="E12" s="13">
        <v>44600</v>
      </c>
      <c r="F12" s="72" t="s">
        <v>61</v>
      </c>
      <c r="G12" s="13">
        <v>44629</v>
      </c>
      <c r="H12" s="10" t="s">
        <v>62</v>
      </c>
      <c r="I12" s="1">
        <v>43</v>
      </c>
      <c r="J12" s="1">
        <v>30</v>
      </c>
      <c r="K12" s="1">
        <v>16</v>
      </c>
      <c r="L12" s="1">
        <v>10</v>
      </c>
      <c r="M12" s="74">
        <v>5.16</v>
      </c>
      <c r="N12" s="8">
        <v>10</v>
      </c>
      <c r="O12" s="62">
        <v>14000</v>
      </c>
      <c r="P12" s="63">
        <f t="shared" si="1"/>
        <v>140000</v>
      </c>
      <c r="Q12" s="122"/>
    </row>
    <row r="13" spans="1:17" ht="26.25" customHeight="1" x14ac:dyDescent="0.2">
      <c r="A13" s="101"/>
      <c r="B13" s="71"/>
      <c r="C13" s="9" t="s">
        <v>75</v>
      </c>
      <c r="D13" s="72" t="s">
        <v>60</v>
      </c>
      <c r="E13" s="13">
        <v>44600</v>
      </c>
      <c r="F13" s="72" t="s">
        <v>61</v>
      </c>
      <c r="G13" s="13">
        <v>44629</v>
      </c>
      <c r="H13" s="10" t="s">
        <v>62</v>
      </c>
      <c r="I13" s="1">
        <v>53</v>
      </c>
      <c r="J13" s="1">
        <v>41</v>
      </c>
      <c r="K13" s="1">
        <v>11</v>
      </c>
      <c r="L13" s="1">
        <v>10</v>
      </c>
      <c r="M13" s="74">
        <v>5.9757499999999997</v>
      </c>
      <c r="N13" s="8">
        <v>10</v>
      </c>
      <c r="O13" s="62">
        <v>14000</v>
      </c>
      <c r="P13" s="63">
        <f t="shared" si="1"/>
        <v>140000</v>
      </c>
      <c r="Q13" s="122"/>
    </row>
    <row r="14" spans="1:17" ht="26.25" customHeight="1" x14ac:dyDescent="0.2">
      <c r="A14" s="101"/>
      <c r="B14" s="71"/>
      <c r="C14" s="9" t="s">
        <v>76</v>
      </c>
      <c r="D14" s="72" t="s">
        <v>60</v>
      </c>
      <c r="E14" s="13">
        <v>44600</v>
      </c>
      <c r="F14" s="72" t="s">
        <v>61</v>
      </c>
      <c r="G14" s="13">
        <v>44629</v>
      </c>
      <c r="H14" s="10" t="s">
        <v>62</v>
      </c>
      <c r="I14" s="1">
        <v>53</v>
      </c>
      <c r="J14" s="1">
        <v>41</v>
      </c>
      <c r="K14" s="1">
        <v>11</v>
      </c>
      <c r="L14" s="1">
        <v>10</v>
      </c>
      <c r="M14" s="74">
        <v>5.9757499999999997</v>
      </c>
      <c r="N14" s="8">
        <v>10</v>
      </c>
      <c r="O14" s="62">
        <v>14000</v>
      </c>
      <c r="P14" s="63">
        <f t="shared" si="1"/>
        <v>140000</v>
      </c>
      <c r="Q14" s="122"/>
    </row>
    <row r="15" spans="1:17" ht="26.25" customHeight="1" x14ac:dyDescent="0.2">
      <c r="A15" s="101"/>
      <c r="B15" s="71"/>
      <c r="C15" s="9" t="s">
        <v>77</v>
      </c>
      <c r="D15" s="72" t="s">
        <v>60</v>
      </c>
      <c r="E15" s="13">
        <v>44600</v>
      </c>
      <c r="F15" s="72" t="s">
        <v>61</v>
      </c>
      <c r="G15" s="13">
        <v>44629</v>
      </c>
      <c r="H15" s="10" t="s">
        <v>62</v>
      </c>
      <c r="I15" s="1">
        <v>53</v>
      </c>
      <c r="J15" s="1">
        <v>41</v>
      </c>
      <c r="K15" s="1">
        <v>11</v>
      </c>
      <c r="L15" s="1">
        <v>10</v>
      </c>
      <c r="M15" s="74">
        <v>5.9757499999999997</v>
      </c>
      <c r="N15" s="8">
        <v>10</v>
      </c>
      <c r="O15" s="62">
        <v>14000</v>
      </c>
      <c r="P15" s="63">
        <f t="shared" si="1"/>
        <v>140000</v>
      </c>
      <c r="Q15" s="122"/>
    </row>
    <row r="16" spans="1:17" ht="26.25" customHeight="1" x14ac:dyDescent="0.2">
      <c r="A16" s="101"/>
      <c r="B16" s="71"/>
      <c r="C16" s="9" t="s">
        <v>78</v>
      </c>
      <c r="D16" s="72" t="s">
        <v>60</v>
      </c>
      <c r="E16" s="13">
        <v>44600</v>
      </c>
      <c r="F16" s="72" t="s">
        <v>61</v>
      </c>
      <c r="G16" s="13">
        <v>44629</v>
      </c>
      <c r="H16" s="10" t="s">
        <v>62</v>
      </c>
      <c r="I16" s="1">
        <v>53</v>
      </c>
      <c r="J16" s="1">
        <v>41</v>
      </c>
      <c r="K16" s="1">
        <v>11</v>
      </c>
      <c r="L16" s="1">
        <v>10</v>
      </c>
      <c r="M16" s="74">
        <v>5.9757499999999997</v>
      </c>
      <c r="N16" s="8">
        <v>10</v>
      </c>
      <c r="O16" s="62">
        <v>14000</v>
      </c>
      <c r="P16" s="63">
        <f t="shared" si="1"/>
        <v>140000</v>
      </c>
      <c r="Q16" s="122"/>
    </row>
    <row r="17" spans="1:17" ht="26.25" customHeight="1" x14ac:dyDescent="0.2">
      <c r="A17" s="101"/>
      <c r="B17" s="71"/>
      <c r="C17" s="9" t="s">
        <v>79</v>
      </c>
      <c r="D17" s="72" t="s">
        <v>60</v>
      </c>
      <c r="E17" s="13">
        <v>44600</v>
      </c>
      <c r="F17" s="72" t="s">
        <v>61</v>
      </c>
      <c r="G17" s="13">
        <v>44629</v>
      </c>
      <c r="H17" s="10" t="s">
        <v>62</v>
      </c>
      <c r="I17" s="1">
        <v>53</v>
      </c>
      <c r="J17" s="1">
        <v>41</v>
      </c>
      <c r="K17" s="1">
        <v>11</v>
      </c>
      <c r="L17" s="1">
        <v>10</v>
      </c>
      <c r="M17" s="74">
        <v>5.9757499999999997</v>
      </c>
      <c r="N17" s="8">
        <v>10</v>
      </c>
      <c r="O17" s="62">
        <v>14000</v>
      </c>
      <c r="P17" s="63">
        <f t="shared" si="1"/>
        <v>140000</v>
      </c>
      <c r="Q17" s="122"/>
    </row>
    <row r="18" spans="1:17" ht="26.25" customHeight="1" x14ac:dyDescent="0.2">
      <c r="A18" s="101"/>
      <c r="B18" s="71"/>
      <c r="C18" s="9" t="s">
        <v>80</v>
      </c>
      <c r="D18" s="72" t="s">
        <v>60</v>
      </c>
      <c r="E18" s="13">
        <v>44600</v>
      </c>
      <c r="F18" s="72" t="s">
        <v>61</v>
      </c>
      <c r="G18" s="13">
        <v>44629</v>
      </c>
      <c r="H18" s="10" t="s">
        <v>62</v>
      </c>
      <c r="I18" s="1">
        <v>58</v>
      </c>
      <c r="J18" s="1">
        <v>35</v>
      </c>
      <c r="K18" s="1">
        <v>11</v>
      </c>
      <c r="L18" s="1">
        <v>10</v>
      </c>
      <c r="M18" s="74">
        <v>5.5824999999999996</v>
      </c>
      <c r="N18" s="8">
        <v>10</v>
      </c>
      <c r="O18" s="62">
        <v>14000</v>
      </c>
      <c r="P18" s="63">
        <f t="shared" si="1"/>
        <v>140000</v>
      </c>
      <c r="Q18" s="122"/>
    </row>
    <row r="19" spans="1:17" ht="26.25" customHeight="1" x14ac:dyDescent="0.2">
      <c r="A19" s="101"/>
      <c r="B19" s="71"/>
      <c r="C19" s="9" t="s">
        <v>81</v>
      </c>
      <c r="D19" s="72" t="s">
        <v>60</v>
      </c>
      <c r="E19" s="13">
        <v>44600</v>
      </c>
      <c r="F19" s="72" t="s">
        <v>61</v>
      </c>
      <c r="G19" s="13">
        <v>44629</v>
      </c>
      <c r="H19" s="10" t="s">
        <v>62</v>
      </c>
      <c r="I19" s="1">
        <v>41</v>
      </c>
      <c r="J19" s="1">
        <v>25</v>
      </c>
      <c r="K19" s="1">
        <v>22</v>
      </c>
      <c r="L19" s="1">
        <v>8</v>
      </c>
      <c r="M19" s="74">
        <v>5.6375000000000002</v>
      </c>
      <c r="N19" s="8">
        <v>8</v>
      </c>
      <c r="O19" s="62">
        <v>14000</v>
      </c>
      <c r="P19" s="63">
        <f t="shared" si="1"/>
        <v>112000</v>
      </c>
      <c r="Q19" s="122"/>
    </row>
    <row r="20" spans="1:17" ht="26.25" customHeight="1" x14ac:dyDescent="0.2">
      <c r="A20" s="101"/>
      <c r="B20" s="71"/>
      <c r="C20" s="9" t="s">
        <v>82</v>
      </c>
      <c r="D20" s="72" t="s">
        <v>60</v>
      </c>
      <c r="E20" s="13">
        <v>44600</v>
      </c>
      <c r="F20" s="72" t="s">
        <v>61</v>
      </c>
      <c r="G20" s="13">
        <v>44629</v>
      </c>
      <c r="H20" s="10" t="s">
        <v>62</v>
      </c>
      <c r="I20" s="1">
        <v>90</v>
      </c>
      <c r="J20" s="1">
        <v>65</v>
      </c>
      <c r="K20" s="1">
        <v>8</v>
      </c>
      <c r="L20" s="1">
        <v>7</v>
      </c>
      <c r="M20" s="74">
        <v>11.7</v>
      </c>
      <c r="N20" s="8">
        <v>12</v>
      </c>
      <c r="O20" s="62">
        <v>14000</v>
      </c>
      <c r="P20" s="63">
        <f t="shared" si="1"/>
        <v>168000</v>
      </c>
      <c r="Q20" s="122"/>
    </row>
    <row r="21" spans="1:17" ht="26.25" customHeight="1" x14ac:dyDescent="0.2">
      <c r="A21" s="101"/>
      <c r="B21" s="102"/>
      <c r="C21" s="9" t="s">
        <v>83</v>
      </c>
      <c r="D21" s="72" t="s">
        <v>60</v>
      </c>
      <c r="E21" s="13">
        <v>44600</v>
      </c>
      <c r="F21" s="72" t="s">
        <v>61</v>
      </c>
      <c r="G21" s="13">
        <v>44629</v>
      </c>
      <c r="H21" s="10" t="s">
        <v>62</v>
      </c>
      <c r="I21" s="1">
        <v>75</v>
      </c>
      <c r="J21" s="1">
        <v>50</v>
      </c>
      <c r="K21" s="1">
        <v>8</v>
      </c>
      <c r="L21" s="1">
        <v>10</v>
      </c>
      <c r="M21" s="74">
        <v>7.5</v>
      </c>
      <c r="N21" s="8">
        <v>10</v>
      </c>
      <c r="O21" s="62">
        <v>14000</v>
      </c>
      <c r="P21" s="63">
        <f t="shared" si="1"/>
        <v>140000</v>
      </c>
      <c r="Q21" s="123"/>
    </row>
    <row r="22" spans="1:17" ht="22.5" customHeight="1" x14ac:dyDescent="0.2">
      <c r="A22" s="147" t="s">
        <v>30</v>
      </c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9"/>
      <c r="M22" s="73">
        <f>SUBTOTAL(109,Table22457891011234[KG VOLUME])</f>
        <v>0.2475</v>
      </c>
      <c r="N22" s="66">
        <f>SUM(N3:N21)</f>
        <v>185</v>
      </c>
      <c r="O22" s="150">
        <f>SUM(P3:P21)</f>
        <v>2590000</v>
      </c>
      <c r="P22" s="151"/>
    </row>
    <row r="23" spans="1:17" ht="18" customHeight="1" x14ac:dyDescent="0.2">
      <c r="A23" s="79"/>
      <c r="B23" s="55" t="s">
        <v>42</v>
      </c>
      <c r="C23" s="54"/>
      <c r="D23" s="56" t="s">
        <v>43</v>
      </c>
      <c r="E23" s="79"/>
      <c r="F23" s="79"/>
      <c r="G23" s="79"/>
      <c r="H23" s="79"/>
      <c r="I23" s="79"/>
      <c r="J23" s="79"/>
      <c r="K23" s="79"/>
      <c r="L23" s="79"/>
      <c r="M23" s="80"/>
      <c r="N23" s="81" t="s">
        <v>51</v>
      </c>
      <c r="O23" s="82"/>
      <c r="P23" s="82">
        <f>O22*10%</f>
        <v>259000</v>
      </c>
    </row>
    <row r="24" spans="1:17" ht="18" customHeight="1" thickBot="1" x14ac:dyDescent="0.25">
      <c r="A24" s="79"/>
      <c r="B24" s="55"/>
      <c r="C24" s="54"/>
      <c r="D24" s="56"/>
      <c r="E24" s="79"/>
      <c r="F24" s="79"/>
      <c r="G24" s="79"/>
      <c r="H24" s="79"/>
      <c r="I24" s="79"/>
      <c r="J24" s="79"/>
      <c r="K24" s="79"/>
      <c r="L24" s="79"/>
      <c r="M24" s="80"/>
      <c r="N24" s="83" t="s">
        <v>52</v>
      </c>
      <c r="O24" s="84"/>
      <c r="P24" s="84">
        <f>O22-P23</f>
        <v>2331000</v>
      </c>
    </row>
    <row r="25" spans="1:17" ht="18" customHeight="1" x14ac:dyDescent="0.2">
      <c r="A25" s="11"/>
      <c r="H25" s="61"/>
      <c r="N25" s="60" t="s">
        <v>31</v>
      </c>
      <c r="P25" s="67">
        <f>P24*1%</f>
        <v>23310</v>
      </c>
    </row>
    <row r="26" spans="1:17" ht="18" customHeight="1" thickBot="1" x14ac:dyDescent="0.25">
      <c r="A26" s="11"/>
      <c r="H26" s="61"/>
      <c r="N26" s="60" t="s">
        <v>53</v>
      </c>
      <c r="P26" s="69">
        <f>P24*2%</f>
        <v>46620</v>
      </c>
    </row>
    <row r="27" spans="1:17" ht="18" customHeight="1" x14ac:dyDescent="0.2">
      <c r="A27" s="11"/>
      <c r="H27" s="61"/>
      <c r="N27" s="64" t="s">
        <v>32</v>
      </c>
      <c r="O27" s="65"/>
      <c r="P27" s="68">
        <f>P24+P25-P26</f>
        <v>2307690</v>
      </c>
    </row>
    <row r="29" spans="1:17" x14ac:dyDescent="0.2">
      <c r="A29" s="11"/>
      <c r="H29" s="61"/>
      <c r="P29" s="69"/>
    </row>
    <row r="30" spans="1:17" x14ac:dyDescent="0.2">
      <c r="A30" s="11"/>
      <c r="H30" s="61"/>
      <c r="O30" s="57"/>
      <c r="P30" s="69"/>
    </row>
    <row r="31" spans="1:17" s="3" customFormat="1" x14ac:dyDescent="0.25">
      <c r="A31" s="11"/>
      <c r="B31" s="2"/>
      <c r="C31" s="2"/>
      <c r="E31" s="12"/>
      <c r="H31" s="61"/>
      <c r="N31" s="15"/>
      <c r="O31" s="15"/>
      <c r="P31" s="15"/>
    </row>
    <row r="32" spans="1:17" s="3" customFormat="1" x14ac:dyDescent="0.25">
      <c r="A32" s="11"/>
      <c r="B32" s="2"/>
      <c r="C32" s="2"/>
      <c r="E32" s="12"/>
      <c r="H32" s="61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1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1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1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1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1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1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1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1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1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1"/>
      <c r="N42" s="15"/>
      <c r="O42" s="15"/>
      <c r="P42" s="15"/>
    </row>
  </sheetData>
  <mergeCells count="2">
    <mergeCell ref="A22:L22"/>
    <mergeCell ref="O22:P22"/>
  </mergeCells>
  <conditionalFormatting sqref="B3">
    <cfRule type="duplicateValues" dxfId="117" priority="3"/>
  </conditionalFormatting>
  <conditionalFormatting sqref="B4:B21">
    <cfRule type="duplicateValues" dxfId="116" priority="1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36"/>
  <sheetViews>
    <sheetView zoomScale="110" zoomScaleNormal="110" workbookViewId="0">
      <pane xSplit="3" ySplit="2" topLeftCell="D3" activePane="bottomRight" state="frozen"/>
      <selection activeCell="G12" sqref="G12"/>
      <selection pane="topRight" activeCell="G12" sqref="G12"/>
      <selection pane="bottomLeft" activeCell="G12" sqref="G12"/>
      <selection pane="bottomRight" activeCell="H11" sqref="H11"/>
    </sheetView>
  </sheetViews>
  <sheetFormatPr defaultRowHeight="15" x14ac:dyDescent="0.2"/>
  <cols>
    <col min="1" max="1" width="7.5703125" style="4" customWidth="1"/>
    <col min="2" max="2" width="19.5703125" style="2" customWidth="1"/>
    <col min="3" max="3" width="14.5703125" style="2" customWidth="1"/>
    <col min="4" max="4" width="10" style="3" customWidth="1"/>
    <col min="5" max="5" width="8" style="12" customWidth="1"/>
    <col min="6" max="6" width="11.85546875" style="3" customWidth="1"/>
    <col min="7" max="7" width="9.5703125" style="3" customWidth="1"/>
    <col min="8" max="8" width="17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42578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9" t="s">
        <v>44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39</v>
      </c>
      <c r="J2" s="7" t="s">
        <v>40</v>
      </c>
      <c r="K2" s="7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76">
        <v>403320</v>
      </c>
      <c r="B3" s="70" t="s">
        <v>84</v>
      </c>
      <c r="C3" s="9" t="s">
        <v>85</v>
      </c>
      <c r="D3" s="72" t="s">
        <v>60</v>
      </c>
      <c r="E3" s="13">
        <v>44602</v>
      </c>
      <c r="F3" s="72" t="s">
        <v>61</v>
      </c>
      <c r="G3" s="13">
        <v>44629</v>
      </c>
      <c r="H3" s="10" t="s">
        <v>62</v>
      </c>
      <c r="I3" s="1">
        <v>50</v>
      </c>
      <c r="J3" s="1">
        <v>42</v>
      </c>
      <c r="K3" s="1">
        <v>39</v>
      </c>
      <c r="L3" s="1">
        <v>10</v>
      </c>
      <c r="M3" s="74">
        <v>20.475000000000001</v>
      </c>
      <c r="N3" s="8">
        <v>21</v>
      </c>
      <c r="O3" s="62">
        <v>14000</v>
      </c>
      <c r="P3" s="63">
        <f>N3*O3</f>
        <v>294000</v>
      </c>
      <c r="Q3" s="121">
        <v>13</v>
      </c>
    </row>
    <row r="4" spans="1:17" ht="26.25" customHeight="1" x14ac:dyDescent="0.2">
      <c r="A4" s="14"/>
      <c r="B4" s="71"/>
      <c r="C4" s="9" t="s">
        <v>86</v>
      </c>
      <c r="D4" s="72" t="s">
        <v>60</v>
      </c>
      <c r="E4" s="13">
        <v>44602</v>
      </c>
      <c r="F4" s="72" t="s">
        <v>61</v>
      </c>
      <c r="G4" s="13">
        <v>44629</v>
      </c>
      <c r="H4" s="10" t="s">
        <v>62</v>
      </c>
      <c r="I4" s="1">
        <v>42</v>
      </c>
      <c r="J4" s="1">
        <v>25</v>
      </c>
      <c r="K4" s="1">
        <v>80</v>
      </c>
      <c r="L4" s="1">
        <v>10</v>
      </c>
      <c r="M4" s="74">
        <v>21</v>
      </c>
      <c r="N4" s="8">
        <v>21</v>
      </c>
      <c r="O4" s="62">
        <v>14000</v>
      </c>
      <c r="P4" s="63">
        <f>N4*O4</f>
        <v>294000</v>
      </c>
      <c r="Q4" s="122"/>
    </row>
    <row r="5" spans="1:17" ht="26.25" customHeight="1" x14ac:dyDescent="0.2">
      <c r="A5" s="14"/>
      <c r="B5" s="71"/>
      <c r="C5" s="9" t="s">
        <v>87</v>
      </c>
      <c r="D5" s="72" t="s">
        <v>60</v>
      </c>
      <c r="E5" s="13">
        <v>44602</v>
      </c>
      <c r="F5" s="72" t="s">
        <v>61</v>
      </c>
      <c r="G5" s="13">
        <v>44629</v>
      </c>
      <c r="H5" s="10" t="s">
        <v>62</v>
      </c>
      <c r="I5" s="1">
        <v>52</v>
      </c>
      <c r="J5" s="1">
        <v>42</v>
      </c>
      <c r="K5" s="1">
        <v>17</v>
      </c>
      <c r="L5" s="1">
        <v>11</v>
      </c>
      <c r="M5" s="74">
        <v>9.282</v>
      </c>
      <c r="N5" s="8">
        <v>11</v>
      </c>
      <c r="O5" s="62">
        <v>14000</v>
      </c>
      <c r="P5" s="63">
        <f t="shared" ref="P5:P15" si="0">N5*O5</f>
        <v>154000</v>
      </c>
      <c r="Q5" s="122"/>
    </row>
    <row r="6" spans="1:17" ht="26.25" customHeight="1" x14ac:dyDescent="0.2">
      <c r="A6" s="14"/>
      <c r="B6" s="71"/>
      <c r="C6" s="9" t="s">
        <v>88</v>
      </c>
      <c r="D6" s="72" t="s">
        <v>60</v>
      </c>
      <c r="E6" s="13">
        <v>44602</v>
      </c>
      <c r="F6" s="72" t="s">
        <v>61</v>
      </c>
      <c r="G6" s="13">
        <v>44629</v>
      </c>
      <c r="H6" s="10" t="s">
        <v>62</v>
      </c>
      <c r="I6" s="1">
        <v>23</v>
      </c>
      <c r="J6" s="1">
        <v>21</v>
      </c>
      <c r="K6" s="1">
        <v>10</v>
      </c>
      <c r="L6" s="1">
        <v>10</v>
      </c>
      <c r="M6" s="74">
        <v>1.2075</v>
      </c>
      <c r="N6" s="8">
        <v>10</v>
      </c>
      <c r="O6" s="62">
        <v>14000</v>
      </c>
      <c r="P6" s="63">
        <f t="shared" si="0"/>
        <v>140000</v>
      </c>
      <c r="Q6" s="122"/>
    </row>
    <row r="7" spans="1:17" ht="26.25" customHeight="1" x14ac:dyDescent="0.2">
      <c r="A7" s="14"/>
      <c r="B7" s="71"/>
      <c r="C7" s="9" t="s">
        <v>89</v>
      </c>
      <c r="D7" s="72" t="s">
        <v>60</v>
      </c>
      <c r="E7" s="13">
        <v>44602</v>
      </c>
      <c r="F7" s="72" t="s">
        <v>61</v>
      </c>
      <c r="G7" s="13">
        <v>44629</v>
      </c>
      <c r="H7" s="10" t="s">
        <v>62</v>
      </c>
      <c r="I7" s="1">
        <v>17</v>
      </c>
      <c r="J7" s="1">
        <v>13</v>
      </c>
      <c r="K7" s="1">
        <v>7</v>
      </c>
      <c r="L7" s="1">
        <v>10</v>
      </c>
      <c r="M7" s="74">
        <v>0.38674999999999998</v>
      </c>
      <c r="N7" s="8">
        <v>10</v>
      </c>
      <c r="O7" s="62">
        <v>14000</v>
      </c>
      <c r="P7" s="63">
        <f t="shared" si="0"/>
        <v>140000</v>
      </c>
      <c r="Q7" s="122"/>
    </row>
    <row r="8" spans="1:17" ht="26.25" customHeight="1" x14ac:dyDescent="0.2">
      <c r="A8" s="14"/>
      <c r="B8" s="71"/>
      <c r="C8" s="9" t="s">
        <v>90</v>
      </c>
      <c r="D8" s="72" t="s">
        <v>60</v>
      </c>
      <c r="E8" s="13">
        <v>44602</v>
      </c>
      <c r="F8" s="72" t="s">
        <v>61</v>
      </c>
      <c r="G8" s="13">
        <v>44629</v>
      </c>
      <c r="H8" s="10" t="s">
        <v>62</v>
      </c>
      <c r="I8" s="1">
        <v>36</v>
      </c>
      <c r="J8" s="1">
        <v>13</v>
      </c>
      <c r="K8" s="1">
        <v>8</v>
      </c>
      <c r="L8" s="1">
        <v>10</v>
      </c>
      <c r="M8" s="74">
        <v>0.93600000000000005</v>
      </c>
      <c r="N8" s="8">
        <v>10</v>
      </c>
      <c r="O8" s="62">
        <v>14000</v>
      </c>
      <c r="P8" s="63">
        <f t="shared" si="0"/>
        <v>140000</v>
      </c>
      <c r="Q8" s="122"/>
    </row>
    <row r="9" spans="1:17" ht="26.25" customHeight="1" x14ac:dyDescent="0.2">
      <c r="A9" s="14"/>
      <c r="B9" s="71"/>
      <c r="C9" s="9" t="s">
        <v>91</v>
      </c>
      <c r="D9" s="72" t="s">
        <v>60</v>
      </c>
      <c r="E9" s="13">
        <v>44602</v>
      </c>
      <c r="F9" s="72" t="s">
        <v>61</v>
      </c>
      <c r="G9" s="13">
        <v>44629</v>
      </c>
      <c r="H9" s="10" t="s">
        <v>62</v>
      </c>
      <c r="I9" s="1">
        <v>150</v>
      </c>
      <c r="J9" s="1">
        <v>65</v>
      </c>
      <c r="K9" s="1">
        <v>10</v>
      </c>
      <c r="L9" s="1">
        <v>11</v>
      </c>
      <c r="M9" s="74">
        <v>24.375</v>
      </c>
      <c r="N9" s="8">
        <v>25</v>
      </c>
      <c r="O9" s="62">
        <v>14000</v>
      </c>
      <c r="P9" s="63">
        <f t="shared" si="0"/>
        <v>350000</v>
      </c>
      <c r="Q9" s="122"/>
    </row>
    <row r="10" spans="1:17" ht="26.25" customHeight="1" x14ac:dyDescent="0.2">
      <c r="A10" s="14"/>
      <c r="B10" s="71"/>
      <c r="C10" s="9" t="s">
        <v>92</v>
      </c>
      <c r="D10" s="72" t="s">
        <v>60</v>
      </c>
      <c r="E10" s="13">
        <v>44602</v>
      </c>
      <c r="F10" s="72" t="s">
        <v>61</v>
      </c>
      <c r="G10" s="13">
        <v>44629</v>
      </c>
      <c r="H10" s="10" t="s">
        <v>62</v>
      </c>
      <c r="I10" s="1">
        <v>150</v>
      </c>
      <c r="J10" s="1">
        <v>65</v>
      </c>
      <c r="K10" s="1">
        <v>10</v>
      </c>
      <c r="L10" s="1">
        <v>11</v>
      </c>
      <c r="M10" s="74">
        <v>24.375</v>
      </c>
      <c r="N10" s="8">
        <v>25</v>
      </c>
      <c r="O10" s="62">
        <v>14000</v>
      </c>
      <c r="P10" s="63">
        <f t="shared" si="0"/>
        <v>350000</v>
      </c>
      <c r="Q10" s="122"/>
    </row>
    <row r="11" spans="1:17" ht="26.25" customHeight="1" x14ac:dyDescent="0.2">
      <c r="A11" s="14"/>
      <c r="B11" s="71"/>
      <c r="C11" s="9" t="s">
        <v>93</v>
      </c>
      <c r="D11" s="72" t="s">
        <v>60</v>
      </c>
      <c r="E11" s="13">
        <v>44602</v>
      </c>
      <c r="F11" s="72" t="s">
        <v>61</v>
      </c>
      <c r="G11" s="13">
        <v>44629</v>
      </c>
      <c r="H11" s="10" t="s">
        <v>62</v>
      </c>
      <c r="I11" s="1">
        <v>150</v>
      </c>
      <c r="J11" s="1">
        <v>65</v>
      </c>
      <c r="K11" s="1">
        <v>10</v>
      </c>
      <c r="L11" s="1">
        <v>11</v>
      </c>
      <c r="M11" s="74">
        <v>24.375</v>
      </c>
      <c r="N11" s="8">
        <v>25</v>
      </c>
      <c r="O11" s="62">
        <v>14000</v>
      </c>
      <c r="P11" s="63">
        <f t="shared" si="0"/>
        <v>350000</v>
      </c>
      <c r="Q11" s="122"/>
    </row>
    <row r="12" spans="1:17" ht="26.25" customHeight="1" x14ac:dyDescent="0.2">
      <c r="A12" s="14"/>
      <c r="B12" s="71"/>
      <c r="C12" s="9" t="s">
        <v>94</v>
      </c>
      <c r="D12" s="72" t="s">
        <v>60</v>
      </c>
      <c r="E12" s="13">
        <v>44602</v>
      </c>
      <c r="F12" s="72" t="s">
        <v>61</v>
      </c>
      <c r="G12" s="13">
        <v>44629</v>
      </c>
      <c r="H12" s="10" t="s">
        <v>62</v>
      </c>
      <c r="I12" s="1">
        <v>76</v>
      </c>
      <c r="J12" s="1">
        <v>100</v>
      </c>
      <c r="K12" s="1">
        <v>35</v>
      </c>
      <c r="L12" s="1">
        <v>12</v>
      </c>
      <c r="M12" s="74">
        <v>66.5</v>
      </c>
      <c r="N12" s="8">
        <v>67</v>
      </c>
      <c r="O12" s="62">
        <v>14000</v>
      </c>
      <c r="P12" s="63">
        <f t="shared" si="0"/>
        <v>938000</v>
      </c>
      <c r="Q12" s="122"/>
    </row>
    <row r="13" spans="1:17" ht="26.25" customHeight="1" x14ac:dyDescent="0.2">
      <c r="A13" s="14"/>
      <c r="B13" s="71"/>
      <c r="C13" s="9" t="s">
        <v>95</v>
      </c>
      <c r="D13" s="72" t="s">
        <v>60</v>
      </c>
      <c r="E13" s="13">
        <v>44602</v>
      </c>
      <c r="F13" s="72" t="s">
        <v>61</v>
      </c>
      <c r="G13" s="13">
        <v>44629</v>
      </c>
      <c r="H13" s="10" t="s">
        <v>62</v>
      </c>
      <c r="I13" s="1">
        <v>70</v>
      </c>
      <c r="J13" s="1">
        <v>55</v>
      </c>
      <c r="K13" s="1">
        <v>57</v>
      </c>
      <c r="L13" s="1">
        <v>11</v>
      </c>
      <c r="M13" s="74">
        <v>54.862499999999997</v>
      </c>
      <c r="N13" s="8">
        <v>55</v>
      </c>
      <c r="O13" s="62">
        <v>14000</v>
      </c>
      <c r="P13" s="63">
        <f t="shared" si="0"/>
        <v>770000</v>
      </c>
      <c r="Q13" s="122"/>
    </row>
    <row r="14" spans="1:17" ht="26.25" customHeight="1" x14ac:dyDescent="0.2">
      <c r="A14" s="14"/>
      <c r="B14" s="102"/>
      <c r="C14" s="9" t="s">
        <v>96</v>
      </c>
      <c r="D14" s="72" t="s">
        <v>60</v>
      </c>
      <c r="E14" s="13">
        <v>44602</v>
      </c>
      <c r="F14" s="72" t="s">
        <v>61</v>
      </c>
      <c r="G14" s="13">
        <v>44629</v>
      </c>
      <c r="H14" s="10" t="s">
        <v>62</v>
      </c>
      <c r="I14" s="1">
        <v>87</v>
      </c>
      <c r="J14" s="1">
        <v>50</v>
      </c>
      <c r="K14" s="1">
        <v>25</v>
      </c>
      <c r="L14" s="1">
        <v>10</v>
      </c>
      <c r="M14" s="74">
        <v>27.1875</v>
      </c>
      <c r="N14" s="8">
        <v>27</v>
      </c>
      <c r="O14" s="62">
        <v>14000</v>
      </c>
      <c r="P14" s="63">
        <f t="shared" si="0"/>
        <v>378000</v>
      </c>
      <c r="Q14" s="122"/>
    </row>
    <row r="15" spans="1:17" ht="26.25" customHeight="1" x14ac:dyDescent="0.2">
      <c r="A15" s="117"/>
      <c r="B15" s="102" t="s">
        <v>97</v>
      </c>
      <c r="C15" s="9" t="s">
        <v>98</v>
      </c>
      <c r="D15" s="72" t="s">
        <v>60</v>
      </c>
      <c r="E15" s="13">
        <v>44602</v>
      </c>
      <c r="F15" s="72" t="s">
        <v>61</v>
      </c>
      <c r="G15" s="13">
        <v>44629</v>
      </c>
      <c r="H15" s="10" t="s">
        <v>62</v>
      </c>
      <c r="I15" s="1">
        <v>56</v>
      </c>
      <c r="J15" s="1">
        <v>40</v>
      </c>
      <c r="K15" s="1">
        <v>26</v>
      </c>
      <c r="L15" s="1">
        <v>10</v>
      </c>
      <c r="M15" s="74">
        <v>14.56</v>
      </c>
      <c r="N15" s="8">
        <v>15</v>
      </c>
      <c r="O15" s="62">
        <v>14000</v>
      </c>
      <c r="P15" s="63">
        <f t="shared" si="0"/>
        <v>210000</v>
      </c>
      <c r="Q15" s="123"/>
    </row>
    <row r="16" spans="1:17" ht="22.5" customHeight="1" x14ac:dyDescent="0.2">
      <c r="A16" s="147" t="s">
        <v>30</v>
      </c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9"/>
      <c r="M16" s="73">
        <f>SUM(M3:M15)</f>
        <v>289.52224999999999</v>
      </c>
      <c r="N16" s="66">
        <f>SUM(N3:N15)</f>
        <v>322</v>
      </c>
      <c r="O16" s="150">
        <f>SUM(P3:P15)</f>
        <v>4508000</v>
      </c>
      <c r="P16" s="151"/>
    </row>
    <row r="17" spans="1:16" ht="18" customHeight="1" x14ac:dyDescent="0.2">
      <c r="A17" s="79"/>
      <c r="B17" s="55" t="s">
        <v>42</v>
      </c>
      <c r="C17" s="54"/>
      <c r="D17" s="56" t="s">
        <v>43</v>
      </c>
      <c r="E17" s="79"/>
      <c r="F17" s="79"/>
      <c r="G17" s="79"/>
      <c r="H17" s="79"/>
      <c r="I17" s="79"/>
      <c r="J17" s="79"/>
      <c r="K17" s="79"/>
      <c r="L17" s="79"/>
      <c r="M17" s="80"/>
      <c r="N17" s="81" t="s">
        <v>51</v>
      </c>
      <c r="O17" s="82"/>
      <c r="P17" s="82">
        <f>O16*10%</f>
        <v>450800</v>
      </c>
    </row>
    <row r="18" spans="1:16" ht="18" customHeight="1" thickBot="1" x14ac:dyDescent="0.25">
      <c r="A18" s="79"/>
      <c r="B18" s="55"/>
      <c r="C18" s="54"/>
      <c r="D18" s="56"/>
      <c r="E18" s="79"/>
      <c r="F18" s="79"/>
      <c r="G18" s="79"/>
      <c r="H18" s="79"/>
      <c r="I18" s="79"/>
      <c r="J18" s="79"/>
      <c r="K18" s="79"/>
      <c r="L18" s="79"/>
      <c r="M18" s="80"/>
      <c r="N18" s="83" t="s">
        <v>52</v>
      </c>
      <c r="O18" s="84"/>
      <c r="P18" s="84">
        <f>O16-P17</f>
        <v>4057200</v>
      </c>
    </row>
    <row r="19" spans="1:16" ht="18" customHeight="1" x14ac:dyDescent="0.2">
      <c r="A19" s="11"/>
      <c r="H19" s="61"/>
      <c r="N19" s="60" t="s">
        <v>31</v>
      </c>
      <c r="P19" s="67">
        <f>P18*1%</f>
        <v>40572</v>
      </c>
    </row>
    <row r="20" spans="1:16" ht="18" customHeight="1" thickBot="1" x14ac:dyDescent="0.25">
      <c r="A20" s="11"/>
      <c r="H20" s="61"/>
      <c r="N20" s="60" t="s">
        <v>53</v>
      </c>
      <c r="P20" s="69">
        <f>P18*2%</f>
        <v>81144</v>
      </c>
    </row>
    <row r="21" spans="1:16" ht="18" customHeight="1" x14ac:dyDescent="0.2">
      <c r="A21" s="11"/>
      <c r="H21" s="61"/>
      <c r="N21" s="64" t="s">
        <v>32</v>
      </c>
      <c r="O21" s="65"/>
      <c r="P21" s="68">
        <f>P18+P19-P20</f>
        <v>4016628</v>
      </c>
    </row>
    <row r="23" spans="1:16" x14ac:dyDescent="0.2">
      <c r="A23" s="11"/>
      <c r="H23" s="61"/>
      <c r="P23" s="69"/>
    </row>
    <row r="24" spans="1:16" x14ac:dyDescent="0.2">
      <c r="A24" s="11"/>
      <c r="H24" s="61"/>
      <c r="O24" s="57"/>
      <c r="P24" s="69"/>
    </row>
    <row r="25" spans="1:16" s="3" customFormat="1" x14ac:dyDescent="0.25">
      <c r="A25" s="11"/>
      <c r="B25" s="2"/>
      <c r="C25" s="2"/>
      <c r="E25" s="12"/>
      <c r="H25" s="61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1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1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1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1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1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1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1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1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1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1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1"/>
      <c r="N36" s="15"/>
      <c r="O36" s="15"/>
      <c r="P36" s="15"/>
    </row>
  </sheetData>
  <mergeCells count="2">
    <mergeCell ref="A16:L16"/>
    <mergeCell ref="O16:P16"/>
  </mergeCells>
  <conditionalFormatting sqref="B3">
    <cfRule type="duplicateValues" dxfId="100" priority="3"/>
  </conditionalFormatting>
  <conditionalFormatting sqref="B4:B15">
    <cfRule type="duplicateValues" dxfId="99" priority="1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5"/>
  <sheetViews>
    <sheetView zoomScale="110" zoomScaleNormal="110" workbookViewId="0">
      <pane xSplit="3" ySplit="2" topLeftCell="D3" activePane="bottomRight" state="frozen"/>
      <selection activeCell="G12" sqref="G12"/>
      <selection pane="topRight" activeCell="G12" sqref="G12"/>
      <selection pane="bottomLeft" activeCell="G12" sqref="G12"/>
      <selection pane="bottomRight" activeCell="Q1" sqref="Q1:R1"/>
    </sheetView>
  </sheetViews>
  <sheetFormatPr defaultRowHeight="15" x14ac:dyDescent="0.2"/>
  <cols>
    <col min="1" max="1" width="6.7109375" style="4" customWidth="1"/>
    <col min="2" max="2" width="19.5703125" style="2" customWidth="1"/>
    <col min="3" max="3" width="14.5703125" style="2" customWidth="1"/>
    <col min="4" max="4" width="10.5703125" style="3" customWidth="1"/>
    <col min="5" max="5" width="8.42578125" style="12" customWidth="1"/>
    <col min="6" max="6" width="12.85546875" style="3" customWidth="1"/>
    <col min="7" max="7" width="9.140625" style="3" customWidth="1"/>
    <col min="8" max="8" width="16" style="6" customWidth="1"/>
    <col min="9" max="11" width="4.42578125" style="3" customWidth="1"/>
    <col min="12" max="12" width="5" style="3" customWidth="1"/>
    <col min="13" max="13" width="8.5703125" style="3" customWidth="1"/>
    <col min="14" max="14" width="12.5703125" style="15" customWidth="1"/>
    <col min="15" max="15" width="8.140625" style="15" customWidth="1"/>
    <col min="16" max="16" width="12.28515625" style="15" customWidth="1"/>
    <col min="17" max="17" width="6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9" t="s">
        <v>44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39</v>
      </c>
      <c r="J2" s="7" t="s">
        <v>40</v>
      </c>
      <c r="K2" s="7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76">
        <v>403339</v>
      </c>
      <c r="B3" s="70" t="s">
        <v>99</v>
      </c>
      <c r="C3" s="9" t="s">
        <v>100</v>
      </c>
      <c r="D3" s="72" t="s">
        <v>60</v>
      </c>
      <c r="E3" s="13">
        <v>44607</v>
      </c>
      <c r="F3" s="72" t="s">
        <v>102</v>
      </c>
      <c r="G3" s="13">
        <v>44637</v>
      </c>
      <c r="H3" s="10" t="s">
        <v>103</v>
      </c>
      <c r="I3" s="1">
        <v>68</v>
      </c>
      <c r="J3" s="1">
        <v>44</v>
      </c>
      <c r="K3" s="1">
        <v>81</v>
      </c>
      <c r="L3" s="1">
        <v>10</v>
      </c>
      <c r="M3" s="74">
        <v>60.588000000000001</v>
      </c>
      <c r="N3" s="8">
        <v>61</v>
      </c>
      <c r="O3" s="62">
        <v>14000</v>
      </c>
      <c r="P3" s="63">
        <f>Table2245789101123456[[#This Row],[PEMBULATAN]]*O3</f>
        <v>854000</v>
      </c>
      <c r="Q3" s="152">
        <v>2</v>
      </c>
    </row>
    <row r="4" spans="1:17" ht="26.25" customHeight="1" x14ac:dyDescent="0.2">
      <c r="A4" s="117"/>
      <c r="B4" s="102"/>
      <c r="C4" s="9" t="s">
        <v>101</v>
      </c>
      <c r="D4" s="72" t="s">
        <v>60</v>
      </c>
      <c r="E4" s="13">
        <v>44607</v>
      </c>
      <c r="F4" s="72" t="s">
        <v>102</v>
      </c>
      <c r="G4" s="13">
        <v>44637</v>
      </c>
      <c r="H4" s="10" t="s">
        <v>103</v>
      </c>
      <c r="I4" s="1">
        <v>68</v>
      </c>
      <c r="J4" s="1">
        <v>44</v>
      </c>
      <c r="K4" s="1">
        <v>81</v>
      </c>
      <c r="L4" s="1">
        <v>10</v>
      </c>
      <c r="M4" s="74">
        <v>60.588000000000001</v>
      </c>
      <c r="N4" s="8">
        <v>61</v>
      </c>
      <c r="O4" s="62">
        <v>14000</v>
      </c>
      <c r="P4" s="63">
        <f>N4*O4</f>
        <v>854000</v>
      </c>
      <c r="Q4" s="153"/>
    </row>
    <row r="5" spans="1:17" ht="22.5" customHeight="1" x14ac:dyDescent="0.2">
      <c r="A5" s="147" t="s">
        <v>30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9"/>
      <c r="M5" s="73">
        <f>SUBTOTAL(109,Table2245789101123456[KG VOLUME])</f>
        <v>60.588000000000001</v>
      </c>
      <c r="N5" s="118">
        <f>SUM(N3:N4)</f>
        <v>122</v>
      </c>
      <c r="O5" s="150">
        <f>SUM(P3:P3)</f>
        <v>854000</v>
      </c>
      <c r="P5" s="151"/>
    </row>
    <row r="6" spans="1:17" ht="18" customHeight="1" x14ac:dyDescent="0.2">
      <c r="A6" s="79"/>
      <c r="B6" s="55" t="s">
        <v>42</v>
      </c>
      <c r="C6" s="54"/>
      <c r="D6" s="56" t="s">
        <v>43</v>
      </c>
      <c r="E6" s="79"/>
      <c r="F6" s="79"/>
      <c r="G6" s="79"/>
      <c r="H6" s="79"/>
      <c r="I6" s="79"/>
      <c r="J6" s="79"/>
      <c r="K6" s="79"/>
      <c r="L6" s="79"/>
      <c r="M6" s="80"/>
      <c r="N6" s="81" t="s">
        <v>51</v>
      </c>
      <c r="O6" s="82"/>
      <c r="P6" s="82">
        <f>O5*10%</f>
        <v>85400</v>
      </c>
    </row>
    <row r="7" spans="1:17" ht="18" customHeight="1" thickBot="1" x14ac:dyDescent="0.25">
      <c r="A7" s="79"/>
      <c r="B7" s="55"/>
      <c r="C7" s="54"/>
      <c r="D7" s="56"/>
      <c r="E7" s="79"/>
      <c r="F7" s="79"/>
      <c r="G7" s="79"/>
      <c r="H7" s="79"/>
      <c r="I7" s="79"/>
      <c r="J7" s="79"/>
      <c r="K7" s="79"/>
      <c r="L7" s="79"/>
      <c r="M7" s="80"/>
      <c r="N7" s="83" t="s">
        <v>52</v>
      </c>
      <c r="O7" s="84"/>
      <c r="P7" s="84">
        <f>O5-P6</f>
        <v>768600</v>
      </c>
    </row>
    <row r="8" spans="1:17" ht="18" customHeight="1" x14ac:dyDescent="0.2">
      <c r="A8" s="11"/>
      <c r="H8" s="61"/>
      <c r="N8" s="60" t="s">
        <v>31</v>
      </c>
      <c r="P8" s="67">
        <f>P7*1%</f>
        <v>7686</v>
      </c>
    </row>
    <row r="9" spans="1:17" ht="18" customHeight="1" thickBot="1" x14ac:dyDescent="0.25">
      <c r="A9" s="11"/>
      <c r="H9" s="61"/>
      <c r="N9" s="60" t="s">
        <v>53</v>
      </c>
      <c r="P9" s="69">
        <f>P7*2%</f>
        <v>15372</v>
      </c>
    </row>
    <row r="10" spans="1:17" ht="18" customHeight="1" x14ac:dyDescent="0.2">
      <c r="A10" s="11"/>
      <c r="H10" s="61"/>
      <c r="N10" s="64" t="s">
        <v>32</v>
      </c>
      <c r="O10" s="65"/>
      <c r="P10" s="68">
        <f>P7+P8-P9</f>
        <v>760914</v>
      </c>
    </row>
    <row r="12" spans="1:17" x14ac:dyDescent="0.2">
      <c r="A12" s="11"/>
      <c r="H12" s="61"/>
      <c r="P12" s="69"/>
    </row>
    <row r="13" spans="1:17" x14ac:dyDescent="0.2">
      <c r="A13" s="11"/>
      <c r="H13" s="61"/>
      <c r="O13" s="57"/>
      <c r="P13" s="69"/>
    </row>
    <row r="14" spans="1:17" s="3" customFormat="1" x14ac:dyDescent="0.25">
      <c r="A14" s="11"/>
      <c r="B14" s="2"/>
      <c r="C14" s="2"/>
      <c r="E14" s="12"/>
      <c r="H14" s="61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1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1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1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1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1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1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1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1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1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1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1"/>
      <c r="N25" s="15"/>
      <c r="O25" s="15"/>
      <c r="P25" s="15"/>
    </row>
  </sheetData>
  <mergeCells count="3">
    <mergeCell ref="A5:L5"/>
    <mergeCell ref="O5:P5"/>
    <mergeCell ref="Q3:Q4"/>
  </mergeCells>
  <conditionalFormatting sqref="B3">
    <cfRule type="duplicateValues" dxfId="83" priority="3"/>
  </conditionalFormatting>
  <conditionalFormatting sqref="B4">
    <cfRule type="duplicateValues" dxfId="82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5"/>
  <sheetViews>
    <sheetView zoomScale="110" zoomScaleNormal="110" workbookViewId="0">
      <pane xSplit="3" ySplit="2" topLeftCell="D3" activePane="bottomRight" state="frozen"/>
      <selection activeCell="G12" sqref="G12"/>
      <selection pane="topRight" activeCell="G12" sqref="G12"/>
      <selection pane="bottomLeft" activeCell="G12" sqref="G12"/>
      <selection pane="bottomRight" activeCell="G8" sqref="G8"/>
    </sheetView>
  </sheetViews>
  <sheetFormatPr defaultRowHeight="15" x14ac:dyDescent="0.2"/>
  <cols>
    <col min="1" max="1" width="7.140625" style="4" customWidth="1"/>
    <col min="2" max="2" width="20.28515625" style="2" customWidth="1"/>
    <col min="3" max="3" width="14.5703125" style="2" customWidth="1"/>
    <col min="4" max="4" width="10.42578125" style="3" customWidth="1"/>
    <col min="5" max="5" width="9.140625" style="12" customWidth="1"/>
    <col min="6" max="6" width="13.28515625" style="3" customWidth="1"/>
    <col min="7" max="7" width="9.5703125" style="3" customWidth="1"/>
    <col min="8" max="8" width="16.7109375" style="6" customWidth="1"/>
    <col min="9" max="11" width="4" style="3" customWidth="1"/>
    <col min="12" max="12" width="5" style="3" customWidth="1"/>
    <col min="13" max="13" width="8.5703125" style="3" customWidth="1"/>
    <col min="14" max="14" width="12.42578125" style="15" customWidth="1"/>
    <col min="15" max="15" width="8.140625" style="15" customWidth="1"/>
    <col min="16" max="16" width="12.28515625" style="15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9" t="s">
        <v>44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39</v>
      </c>
      <c r="J2" s="7" t="s">
        <v>40</v>
      </c>
      <c r="K2" s="7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76">
        <v>403349</v>
      </c>
      <c r="B3" s="70" t="s">
        <v>104</v>
      </c>
      <c r="C3" s="9" t="s">
        <v>105</v>
      </c>
      <c r="D3" s="72" t="s">
        <v>60</v>
      </c>
      <c r="E3" s="13">
        <v>44609</v>
      </c>
      <c r="F3" s="72" t="s">
        <v>102</v>
      </c>
      <c r="G3" s="13">
        <v>44637</v>
      </c>
      <c r="H3" s="10" t="s">
        <v>103</v>
      </c>
      <c r="I3" s="1">
        <v>37</v>
      </c>
      <c r="J3" s="1">
        <v>37</v>
      </c>
      <c r="K3" s="1">
        <v>59</v>
      </c>
      <c r="L3" s="1">
        <v>8</v>
      </c>
      <c r="M3" s="74">
        <v>20.19275</v>
      </c>
      <c r="N3" s="100">
        <v>20.19275</v>
      </c>
      <c r="O3" s="62">
        <v>14000</v>
      </c>
      <c r="P3" s="63">
        <f>N3*O3</f>
        <v>282698.5</v>
      </c>
      <c r="Q3" s="152">
        <v>2</v>
      </c>
    </row>
    <row r="4" spans="1:17" ht="26.25" customHeight="1" x14ac:dyDescent="0.2">
      <c r="A4" s="14"/>
      <c r="B4" s="71"/>
      <c r="C4" s="9" t="s">
        <v>106</v>
      </c>
      <c r="D4" s="72" t="s">
        <v>60</v>
      </c>
      <c r="E4" s="13">
        <v>44609</v>
      </c>
      <c r="F4" s="72" t="s">
        <v>102</v>
      </c>
      <c r="G4" s="13">
        <v>44637</v>
      </c>
      <c r="H4" s="10" t="s">
        <v>103</v>
      </c>
      <c r="I4" s="1">
        <v>87</v>
      </c>
      <c r="J4" s="1">
        <v>46</v>
      </c>
      <c r="K4" s="1">
        <v>17</v>
      </c>
      <c r="L4" s="1">
        <v>9</v>
      </c>
      <c r="M4" s="74">
        <v>17.008500000000002</v>
      </c>
      <c r="N4" s="100">
        <v>17.008500000000002</v>
      </c>
      <c r="O4" s="62">
        <v>14000</v>
      </c>
      <c r="P4" s="63">
        <f>N4*O4</f>
        <v>238119.00000000003</v>
      </c>
      <c r="Q4" s="153"/>
    </row>
    <row r="5" spans="1:17" ht="22.5" customHeight="1" x14ac:dyDescent="0.2">
      <c r="A5" s="147" t="s">
        <v>30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9"/>
      <c r="M5" s="73">
        <f>SUBTOTAL(109,Table22457891011234567[KG VOLUME])</f>
        <v>20.19275</v>
      </c>
      <c r="N5" s="66">
        <f>SUM(N3:N4)</f>
        <v>37.201250000000002</v>
      </c>
      <c r="O5" s="150">
        <f>SUM(P3:P4)</f>
        <v>520817.5</v>
      </c>
      <c r="P5" s="151"/>
    </row>
    <row r="6" spans="1:17" ht="18" customHeight="1" x14ac:dyDescent="0.2">
      <c r="A6" s="79"/>
      <c r="B6" s="55" t="s">
        <v>42</v>
      </c>
      <c r="C6" s="54"/>
      <c r="D6" s="56" t="s">
        <v>43</v>
      </c>
      <c r="E6" s="79"/>
      <c r="F6" s="79"/>
      <c r="G6" s="79"/>
      <c r="H6" s="79"/>
      <c r="I6" s="79"/>
      <c r="J6" s="79"/>
      <c r="K6" s="79"/>
      <c r="L6" s="79"/>
      <c r="M6" s="80"/>
      <c r="N6" s="81" t="s">
        <v>51</v>
      </c>
      <c r="O6" s="82"/>
      <c r="P6" s="82">
        <f>O5*10%</f>
        <v>52081.75</v>
      </c>
    </row>
    <row r="7" spans="1:17" ht="18" customHeight="1" thickBot="1" x14ac:dyDescent="0.25">
      <c r="A7" s="79"/>
      <c r="B7" s="55"/>
      <c r="C7" s="54"/>
      <c r="D7" s="56"/>
      <c r="E7" s="79"/>
      <c r="F7" s="79"/>
      <c r="G7" s="79"/>
      <c r="H7" s="79"/>
      <c r="I7" s="79"/>
      <c r="J7" s="79"/>
      <c r="K7" s="79"/>
      <c r="L7" s="79"/>
      <c r="M7" s="80"/>
      <c r="N7" s="83" t="s">
        <v>52</v>
      </c>
      <c r="O7" s="84"/>
      <c r="P7" s="84">
        <f>O5-P6</f>
        <v>468735.75</v>
      </c>
    </row>
    <row r="8" spans="1:17" ht="18" customHeight="1" x14ac:dyDescent="0.2">
      <c r="A8" s="11"/>
      <c r="H8" s="61"/>
      <c r="N8" s="60" t="s">
        <v>31</v>
      </c>
      <c r="P8" s="67">
        <f>P7*1%</f>
        <v>4687.3575000000001</v>
      </c>
    </row>
    <row r="9" spans="1:17" ht="18" customHeight="1" thickBot="1" x14ac:dyDescent="0.25">
      <c r="A9" s="11"/>
      <c r="H9" s="61"/>
      <c r="N9" s="60" t="s">
        <v>53</v>
      </c>
      <c r="P9" s="69">
        <f>P7*2%</f>
        <v>9374.7150000000001</v>
      </c>
    </row>
    <row r="10" spans="1:17" ht="18" customHeight="1" x14ac:dyDescent="0.2">
      <c r="A10" s="11"/>
      <c r="H10" s="61"/>
      <c r="N10" s="64" t="s">
        <v>32</v>
      </c>
      <c r="O10" s="65"/>
      <c r="P10" s="68">
        <f>P7+P8-P9</f>
        <v>464048.39249999996</v>
      </c>
    </row>
    <row r="12" spans="1:17" x14ac:dyDescent="0.2">
      <c r="A12" s="11"/>
      <c r="H12" s="61"/>
      <c r="P12" s="69"/>
    </row>
    <row r="13" spans="1:17" x14ac:dyDescent="0.2">
      <c r="A13" s="11"/>
      <c r="H13" s="61"/>
      <c r="O13" s="57"/>
      <c r="P13" s="69"/>
    </row>
    <row r="14" spans="1:17" s="3" customFormat="1" x14ac:dyDescent="0.25">
      <c r="A14" s="11"/>
      <c r="B14" s="2"/>
      <c r="C14" s="2"/>
      <c r="E14" s="12"/>
      <c r="H14" s="61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1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1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1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1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1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1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1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1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1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1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1"/>
      <c r="N25" s="15"/>
      <c r="O25" s="15"/>
      <c r="P25" s="15"/>
    </row>
  </sheetData>
  <mergeCells count="3">
    <mergeCell ref="A5:L5"/>
    <mergeCell ref="O5:P5"/>
    <mergeCell ref="Q3:Q4"/>
  </mergeCells>
  <conditionalFormatting sqref="B3">
    <cfRule type="duplicateValues" dxfId="66" priority="3"/>
  </conditionalFormatting>
  <conditionalFormatting sqref="B4">
    <cfRule type="duplicateValues" dxfId="6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4"/>
  <sheetViews>
    <sheetView zoomScale="110" zoomScaleNormal="110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F6" sqref="F6"/>
    </sheetView>
  </sheetViews>
  <sheetFormatPr defaultRowHeight="15" x14ac:dyDescent="0.2"/>
  <cols>
    <col min="1" max="1" width="7.28515625" style="4" customWidth="1"/>
    <col min="2" max="2" width="19.5703125" style="2" customWidth="1"/>
    <col min="3" max="3" width="14.5703125" style="2" customWidth="1"/>
    <col min="4" max="4" width="9.7109375" style="3" customWidth="1"/>
    <col min="5" max="5" width="8" style="12" customWidth="1"/>
    <col min="6" max="6" width="12.5703125" style="3" customWidth="1"/>
    <col min="7" max="7" width="9.5703125" style="3" customWidth="1"/>
    <col min="8" max="8" width="17" style="6" customWidth="1"/>
    <col min="9" max="11" width="3.5703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9" t="s">
        <v>44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39</v>
      </c>
      <c r="J2" s="7" t="s">
        <v>40</v>
      </c>
      <c r="K2" s="7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76">
        <v>404664</v>
      </c>
      <c r="B3" s="70" t="s">
        <v>107</v>
      </c>
      <c r="C3" s="9" t="s">
        <v>108</v>
      </c>
      <c r="D3" s="72" t="s">
        <v>60</v>
      </c>
      <c r="E3" s="13">
        <v>44612</v>
      </c>
      <c r="F3" s="72" t="s">
        <v>102</v>
      </c>
      <c r="G3" s="13">
        <v>44637</v>
      </c>
      <c r="H3" s="10" t="s">
        <v>103</v>
      </c>
      <c r="I3" s="1">
        <v>20</v>
      </c>
      <c r="J3" s="1">
        <v>11</v>
      </c>
      <c r="K3" s="1">
        <v>11</v>
      </c>
      <c r="L3" s="1">
        <v>5</v>
      </c>
      <c r="M3" s="74">
        <v>0.60499999999999998</v>
      </c>
      <c r="N3" s="8">
        <v>5</v>
      </c>
      <c r="O3" s="62">
        <v>14000</v>
      </c>
      <c r="P3" s="63">
        <f>Table224578910112345678[[#This Row],[PEMBULATAN]]*O3</f>
        <v>70000</v>
      </c>
      <c r="Q3" s="99">
        <v>1</v>
      </c>
    </row>
    <row r="4" spans="1:17" ht="22.5" customHeight="1" x14ac:dyDescent="0.2">
      <c r="A4" s="147" t="s">
        <v>30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9"/>
      <c r="M4" s="73">
        <f>SUBTOTAL(109,Table224578910112345678[KG VOLUME])</f>
        <v>0.60499999999999998</v>
      </c>
      <c r="N4" s="118">
        <f>SUM(N3:N3)</f>
        <v>5</v>
      </c>
      <c r="O4" s="150">
        <f>SUM(P3:P3)</f>
        <v>70000</v>
      </c>
      <c r="P4" s="151"/>
    </row>
    <row r="5" spans="1:17" ht="18" customHeight="1" x14ac:dyDescent="0.2">
      <c r="A5" s="79"/>
      <c r="B5" s="55" t="s">
        <v>42</v>
      </c>
      <c r="C5" s="54"/>
      <c r="D5" s="56" t="s">
        <v>43</v>
      </c>
      <c r="E5" s="79"/>
      <c r="F5" s="79"/>
      <c r="G5" s="79"/>
      <c r="H5" s="79"/>
      <c r="I5" s="79"/>
      <c r="J5" s="79"/>
      <c r="K5" s="79"/>
      <c r="L5" s="79"/>
      <c r="M5" s="80"/>
      <c r="N5" s="81" t="s">
        <v>51</v>
      </c>
      <c r="O5" s="82"/>
      <c r="P5" s="82">
        <f>O4*10%</f>
        <v>7000</v>
      </c>
    </row>
    <row r="6" spans="1:17" ht="18" customHeight="1" thickBot="1" x14ac:dyDescent="0.25">
      <c r="A6" s="79"/>
      <c r="B6" s="55"/>
      <c r="C6" s="54"/>
      <c r="D6" s="56"/>
      <c r="E6" s="79"/>
      <c r="F6" s="79"/>
      <c r="G6" s="79"/>
      <c r="H6" s="79"/>
      <c r="I6" s="79"/>
      <c r="J6" s="79"/>
      <c r="K6" s="79"/>
      <c r="L6" s="79"/>
      <c r="M6" s="80"/>
      <c r="N6" s="83" t="s">
        <v>52</v>
      </c>
      <c r="O6" s="84"/>
      <c r="P6" s="84">
        <f>O4-P5</f>
        <v>63000</v>
      </c>
    </row>
    <row r="7" spans="1:17" ht="18" customHeight="1" x14ac:dyDescent="0.2">
      <c r="A7" s="11"/>
      <c r="H7" s="61"/>
      <c r="N7" s="60" t="s">
        <v>31</v>
      </c>
      <c r="P7" s="67">
        <f>P6*1%</f>
        <v>630</v>
      </c>
    </row>
    <row r="8" spans="1:17" ht="18" customHeight="1" thickBot="1" x14ac:dyDescent="0.25">
      <c r="A8" s="11"/>
      <c r="H8" s="61"/>
      <c r="N8" s="60" t="s">
        <v>53</v>
      </c>
      <c r="P8" s="69">
        <f>P6*2%</f>
        <v>1260</v>
      </c>
    </row>
    <row r="9" spans="1:17" ht="18" customHeight="1" x14ac:dyDescent="0.2">
      <c r="A9" s="11"/>
      <c r="H9" s="61"/>
      <c r="N9" s="64" t="s">
        <v>32</v>
      </c>
      <c r="O9" s="65"/>
      <c r="P9" s="68">
        <f>P6+P7-P8</f>
        <v>62370</v>
      </c>
    </row>
    <row r="11" spans="1:17" x14ac:dyDescent="0.2">
      <c r="A11" s="11"/>
      <c r="H11" s="61"/>
      <c r="P11" s="69"/>
    </row>
    <row r="12" spans="1:17" x14ac:dyDescent="0.2">
      <c r="A12" s="11"/>
      <c r="H12" s="61"/>
      <c r="O12" s="57"/>
      <c r="P12" s="69"/>
    </row>
    <row r="13" spans="1:17" s="3" customFormat="1" x14ac:dyDescent="0.25">
      <c r="A13" s="11"/>
      <c r="B13" s="2"/>
      <c r="C13" s="2"/>
      <c r="E13" s="12"/>
      <c r="H13" s="61"/>
      <c r="N13" s="15"/>
      <c r="O13" s="15"/>
      <c r="P13" s="15"/>
    </row>
    <row r="14" spans="1:17" s="3" customFormat="1" x14ac:dyDescent="0.25">
      <c r="A14" s="11"/>
      <c r="B14" s="2"/>
      <c r="C14" s="2"/>
      <c r="E14" s="12"/>
      <c r="H14" s="61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1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1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1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1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1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1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1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1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1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1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49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5"/>
  <sheetViews>
    <sheetView zoomScale="110" zoomScaleNormal="110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H11" sqref="H11"/>
    </sheetView>
  </sheetViews>
  <sheetFormatPr defaultRowHeight="15" x14ac:dyDescent="0.2"/>
  <cols>
    <col min="1" max="1" width="7.140625" style="4" customWidth="1"/>
    <col min="2" max="2" width="19.5703125" style="2" customWidth="1"/>
    <col min="3" max="3" width="14.5703125" style="2" customWidth="1"/>
    <col min="4" max="4" width="9.7109375" style="3" customWidth="1"/>
    <col min="5" max="5" width="8" style="12" customWidth="1"/>
    <col min="6" max="6" width="13.140625" style="3" customWidth="1"/>
    <col min="7" max="7" width="9.5703125" style="3" customWidth="1"/>
    <col min="8" max="8" width="14.42578125" style="6" customWidth="1"/>
    <col min="9" max="11" width="3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9" t="s">
        <v>44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39</v>
      </c>
      <c r="J2" s="7" t="s">
        <v>40</v>
      </c>
      <c r="K2" s="7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  <c r="Q2" s="59" t="s">
        <v>26</v>
      </c>
    </row>
    <row r="3" spans="1:17" ht="26.25" customHeight="1" x14ac:dyDescent="0.2">
      <c r="A3" s="76">
        <v>404760</v>
      </c>
      <c r="B3" s="70" t="s">
        <v>109</v>
      </c>
      <c r="C3" s="9" t="s">
        <v>110</v>
      </c>
      <c r="D3" s="72" t="s">
        <v>60</v>
      </c>
      <c r="E3" s="13">
        <v>44617</v>
      </c>
      <c r="F3" s="72" t="s">
        <v>102</v>
      </c>
      <c r="G3" s="13">
        <v>44637</v>
      </c>
      <c r="H3" s="10" t="s">
        <v>103</v>
      </c>
      <c r="I3" s="1">
        <v>17</v>
      </c>
      <c r="J3" s="1">
        <v>12</v>
      </c>
      <c r="K3" s="1">
        <v>8</v>
      </c>
      <c r="L3" s="1">
        <v>13</v>
      </c>
      <c r="M3" s="74">
        <v>0.40799999999999997</v>
      </c>
      <c r="N3" s="8">
        <v>13</v>
      </c>
      <c r="O3" s="62">
        <v>14000</v>
      </c>
      <c r="P3" s="63">
        <f>N3*O3</f>
        <v>182000</v>
      </c>
      <c r="Q3" s="152">
        <v>2</v>
      </c>
    </row>
    <row r="4" spans="1:17" ht="26.25" customHeight="1" x14ac:dyDescent="0.2">
      <c r="A4" s="117"/>
      <c r="B4" s="102"/>
      <c r="C4" s="9" t="s">
        <v>111</v>
      </c>
      <c r="D4" s="72" t="s">
        <v>60</v>
      </c>
      <c r="E4" s="13">
        <v>44617</v>
      </c>
      <c r="F4" s="72" t="s">
        <v>102</v>
      </c>
      <c r="G4" s="13">
        <v>44637</v>
      </c>
      <c r="H4" s="10" t="s">
        <v>103</v>
      </c>
      <c r="I4" s="1">
        <v>17</v>
      </c>
      <c r="J4" s="1">
        <v>12</v>
      </c>
      <c r="K4" s="1">
        <v>8</v>
      </c>
      <c r="L4" s="1">
        <v>13</v>
      </c>
      <c r="M4" s="74">
        <v>0.40799999999999997</v>
      </c>
      <c r="N4" s="8">
        <v>13</v>
      </c>
      <c r="O4" s="62">
        <v>14000</v>
      </c>
      <c r="P4" s="63">
        <f>N4*O4</f>
        <v>182000</v>
      </c>
      <c r="Q4" s="153"/>
    </row>
    <row r="5" spans="1:17" ht="22.5" customHeight="1" x14ac:dyDescent="0.2">
      <c r="A5" s="147" t="s">
        <v>30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9"/>
      <c r="M5" s="73">
        <f>SUBTOTAL(109,Table2245789101123456783[KG VOLUME])</f>
        <v>0.40799999999999997</v>
      </c>
      <c r="N5" s="66">
        <f>SUM(N3:N4)</f>
        <v>26</v>
      </c>
      <c r="O5" s="150">
        <f>SUM(P3:P4)</f>
        <v>364000</v>
      </c>
      <c r="P5" s="151"/>
    </row>
    <row r="6" spans="1:17" ht="18" customHeight="1" x14ac:dyDescent="0.2">
      <c r="A6" s="79"/>
      <c r="B6" s="55" t="s">
        <v>42</v>
      </c>
      <c r="C6" s="54"/>
      <c r="D6" s="56" t="s">
        <v>43</v>
      </c>
      <c r="E6" s="79"/>
      <c r="F6" s="79"/>
      <c r="G6" s="79"/>
      <c r="H6" s="79"/>
      <c r="I6" s="79"/>
      <c r="J6" s="79"/>
      <c r="K6" s="79"/>
      <c r="L6" s="79"/>
      <c r="M6" s="80"/>
      <c r="N6" s="81" t="s">
        <v>51</v>
      </c>
      <c r="O6" s="82"/>
      <c r="P6" s="82">
        <f>O5*10%</f>
        <v>36400</v>
      </c>
    </row>
    <row r="7" spans="1:17" ht="18" customHeight="1" thickBot="1" x14ac:dyDescent="0.25">
      <c r="A7" s="79"/>
      <c r="B7" s="55"/>
      <c r="C7" s="54"/>
      <c r="D7" s="56"/>
      <c r="E7" s="79"/>
      <c r="F7" s="79"/>
      <c r="G7" s="79"/>
      <c r="H7" s="79"/>
      <c r="I7" s="79"/>
      <c r="J7" s="79"/>
      <c r="K7" s="79"/>
      <c r="L7" s="79"/>
      <c r="M7" s="80"/>
      <c r="N7" s="83" t="s">
        <v>52</v>
      </c>
      <c r="O7" s="84"/>
      <c r="P7" s="84">
        <f>O5-P6</f>
        <v>327600</v>
      </c>
    </row>
    <row r="8" spans="1:17" ht="18" customHeight="1" x14ac:dyDescent="0.2">
      <c r="A8" s="11"/>
      <c r="H8" s="61"/>
      <c r="N8" s="60" t="s">
        <v>31</v>
      </c>
      <c r="P8" s="67">
        <f>P7*1%</f>
        <v>3276</v>
      </c>
    </row>
    <row r="9" spans="1:17" ht="18" customHeight="1" thickBot="1" x14ac:dyDescent="0.25">
      <c r="A9" s="11"/>
      <c r="H9" s="61"/>
      <c r="N9" s="60" t="s">
        <v>53</v>
      </c>
      <c r="P9" s="69">
        <f>P7*2%</f>
        <v>6552</v>
      </c>
    </row>
    <row r="10" spans="1:17" ht="18" customHeight="1" x14ac:dyDescent="0.2">
      <c r="A10" s="11"/>
      <c r="H10" s="61"/>
      <c r="N10" s="64" t="s">
        <v>32</v>
      </c>
      <c r="O10" s="65"/>
      <c r="P10" s="68">
        <f>P7+P8-P9</f>
        <v>324324</v>
      </c>
    </row>
    <row r="12" spans="1:17" x14ac:dyDescent="0.2">
      <c r="A12" s="11"/>
      <c r="H12" s="61"/>
      <c r="P12" s="69"/>
    </row>
    <row r="13" spans="1:17" x14ac:dyDescent="0.2">
      <c r="A13" s="11"/>
      <c r="H13" s="61"/>
      <c r="O13" s="57"/>
      <c r="P13" s="69"/>
    </row>
    <row r="14" spans="1:17" s="3" customFormat="1" x14ac:dyDescent="0.25">
      <c r="A14" s="11"/>
      <c r="B14" s="2"/>
      <c r="C14" s="2"/>
      <c r="E14" s="12"/>
      <c r="H14" s="61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1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1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1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1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1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1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1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1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1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1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1"/>
      <c r="N25" s="15"/>
      <c r="O25" s="15"/>
      <c r="P25" s="15"/>
    </row>
  </sheetData>
  <mergeCells count="3">
    <mergeCell ref="A5:L5"/>
    <mergeCell ref="O5:P5"/>
    <mergeCell ref="Q3:Q4"/>
  </mergeCells>
  <conditionalFormatting sqref="B3">
    <cfRule type="duplicateValues" dxfId="33" priority="2"/>
  </conditionalFormatting>
  <conditionalFormatting sqref="B4">
    <cfRule type="duplicateValues" dxfId="32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Sicepat_Ambon_Feb 22</vt:lpstr>
      <vt:lpstr>ALL</vt:lpstr>
      <vt:lpstr>403306</vt:lpstr>
      <vt:lpstr>403310</vt:lpstr>
      <vt:lpstr>403320</vt:lpstr>
      <vt:lpstr>403339</vt:lpstr>
      <vt:lpstr>403349</vt:lpstr>
      <vt:lpstr>404664</vt:lpstr>
      <vt:lpstr>404760</vt:lpstr>
      <vt:lpstr>404684</vt:lpstr>
      <vt:lpstr>'403306'!Print_Titles</vt:lpstr>
      <vt:lpstr>'403310'!Print_Titles</vt:lpstr>
      <vt:lpstr>'403320'!Print_Titles</vt:lpstr>
      <vt:lpstr>'403339'!Print_Titles</vt:lpstr>
      <vt:lpstr>'403349'!Print_Titles</vt:lpstr>
      <vt:lpstr>'404664'!Print_Titles</vt:lpstr>
      <vt:lpstr>'404684'!Print_Titles</vt:lpstr>
      <vt:lpstr>'404760'!Print_Titles</vt:lpstr>
      <vt:lpstr>ALL!Print_Titles</vt:lpstr>
      <vt:lpstr>'Sicepat_Ambon_Feb 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2022-03-27T06:28:52Z</cp:lastPrinted>
  <dcterms:created xsi:type="dcterms:W3CDTF">2021-07-02T11:08:00Z</dcterms:created>
  <dcterms:modified xsi:type="dcterms:W3CDTF">2022-04-12T09:14:12Z</dcterms:modified>
</cp:coreProperties>
</file>