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/>
  </bookViews>
  <sheets>
    <sheet name="Sicepat_Gorontalo Feb 22" sheetId="2" r:id="rId1"/>
    <sheet name="ALL" sheetId="89" r:id="rId2"/>
    <sheet name="403315" sheetId="58" r:id="rId3"/>
    <sheet name="403327" sheetId="59" r:id="rId4"/>
    <sheet name="403331" sheetId="60" r:id="rId5"/>
    <sheet name="403338" sheetId="61" r:id="rId6"/>
    <sheet name="403343" sheetId="62" r:id="rId7"/>
    <sheet name="403157" sheetId="63" r:id="rId8"/>
    <sheet name="404666" sheetId="64" r:id="rId9"/>
    <sheet name="404670" sheetId="65" r:id="rId10"/>
    <sheet name="404752" sheetId="66" r:id="rId11"/>
    <sheet name="404757" sheetId="67" r:id="rId12"/>
    <sheet name="404690" sheetId="68" r:id="rId13"/>
  </sheets>
  <definedNames>
    <definedName name="_xlnm.Print_Titles" localSheetId="7">'403157'!$2:$2</definedName>
    <definedName name="_xlnm.Print_Titles" localSheetId="2">'403315'!$2:$2</definedName>
    <definedName name="_xlnm.Print_Titles" localSheetId="3">'403327'!$2:$2</definedName>
    <definedName name="_xlnm.Print_Titles" localSheetId="4">'403331'!$2:$2</definedName>
    <definedName name="_xlnm.Print_Titles" localSheetId="5">'403338'!$2:$2</definedName>
    <definedName name="_xlnm.Print_Titles" localSheetId="6">'403343'!$2:$2</definedName>
    <definedName name="_xlnm.Print_Titles" localSheetId="8">'404666'!$2:$2</definedName>
    <definedName name="_xlnm.Print_Titles" localSheetId="9">'404670'!$2:$2</definedName>
    <definedName name="_xlnm.Print_Titles" localSheetId="12">'404690'!$2:$2</definedName>
    <definedName name="_xlnm.Print_Titles" localSheetId="10">'404752'!$2:$2</definedName>
    <definedName name="_xlnm.Print_Titles" localSheetId="11">'404757'!$2:$2</definedName>
    <definedName name="_xlnm.Print_Titles" localSheetId="1">ALL!$2:$2</definedName>
    <definedName name="_xlnm.Print_Titles" localSheetId="0">'Sicepat_Gorontalo Feb 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3" i="89" l="1"/>
  <c r="N43" i="89"/>
  <c r="O43" i="89"/>
  <c r="Q43" i="89"/>
  <c r="P41" i="89"/>
  <c r="P40" i="89"/>
  <c r="P39" i="89"/>
  <c r="P38" i="89"/>
  <c r="P37" i="89"/>
  <c r="P36" i="89"/>
  <c r="P35" i="89"/>
  <c r="P34" i="89"/>
  <c r="P33" i="89"/>
  <c r="P32" i="89"/>
  <c r="P31" i="89"/>
  <c r="P30" i="89"/>
  <c r="P29" i="89"/>
  <c r="P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42" i="89"/>
  <c r="F28" i="2"/>
  <c r="F27" i="2"/>
  <c r="F26" i="2"/>
  <c r="F25" i="2"/>
  <c r="F24" i="2"/>
  <c r="F23" i="2"/>
  <c r="F22" i="2"/>
  <c r="F21" i="2"/>
  <c r="F20" i="2"/>
  <c r="F19" i="2"/>
  <c r="F18" i="2"/>
  <c r="L29" i="2" s="1"/>
  <c r="G26" i="2"/>
  <c r="G25" i="2"/>
  <c r="G24" i="2"/>
  <c r="G22" i="2"/>
  <c r="M29" i="2" s="1"/>
  <c r="C24" i="2"/>
  <c r="P5" i="58"/>
  <c r="P9" i="59"/>
  <c r="P6" i="60"/>
  <c r="P6" i="61"/>
  <c r="P13" i="62"/>
  <c r="P5" i="63"/>
  <c r="P6" i="64"/>
  <c r="P6" i="65"/>
  <c r="P17" i="66"/>
  <c r="P5" i="67"/>
  <c r="P6" i="68"/>
  <c r="N5" i="64"/>
  <c r="N12" i="62"/>
  <c r="P44" i="89" l="1"/>
  <c r="P45" i="89" s="1"/>
  <c r="B28" i="2"/>
  <c r="B27" i="2"/>
  <c r="B26" i="2"/>
  <c r="B25" i="2"/>
  <c r="B24" i="2"/>
  <c r="B23" i="2"/>
  <c r="B22" i="2"/>
  <c r="B21" i="2"/>
  <c r="B20" i="2"/>
  <c r="B19" i="2"/>
  <c r="B18" i="2"/>
  <c r="P47" i="89" l="1"/>
  <c r="P46" i="89"/>
  <c r="C28" i="2"/>
  <c r="C27" i="2"/>
  <c r="C26" i="2"/>
  <c r="C25" i="2"/>
  <c r="C23" i="2"/>
  <c r="C22" i="2"/>
  <c r="C21" i="2"/>
  <c r="C20" i="2"/>
  <c r="C19" i="2"/>
  <c r="C18" i="2"/>
  <c r="N5" i="68"/>
  <c r="M5" i="68"/>
  <c r="P4" i="68"/>
  <c r="P3" i="68"/>
  <c r="O5" i="68" s="1"/>
  <c r="P7" i="68" s="1"/>
  <c r="N4" i="67"/>
  <c r="M4" i="67"/>
  <c r="P3" i="67"/>
  <c r="O4" i="67" s="1"/>
  <c r="P6" i="67" s="1"/>
  <c r="N16" i="66"/>
  <c r="M16" i="66"/>
  <c r="P15" i="66"/>
  <c r="P14" i="66"/>
  <c r="P13" i="66"/>
  <c r="P12" i="66"/>
  <c r="P11" i="66"/>
  <c r="P10" i="66"/>
  <c r="P9" i="66"/>
  <c r="P8" i="66"/>
  <c r="P7" i="66"/>
  <c r="P6" i="66"/>
  <c r="P5" i="66"/>
  <c r="P4" i="66"/>
  <c r="P3" i="66"/>
  <c r="N5" i="65"/>
  <c r="M5" i="65"/>
  <c r="P4" i="65"/>
  <c r="P3" i="65"/>
  <c r="O5" i="65" s="1"/>
  <c r="P7" i="65" s="1"/>
  <c r="M5" i="64"/>
  <c r="P4" i="64"/>
  <c r="P3" i="64"/>
  <c r="N4" i="63"/>
  <c r="M4" i="63"/>
  <c r="P3" i="63"/>
  <c r="M12" i="62"/>
  <c r="P11" i="62"/>
  <c r="P10" i="62"/>
  <c r="P9" i="62"/>
  <c r="P8" i="62"/>
  <c r="P7" i="62"/>
  <c r="P6" i="62"/>
  <c r="P5" i="62"/>
  <c r="P4" i="62"/>
  <c r="P3" i="62"/>
  <c r="N5" i="61"/>
  <c r="M5" i="61"/>
  <c r="P4" i="61"/>
  <c r="P3" i="61"/>
  <c r="N5" i="60"/>
  <c r="M5" i="60"/>
  <c r="P4" i="60"/>
  <c r="P3" i="60"/>
  <c r="N8" i="59"/>
  <c r="M8" i="59"/>
  <c r="P7" i="59"/>
  <c r="P6" i="59"/>
  <c r="P5" i="59"/>
  <c r="P4" i="59"/>
  <c r="P3" i="59"/>
  <c r="N4" i="58"/>
  <c r="M4" i="58"/>
  <c r="P3" i="58"/>
  <c r="O4" i="58" s="1"/>
  <c r="P6" i="58" s="1"/>
  <c r="P48" i="89" l="1"/>
  <c r="O16" i="66"/>
  <c r="P18" i="66" s="1"/>
  <c r="P20" i="66" s="1"/>
  <c r="O5" i="64"/>
  <c r="P7" i="64" s="1"/>
  <c r="P9" i="64" s="1"/>
  <c r="O12" i="62"/>
  <c r="P14" i="62" s="1"/>
  <c r="P16" i="62" s="1"/>
  <c r="O5" i="61"/>
  <c r="P7" i="61" s="1"/>
  <c r="P8" i="61" s="1"/>
  <c r="O5" i="60"/>
  <c r="P7" i="60" s="1"/>
  <c r="P9" i="60" s="1"/>
  <c r="O8" i="59"/>
  <c r="P10" i="59" s="1"/>
  <c r="P12" i="59" s="1"/>
  <c r="O4" i="63"/>
  <c r="P6" i="63" s="1"/>
  <c r="P8" i="63" s="1"/>
  <c r="P9" i="68"/>
  <c r="P8" i="68"/>
  <c r="P10" i="68" s="1"/>
  <c r="P8" i="67"/>
  <c r="P7" i="67"/>
  <c r="P9" i="65"/>
  <c r="P8" i="65"/>
  <c r="P8" i="64"/>
  <c r="P8" i="58"/>
  <c r="P7" i="58"/>
  <c r="P9" i="58" s="1"/>
  <c r="P15" i="62" l="1"/>
  <c r="P10" i="64"/>
  <c r="P19" i="66"/>
  <c r="P21" i="66" s="1"/>
  <c r="P17" i="62"/>
  <c r="P9" i="61"/>
  <c r="P8" i="60"/>
  <c r="P10" i="60" s="1"/>
  <c r="P11" i="59"/>
  <c r="P13" i="59" s="1"/>
  <c r="P10" i="61"/>
  <c r="P7" i="63"/>
  <c r="P9" i="63" s="1"/>
  <c r="P10" i="65"/>
  <c r="P9" i="67"/>
  <c r="I34" i="2"/>
  <c r="I33" i="2"/>
  <c r="I35" i="2" s="1"/>
  <c r="J27" i="2" l="1"/>
  <c r="J28" i="2"/>
  <c r="J26" i="2" l="1"/>
  <c r="J25" i="2"/>
  <c r="J24" i="2"/>
  <c r="J23" i="2"/>
  <c r="J22" i="2" l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J21" i="2"/>
  <c r="J19" i="2"/>
  <c r="J20" i="2"/>
  <c r="J18" i="2"/>
  <c r="J29" i="2" l="1"/>
  <c r="I46" i="2"/>
  <c r="J31" i="2" l="1"/>
  <c r="J32" i="2" s="1"/>
  <c r="J34" i="2" s="1"/>
  <c r="J33" i="2" l="1"/>
  <c r="J35" i="2" s="1"/>
</calcChain>
</file>

<file path=xl/sharedStrings.xml><?xml version="1.0" encoding="utf-8"?>
<sst xmlns="http://schemas.openxmlformats.org/spreadsheetml/2006/main" count="709" uniqueCount="124">
  <si>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</si>
  <si>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</si>
  <si>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</si>
  <si>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</si>
  <si>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</si>
  <si>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</si>
  <si>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</si>
  <si>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</si>
  <si>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</si>
  <si>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</si>
  <si>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</si>
  <si>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</si>
  <si>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</si>
  <si>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</si>
  <si>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</si>
  <si>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</si>
  <si>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</si>
  <si>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</si>
  <si>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</si>
  <si>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</si>
  <si>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</si>
  <si>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</si>
  <si>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</si>
  <si>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</si>
  <si>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</si>
  <si>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</si>
  <si>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</si>
  <si>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</si>
  <si>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</si>
  <si>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</si>
  <si>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</si>
  <si>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</si>
  <si>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</si>
  <si>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</si>
  <si>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</si>
  <si>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</si>
  <si>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</si>
  <si>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</si>
  <si>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</si>
  <si>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</si>
  <si>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</si>
  <si>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</si>
  <si>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</si>
  <si>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</si>
  <si>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</si>
  <si>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</si>
  <si>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</si>
  <si>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</si>
  <si>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</si>
  <si>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</si>
  <si>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</si>
  <si>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</si>
  <si>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</si>
  <si>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</si>
  <si>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</si>
  <si>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</si>
  <si>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DMD/2202/08/LQZF6940</t>
  </si>
  <si>
    <t>GSK220208FTR052</t>
  </si>
  <si>
    <t>DMP GTO (GORONTALO)</t>
  </si>
  <si>
    <t>LION AIR</t>
  </si>
  <si>
    <t>02/14/2022 YUSRIL</t>
  </si>
  <si>
    <t>DMD/2202/11/VWXP0769</t>
  </si>
  <si>
    <t>GSK220211ERX974</t>
  </si>
  <si>
    <t>GSK220210TKD497</t>
  </si>
  <si>
    <t>GSK220210REV760</t>
  </si>
  <si>
    <t>GSK220211MDJ695</t>
  </si>
  <si>
    <t>GSK220211SLM437</t>
  </si>
  <si>
    <t>KM DUTA II</t>
  </si>
  <si>
    <t>02/28/2022 YUSRIL</t>
  </si>
  <si>
    <t>DMD/2202/12/JNWY9134</t>
  </si>
  <si>
    <t>GSK220212TYN598</t>
  </si>
  <si>
    <t>GSK220212PFR083</t>
  </si>
  <si>
    <t xml:space="preserve"> DMD/2202/15/HCZJ3608</t>
  </si>
  <si>
    <t>GSK220215SLP819</t>
  </si>
  <si>
    <t>GSK220213ZWB017</t>
  </si>
  <si>
    <t>DMD/2202/16/XUWY5481</t>
  </si>
  <si>
    <t>GSK220216IAZ027</t>
  </si>
  <si>
    <t>GSK220216STV409</t>
  </si>
  <si>
    <t>GSK220216UER923</t>
  </si>
  <si>
    <t>GSK220216KDL543</t>
  </si>
  <si>
    <t>GSK220216DKY653</t>
  </si>
  <si>
    <t>GSK220216UPM784</t>
  </si>
  <si>
    <t>GSK220216CVN201</t>
  </si>
  <si>
    <t>GSK220216EHO051</t>
  </si>
  <si>
    <t>GSK220216EOT856</t>
  </si>
  <si>
    <t>KM OMAR</t>
  </si>
  <si>
    <t>3/5/2022 YUSRIL</t>
  </si>
  <si>
    <t>DMD/2202/18/XLCU2047</t>
  </si>
  <si>
    <t>GSK220218HMD304</t>
  </si>
  <si>
    <t>03/10/2022 VINCEN</t>
  </si>
  <si>
    <t>DMD/2202/20/UTSM9235</t>
  </si>
  <si>
    <t>GSK220220SUX217</t>
  </si>
  <si>
    <t>GSK220220YRB670</t>
  </si>
  <si>
    <t>DMD/2202/22/NPVA8217</t>
  </si>
  <si>
    <t>GSK220222SVT018</t>
  </si>
  <si>
    <t>GSK220222AUE140</t>
  </si>
  <si>
    <t>03/07/2022 VENCE</t>
  </si>
  <si>
    <t>DMD/2202/24/GAVU4970</t>
  </si>
  <si>
    <t>GSK220224RGU480</t>
  </si>
  <si>
    <t>GSK220224OZF816</t>
  </si>
  <si>
    <t>GSK220224VFM475</t>
  </si>
  <si>
    <t>GSK220224OHC985</t>
  </si>
  <si>
    <t>GSK220224SFP609</t>
  </si>
  <si>
    <t>GSK220224GPW413</t>
  </si>
  <si>
    <t>GSK220224HEY513</t>
  </si>
  <si>
    <t>GSK220224KNR146</t>
  </si>
  <si>
    <t>GSK220224UPS276</t>
  </si>
  <si>
    <t>GSK220224DRF053</t>
  </si>
  <si>
    <t>GSK220224GTI816</t>
  </si>
  <si>
    <t>GSK220224LVC582</t>
  </si>
  <si>
    <t>DMD/2202/24/WTQA5046</t>
  </si>
  <si>
    <t>GSK220224RGW178</t>
  </si>
  <si>
    <t>DMD/2202/25/ANXS8701</t>
  </si>
  <si>
    <t>GSK220225AKV250</t>
  </si>
  <si>
    <t>DMD/2202/27/MZDX4561</t>
  </si>
  <si>
    <t>GSK220227OCP769</t>
  </si>
  <si>
    <t>GSK220227HPV053</t>
  </si>
  <si>
    <t>3/18/2022 VENCE</t>
  </si>
  <si>
    <t xml:space="preserve"> 23 Maret 2022</t>
  </si>
  <si>
    <t xml:space="preserve"> GORONTALO</t>
  </si>
  <si>
    <t xml:space="preserve"> FEBRUARI 2022</t>
  </si>
  <si>
    <t>PENGIRIMAN BARANG TUJUAN GORONTALO</t>
  </si>
  <si>
    <t>GORONTALO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</si>
  <si>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Tujuh Ratus Tiga Ribu Lima Ratus Tujuh Puluh Delapan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</si>
</sst>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7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/>
    </xf>
    <xf numFmtId="1" fontId="9" fillId="4" borderId="4" xfId="3" applyNumberFormat="1" applyFont="1" applyFill="1" applyBorder="1" applyAlignment="1">
      <alignment horizontal="center" vertical="center" wrapText="1"/>
    </xf>
    <xf numFmtId="0" fontId="1" fillId="0" borderId="24" xfId="0" applyFont="1" applyBorder="1" applyAlignment="1">
      <alignment vertical="center" wrapText="1"/>
    </xf>
    <xf numFmtId="0" fontId="1" fillId="0" borderId="24" xfId="0" applyFont="1" applyBorder="1" applyAlignment="1">
      <alignment horizontal="left" vertical="center" wrapText="1"/>
    </xf>
    <xf numFmtId="0" fontId="2" fillId="0" borderId="24" xfId="0" applyFont="1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166" fontId="2" fillId="0" borderId="24" xfId="0" applyNumberFormat="1" applyFont="1" applyBorder="1" applyAlignment="1">
      <alignment horizontal="center" vertical="center"/>
    </xf>
    <xf numFmtId="166" fontId="2" fillId="0" borderId="24" xfId="0" applyNumberFormat="1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64" fontId="3" fillId="0" borderId="24" xfId="2" applyFont="1" applyBorder="1" applyAlignment="1">
      <alignment horizontal="center" vertical="center"/>
    </xf>
    <xf numFmtId="167" fontId="3" fillId="0" borderId="24" xfId="1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vertical="center" wrapText="1"/>
    </xf>
    <xf numFmtId="0" fontId="1" fillId="0" borderId="26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166" fontId="2" fillId="0" borderId="10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2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 vertical="center"/>
    </xf>
    <xf numFmtId="0" fontId="1" fillId="0" borderId="27" xfId="0" applyFont="1" applyBorder="1" applyAlignment="1">
      <alignment vertical="center" wrapText="1"/>
    </xf>
    <xf numFmtId="0" fontId="2" fillId="0" borderId="24" xfId="0" applyFont="1" applyFill="1" applyBorder="1" applyAlignment="1">
      <alignment vertical="center"/>
    </xf>
    <xf numFmtId="0" fontId="2" fillId="0" borderId="24" xfId="0" applyFont="1" applyFill="1" applyBorder="1" applyAlignment="1">
      <alignment horizontal="center" vertical="center" wrapText="1"/>
    </xf>
    <xf numFmtId="166" fontId="2" fillId="0" borderId="24" xfId="0" applyNumberFormat="1" applyFont="1" applyFill="1" applyBorder="1" applyAlignment="1">
      <alignment vertical="center" wrapText="1"/>
    </xf>
    <xf numFmtId="0" fontId="2" fillId="0" borderId="24" xfId="0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 wrapText="1"/>
    </xf>
    <xf numFmtId="0" fontId="2" fillId="0" borderId="25" xfId="0" applyFont="1" applyBorder="1" applyAlignment="1">
      <alignment vertical="center"/>
    </xf>
    <xf numFmtId="0" fontId="2" fillId="0" borderId="25" xfId="0" applyFont="1" applyBorder="1" applyAlignment="1">
      <alignment horizontal="center" vertical="center" wrapText="1"/>
    </xf>
    <xf numFmtId="166" fontId="2" fillId="0" borderId="25" xfId="0" applyNumberFormat="1" applyFont="1" applyBorder="1" applyAlignment="1">
      <alignment horizontal="center" vertical="center"/>
    </xf>
    <xf numFmtId="166" fontId="2" fillId="0" borderId="25" xfId="0" applyNumberFormat="1" applyFont="1" applyBorder="1" applyAlignment="1">
      <alignment vertical="center" wrapText="1"/>
    </xf>
    <xf numFmtId="0" fontId="2" fillId="0" borderId="25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4" fontId="3" fillId="0" borderId="25" xfId="2" applyFont="1" applyBorder="1" applyAlignment="1">
      <alignment horizontal="center" vertical="center"/>
    </xf>
    <xf numFmtId="167" fontId="3" fillId="0" borderId="25" xfId="1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1" fontId="9" fillId="0" borderId="0" xfId="0" applyNumberFormat="1" applyFont="1"/>
    <xf numFmtId="2" fontId="5" fillId="0" borderId="25" xfId="0" applyNumberFormat="1" applyFont="1" applyBorder="1" applyAlignment="1">
      <alignment vertical="center"/>
    </xf>
    <xf numFmtId="167" fontId="5" fillId="0" borderId="25" xfId="1" applyNumberFormat="1" applyFont="1" applyBorder="1" applyAlignment="1">
      <alignment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167" fontId="5" fillId="0" borderId="28" xfId="1" applyNumberFormat="1" applyFont="1" applyBorder="1" applyAlignment="1">
      <alignment horizontal="center" vertical="center"/>
    </xf>
    <xf numFmtId="167" fontId="5" fillId="0" borderId="29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2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e224578910112342" displayName="Table224578910112342" ref="C2:N3" totalsRowShown="0" headerRowDxfId="224" dataDxfId="222" headerRowBorderDxfId="223">
  <tableColumns count="12">
    <tableColumn id="1" name="NOMOR" dataDxfId="221" dataCellStyle="Normal"/>
    <tableColumn id="3" name="TUJUAN" dataDxfId="220" dataCellStyle="Normal"/>
    <tableColumn id="16" name="Pick Up" dataDxfId="219"/>
    <tableColumn id="14" name="KAPAL" dataDxfId="218"/>
    <tableColumn id="15" name="ETD Kapal" dataDxfId="217"/>
    <tableColumn id="10" name="KETERANGAN" dataDxfId="216" dataCellStyle="Normal"/>
    <tableColumn id="5" name="P" dataDxfId="215" dataCellStyle="Normal"/>
    <tableColumn id="6" name="L" dataDxfId="214" dataCellStyle="Normal"/>
    <tableColumn id="7" name="T" dataDxfId="213" dataCellStyle="Normal"/>
    <tableColumn id="4" name="ACT KG" dataDxfId="212" dataCellStyle="Normal"/>
    <tableColumn id="8" name="KG VOLUME" dataDxfId="211" dataCellStyle="Normal"/>
    <tableColumn id="19" name="PEMBULATAN" dataDxfId="210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Table2245789101123456789101112" displayName="Table2245789101123456789101112" ref="C2:N15" totalsRowShown="0" headerRowDxfId="89" dataDxfId="87" headerRowBorderDxfId="88">
  <tableColumns count="12">
    <tableColumn id="1" name="NOMOR" dataDxfId="86" dataCellStyle="Normal"/>
    <tableColumn id="3" name="TUJUAN" dataDxfId="85" dataCellStyle="Normal"/>
    <tableColumn id="16" name="Pick Up" dataDxfId="84"/>
    <tableColumn id="14" name="KAPAL" dataDxfId="83"/>
    <tableColumn id="15" name="ETD Kapal" dataDxfId="82"/>
    <tableColumn id="10" name="KETERANGAN" dataDxfId="81" dataCellStyle="Normal"/>
    <tableColumn id="5" name="P" dataDxfId="80" dataCellStyle="Normal"/>
    <tableColumn id="6" name="L" dataDxfId="79" dataCellStyle="Normal"/>
    <tableColumn id="7" name="T" dataDxfId="78" dataCellStyle="Normal"/>
    <tableColumn id="4" name="ACT KG" dataDxfId="77" dataCellStyle="Normal"/>
    <tableColumn id="8" name="KG VOLUME" dataDxfId="76" dataCellStyle="Normal"/>
    <tableColumn id="19" name="PEMBULATAN" dataDxfId="75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Table224578910112345678910111213" displayName="Table224578910112345678910111213" ref="C2:N3" totalsRowShown="0" headerRowDxfId="74" dataDxfId="72" headerRowBorderDxfId="73">
  <tableColumns count="12">
    <tableColumn id="1" name="NOMOR" dataDxfId="71" dataCellStyle="Normal"/>
    <tableColumn id="3" name="TUJUAN" dataDxfId="70" dataCellStyle="Normal"/>
    <tableColumn id="16" name="Pick Up" dataDxfId="69"/>
    <tableColumn id="14" name="KAPAL" dataDxfId="68"/>
    <tableColumn id="15" name="ETD Kapal" dataDxfId="67"/>
    <tableColumn id="10" name="KETERANGAN" dataDxfId="66" dataCellStyle="Normal"/>
    <tableColumn id="5" name="P" dataDxfId="65" dataCellStyle="Normal"/>
    <tableColumn id="6" name="L" dataDxfId="64" dataCellStyle="Normal"/>
    <tableColumn id="7" name="T" dataDxfId="63" dataCellStyle="Normal"/>
    <tableColumn id="4" name="ACT KG" dataDxfId="62" dataCellStyle="Normal"/>
    <tableColumn id="8" name="KG VOLUME" dataDxfId="61" dataCellStyle="Normal"/>
    <tableColumn id="19" name="PEMBULATAN" dataDxfId="60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Table22457891011234567891011121314" displayName="Table22457891011234567891011121314" ref="C2:N4" totalsRowShown="0" headerRowDxfId="59" dataDxfId="57" headerRowBorderDxfId="58">
  <tableColumns count="12">
    <tableColumn id="1" name="NOMOR" dataDxfId="56" dataCellStyle="Normal"/>
    <tableColumn id="3" name="TUJUAN" dataDxfId="55" dataCellStyle="Normal"/>
    <tableColumn id="16" name="Pick Up" dataDxfId="54"/>
    <tableColumn id="14" name="KAPAL" dataDxfId="53"/>
    <tableColumn id="15" name="ETD Kapal" dataDxfId="52"/>
    <tableColumn id="10" name="KETERANGAN" dataDxfId="51" dataCellStyle="Normal"/>
    <tableColumn id="5" name="P" dataDxfId="50" dataCellStyle="Normal"/>
    <tableColumn id="6" name="L" dataDxfId="49" dataCellStyle="Normal"/>
    <tableColumn id="7" name="T" dataDxfId="48" dataCellStyle="Normal"/>
    <tableColumn id="4" name="ACT KG" dataDxfId="47" dataCellStyle="Normal"/>
    <tableColumn id="8" name="KG VOLUME" dataDxfId="46" dataCellStyle="Normal"/>
    <tableColumn id="19" name="PEMBULATAN" dataDxfId="4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3" totalsRowShown="0" headerRowDxfId="209" dataDxfId="207" headerRowBorderDxfId="208">
  <tableColumns count="12">
    <tableColumn id="1" name="NOMOR" dataDxfId="206" dataCellStyle="Normal"/>
    <tableColumn id="3" name="TUJUAN" dataDxfId="205" dataCellStyle="Normal"/>
    <tableColumn id="16" name="Pick Up" dataDxfId="204"/>
    <tableColumn id="14" name="KAPAL" dataDxfId="203"/>
    <tableColumn id="15" name="ETD Kapal" dataDxfId="202"/>
    <tableColumn id="10" name="KETERANGAN" dataDxfId="201" dataCellStyle="Normal"/>
    <tableColumn id="5" name="P" dataDxfId="200" dataCellStyle="Normal"/>
    <tableColumn id="6" name="L" dataDxfId="199" dataCellStyle="Normal"/>
    <tableColumn id="7" name="T" dataDxfId="198" dataCellStyle="Normal"/>
    <tableColumn id="4" name="ACT KG" dataDxfId="197" dataCellStyle="Normal"/>
    <tableColumn id="8" name="KG VOLUME" dataDxfId="196" dataCellStyle="Normal"/>
    <tableColumn id="19" name="PEMBULATAN" dataDxfId="195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7" totalsRowShown="0" headerRowDxfId="194" dataDxfId="192" headerRowBorderDxfId="193">
  <tableColumns count="12">
    <tableColumn id="1" name="NOMOR" dataDxfId="191" dataCellStyle="Normal"/>
    <tableColumn id="3" name="TUJUAN" dataDxfId="190" dataCellStyle="Normal"/>
    <tableColumn id="16" name="Pick Up" dataDxfId="189"/>
    <tableColumn id="14" name="KAPAL" dataDxfId="188"/>
    <tableColumn id="15" name="ETD Kapal" dataDxfId="187"/>
    <tableColumn id="10" name="KETERANGAN" dataDxfId="186" dataCellStyle="Normal"/>
    <tableColumn id="5" name="P" dataDxfId="185" dataCellStyle="Normal"/>
    <tableColumn id="6" name="L" dataDxfId="184" dataCellStyle="Normal"/>
    <tableColumn id="7" name="T" dataDxfId="183" dataCellStyle="Normal"/>
    <tableColumn id="4" name="ACT KG" dataDxfId="182" dataCellStyle="Normal"/>
    <tableColumn id="8" name="KG VOLUME" dataDxfId="181" dataCellStyle="Normal"/>
    <tableColumn id="19" name="PEMBULATAN" dataDxfId="18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4" totalsRowShown="0" headerRowDxfId="179" dataDxfId="177" headerRowBorderDxfId="178">
  <tableColumns count="12">
    <tableColumn id="1" name="NOMOR" dataDxfId="176" dataCellStyle="Normal"/>
    <tableColumn id="3" name="TUJUAN" dataDxfId="175" dataCellStyle="Normal"/>
    <tableColumn id="16" name="Pick Up" dataDxfId="174"/>
    <tableColumn id="14" name="KAPAL" dataDxfId="173"/>
    <tableColumn id="15" name="ETD Kapal" dataDxfId="172"/>
    <tableColumn id="10" name="KETERANGAN" dataDxfId="171" dataCellStyle="Normal"/>
    <tableColumn id="5" name="P" dataDxfId="170" dataCellStyle="Normal"/>
    <tableColumn id="6" name="L" dataDxfId="169" dataCellStyle="Normal"/>
    <tableColumn id="7" name="T" dataDxfId="168" dataCellStyle="Normal"/>
    <tableColumn id="4" name="ACT KG" dataDxfId="167" dataCellStyle="Normal"/>
    <tableColumn id="8" name="KG VOLUME" dataDxfId="166" dataCellStyle="Normal"/>
    <tableColumn id="19" name="PEMBULATAN" dataDxfId="165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22457891011234567" displayName="Table22457891011234567" ref="C2:N4" totalsRowShown="0" headerRowDxfId="164" dataDxfId="162" headerRowBorderDxfId="163">
  <tableColumns count="12">
    <tableColumn id="1" name="NOMOR" dataDxfId="161" dataCellStyle="Normal"/>
    <tableColumn id="3" name="TUJUAN" dataDxfId="160" dataCellStyle="Normal"/>
    <tableColumn id="16" name="Pick Up" dataDxfId="159"/>
    <tableColumn id="14" name="KAPAL" dataDxfId="158"/>
    <tableColumn id="15" name="ETD Kapal" dataDxfId="157"/>
    <tableColumn id="10" name="KETERANGAN" dataDxfId="156" dataCellStyle="Normal"/>
    <tableColumn id="5" name="P" dataDxfId="155" dataCellStyle="Normal"/>
    <tableColumn id="6" name="L" dataDxfId="154" dataCellStyle="Normal"/>
    <tableColumn id="7" name="T" dataDxfId="153" dataCellStyle="Normal"/>
    <tableColumn id="4" name="ACT KG" dataDxfId="152" dataCellStyle="Normal"/>
    <tableColumn id="8" name="KG VOLUME" dataDxfId="151" dataCellStyle="Normal"/>
    <tableColumn id="19" name="PEMBULATAN" dataDxfId="15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224578910112345678" displayName="Table224578910112345678" ref="C2:N11" totalsRowShown="0" headerRowDxfId="149" dataDxfId="147" headerRowBorderDxfId="148">
  <tableColumns count="12">
    <tableColumn id="1" name="NOMOR" dataDxfId="146" dataCellStyle="Normal"/>
    <tableColumn id="3" name="TUJUAN" dataDxfId="145" dataCellStyle="Normal"/>
    <tableColumn id="16" name="Pick Up" dataDxfId="144"/>
    <tableColumn id="14" name="KAPAL" dataDxfId="143"/>
    <tableColumn id="15" name="ETD Kapal" dataDxfId="142"/>
    <tableColumn id="10" name="KETERANGAN" dataDxfId="141" dataCellStyle="Normal"/>
    <tableColumn id="5" name="P" dataDxfId="140" dataCellStyle="Normal"/>
    <tableColumn id="6" name="L" dataDxfId="139" dataCellStyle="Normal"/>
    <tableColumn id="7" name="T" dataDxfId="138" dataCellStyle="Normal"/>
    <tableColumn id="4" name="ACT KG" dataDxfId="137" dataCellStyle="Normal"/>
    <tableColumn id="8" name="KG VOLUME" dataDxfId="136" dataCellStyle="Normal"/>
    <tableColumn id="19" name="PEMBULATAN" dataDxfId="135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8" name="Table2245789101123456789" displayName="Table2245789101123456789" ref="C2:N3" totalsRowShown="0" headerRowDxfId="134" dataDxfId="132" headerRowBorderDxfId="133">
  <tableColumns count="12">
    <tableColumn id="1" name="NOMOR" dataDxfId="131" dataCellStyle="Normal"/>
    <tableColumn id="3" name="TUJUAN" dataDxfId="130" dataCellStyle="Normal"/>
    <tableColumn id="16" name="Pick Up" dataDxfId="129"/>
    <tableColumn id="14" name="KAPAL" dataDxfId="128"/>
    <tableColumn id="15" name="ETD Kapal" dataDxfId="127"/>
    <tableColumn id="10" name="KETERANGAN" dataDxfId="126" dataCellStyle="Normal"/>
    <tableColumn id="5" name="P" dataDxfId="125" dataCellStyle="Normal"/>
    <tableColumn id="6" name="L" dataDxfId="124" dataCellStyle="Normal"/>
    <tableColumn id="7" name="T" dataDxfId="123" dataCellStyle="Normal"/>
    <tableColumn id="4" name="ACT KG" dataDxfId="122" dataCellStyle="Normal"/>
    <tableColumn id="8" name="KG VOLUME" dataDxfId="121" dataCellStyle="Normal"/>
    <tableColumn id="19" name="PEMBULATAN" dataDxfId="120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Table224578910112345678910" displayName="Table224578910112345678910" ref="C2:N4" totalsRowShown="0" headerRowDxfId="119" dataDxfId="117" headerRowBorderDxfId="118">
  <tableColumns count="12">
    <tableColumn id="1" name="NOMOR" dataDxfId="116" dataCellStyle="Normal"/>
    <tableColumn id="3" name="TUJUAN" dataDxfId="115" dataCellStyle="Normal"/>
    <tableColumn id="16" name="Pick Up" dataDxfId="114"/>
    <tableColumn id="14" name="KAPAL" dataDxfId="113"/>
    <tableColumn id="15" name="ETD Kapal" dataDxfId="112"/>
    <tableColumn id="10" name="KETERANGAN" dataDxfId="111" dataCellStyle="Normal"/>
    <tableColumn id="5" name="P" dataDxfId="110" dataCellStyle="Normal"/>
    <tableColumn id="6" name="L" dataDxfId="109" dataCellStyle="Normal"/>
    <tableColumn id="7" name="T" dataDxfId="108" dataCellStyle="Normal"/>
    <tableColumn id="4" name="ACT KG" dataDxfId="107" dataCellStyle="Normal"/>
    <tableColumn id="8" name="KG VOLUME" dataDxfId="106" dataCellStyle="Normal"/>
    <tableColumn id="19" name="PEMBULATAN" dataDxfId="105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0" name="Table22457891011234567891011" displayName="Table22457891011234567891011" ref="C2:N4" totalsRowShown="0" headerRowDxfId="104" dataDxfId="102" headerRowBorderDxfId="103">
  <tableColumns count="12">
    <tableColumn id="1" name="NOMOR" dataDxfId="101" dataCellStyle="Normal"/>
    <tableColumn id="3" name="TUJUAN" dataDxfId="100" dataCellStyle="Normal"/>
    <tableColumn id="16" name="Pick Up" dataDxfId="99"/>
    <tableColumn id="14" name="KAPAL" dataDxfId="98"/>
    <tableColumn id="15" name="ETD Kapal" dataDxfId="97"/>
    <tableColumn id="10" name="KETERANGAN" dataDxfId="96" dataCellStyle="Normal"/>
    <tableColumn id="5" name="P" dataDxfId="95" dataCellStyle="Normal"/>
    <tableColumn id="6" name="L" dataDxfId="94" dataCellStyle="Normal"/>
    <tableColumn id="7" name="T" dataDxfId="93" dataCellStyle="Normal"/>
    <tableColumn id="4" name="ACT KG" dataDxfId="92" dataCellStyle="Normal"/>
    <tableColumn id="8" name="KG VOLUME" dataDxfId="91" dataCellStyle="Normal"/>
    <tableColumn id="19" name="PEMBULATAN" dataDxfId="9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M53"/>
  <sheetViews>
    <sheetView tabSelected="1" topLeftCell="A13" workbookViewId="0">
      <selection activeCell="N20" sqref="N20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10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52" t="s">
        <v>14</v>
      </c>
      <c r="B10" s="153"/>
      <c r="C10" s="153"/>
      <c r="D10" s="153"/>
      <c r="E10" s="153"/>
      <c r="F10" s="153"/>
      <c r="G10" s="153"/>
      <c r="H10" s="153"/>
      <c r="I10" s="153"/>
      <c r="J10" s="154"/>
    </row>
    <row r="12" spans="1:10" x14ac:dyDescent="0.25">
      <c r="A12" s="17" t="s">
        <v>15</v>
      </c>
      <c r="B12" s="17" t="s">
        <v>16</v>
      </c>
      <c r="G12" s="149" t="s">
        <v>49</v>
      </c>
      <c r="H12" s="149"/>
      <c r="I12" s="22" t="s">
        <v>17</v>
      </c>
      <c r="J12" s="23"/>
    </row>
    <row r="13" spans="1:10" x14ac:dyDescent="0.25">
      <c r="G13" s="149" t="s">
        <v>18</v>
      </c>
      <c r="H13" s="149"/>
      <c r="I13" s="22" t="s">
        <v>17</v>
      </c>
      <c r="J13" s="24" t="s">
        <v>118</v>
      </c>
    </row>
    <row r="14" spans="1:10" x14ac:dyDescent="0.25">
      <c r="G14" s="149" t="s">
        <v>50</v>
      </c>
      <c r="H14" s="149"/>
      <c r="I14" s="22" t="s">
        <v>17</v>
      </c>
      <c r="J14" s="17" t="s">
        <v>119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120</v>
      </c>
    </row>
    <row r="16" spans="1:10" ht="16.5" thickBot="1" x14ac:dyDescent="0.3"/>
    <row r="17" spans="1:13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55" t="s">
        <v>28</v>
      </c>
      <c r="I17" s="156"/>
      <c r="J17" s="28" t="s">
        <v>29</v>
      </c>
    </row>
    <row r="18" spans="1:13" ht="48" customHeight="1" x14ac:dyDescent="0.25">
      <c r="A18" s="29">
        <v>1</v>
      </c>
      <c r="B18" s="30">
        <f>'403315'!E3</f>
        <v>44600</v>
      </c>
      <c r="C18" s="79">
        <f>'403315'!A3</f>
        <v>403315</v>
      </c>
      <c r="D18" s="31" t="s">
        <v>121</v>
      </c>
      <c r="E18" s="31" t="s">
        <v>122</v>
      </c>
      <c r="F18" s="96">
        <f>'403315'!Q3</f>
        <v>1</v>
      </c>
      <c r="G18" s="97">
        <v>100</v>
      </c>
      <c r="H18" s="150">
        <v>6000</v>
      </c>
      <c r="I18" s="151"/>
      <c r="J18" s="32">
        <f t="shared" ref="J18:J26" si="0">G18*H18</f>
        <v>600000</v>
      </c>
    </row>
    <row r="19" spans="1:13" ht="48" customHeight="1" x14ac:dyDescent="0.25">
      <c r="A19" s="29">
        <f t="shared" ref="A19:A28" si="1">A18+1</f>
        <v>2</v>
      </c>
      <c r="B19" s="30">
        <f>'403327'!E3</f>
        <v>44603</v>
      </c>
      <c r="C19" s="79">
        <f>'403327'!A3</f>
        <v>403327</v>
      </c>
      <c r="D19" s="31" t="s">
        <v>121</v>
      </c>
      <c r="E19" s="31" t="s">
        <v>122</v>
      </c>
      <c r="F19" s="96">
        <f>'403327'!Q3</f>
        <v>5</v>
      </c>
      <c r="G19" s="97">
        <v>100</v>
      </c>
      <c r="H19" s="150">
        <v>6000</v>
      </c>
      <c r="I19" s="151"/>
      <c r="J19" s="32">
        <f>G19*H19</f>
        <v>600000</v>
      </c>
    </row>
    <row r="20" spans="1:13" ht="48" customHeight="1" x14ac:dyDescent="0.25">
      <c r="A20" s="29">
        <f t="shared" si="1"/>
        <v>3</v>
      </c>
      <c r="B20" s="30">
        <f>'403331'!E3</f>
        <v>44604</v>
      </c>
      <c r="C20" s="79">
        <f>'403331'!A3</f>
        <v>403331</v>
      </c>
      <c r="D20" s="31" t="s">
        <v>121</v>
      </c>
      <c r="E20" s="31" t="s">
        <v>122</v>
      </c>
      <c r="F20" s="96">
        <f>'403331'!Q3</f>
        <v>2</v>
      </c>
      <c r="G20" s="97">
        <v>100</v>
      </c>
      <c r="H20" s="150">
        <v>6000</v>
      </c>
      <c r="I20" s="151"/>
      <c r="J20" s="32">
        <f>G20*H20</f>
        <v>600000</v>
      </c>
    </row>
    <row r="21" spans="1:13" ht="48" customHeight="1" x14ac:dyDescent="0.25">
      <c r="A21" s="29">
        <f t="shared" si="1"/>
        <v>4</v>
      </c>
      <c r="B21" s="30">
        <f>'403338'!E3</f>
        <v>44607</v>
      </c>
      <c r="C21" s="79">
        <f>'403338'!A3</f>
        <v>403338</v>
      </c>
      <c r="D21" s="31" t="s">
        <v>121</v>
      </c>
      <c r="E21" s="31" t="s">
        <v>122</v>
      </c>
      <c r="F21" s="96">
        <f>'403338'!Q3</f>
        <v>2</v>
      </c>
      <c r="G21" s="97">
        <v>100</v>
      </c>
      <c r="H21" s="150">
        <v>6000</v>
      </c>
      <c r="I21" s="151"/>
      <c r="J21" s="32">
        <f>G21*H21</f>
        <v>600000</v>
      </c>
    </row>
    <row r="22" spans="1:13" ht="48" customHeight="1" x14ac:dyDescent="0.25">
      <c r="A22" s="29">
        <f t="shared" si="1"/>
        <v>5</v>
      </c>
      <c r="B22" s="30">
        <f>'403343'!E3</f>
        <v>44608</v>
      </c>
      <c r="C22" s="79">
        <f>'403343'!A3</f>
        <v>403343</v>
      </c>
      <c r="D22" s="31" t="s">
        <v>121</v>
      </c>
      <c r="E22" s="31" t="s">
        <v>122</v>
      </c>
      <c r="F22" s="96">
        <f>'403343'!Q3</f>
        <v>9</v>
      </c>
      <c r="G22" s="97">
        <f>'403343'!N12</f>
        <v>195.28050000000002</v>
      </c>
      <c r="H22" s="150">
        <v>6000</v>
      </c>
      <c r="I22" s="151"/>
      <c r="J22" s="32">
        <f t="shared" si="0"/>
        <v>1171683</v>
      </c>
    </row>
    <row r="23" spans="1:13" ht="48" customHeight="1" x14ac:dyDescent="0.25">
      <c r="A23" s="29">
        <f t="shared" si="1"/>
        <v>6</v>
      </c>
      <c r="B23" s="30">
        <f>'403157'!E3</f>
        <v>44610</v>
      </c>
      <c r="C23" s="79">
        <f>'403157'!A3</f>
        <v>403157</v>
      </c>
      <c r="D23" s="31" t="s">
        <v>121</v>
      </c>
      <c r="E23" s="31" t="s">
        <v>122</v>
      </c>
      <c r="F23" s="96">
        <f>'403157'!Q3</f>
        <v>1</v>
      </c>
      <c r="G23" s="97">
        <v>100</v>
      </c>
      <c r="H23" s="150">
        <v>6000</v>
      </c>
      <c r="I23" s="151"/>
      <c r="J23" s="32">
        <f t="shared" si="0"/>
        <v>600000</v>
      </c>
    </row>
    <row r="24" spans="1:13" ht="48" customHeight="1" x14ac:dyDescent="0.25">
      <c r="A24" s="29">
        <f t="shared" si="1"/>
        <v>7</v>
      </c>
      <c r="B24" s="30">
        <f>'404666'!E3</f>
        <v>44612</v>
      </c>
      <c r="C24" s="96">
        <f>'404666'!A3</f>
        <v>404666</v>
      </c>
      <c r="D24" s="31" t="s">
        <v>121</v>
      </c>
      <c r="E24" s="31" t="s">
        <v>122</v>
      </c>
      <c r="F24" s="96">
        <f>'404666'!Q3</f>
        <v>2</v>
      </c>
      <c r="G24" s="97">
        <f>'404666'!N5</f>
        <v>184.13849999999999</v>
      </c>
      <c r="H24" s="150">
        <v>6000</v>
      </c>
      <c r="I24" s="151"/>
      <c r="J24" s="32">
        <f t="shared" si="0"/>
        <v>1104831</v>
      </c>
    </row>
    <row r="25" spans="1:13" ht="48" customHeight="1" x14ac:dyDescent="0.25">
      <c r="A25" s="29">
        <f t="shared" si="1"/>
        <v>8</v>
      </c>
      <c r="B25" s="30">
        <f>'404670'!E3</f>
        <v>44614</v>
      </c>
      <c r="C25" s="79">
        <f>'404670'!A3</f>
        <v>404670</v>
      </c>
      <c r="D25" s="31" t="s">
        <v>121</v>
      </c>
      <c r="E25" s="31" t="s">
        <v>122</v>
      </c>
      <c r="F25" s="96">
        <f>'404670'!Q3</f>
        <v>2</v>
      </c>
      <c r="G25" s="97">
        <f>'404670'!N5</f>
        <v>100</v>
      </c>
      <c r="H25" s="150">
        <v>6000</v>
      </c>
      <c r="I25" s="151"/>
      <c r="J25" s="32">
        <f t="shared" si="0"/>
        <v>600000</v>
      </c>
    </row>
    <row r="26" spans="1:13" ht="48" customHeight="1" x14ac:dyDescent="0.25">
      <c r="A26" s="29">
        <f t="shared" si="1"/>
        <v>9</v>
      </c>
      <c r="B26" s="30">
        <f>'404752'!E3</f>
        <v>44616</v>
      </c>
      <c r="C26" s="79">
        <f>'404752'!A3</f>
        <v>404752</v>
      </c>
      <c r="D26" s="31" t="s">
        <v>121</v>
      </c>
      <c r="E26" s="31" t="s">
        <v>122</v>
      </c>
      <c r="F26" s="96">
        <f>'404752'!Q3</f>
        <v>13</v>
      </c>
      <c r="G26" s="97">
        <f>'404752'!N16</f>
        <v>261.5795</v>
      </c>
      <c r="H26" s="150">
        <v>6000</v>
      </c>
      <c r="I26" s="151"/>
      <c r="J26" s="32">
        <f t="shared" si="0"/>
        <v>1569477</v>
      </c>
    </row>
    <row r="27" spans="1:13" ht="48" customHeight="1" x14ac:dyDescent="0.25">
      <c r="A27" s="29">
        <f t="shared" si="1"/>
        <v>10</v>
      </c>
      <c r="B27" s="30">
        <f>'404757'!E3</f>
        <v>44617</v>
      </c>
      <c r="C27" s="79">
        <f>'404757'!A3</f>
        <v>404757</v>
      </c>
      <c r="D27" s="31" t="s">
        <v>121</v>
      </c>
      <c r="E27" s="31" t="s">
        <v>122</v>
      </c>
      <c r="F27" s="96">
        <f>'404757'!Q3</f>
        <v>1</v>
      </c>
      <c r="G27" s="97">
        <v>100</v>
      </c>
      <c r="H27" s="150">
        <v>6000</v>
      </c>
      <c r="I27" s="151"/>
      <c r="J27" s="32">
        <f t="shared" ref="J27:J28" si="2">G27*H27</f>
        <v>600000</v>
      </c>
    </row>
    <row r="28" spans="1:13" ht="48" customHeight="1" x14ac:dyDescent="0.25">
      <c r="A28" s="29">
        <f t="shared" si="1"/>
        <v>11</v>
      </c>
      <c r="B28" s="30">
        <f>'404690'!E3</f>
        <v>44619</v>
      </c>
      <c r="C28" s="79">
        <f>'404690'!A3</f>
        <v>404690</v>
      </c>
      <c r="D28" s="31" t="s">
        <v>121</v>
      </c>
      <c r="E28" s="31" t="s">
        <v>122</v>
      </c>
      <c r="F28" s="96">
        <f>'404690'!Q3</f>
        <v>2</v>
      </c>
      <c r="G28" s="97">
        <v>100</v>
      </c>
      <c r="H28" s="150">
        <v>6000</v>
      </c>
      <c r="I28" s="151"/>
      <c r="J28" s="32">
        <f t="shared" si="2"/>
        <v>600000</v>
      </c>
    </row>
    <row r="29" spans="1:13" ht="32.25" customHeight="1" thickBot="1" x14ac:dyDescent="0.3">
      <c r="A29" s="157" t="s">
        <v>30</v>
      </c>
      <c r="B29" s="158"/>
      <c r="C29" s="158"/>
      <c r="D29" s="158"/>
      <c r="E29" s="158"/>
      <c r="F29" s="158"/>
      <c r="G29" s="158"/>
      <c r="H29" s="158"/>
      <c r="I29" s="159"/>
      <c r="J29" s="33">
        <f>SUM(J18:J28)</f>
        <v>8645991</v>
      </c>
      <c r="L29" s="17">
        <f>SUM(F18:F28)</f>
        <v>40</v>
      </c>
      <c r="M29" s="143">
        <f>SUM(G18:G28)</f>
        <v>1440.9985000000001</v>
      </c>
    </row>
    <row r="30" spans="1:13" x14ac:dyDescent="0.25">
      <c r="A30" s="160"/>
      <c r="B30" s="160"/>
      <c r="C30" s="34"/>
      <c r="D30" s="34"/>
      <c r="E30" s="34"/>
      <c r="F30" s="34"/>
      <c r="G30" s="34"/>
      <c r="H30" s="35"/>
      <c r="I30" s="35"/>
      <c r="J30" s="36"/>
    </row>
    <row r="31" spans="1:13" x14ac:dyDescent="0.25">
      <c r="A31" s="80"/>
      <c r="B31" s="80"/>
      <c r="C31" s="80"/>
      <c r="D31" s="80"/>
      <c r="E31" s="80"/>
      <c r="F31" s="80"/>
      <c r="G31" s="37" t="s">
        <v>51</v>
      </c>
      <c r="H31" s="37"/>
      <c r="I31" s="35"/>
      <c r="J31" s="36">
        <f>J29*10%</f>
        <v>864599.10000000009</v>
      </c>
    </row>
    <row r="32" spans="1:13" x14ac:dyDescent="0.25">
      <c r="A32" s="80"/>
      <c r="B32" s="80"/>
      <c r="C32" s="80"/>
      <c r="D32" s="80"/>
      <c r="E32" s="80"/>
      <c r="F32" s="80"/>
      <c r="G32" s="87" t="s">
        <v>52</v>
      </c>
      <c r="H32" s="87"/>
      <c r="I32" s="88"/>
      <c r="J32" s="90">
        <f>J29-J31</f>
        <v>7781391.9000000004</v>
      </c>
    </row>
    <row r="33" spans="1:10" x14ac:dyDescent="0.25">
      <c r="A33" s="80"/>
      <c r="B33" s="80"/>
      <c r="C33" s="80"/>
      <c r="D33" s="80"/>
      <c r="E33" s="80"/>
      <c r="F33" s="80"/>
      <c r="G33" s="37" t="s">
        <v>31</v>
      </c>
      <c r="H33" s="37"/>
      <c r="I33" s="38" t="e">
        <f>#REF!*1%</f>
        <v>#REF!</v>
      </c>
      <c r="J33" s="36">
        <f>J32*1%</f>
        <v>77813.919000000009</v>
      </c>
    </row>
    <row r="34" spans="1:10" ht="16.5" thickBot="1" x14ac:dyDescent="0.3">
      <c r="A34" s="80"/>
      <c r="B34" s="80"/>
      <c r="C34" s="80"/>
      <c r="D34" s="80"/>
      <c r="E34" s="80"/>
      <c r="F34" s="80"/>
      <c r="G34" s="89" t="s">
        <v>54</v>
      </c>
      <c r="H34" s="89"/>
      <c r="I34" s="39">
        <f>I30*10%</f>
        <v>0</v>
      </c>
      <c r="J34" s="39">
        <f>J32*2%</f>
        <v>155627.83800000002</v>
      </c>
    </row>
    <row r="35" spans="1:10" x14ac:dyDescent="0.25">
      <c r="E35" s="16"/>
      <c r="F35" s="16"/>
      <c r="G35" s="40" t="s">
        <v>55</v>
      </c>
      <c r="H35" s="40"/>
      <c r="I35" s="41" t="e">
        <f>I29+I33</f>
        <v>#REF!</v>
      </c>
      <c r="J35" s="41">
        <f>J32+J33-J34</f>
        <v>7703577.9809999997</v>
      </c>
    </row>
    <row r="36" spans="1:10" x14ac:dyDescent="0.25">
      <c r="E36" s="16"/>
      <c r="F36" s="16"/>
      <c r="G36" s="40"/>
      <c r="H36" s="40"/>
      <c r="I36" s="41"/>
      <c r="J36" s="41"/>
    </row>
    <row r="37" spans="1:10" x14ac:dyDescent="0.25">
      <c r="A37" s="16" t="s">
        <v>123</v>
      </c>
      <c r="D37" s="16"/>
      <c r="E37" s="16"/>
      <c r="F37" s="16"/>
      <c r="G37" s="16"/>
      <c r="H37" s="40"/>
      <c r="I37" s="40"/>
      <c r="J37" s="41"/>
    </row>
    <row r="38" spans="1:10" x14ac:dyDescent="0.25">
      <c r="A38" s="42"/>
      <c r="D38" s="16"/>
      <c r="E38" s="16"/>
      <c r="F38" s="16"/>
      <c r="G38" s="16"/>
      <c r="H38" s="40"/>
      <c r="I38" s="40"/>
      <c r="J38" s="41"/>
    </row>
    <row r="39" spans="1:10" x14ac:dyDescent="0.25">
      <c r="D39" s="16"/>
      <c r="E39" s="16"/>
      <c r="F39" s="16"/>
      <c r="G39" s="16"/>
      <c r="H39" s="40"/>
      <c r="I39" s="40"/>
      <c r="J39" s="41"/>
    </row>
    <row r="40" spans="1:10" x14ac:dyDescent="0.25">
      <c r="A40" s="43" t="s">
        <v>33</v>
      </c>
    </row>
    <row r="41" spans="1:10" x14ac:dyDescent="0.25">
      <c r="A41" s="44" t="s">
        <v>34</v>
      </c>
      <c r="B41" s="45"/>
      <c r="C41" s="45"/>
      <c r="D41" s="46"/>
      <c r="E41" s="46"/>
      <c r="F41" s="46"/>
      <c r="G41" s="46"/>
    </row>
    <row r="42" spans="1:10" x14ac:dyDescent="0.25">
      <c r="A42" s="44" t="s">
        <v>35</v>
      </c>
      <c r="B42" s="45"/>
      <c r="C42" s="45"/>
      <c r="D42" s="46"/>
      <c r="E42" s="46"/>
      <c r="F42" s="46"/>
      <c r="G42" s="46"/>
    </row>
    <row r="43" spans="1:10" x14ac:dyDescent="0.25">
      <c r="A43" s="47" t="s">
        <v>36</v>
      </c>
      <c r="B43" s="48"/>
      <c r="C43" s="48"/>
      <c r="D43" s="46"/>
      <c r="E43" s="46"/>
      <c r="F43" s="46"/>
      <c r="G43" s="46"/>
    </row>
    <row r="44" spans="1:10" x14ac:dyDescent="0.25">
      <c r="A44" s="49" t="s">
        <v>8</v>
      </c>
      <c r="B44" s="50"/>
      <c r="C44" s="50"/>
      <c r="D44" s="46"/>
      <c r="E44" s="46"/>
      <c r="F44" s="46"/>
      <c r="G44" s="46"/>
    </row>
    <row r="45" spans="1:10" x14ac:dyDescent="0.25">
      <c r="A45" s="51"/>
      <c r="B45" s="51"/>
      <c r="C45" s="51"/>
    </row>
    <row r="46" spans="1:10" x14ac:dyDescent="0.25">
      <c r="H46" s="52" t="s">
        <v>37</v>
      </c>
      <c r="I46" s="146" t="str">
        <f>+J13</f>
        <v xml:space="preserve"> 23 Maret 2022</v>
      </c>
      <c r="J46" s="147"/>
    </row>
    <row r="50" spans="8:10" ht="18" customHeight="1" x14ac:dyDescent="0.25"/>
    <row r="51" spans="8:10" ht="17.25" customHeight="1" x14ac:dyDescent="0.25"/>
    <row r="53" spans="8:10" x14ac:dyDescent="0.25">
      <c r="H53" s="148" t="s">
        <v>38</v>
      </c>
      <c r="I53" s="148"/>
      <c r="J53" s="148"/>
    </row>
  </sheetData>
  <mergeCells count="20">
    <mergeCell ref="A10:J10"/>
    <mergeCell ref="H17:I17"/>
    <mergeCell ref="H18:I18"/>
    <mergeCell ref="A29:I29"/>
    <mergeCell ref="A30:B30"/>
    <mergeCell ref="H19:I19"/>
    <mergeCell ref="H22:I22"/>
    <mergeCell ref="H20:I20"/>
    <mergeCell ref="H23:I23"/>
    <mergeCell ref="H26:I26"/>
    <mergeCell ref="H21:I21"/>
    <mergeCell ref="I46:J46"/>
    <mergeCell ref="H53:J53"/>
    <mergeCell ref="G14:H14"/>
    <mergeCell ref="G13:H13"/>
    <mergeCell ref="G12:H12"/>
    <mergeCell ref="H24:I24"/>
    <mergeCell ref="H25:I25"/>
    <mergeCell ref="H27:I27"/>
    <mergeCell ref="H28:I28"/>
  </mergeCells>
  <conditionalFormatting sqref="C1:C23 C25:C1048576">
    <cfRule type="duplicateValues" dxfId="44" priority="1"/>
  </conditionalFormatting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"/>
  <cols>
    <col min="1" max="1" width="6.42578125" style="4" customWidth="1"/>
    <col min="2" max="2" width="19.140625" style="2" customWidth="1"/>
    <col min="3" max="3" width="14.5703125" style="2" customWidth="1"/>
    <col min="4" max="4" width="10.5703125" style="3" customWidth="1"/>
    <col min="5" max="5" width="9.28515625" style="11" customWidth="1"/>
    <col min="6" max="6" width="12" style="3" customWidth="1"/>
    <col min="7" max="7" width="10.28515625" style="3" customWidth="1"/>
    <col min="8" max="8" width="19.28515625" style="6" customWidth="1"/>
    <col min="9" max="10" width="3.28515625" style="3" customWidth="1"/>
    <col min="11" max="11" width="3.140625" style="3" customWidth="1"/>
    <col min="12" max="12" width="4.140625" style="3" customWidth="1"/>
    <col min="13" max="13" width="8.140625" style="3" customWidth="1"/>
    <col min="14" max="14" width="12.140625" style="14" customWidth="1"/>
    <col min="15" max="15" width="8.140625" style="14" customWidth="1"/>
    <col min="16" max="16" width="8.710937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8">
        <v>404670</v>
      </c>
      <c r="B3" s="70" t="s">
        <v>93</v>
      </c>
      <c r="C3" s="8" t="s">
        <v>94</v>
      </c>
      <c r="D3" s="72" t="s">
        <v>58</v>
      </c>
      <c r="E3" s="12">
        <v>44614</v>
      </c>
      <c r="F3" s="72" t="s">
        <v>67</v>
      </c>
      <c r="G3" s="12">
        <v>44632</v>
      </c>
      <c r="H3" s="9" t="s">
        <v>96</v>
      </c>
      <c r="I3" s="1">
        <v>93</v>
      </c>
      <c r="J3" s="1">
        <v>93</v>
      </c>
      <c r="K3" s="1">
        <v>23</v>
      </c>
      <c r="L3" s="1">
        <v>9</v>
      </c>
      <c r="M3" s="76">
        <v>49.731749999999998</v>
      </c>
      <c r="N3" s="7">
        <v>50</v>
      </c>
      <c r="O3" s="60">
        <v>6000</v>
      </c>
      <c r="P3" s="61">
        <f>Table22457891011234567891011[[#This Row],[PEMBULATAN]]*O3</f>
        <v>300000</v>
      </c>
      <c r="Q3" s="174">
        <v>2</v>
      </c>
    </row>
    <row r="4" spans="1:17" ht="26.25" customHeight="1" x14ac:dyDescent="0.2">
      <c r="A4" s="13"/>
      <c r="B4" s="71"/>
      <c r="C4" s="8" t="s">
        <v>95</v>
      </c>
      <c r="D4" s="72" t="s">
        <v>58</v>
      </c>
      <c r="E4" s="12">
        <v>44614</v>
      </c>
      <c r="F4" s="72" t="s">
        <v>67</v>
      </c>
      <c r="G4" s="12">
        <v>44632</v>
      </c>
      <c r="H4" s="9" t="s">
        <v>96</v>
      </c>
      <c r="I4" s="1">
        <v>93</v>
      </c>
      <c r="J4" s="1">
        <v>93</v>
      </c>
      <c r="K4" s="1">
        <v>23</v>
      </c>
      <c r="L4" s="1">
        <v>9</v>
      </c>
      <c r="M4" s="76">
        <v>49.731749999999998</v>
      </c>
      <c r="N4" s="7">
        <v>50</v>
      </c>
      <c r="O4" s="60">
        <v>6000</v>
      </c>
      <c r="P4" s="61">
        <f>Table22457891011234567891011[[#This Row],[PEMBULATAN]]*O4</f>
        <v>300000</v>
      </c>
      <c r="Q4" s="175"/>
    </row>
    <row r="5" spans="1:17" ht="22.5" customHeight="1" x14ac:dyDescent="0.2">
      <c r="A5" s="169" t="s">
        <v>30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1"/>
      <c r="M5" s="75">
        <f>SUBTOTAL(109,Table22457891011234567891011[KG VOLUME])</f>
        <v>99.463499999999996</v>
      </c>
      <c r="N5" s="64">
        <f>SUM(N3:N4)</f>
        <v>100</v>
      </c>
      <c r="O5" s="172">
        <f>SUM(P3:P4)</f>
        <v>600000</v>
      </c>
      <c r="P5" s="173"/>
    </row>
    <row r="6" spans="1:17" ht="18" customHeight="1" x14ac:dyDescent="0.2">
      <c r="A6" s="81"/>
      <c r="B6" s="54" t="s">
        <v>42</v>
      </c>
      <c r="C6" s="53"/>
      <c r="D6" s="55" t="s">
        <v>43</v>
      </c>
      <c r="E6" s="81"/>
      <c r="F6" s="81"/>
      <c r="G6" s="81"/>
      <c r="H6" s="81"/>
      <c r="I6" s="81"/>
      <c r="J6" s="81"/>
      <c r="K6" s="81"/>
      <c r="L6" s="81"/>
      <c r="M6" s="82"/>
      <c r="N6" s="83" t="s">
        <v>51</v>
      </c>
      <c r="O6" s="84"/>
      <c r="P6" s="84">
        <f>O5*10%</f>
        <v>60000</v>
      </c>
    </row>
    <row r="7" spans="1:17" ht="18" customHeight="1" thickBot="1" x14ac:dyDescent="0.25">
      <c r="A7" s="81"/>
      <c r="B7" s="54"/>
      <c r="C7" s="53"/>
      <c r="D7" s="55"/>
      <c r="E7" s="81"/>
      <c r="F7" s="81"/>
      <c r="G7" s="81"/>
      <c r="H7" s="81"/>
      <c r="I7" s="81"/>
      <c r="J7" s="81"/>
      <c r="K7" s="81"/>
      <c r="L7" s="81"/>
      <c r="M7" s="82"/>
      <c r="N7" s="85" t="s">
        <v>52</v>
      </c>
      <c r="O7" s="86"/>
      <c r="P7" s="86">
        <f>O5-P6</f>
        <v>540000</v>
      </c>
    </row>
    <row r="8" spans="1:17" ht="18" customHeight="1" x14ac:dyDescent="0.2">
      <c r="A8" s="10"/>
      <c r="H8" s="59"/>
      <c r="N8" s="58" t="s">
        <v>31</v>
      </c>
      <c r="P8" s="65">
        <f>P7*1%</f>
        <v>5400</v>
      </c>
    </row>
    <row r="9" spans="1:17" ht="18" customHeight="1" thickBot="1" x14ac:dyDescent="0.25">
      <c r="A9" s="10"/>
      <c r="H9" s="59"/>
      <c r="N9" s="58" t="s">
        <v>53</v>
      </c>
      <c r="P9" s="67">
        <f>P7*2%</f>
        <v>10800</v>
      </c>
    </row>
    <row r="10" spans="1:17" ht="18" customHeight="1" x14ac:dyDescent="0.2">
      <c r="A10" s="10"/>
      <c r="H10" s="59"/>
      <c r="N10" s="62" t="s">
        <v>32</v>
      </c>
      <c r="O10" s="63"/>
      <c r="P10" s="66">
        <f>P7+P8-P9</f>
        <v>534600</v>
      </c>
    </row>
    <row r="12" spans="1:17" x14ac:dyDescent="0.2">
      <c r="A12" s="10"/>
      <c r="H12" s="59"/>
      <c r="P12" s="67"/>
    </row>
    <row r="13" spans="1:17" x14ac:dyDescent="0.2">
      <c r="A13" s="10"/>
      <c r="H13" s="59"/>
      <c r="O13" s="56"/>
      <c r="P13" s="67"/>
    </row>
    <row r="14" spans="1:17" s="3" customFormat="1" x14ac:dyDescent="0.25">
      <c r="A14" s="10"/>
      <c r="B14" s="2"/>
      <c r="C14" s="2"/>
      <c r="E14" s="11"/>
      <c r="H14" s="59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59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59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9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9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9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9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9"/>
      <c r="N25" s="14"/>
      <c r="O25" s="14"/>
      <c r="P25" s="14"/>
    </row>
  </sheetData>
  <mergeCells count="3">
    <mergeCell ref="A5:L5"/>
    <mergeCell ref="O5:P5"/>
    <mergeCell ref="Q3:Q4"/>
  </mergeCells>
  <conditionalFormatting sqref="B3">
    <cfRule type="duplicateValues" dxfId="7" priority="2"/>
  </conditionalFormatting>
  <conditionalFormatting sqref="B4">
    <cfRule type="duplicateValues" dxfId="6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12" sqref="M12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10.7109375" style="3" customWidth="1"/>
    <col min="5" max="5" width="9.42578125" style="11" customWidth="1"/>
    <col min="6" max="6" width="11.7109375" style="3" customWidth="1"/>
    <col min="7" max="7" width="10" style="3" customWidth="1"/>
    <col min="8" max="8" width="20" style="6" customWidth="1"/>
    <col min="9" max="9" width="3.42578125" style="3" customWidth="1"/>
    <col min="10" max="11" width="3.1406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8">
        <v>404752</v>
      </c>
      <c r="B3" s="70" t="s">
        <v>97</v>
      </c>
      <c r="C3" s="8" t="s">
        <v>98</v>
      </c>
      <c r="D3" s="72" t="s">
        <v>58</v>
      </c>
      <c r="E3" s="12">
        <v>44616</v>
      </c>
      <c r="F3" s="72" t="s">
        <v>67</v>
      </c>
      <c r="G3" s="12">
        <v>44632</v>
      </c>
      <c r="H3" s="9" t="s">
        <v>96</v>
      </c>
      <c r="I3" s="1">
        <v>52</v>
      </c>
      <c r="J3" s="1">
        <v>45</v>
      </c>
      <c r="K3" s="1">
        <v>12</v>
      </c>
      <c r="L3" s="1">
        <v>7</v>
      </c>
      <c r="M3" s="76">
        <v>7.02</v>
      </c>
      <c r="N3" s="92">
        <v>7.02</v>
      </c>
      <c r="O3" s="60">
        <v>6000</v>
      </c>
      <c r="P3" s="61">
        <f>Table2245789101123456789101112[[#This Row],[PEMBULATAN]]*O3</f>
        <v>42120</v>
      </c>
      <c r="Q3" s="174">
        <v>13</v>
      </c>
    </row>
    <row r="4" spans="1:17" ht="26.25" customHeight="1" x14ac:dyDescent="0.2">
      <c r="A4" s="13"/>
      <c r="B4" s="71"/>
      <c r="C4" s="8" t="s">
        <v>99</v>
      </c>
      <c r="D4" s="72" t="s">
        <v>58</v>
      </c>
      <c r="E4" s="12">
        <v>44616</v>
      </c>
      <c r="F4" s="72" t="s">
        <v>67</v>
      </c>
      <c r="G4" s="12">
        <v>44632</v>
      </c>
      <c r="H4" s="9" t="s">
        <v>96</v>
      </c>
      <c r="I4" s="1">
        <v>52</v>
      </c>
      <c r="J4" s="1">
        <v>45</v>
      </c>
      <c r="K4" s="1">
        <v>12</v>
      </c>
      <c r="L4" s="1">
        <v>7</v>
      </c>
      <c r="M4" s="76">
        <v>7.02</v>
      </c>
      <c r="N4" s="92">
        <v>7.02</v>
      </c>
      <c r="O4" s="60">
        <v>6000</v>
      </c>
      <c r="P4" s="61">
        <f>Table2245789101123456789101112[[#This Row],[PEMBULATAN]]*O4</f>
        <v>42120</v>
      </c>
      <c r="Q4" s="167"/>
    </row>
    <row r="5" spans="1:17" ht="26.25" customHeight="1" x14ac:dyDescent="0.2">
      <c r="A5" s="13"/>
      <c r="B5" s="13"/>
      <c r="C5" s="8" t="s">
        <v>100</v>
      </c>
      <c r="D5" s="72" t="s">
        <v>58</v>
      </c>
      <c r="E5" s="12">
        <v>44616</v>
      </c>
      <c r="F5" s="72" t="s">
        <v>67</v>
      </c>
      <c r="G5" s="12">
        <v>44632</v>
      </c>
      <c r="H5" s="9" t="s">
        <v>96</v>
      </c>
      <c r="I5" s="1">
        <v>47</v>
      </c>
      <c r="J5" s="1">
        <v>43</v>
      </c>
      <c r="K5" s="1">
        <v>38</v>
      </c>
      <c r="L5" s="1">
        <v>7</v>
      </c>
      <c r="M5" s="76">
        <v>19.1995</v>
      </c>
      <c r="N5" s="92">
        <v>19.1995</v>
      </c>
      <c r="O5" s="60">
        <v>6000</v>
      </c>
      <c r="P5" s="61">
        <f>Table2245789101123456789101112[[#This Row],[PEMBULATAN]]*O5</f>
        <v>115197</v>
      </c>
      <c r="Q5" s="167"/>
    </row>
    <row r="6" spans="1:17" ht="26.25" customHeight="1" x14ac:dyDescent="0.2">
      <c r="A6" s="13"/>
      <c r="B6" s="13"/>
      <c r="C6" s="69" t="s">
        <v>101</v>
      </c>
      <c r="D6" s="74" t="s">
        <v>58</v>
      </c>
      <c r="E6" s="12">
        <v>44616</v>
      </c>
      <c r="F6" s="72" t="s">
        <v>67</v>
      </c>
      <c r="G6" s="12">
        <v>44632</v>
      </c>
      <c r="H6" s="73" t="s">
        <v>96</v>
      </c>
      <c r="I6" s="15">
        <v>53</v>
      </c>
      <c r="J6" s="15">
        <v>30</v>
      </c>
      <c r="K6" s="15">
        <v>12</v>
      </c>
      <c r="L6" s="15">
        <v>9</v>
      </c>
      <c r="M6" s="77">
        <v>4.7699999999999996</v>
      </c>
      <c r="N6" s="92">
        <v>9</v>
      </c>
      <c r="O6" s="60">
        <v>6000</v>
      </c>
      <c r="P6" s="61">
        <f>Table2245789101123456789101112[[#This Row],[PEMBULATAN]]*O6</f>
        <v>54000</v>
      </c>
      <c r="Q6" s="167"/>
    </row>
    <row r="7" spans="1:17" ht="26.25" customHeight="1" x14ac:dyDescent="0.2">
      <c r="A7" s="13"/>
      <c r="B7" s="13"/>
      <c r="C7" s="69" t="s">
        <v>102</v>
      </c>
      <c r="D7" s="74" t="s">
        <v>58</v>
      </c>
      <c r="E7" s="12">
        <v>44616</v>
      </c>
      <c r="F7" s="72" t="s">
        <v>67</v>
      </c>
      <c r="G7" s="12">
        <v>44632</v>
      </c>
      <c r="H7" s="73" t="s">
        <v>96</v>
      </c>
      <c r="I7" s="15">
        <v>95</v>
      </c>
      <c r="J7" s="15">
        <v>90</v>
      </c>
      <c r="K7" s="15">
        <v>20</v>
      </c>
      <c r="L7" s="15">
        <v>7</v>
      </c>
      <c r="M7" s="77">
        <v>42.75</v>
      </c>
      <c r="N7" s="92">
        <v>43</v>
      </c>
      <c r="O7" s="60">
        <v>6000</v>
      </c>
      <c r="P7" s="61">
        <f>Table2245789101123456789101112[[#This Row],[PEMBULATAN]]*O7</f>
        <v>258000</v>
      </c>
      <c r="Q7" s="167"/>
    </row>
    <row r="8" spans="1:17" ht="26.25" customHeight="1" x14ac:dyDescent="0.2">
      <c r="A8" s="13"/>
      <c r="B8" s="13"/>
      <c r="C8" s="69" t="s">
        <v>103</v>
      </c>
      <c r="D8" s="74" t="s">
        <v>58</v>
      </c>
      <c r="E8" s="12">
        <v>44616</v>
      </c>
      <c r="F8" s="72" t="s">
        <v>67</v>
      </c>
      <c r="G8" s="12">
        <v>44632</v>
      </c>
      <c r="H8" s="73" t="s">
        <v>96</v>
      </c>
      <c r="I8" s="15">
        <v>95</v>
      </c>
      <c r="J8" s="15">
        <v>90</v>
      </c>
      <c r="K8" s="15">
        <v>20</v>
      </c>
      <c r="L8" s="15">
        <v>7</v>
      </c>
      <c r="M8" s="77">
        <v>42.75</v>
      </c>
      <c r="N8" s="92">
        <v>43</v>
      </c>
      <c r="O8" s="60">
        <v>6000</v>
      </c>
      <c r="P8" s="61">
        <f>Table2245789101123456789101112[[#This Row],[PEMBULATAN]]*O8</f>
        <v>258000</v>
      </c>
      <c r="Q8" s="167"/>
    </row>
    <row r="9" spans="1:17" ht="26.25" customHeight="1" x14ac:dyDescent="0.2">
      <c r="A9" s="13"/>
      <c r="B9" s="13"/>
      <c r="C9" s="69" t="s">
        <v>104</v>
      </c>
      <c r="D9" s="74" t="s">
        <v>58</v>
      </c>
      <c r="E9" s="12">
        <v>44616</v>
      </c>
      <c r="F9" s="72" t="s">
        <v>67</v>
      </c>
      <c r="G9" s="12">
        <v>44632</v>
      </c>
      <c r="H9" s="73" t="s">
        <v>96</v>
      </c>
      <c r="I9" s="15">
        <v>87</v>
      </c>
      <c r="J9" s="15">
        <v>53</v>
      </c>
      <c r="K9" s="15">
        <v>37</v>
      </c>
      <c r="L9" s="15">
        <v>11</v>
      </c>
      <c r="M9" s="77">
        <v>42.65175</v>
      </c>
      <c r="N9" s="92">
        <v>43</v>
      </c>
      <c r="O9" s="60">
        <v>6000</v>
      </c>
      <c r="P9" s="61">
        <f>Table2245789101123456789101112[[#This Row],[PEMBULATAN]]*O9</f>
        <v>258000</v>
      </c>
      <c r="Q9" s="167"/>
    </row>
    <row r="10" spans="1:17" ht="26.25" customHeight="1" x14ac:dyDescent="0.2">
      <c r="A10" s="13"/>
      <c r="B10" s="13"/>
      <c r="C10" s="69" t="s">
        <v>105</v>
      </c>
      <c r="D10" s="74" t="s">
        <v>58</v>
      </c>
      <c r="E10" s="12">
        <v>44616</v>
      </c>
      <c r="F10" s="72" t="s">
        <v>67</v>
      </c>
      <c r="G10" s="12">
        <v>44632</v>
      </c>
      <c r="H10" s="73" t="s">
        <v>96</v>
      </c>
      <c r="I10" s="15">
        <v>70</v>
      </c>
      <c r="J10" s="15">
        <v>56</v>
      </c>
      <c r="K10" s="15">
        <v>37</v>
      </c>
      <c r="L10" s="15">
        <v>9</v>
      </c>
      <c r="M10" s="77">
        <v>36.26</v>
      </c>
      <c r="N10" s="92">
        <v>36.26</v>
      </c>
      <c r="O10" s="60">
        <v>6000</v>
      </c>
      <c r="P10" s="61">
        <f>Table2245789101123456789101112[[#This Row],[PEMBULATAN]]*O10</f>
        <v>217560</v>
      </c>
      <c r="Q10" s="167"/>
    </row>
    <row r="11" spans="1:17" ht="26.25" customHeight="1" x14ac:dyDescent="0.2">
      <c r="A11" s="13"/>
      <c r="B11" s="13"/>
      <c r="C11" s="69" t="s">
        <v>106</v>
      </c>
      <c r="D11" s="74" t="s">
        <v>58</v>
      </c>
      <c r="E11" s="12">
        <v>44616</v>
      </c>
      <c r="F11" s="72" t="s">
        <v>67</v>
      </c>
      <c r="G11" s="12">
        <v>44632</v>
      </c>
      <c r="H11" s="73" t="s">
        <v>96</v>
      </c>
      <c r="I11" s="15">
        <v>52</v>
      </c>
      <c r="J11" s="15">
        <v>45</v>
      </c>
      <c r="K11" s="15">
        <v>12</v>
      </c>
      <c r="L11" s="15">
        <v>7</v>
      </c>
      <c r="M11" s="77">
        <v>7.02</v>
      </c>
      <c r="N11" s="92">
        <v>7.02</v>
      </c>
      <c r="O11" s="60">
        <v>6000</v>
      </c>
      <c r="P11" s="61">
        <f>Table2245789101123456789101112[[#This Row],[PEMBULATAN]]*O11</f>
        <v>42120</v>
      </c>
      <c r="Q11" s="167"/>
    </row>
    <row r="12" spans="1:17" ht="26.25" customHeight="1" x14ac:dyDescent="0.2">
      <c r="A12" s="13"/>
      <c r="B12" s="13"/>
      <c r="C12" s="69" t="s">
        <v>107</v>
      </c>
      <c r="D12" s="74" t="s">
        <v>58</v>
      </c>
      <c r="E12" s="12">
        <v>44616</v>
      </c>
      <c r="F12" s="72" t="s">
        <v>67</v>
      </c>
      <c r="G12" s="12">
        <v>44632</v>
      </c>
      <c r="H12" s="73" t="s">
        <v>96</v>
      </c>
      <c r="I12" s="15">
        <v>52</v>
      </c>
      <c r="J12" s="15">
        <v>45</v>
      </c>
      <c r="K12" s="15">
        <v>12</v>
      </c>
      <c r="L12" s="15">
        <v>7</v>
      </c>
      <c r="M12" s="77">
        <v>7.02</v>
      </c>
      <c r="N12" s="92">
        <v>7.02</v>
      </c>
      <c r="O12" s="60">
        <v>6000</v>
      </c>
      <c r="P12" s="61">
        <f>Table2245789101123456789101112[[#This Row],[PEMBULATAN]]*O12</f>
        <v>42120</v>
      </c>
      <c r="Q12" s="167"/>
    </row>
    <row r="13" spans="1:17" ht="26.25" customHeight="1" x14ac:dyDescent="0.2">
      <c r="A13" s="13"/>
      <c r="B13" s="13"/>
      <c r="C13" s="69" t="s">
        <v>108</v>
      </c>
      <c r="D13" s="74" t="s">
        <v>58</v>
      </c>
      <c r="E13" s="12">
        <v>44616</v>
      </c>
      <c r="F13" s="72" t="s">
        <v>67</v>
      </c>
      <c r="G13" s="12">
        <v>44632</v>
      </c>
      <c r="H13" s="73" t="s">
        <v>96</v>
      </c>
      <c r="I13" s="15">
        <v>52</v>
      </c>
      <c r="J13" s="15">
        <v>45</v>
      </c>
      <c r="K13" s="15">
        <v>12</v>
      </c>
      <c r="L13" s="15">
        <v>7</v>
      </c>
      <c r="M13" s="77">
        <v>7.02</v>
      </c>
      <c r="N13" s="92">
        <v>7.02</v>
      </c>
      <c r="O13" s="60">
        <v>6000</v>
      </c>
      <c r="P13" s="61">
        <f>Table2245789101123456789101112[[#This Row],[PEMBULATAN]]*O13</f>
        <v>42120</v>
      </c>
      <c r="Q13" s="167"/>
    </row>
    <row r="14" spans="1:17" ht="26.25" customHeight="1" x14ac:dyDescent="0.2">
      <c r="A14" s="13"/>
      <c r="B14" s="13"/>
      <c r="C14" s="69" t="s">
        <v>109</v>
      </c>
      <c r="D14" s="74" t="s">
        <v>58</v>
      </c>
      <c r="E14" s="12">
        <v>44616</v>
      </c>
      <c r="F14" s="72" t="s">
        <v>67</v>
      </c>
      <c r="G14" s="12">
        <v>44632</v>
      </c>
      <c r="H14" s="73" t="s">
        <v>96</v>
      </c>
      <c r="I14" s="15">
        <v>70</v>
      </c>
      <c r="J14" s="15">
        <v>45</v>
      </c>
      <c r="K14" s="15">
        <v>33</v>
      </c>
      <c r="L14" s="15">
        <v>11</v>
      </c>
      <c r="M14" s="77">
        <v>25.987500000000001</v>
      </c>
      <c r="N14" s="92">
        <v>26</v>
      </c>
      <c r="O14" s="60">
        <v>6000</v>
      </c>
      <c r="P14" s="61">
        <f>Table2245789101123456789101112[[#This Row],[PEMBULATAN]]*O14</f>
        <v>156000</v>
      </c>
      <c r="Q14" s="167"/>
    </row>
    <row r="15" spans="1:17" ht="26.25" customHeight="1" x14ac:dyDescent="0.2">
      <c r="A15" s="95"/>
      <c r="B15" s="95" t="s">
        <v>110</v>
      </c>
      <c r="C15" s="69" t="s">
        <v>111</v>
      </c>
      <c r="D15" s="74" t="s">
        <v>58</v>
      </c>
      <c r="E15" s="12">
        <v>44616</v>
      </c>
      <c r="F15" s="72" t="s">
        <v>67</v>
      </c>
      <c r="G15" s="12">
        <v>44632</v>
      </c>
      <c r="H15" s="73" t="s">
        <v>96</v>
      </c>
      <c r="I15" s="15">
        <v>52</v>
      </c>
      <c r="J15" s="15">
        <v>45</v>
      </c>
      <c r="K15" s="15">
        <v>12</v>
      </c>
      <c r="L15" s="15">
        <v>7</v>
      </c>
      <c r="M15" s="77">
        <v>7.02</v>
      </c>
      <c r="N15" s="92">
        <v>7.02</v>
      </c>
      <c r="O15" s="60">
        <v>6000</v>
      </c>
      <c r="P15" s="61">
        <f>Table2245789101123456789101112[[#This Row],[PEMBULATAN]]*O15</f>
        <v>42120</v>
      </c>
      <c r="Q15" s="175"/>
    </row>
    <row r="16" spans="1:17" ht="22.5" customHeight="1" x14ac:dyDescent="0.2">
      <c r="A16" s="169" t="s">
        <v>30</v>
      </c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1"/>
      <c r="M16" s="75">
        <f>SUBTOTAL(109,Table2245789101123456789101112[KG VOLUME])</f>
        <v>256.48875000000004</v>
      </c>
      <c r="N16" s="64">
        <f>SUM(N3:N15)</f>
        <v>261.5795</v>
      </c>
      <c r="O16" s="172">
        <f>SUM(P3:P15)</f>
        <v>1569477</v>
      </c>
      <c r="P16" s="173"/>
    </row>
    <row r="17" spans="1:16" ht="18" customHeight="1" x14ac:dyDescent="0.2">
      <c r="A17" s="81"/>
      <c r="B17" s="54" t="s">
        <v>42</v>
      </c>
      <c r="C17" s="53"/>
      <c r="D17" s="55" t="s">
        <v>43</v>
      </c>
      <c r="E17" s="81"/>
      <c r="F17" s="81"/>
      <c r="G17" s="81"/>
      <c r="H17" s="81"/>
      <c r="I17" s="81"/>
      <c r="J17" s="81"/>
      <c r="K17" s="81"/>
      <c r="L17" s="81"/>
      <c r="M17" s="82"/>
      <c r="N17" s="83" t="s">
        <v>51</v>
      </c>
      <c r="O17" s="84"/>
      <c r="P17" s="84">
        <f>O16*10%</f>
        <v>156947.70000000001</v>
      </c>
    </row>
    <row r="18" spans="1:16" ht="18" customHeight="1" thickBot="1" x14ac:dyDescent="0.25">
      <c r="A18" s="81"/>
      <c r="B18" s="54"/>
      <c r="C18" s="53"/>
      <c r="D18" s="55"/>
      <c r="E18" s="81"/>
      <c r="F18" s="81"/>
      <c r="G18" s="81"/>
      <c r="H18" s="81"/>
      <c r="I18" s="81"/>
      <c r="J18" s="81"/>
      <c r="K18" s="81"/>
      <c r="L18" s="81"/>
      <c r="M18" s="82"/>
      <c r="N18" s="85" t="s">
        <v>52</v>
      </c>
      <c r="O18" s="86"/>
      <c r="P18" s="86">
        <f>O16-P17</f>
        <v>1412529.3</v>
      </c>
    </row>
    <row r="19" spans="1:16" ht="18" customHeight="1" x14ac:dyDescent="0.2">
      <c r="A19" s="10"/>
      <c r="H19" s="59"/>
      <c r="N19" s="58" t="s">
        <v>31</v>
      </c>
      <c r="P19" s="65">
        <f>P18*1%</f>
        <v>14125.293000000001</v>
      </c>
    </row>
    <row r="20" spans="1:16" ht="18" customHeight="1" thickBot="1" x14ac:dyDescent="0.25">
      <c r="A20" s="10"/>
      <c r="H20" s="59"/>
      <c r="N20" s="58" t="s">
        <v>53</v>
      </c>
      <c r="P20" s="67">
        <f>P18*2%</f>
        <v>28250.586000000003</v>
      </c>
    </row>
    <row r="21" spans="1:16" ht="18" customHeight="1" x14ac:dyDescent="0.2">
      <c r="A21" s="10"/>
      <c r="H21" s="59"/>
      <c r="N21" s="62" t="s">
        <v>32</v>
      </c>
      <c r="O21" s="63"/>
      <c r="P21" s="66">
        <f>P18+P19-P20</f>
        <v>1398404.0070000002</v>
      </c>
    </row>
    <row r="23" spans="1:16" x14ac:dyDescent="0.2">
      <c r="A23" s="10"/>
      <c r="H23" s="59"/>
      <c r="P23" s="67"/>
    </row>
    <row r="24" spans="1:16" x14ac:dyDescent="0.2">
      <c r="A24" s="10"/>
      <c r="H24" s="59"/>
      <c r="O24" s="56"/>
      <c r="P24" s="67"/>
    </row>
    <row r="25" spans="1:16" s="3" customFormat="1" x14ac:dyDescent="0.25">
      <c r="A25" s="10"/>
      <c r="B25" s="2"/>
      <c r="C25" s="2"/>
      <c r="E25" s="11"/>
      <c r="H25" s="59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9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9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9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9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9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9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9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9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9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9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9"/>
      <c r="N36" s="14"/>
      <c r="O36" s="14"/>
      <c r="P36" s="14"/>
    </row>
  </sheetData>
  <mergeCells count="3">
    <mergeCell ref="A16:L16"/>
    <mergeCell ref="O16:P16"/>
    <mergeCell ref="Q3:Q15"/>
  </mergeCells>
  <conditionalFormatting sqref="B3">
    <cfRule type="duplicateValues" dxfId="5" priority="2"/>
  </conditionalFormatting>
  <conditionalFormatting sqref="B4">
    <cfRule type="duplicateValues" dxfId="4" priority="1"/>
  </conditionalFormatting>
  <conditionalFormatting sqref="B5:B15">
    <cfRule type="duplicateValues" dxfId="3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5" x14ac:dyDescent="0.2"/>
  <cols>
    <col min="1" max="1" width="6.42578125" style="4" customWidth="1"/>
    <col min="2" max="2" width="18.85546875" style="2" customWidth="1"/>
    <col min="3" max="3" width="14.5703125" style="2" customWidth="1"/>
    <col min="4" max="4" width="11.28515625" style="3" customWidth="1"/>
    <col min="5" max="5" width="8.5703125" style="11" customWidth="1"/>
    <col min="6" max="7" width="10.28515625" style="3" customWidth="1"/>
    <col min="8" max="8" width="21.5703125" style="6" customWidth="1"/>
    <col min="9" max="9" width="3" style="3" customWidth="1"/>
    <col min="10" max="10" width="3.140625" style="3" customWidth="1"/>
    <col min="11" max="11" width="3.2851562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9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8">
        <v>404757</v>
      </c>
      <c r="B3" s="70" t="s">
        <v>112</v>
      </c>
      <c r="C3" s="8" t="s">
        <v>113</v>
      </c>
      <c r="D3" s="72" t="s">
        <v>58</v>
      </c>
      <c r="E3" s="12">
        <v>44617</v>
      </c>
      <c r="F3" s="72" t="s">
        <v>67</v>
      </c>
      <c r="G3" s="12">
        <v>44632</v>
      </c>
      <c r="H3" s="9" t="s">
        <v>96</v>
      </c>
      <c r="I3" s="1">
        <v>45</v>
      </c>
      <c r="J3" s="1">
        <v>45</v>
      </c>
      <c r="K3" s="1">
        <v>52</v>
      </c>
      <c r="L3" s="1">
        <v>11</v>
      </c>
      <c r="M3" s="76">
        <v>26.324999999999999</v>
      </c>
      <c r="N3" s="7">
        <v>27</v>
      </c>
      <c r="O3" s="60">
        <v>6000</v>
      </c>
      <c r="P3" s="61">
        <f>Table224578910112345678910111213[[#This Row],[PEMBULATAN]]*O3</f>
        <v>162000</v>
      </c>
      <c r="Q3" s="93">
        <v>1</v>
      </c>
    </row>
    <row r="4" spans="1:17" ht="22.5" customHeight="1" x14ac:dyDescent="0.2">
      <c r="A4" s="169" t="s">
        <v>30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1"/>
      <c r="M4" s="75">
        <f>SUBTOTAL(109,Table224578910112345678910111213[KG VOLUME])</f>
        <v>26.324999999999999</v>
      </c>
      <c r="N4" s="64">
        <f>SUM(N3:N3)</f>
        <v>27</v>
      </c>
      <c r="O4" s="172">
        <f>SUM(P3:P3)</f>
        <v>162000</v>
      </c>
      <c r="P4" s="173"/>
    </row>
    <row r="5" spans="1:17" ht="18" customHeight="1" x14ac:dyDescent="0.2">
      <c r="A5" s="81"/>
      <c r="B5" s="54" t="s">
        <v>42</v>
      </c>
      <c r="C5" s="53"/>
      <c r="D5" s="55" t="s">
        <v>43</v>
      </c>
      <c r="E5" s="81"/>
      <c r="F5" s="81"/>
      <c r="G5" s="81"/>
      <c r="H5" s="81"/>
      <c r="I5" s="81"/>
      <c r="J5" s="81"/>
      <c r="K5" s="81"/>
      <c r="L5" s="81"/>
      <c r="M5" s="82"/>
      <c r="N5" s="83" t="s">
        <v>51</v>
      </c>
      <c r="O5" s="84"/>
      <c r="P5" s="84">
        <f>O4*10%</f>
        <v>16200</v>
      </c>
    </row>
    <row r="6" spans="1:17" ht="18" customHeight="1" thickBot="1" x14ac:dyDescent="0.25">
      <c r="A6" s="81"/>
      <c r="B6" s="54"/>
      <c r="C6" s="53"/>
      <c r="D6" s="55"/>
      <c r="E6" s="81"/>
      <c r="F6" s="81"/>
      <c r="G6" s="81"/>
      <c r="H6" s="81"/>
      <c r="I6" s="81"/>
      <c r="J6" s="81"/>
      <c r="K6" s="81"/>
      <c r="L6" s="81"/>
      <c r="M6" s="82"/>
      <c r="N6" s="85" t="s">
        <v>52</v>
      </c>
      <c r="O6" s="86"/>
      <c r="P6" s="86">
        <f>O4-P5</f>
        <v>145800</v>
      </c>
    </row>
    <row r="7" spans="1:17" ht="18" customHeight="1" x14ac:dyDescent="0.2">
      <c r="A7" s="10"/>
      <c r="H7" s="59"/>
      <c r="N7" s="58" t="s">
        <v>31</v>
      </c>
      <c r="P7" s="65">
        <f>P6*1%</f>
        <v>1458</v>
      </c>
    </row>
    <row r="8" spans="1:17" ht="18" customHeight="1" thickBot="1" x14ac:dyDescent="0.25">
      <c r="A8" s="10"/>
      <c r="H8" s="59"/>
      <c r="N8" s="58" t="s">
        <v>53</v>
      </c>
      <c r="P8" s="67">
        <f>P6*2%</f>
        <v>2916</v>
      </c>
    </row>
    <row r="9" spans="1:17" ht="18" customHeight="1" x14ac:dyDescent="0.2">
      <c r="A9" s="10"/>
      <c r="H9" s="59"/>
      <c r="N9" s="62" t="s">
        <v>32</v>
      </c>
      <c r="O9" s="63"/>
      <c r="P9" s="66">
        <f>P6+P7-P8</f>
        <v>144342</v>
      </c>
    </row>
    <row r="11" spans="1:17" x14ac:dyDescent="0.2">
      <c r="A11" s="10"/>
      <c r="H11" s="59"/>
      <c r="P11" s="67"/>
    </row>
    <row r="12" spans="1:17" x14ac:dyDescent="0.2">
      <c r="A12" s="10"/>
      <c r="H12" s="59"/>
      <c r="O12" s="56"/>
      <c r="P12" s="67"/>
    </row>
    <row r="13" spans="1:17" s="3" customFormat="1" x14ac:dyDescent="0.25">
      <c r="A13" s="10"/>
      <c r="B13" s="2"/>
      <c r="C13" s="2"/>
      <c r="E13" s="11"/>
      <c r="H13" s="59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59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59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59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9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9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9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9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2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0" sqref="H10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11.28515625" style="3" customWidth="1"/>
    <col min="5" max="5" width="9.140625" style="11" customWidth="1"/>
    <col min="6" max="6" width="11.85546875" style="3" customWidth="1"/>
    <col min="7" max="7" width="10.85546875" style="3" customWidth="1"/>
    <col min="8" max="8" width="22" style="6" customWidth="1"/>
    <col min="9" max="11" width="3.42578125" style="3" customWidth="1"/>
    <col min="12" max="12" width="3.7109375" style="3" customWidth="1"/>
    <col min="13" max="13" width="8.140625" style="3" customWidth="1"/>
    <col min="14" max="14" width="12" style="14" customWidth="1"/>
    <col min="15" max="15" width="8.28515625" style="14" customWidth="1"/>
    <col min="16" max="16" width="8.8554687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8">
        <v>404690</v>
      </c>
      <c r="B3" s="70" t="s">
        <v>114</v>
      </c>
      <c r="C3" s="8" t="s">
        <v>115</v>
      </c>
      <c r="D3" s="72" t="s">
        <v>58</v>
      </c>
      <c r="E3" s="12">
        <v>44619</v>
      </c>
      <c r="F3" s="72" t="s">
        <v>67</v>
      </c>
      <c r="G3" s="12">
        <v>44643</v>
      </c>
      <c r="H3" s="9" t="s">
        <v>117</v>
      </c>
      <c r="I3" s="1">
        <v>36</v>
      </c>
      <c r="J3" s="1">
        <v>21</v>
      </c>
      <c r="K3" s="1">
        <v>15</v>
      </c>
      <c r="L3" s="1">
        <v>9</v>
      </c>
      <c r="M3" s="76">
        <v>2.835</v>
      </c>
      <c r="N3" s="7">
        <v>9</v>
      </c>
      <c r="O3" s="60">
        <v>6000</v>
      </c>
      <c r="P3" s="61">
        <f>Table22457891011234567891011121314[[#This Row],[PEMBULATAN]]*O3</f>
        <v>54000</v>
      </c>
      <c r="Q3" s="174">
        <v>2</v>
      </c>
    </row>
    <row r="4" spans="1:17" ht="26.25" customHeight="1" x14ac:dyDescent="0.2">
      <c r="A4" s="13"/>
      <c r="B4" s="71"/>
      <c r="C4" s="8" t="s">
        <v>116</v>
      </c>
      <c r="D4" s="72" t="s">
        <v>58</v>
      </c>
      <c r="E4" s="12">
        <v>44619</v>
      </c>
      <c r="F4" s="72" t="s">
        <v>67</v>
      </c>
      <c r="G4" s="12">
        <v>44643</v>
      </c>
      <c r="H4" s="9" t="s">
        <v>117</v>
      </c>
      <c r="I4" s="1">
        <v>87</v>
      </c>
      <c r="J4" s="1">
        <v>46</v>
      </c>
      <c r="K4" s="1">
        <v>12</v>
      </c>
      <c r="L4" s="1">
        <v>9</v>
      </c>
      <c r="M4" s="76">
        <v>12.006</v>
      </c>
      <c r="N4" s="92">
        <v>12.006</v>
      </c>
      <c r="O4" s="60">
        <v>6000</v>
      </c>
      <c r="P4" s="61">
        <f>Table22457891011234567891011121314[[#This Row],[PEMBULATAN]]*O4</f>
        <v>72036</v>
      </c>
      <c r="Q4" s="175"/>
    </row>
    <row r="5" spans="1:17" ht="22.5" customHeight="1" x14ac:dyDescent="0.2">
      <c r="A5" s="169" t="s">
        <v>30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1"/>
      <c r="M5" s="75">
        <f>SUBTOTAL(109,Table22457891011234567891011121314[KG VOLUME])</f>
        <v>14.841000000000001</v>
      </c>
      <c r="N5" s="64">
        <f>SUM(N3:N4)</f>
        <v>21.006</v>
      </c>
      <c r="O5" s="172">
        <f>SUM(P3:P4)</f>
        <v>126036</v>
      </c>
      <c r="P5" s="173"/>
    </row>
    <row r="6" spans="1:17" ht="18" customHeight="1" x14ac:dyDescent="0.2">
      <c r="A6" s="81"/>
      <c r="B6" s="54" t="s">
        <v>42</v>
      </c>
      <c r="C6" s="53"/>
      <c r="D6" s="55" t="s">
        <v>43</v>
      </c>
      <c r="E6" s="81"/>
      <c r="F6" s="81"/>
      <c r="G6" s="81"/>
      <c r="H6" s="81"/>
      <c r="I6" s="81"/>
      <c r="J6" s="81"/>
      <c r="K6" s="81"/>
      <c r="L6" s="81"/>
      <c r="M6" s="82"/>
      <c r="N6" s="83" t="s">
        <v>51</v>
      </c>
      <c r="O6" s="84"/>
      <c r="P6" s="84">
        <f>O5*10%</f>
        <v>12603.6</v>
      </c>
    </row>
    <row r="7" spans="1:17" ht="18" customHeight="1" thickBot="1" x14ac:dyDescent="0.25">
      <c r="A7" s="81"/>
      <c r="B7" s="54"/>
      <c r="C7" s="53"/>
      <c r="D7" s="55"/>
      <c r="E7" s="81"/>
      <c r="F7" s="81"/>
      <c r="G7" s="81"/>
      <c r="H7" s="81"/>
      <c r="I7" s="81"/>
      <c r="J7" s="81"/>
      <c r="K7" s="81"/>
      <c r="L7" s="81"/>
      <c r="M7" s="82"/>
      <c r="N7" s="85" t="s">
        <v>52</v>
      </c>
      <c r="O7" s="86"/>
      <c r="P7" s="86">
        <f>O5-P6</f>
        <v>113432.4</v>
      </c>
    </row>
    <row r="8" spans="1:17" ht="18" customHeight="1" x14ac:dyDescent="0.2">
      <c r="A8" s="10"/>
      <c r="H8" s="59"/>
      <c r="N8" s="58" t="s">
        <v>31</v>
      </c>
      <c r="P8" s="65">
        <f>P7*1%</f>
        <v>1134.3240000000001</v>
      </c>
    </row>
    <row r="9" spans="1:17" ht="18" customHeight="1" thickBot="1" x14ac:dyDescent="0.25">
      <c r="A9" s="10"/>
      <c r="H9" s="59"/>
      <c r="N9" s="58" t="s">
        <v>53</v>
      </c>
      <c r="P9" s="67">
        <f>P7*2%</f>
        <v>2268.6480000000001</v>
      </c>
    </row>
    <row r="10" spans="1:17" ht="18" customHeight="1" x14ac:dyDescent="0.2">
      <c r="A10" s="10"/>
      <c r="H10" s="59"/>
      <c r="N10" s="62" t="s">
        <v>32</v>
      </c>
      <c r="O10" s="63"/>
      <c r="P10" s="66">
        <f>P7+P8-P9</f>
        <v>112298.07599999999</v>
      </c>
    </row>
    <row r="12" spans="1:17" x14ac:dyDescent="0.2">
      <c r="A12" s="10"/>
      <c r="H12" s="59"/>
      <c r="P12" s="67"/>
    </row>
    <row r="13" spans="1:17" x14ac:dyDescent="0.2">
      <c r="A13" s="10"/>
      <c r="H13" s="59"/>
      <c r="O13" s="56"/>
      <c r="P13" s="67"/>
    </row>
    <row r="14" spans="1:17" s="3" customFormat="1" x14ac:dyDescent="0.25">
      <c r="A14" s="10"/>
      <c r="B14" s="2"/>
      <c r="C14" s="2"/>
      <c r="E14" s="11"/>
      <c r="H14" s="59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59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59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9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9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9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9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9"/>
      <c r="N25" s="14"/>
      <c r="O25" s="14"/>
      <c r="P25" s="14"/>
    </row>
  </sheetData>
  <mergeCells count="3">
    <mergeCell ref="A5:L5"/>
    <mergeCell ref="O5:P5"/>
    <mergeCell ref="Q3:Q4"/>
  </mergeCells>
  <conditionalFormatting sqref="B3">
    <cfRule type="duplicateValues" dxfId="1" priority="2"/>
  </conditionalFormatting>
  <conditionalFormatting sqref="B4">
    <cfRule type="duplicateValues" dxfId="0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zoomScale="110" zoomScaleNormal="110" workbookViewId="0">
      <pane xSplit="3" ySplit="2" topLeftCell="D38" activePane="bottomRight" state="frozen"/>
      <selection pane="topRight" activeCell="B1" sqref="B1"/>
      <selection pane="bottomLeft" activeCell="A3" sqref="A3"/>
      <selection pane="bottomRight" activeCell="N49" sqref="N49"/>
    </sheetView>
  </sheetViews>
  <sheetFormatPr defaultRowHeight="15" x14ac:dyDescent="0.2"/>
  <cols>
    <col min="1" max="1" width="7.5703125" style="4" customWidth="1"/>
    <col min="2" max="2" width="20.28515625" style="2" customWidth="1"/>
    <col min="3" max="3" width="15.140625" style="2" customWidth="1"/>
    <col min="4" max="4" width="12.140625" style="3" customWidth="1"/>
    <col min="5" max="5" width="10.140625" style="11" customWidth="1"/>
    <col min="6" max="6" width="9.85546875" style="3" customWidth="1"/>
    <col min="7" max="7" width="9.28515625" style="3" customWidth="1"/>
    <col min="8" max="8" width="17.28515625" style="6" customWidth="1"/>
    <col min="9" max="10" width="3.42578125" style="3" customWidth="1"/>
    <col min="11" max="11" width="3.28515625" style="3" customWidth="1"/>
    <col min="12" max="12" width="4.28515625" style="3" customWidth="1"/>
    <col min="13" max="13" width="8" style="3" customWidth="1"/>
    <col min="14" max="14" width="12.28515625" style="14" customWidth="1"/>
    <col min="15" max="15" width="8.140625" style="14" customWidth="1"/>
    <col min="16" max="16" width="10.8554687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thickBot="1" x14ac:dyDescent="0.25">
      <c r="A3" s="98">
        <v>403315</v>
      </c>
      <c r="B3" s="99" t="s">
        <v>56</v>
      </c>
      <c r="C3" s="100" t="s">
        <v>57</v>
      </c>
      <c r="D3" s="101" t="s">
        <v>58</v>
      </c>
      <c r="E3" s="102">
        <v>44600</v>
      </c>
      <c r="F3" s="101" t="s">
        <v>59</v>
      </c>
      <c r="G3" s="102">
        <v>44608</v>
      </c>
      <c r="H3" s="103" t="s">
        <v>60</v>
      </c>
      <c r="I3" s="104">
        <v>35</v>
      </c>
      <c r="J3" s="104">
        <v>24</v>
      </c>
      <c r="K3" s="104">
        <v>15</v>
      </c>
      <c r="L3" s="104">
        <v>3</v>
      </c>
      <c r="M3" s="105">
        <v>3.15</v>
      </c>
      <c r="N3" s="106">
        <v>3.15</v>
      </c>
      <c r="O3" s="107">
        <v>6000</v>
      </c>
      <c r="P3" s="108">
        <f t="shared" ref="P3:P41" si="0">N3*O3</f>
        <v>18900</v>
      </c>
      <c r="Q3" s="109">
        <v>1</v>
      </c>
    </row>
    <row r="4" spans="1:17" ht="26.25" customHeight="1" x14ac:dyDescent="0.2">
      <c r="A4" s="110">
        <v>403327</v>
      </c>
      <c r="B4" s="111" t="s">
        <v>61</v>
      </c>
      <c r="C4" s="112" t="s">
        <v>62</v>
      </c>
      <c r="D4" s="113" t="s">
        <v>58</v>
      </c>
      <c r="E4" s="114">
        <v>44603</v>
      </c>
      <c r="F4" s="113" t="s">
        <v>67</v>
      </c>
      <c r="G4" s="114">
        <v>44621</v>
      </c>
      <c r="H4" s="115" t="s">
        <v>68</v>
      </c>
      <c r="I4" s="116">
        <v>29</v>
      </c>
      <c r="J4" s="116">
        <v>21</v>
      </c>
      <c r="K4" s="116">
        <v>12</v>
      </c>
      <c r="L4" s="116">
        <v>11</v>
      </c>
      <c r="M4" s="117">
        <v>1.827</v>
      </c>
      <c r="N4" s="118">
        <v>11</v>
      </c>
      <c r="O4" s="119">
        <v>6000</v>
      </c>
      <c r="P4" s="120">
        <f t="shared" si="0"/>
        <v>66000</v>
      </c>
      <c r="Q4" s="166">
        <v>5</v>
      </c>
    </row>
    <row r="5" spans="1:17" ht="26.25" customHeight="1" x14ac:dyDescent="0.2">
      <c r="A5" s="13"/>
      <c r="B5" s="71"/>
      <c r="C5" s="8" t="s">
        <v>63</v>
      </c>
      <c r="D5" s="72" t="s">
        <v>58</v>
      </c>
      <c r="E5" s="12">
        <v>44603</v>
      </c>
      <c r="F5" s="72" t="s">
        <v>67</v>
      </c>
      <c r="G5" s="12">
        <v>44621</v>
      </c>
      <c r="H5" s="9" t="s">
        <v>68</v>
      </c>
      <c r="I5" s="1">
        <v>22</v>
      </c>
      <c r="J5" s="1">
        <v>12</v>
      </c>
      <c r="K5" s="1">
        <v>8</v>
      </c>
      <c r="L5" s="1">
        <v>5</v>
      </c>
      <c r="M5" s="76">
        <v>0.52800000000000002</v>
      </c>
      <c r="N5" s="7">
        <v>5</v>
      </c>
      <c r="O5" s="60">
        <v>6000</v>
      </c>
      <c r="P5" s="61">
        <f t="shared" si="0"/>
        <v>30000</v>
      </c>
      <c r="Q5" s="167"/>
    </row>
    <row r="6" spans="1:17" ht="26.25" customHeight="1" x14ac:dyDescent="0.2">
      <c r="A6" s="13"/>
      <c r="B6" s="13"/>
      <c r="C6" s="8" t="s">
        <v>64</v>
      </c>
      <c r="D6" s="72" t="s">
        <v>58</v>
      </c>
      <c r="E6" s="12">
        <v>44603</v>
      </c>
      <c r="F6" s="72" t="s">
        <v>67</v>
      </c>
      <c r="G6" s="12">
        <v>44621</v>
      </c>
      <c r="H6" s="9" t="s">
        <v>68</v>
      </c>
      <c r="I6" s="1">
        <v>33</v>
      </c>
      <c r="J6" s="1">
        <v>19</v>
      </c>
      <c r="K6" s="1">
        <v>10</v>
      </c>
      <c r="L6" s="1">
        <v>5</v>
      </c>
      <c r="M6" s="76">
        <v>1.5674999999999999</v>
      </c>
      <c r="N6" s="7">
        <v>5</v>
      </c>
      <c r="O6" s="60">
        <v>6000</v>
      </c>
      <c r="P6" s="61">
        <f t="shared" si="0"/>
        <v>30000</v>
      </c>
      <c r="Q6" s="167"/>
    </row>
    <row r="7" spans="1:17" ht="26.25" customHeight="1" x14ac:dyDescent="0.2">
      <c r="A7" s="13"/>
      <c r="B7" s="13"/>
      <c r="C7" s="69" t="s">
        <v>65</v>
      </c>
      <c r="D7" s="74" t="s">
        <v>58</v>
      </c>
      <c r="E7" s="12">
        <v>44603</v>
      </c>
      <c r="F7" s="72" t="s">
        <v>67</v>
      </c>
      <c r="G7" s="12">
        <v>44621</v>
      </c>
      <c r="H7" s="73" t="s">
        <v>68</v>
      </c>
      <c r="I7" s="15">
        <v>25</v>
      </c>
      <c r="J7" s="15">
        <v>22</v>
      </c>
      <c r="K7" s="15">
        <v>15</v>
      </c>
      <c r="L7" s="15">
        <v>12</v>
      </c>
      <c r="M7" s="77">
        <v>2.0625</v>
      </c>
      <c r="N7" s="68">
        <v>12</v>
      </c>
      <c r="O7" s="60">
        <v>6000</v>
      </c>
      <c r="P7" s="61">
        <f t="shared" si="0"/>
        <v>72000</v>
      </c>
      <c r="Q7" s="167"/>
    </row>
    <row r="8" spans="1:17" ht="26.25" customHeight="1" thickBot="1" x14ac:dyDescent="0.25">
      <c r="A8" s="121"/>
      <c r="B8" s="121"/>
      <c r="C8" s="122" t="s">
        <v>66</v>
      </c>
      <c r="D8" s="123" t="s">
        <v>58</v>
      </c>
      <c r="E8" s="102">
        <v>44603</v>
      </c>
      <c r="F8" s="101" t="s">
        <v>67</v>
      </c>
      <c r="G8" s="102">
        <v>44621</v>
      </c>
      <c r="H8" s="124" t="s">
        <v>68</v>
      </c>
      <c r="I8" s="125">
        <v>57</v>
      </c>
      <c r="J8" s="125">
        <v>42</v>
      </c>
      <c r="K8" s="125">
        <v>17</v>
      </c>
      <c r="L8" s="125">
        <v>15</v>
      </c>
      <c r="M8" s="126">
        <v>10.1745</v>
      </c>
      <c r="N8" s="127">
        <v>15</v>
      </c>
      <c r="O8" s="107">
        <v>6000</v>
      </c>
      <c r="P8" s="108">
        <f t="shared" si="0"/>
        <v>90000</v>
      </c>
      <c r="Q8" s="168"/>
    </row>
    <row r="9" spans="1:17" ht="26.25" customHeight="1" x14ac:dyDescent="0.2">
      <c r="A9" s="110">
        <v>403331</v>
      </c>
      <c r="B9" s="111" t="s">
        <v>69</v>
      </c>
      <c r="C9" s="112" t="s">
        <v>70</v>
      </c>
      <c r="D9" s="113" t="s">
        <v>58</v>
      </c>
      <c r="E9" s="114">
        <v>44604</v>
      </c>
      <c r="F9" s="113" t="s">
        <v>67</v>
      </c>
      <c r="G9" s="114">
        <v>44621</v>
      </c>
      <c r="H9" s="115" t="s">
        <v>68</v>
      </c>
      <c r="I9" s="116">
        <v>66</v>
      </c>
      <c r="J9" s="116">
        <v>55</v>
      </c>
      <c r="K9" s="116">
        <v>21</v>
      </c>
      <c r="L9" s="116">
        <v>8</v>
      </c>
      <c r="M9" s="117">
        <v>19.057500000000001</v>
      </c>
      <c r="N9" s="128">
        <v>19.057500000000001</v>
      </c>
      <c r="O9" s="119">
        <v>6000</v>
      </c>
      <c r="P9" s="120">
        <f t="shared" si="0"/>
        <v>114345</v>
      </c>
      <c r="Q9" s="166">
        <v>2</v>
      </c>
    </row>
    <row r="10" spans="1:17" ht="26.25" customHeight="1" thickBot="1" x14ac:dyDescent="0.25">
      <c r="A10" s="121"/>
      <c r="B10" s="129"/>
      <c r="C10" s="100" t="s">
        <v>71</v>
      </c>
      <c r="D10" s="101" t="s">
        <v>58</v>
      </c>
      <c r="E10" s="102">
        <v>44604</v>
      </c>
      <c r="F10" s="101" t="s">
        <v>67</v>
      </c>
      <c r="G10" s="102">
        <v>44621</v>
      </c>
      <c r="H10" s="103" t="s">
        <v>68</v>
      </c>
      <c r="I10" s="104">
        <v>66</v>
      </c>
      <c r="J10" s="104">
        <v>55</v>
      </c>
      <c r="K10" s="104">
        <v>21</v>
      </c>
      <c r="L10" s="104">
        <v>8</v>
      </c>
      <c r="M10" s="105">
        <v>19.057500000000001</v>
      </c>
      <c r="N10" s="106">
        <v>19.057500000000001</v>
      </c>
      <c r="O10" s="107">
        <v>6000</v>
      </c>
      <c r="P10" s="108">
        <f t="shared" si="0"/>
        <v>114345</v>
      </c>
      <c r="Q10" s="168"/>
    </row>
    <row r="11" spans="1:17" ht="26.25" customHeight="1" x14ac:dyDescent="0.2">
      <c r="A11" s="110">
        <v>403338</v>
      </c>
      <c r="B11" s="111" t="s">
        <v>72</v>
      </c>
      <c r="C11" s="112" t="s">
        <v>73</v>
      </c>
      <c r="D11" s="113" t="s">
        <v>58</v>
      </c>
      <c r="E11" s="114">
        <v>44607</v>
      </c>
      <c r="F11" s="113" t="s">
        <v>67</v>
      </c>
      <c r="G11" s="114">
        <v>44621</v>
      </c>
      <c r="H11" s="115" t="s">
        <v>68</v>
      </c>
      <c r="I11" s="116">
        <v>36</v>
      </c>
      <c r="J11" s="116">
        <v>36</v>
      </c>
      <c r="K11" s="116">
        <v>12</v>
      </c>
      <c r="L11" s="116">
        <v>14</v>
      </c>
      <c r="M11" s="117">
        <v>3.8879999999999999</v>
      </c>
      <c r="N11" s="118">
        <v>14</v>
      </c>
      <c r="O11" s="119">
        <v>6000</v>
      </c>
      <c r="P11" s="120">
        <f t="shared" si="0"/>
        <v>84000</v>
      </c>
      <c r="Q11" s="166">
        <v>2</v>
      </c>
    </row>
    <row r="12" spans="1:17" ht="26.25" customHeight="1" thickBot="1" x14ac:dyDescent="0.25">
      <c r="A12" s="121"/>
      <c r="B12" s="129"/>
      <c r="C12" s="100" t="s">
        <v>74</v>
      </c>
      <c r="D12" s="101" t="s">
        <v>58</v>
      </c>
      <c r="E12" s="102">
        <v>44607</v>
      </c>
      <c r="F12" s="101" t="s">
        <v>67</v>
      </c>
      <c r="G12" s="102">
        <v>44621</v>
      </c>
      <c r="H12" s="103" t="s">
        <v>68</v>
      </c>
      <c r="I12" s="104">
        <v>37</v>
      </c>
      <c r="J12" s="104">
        <v>21</v>
      </c>
      <c r="K12" s="104">
        <v>16</v>
      </c>
      <c r="L12" s="104">
        <v>14</v>
      </c>
      <c r="M12" s="105">
        <v>3.1080000000000001</v>
      </c>
      <c r="N12" s="130">
        <v>14</v>
      </c>
      <c r="O12" s="107">
        <v>6000</v>
      </c>
      <c r="P12" s="108">
        <f t="shared" si="0"/>
        <v>84000</v>
      </c>
      <c r="Q12" s="168"/>
    </row>
    <row r="13" spans="1:17" ht="26.25" customHeight="1" x14ac:dyDescent="0.2">
      <c r="A13" s="110">
        <v>403343</v>
      </c>
      <c r="B13" s="111" t="s">
        <v>75</v>
      </c>
      <c r="C13" s="112" t="s">
        <v>76</v>
      </c>
      <c r="D13" s="113" t="s">
        <v>58</v>
      </c>
      <c r="E13" s="114">
        <v>44608</v>
      </c>
      <c r="F13" s="113" t="s">
        <v>85</v>
      </c>
      <c r="G13" s="114">
        <v>44625</v>
      </c>
      <c r="H13" s="115" t="s">
        <v>86</v>
      </c>
      <c r="I13" s="116">
        <v>98</v>
      </c>
      <c r="J13" s="116">
        <v>42</v>
      </c>
      <c r="K13" s="116">
        <v>42</v>
      </c>
      <c r="L13" s="116">
        <v>17</v>
      </c>
      <c r="M13" s="117">
        <v>43.218000000000004</v>
      </c>
      <c r="N13" s="128">
        <v>43.218000000000004</v>
      </c>
      <c r="O13" s="119">
        <v>6000</v>
      </c>
      <c r="P13" s="120">
        <f t="shared" si="0"/>
        <v>259308.00000000003</v>
      </c>
      <c r="Q13" s="166">
        <v>9</v>
      </c>
    </row>
    <row r="14" spans="1:17" ht="26.25" customHeight="1" x14ac:dyDescent="0.2">
      <c r="A14" s="13"/>
      <c r="B14" s="71"/>
      <c r="C14" s="8" t="s">
        <v>77</v>
      </c>
      <c r="D14" s="72" t="s">
        <v>58</v>
      </c>
      <c r="E14" s="12">
        <v>44608</v>
      </c>
      <c r="F14" s="72" t="s">
        <v>85</v>
      </c>
      <c r="G14" s="12">
        <v>44625</v>
      </c>
      <c r="H14" s="9" t="s">
        <v>86</v>
      </c>
      <c r="I14" s="1">
        <v>65</v>
      </c>
      <c r="J14" s="1">
        <v>42</v>
      </c>
      <c r="K14" s="1">
        <v>25</v>
      </c>
      <c r="L14" s="1">
        <v>17</v>
      </c>
      <c r="M14" s="76">
        <v>17.0625</v>
      </c>
      <c r="N14" s="92">
        <v>17.0625</v>
      </c>
      <c r="O14" s="60">
        <v>6000</v>
      </c>
      <c r="P14" s="61">
        <f t="shared" si="0"/>
        <v>102375</v>
      </c>
      <c r="Q14" s="167"/>
    </row>
    <row r="15" spans="1:17" ht="26.25" customHeight="1" x14ac:dyDescent="0.2">
      <c r="A15" s="13"/>
      <c r="B15" s="13"/>
      <c r="C15" s="8" t="s">
        <v>78</v>
      </c>
      <c r="D15" s="72" t="s">
        <v>58</v>
      </c>
      <c r="E15" s="12">
        <v>44608</v>
      </c>
      <c r="F15" s="72" t="s">
        <v>85</v>
      </c>
      <c r="G15" s="12">
        <v>44625</v>
      </c>
      <c r="H15" s="9" t="s">
        <v>86</v>
      </c>
      <c r="I15" s="1">
        <v>53</v>
      </c>
      <c r="J15" s="1">
        <v>45</v>
      </c>
      <c r="K15" s="1">
        <v>12</v>
      </c>
      <c r="L15" s="1">
        <v>9</v>
      </c>
      <c r="M15" s="76">
        <v>7.1550000000000002</v>
      </c>
      <c r="N15" s="7">
        <v>9</v>
      </c>
      <c r="O15" s="60">
        <v>6000</v>
      </c>
      <c r="P15" s="61">
        <f t="shared" si="0"/>
        <v>54000</v>
      </c>
      <c r="Q15" s="167"/>
    </row>
    <row r="16" spans="1:17" ht="26.25" customHeight="1" x14ac:dyDescent="0.2">
      <c r="A16" s="13"/>
      <c r="B16" s="13"/>
      <c r="C16" s="69" t="s">
        <v>79</v>
      </c>
      <c r="D16" s="74" t="s">
        <v>58</v>
      </c>
      <c r="E16" s="12">
        <v>44608</v>
      </c>
      <c r="F16" s="72" t="s">
        <v>85</v>
      </c>
      <c r="G16" s="12">
        <v>44625</v>
      </c>
      <c r="H16" s="73" t="s">
        <v>86</v>
      </c>
      <c r="I16" s="15">
        <v>53</v>
      </c>
      <c r="J16" s="15">
        <v>45</v>
      </c>
      <c r="K16" s="15">
        <v>12</v>
      </c>
      <c r="L16" s="15">
        <v>9</v>
      </c>
      <c r="M16" s="77">
        <v>7.1550000000000002</v>
      </c>
      <c r="N16" s="68">
        <v>9</v>
      </c>
      <c r="O16" s="60">
        <v>6000</v>
      </c>
      <c r="P16" s="61">
        <f t="shared" si="0"/>
        <v>54000</v>
      </c>
      <c r="Q16" s="167"/>
    </row>
    <row r="17" spans="1:17" ht="26.25" customHeight="1" x14ac:dyDescent="0.2">
      <c r="A17" s="13"/>
      <c r="B17" s="13"/>
      <c r="C17" s="69" t="s">
        <v>80</v>
      </c>
      <c r="D17" s="74" t="s">
        <v>58</v>
      </c>
      <c r="E17" s="12">
        <v>44608</v>
      </c>
      <c r="F17" s="72" t="s">
        <v>85</v>
      </c>
      <c r="G17" s="12">
        <v>44625</v>
      </c>
      <c r="H17" s="73" t="s">
        <v>86</v>
      </c>
      <c r="I17" s="15">
        <v>50</v>
      </c>
      <c r="J17" s="15">
        <v>45</v>
      </c>
      <c r="K17" s="15">
        <v>37</v>
      </c>
      <c r="L17" s="15">
        <v>10</v>
      </c>
      <c r="M17" s="77">
        <v>20.8125</v>
      </c>
      <c r="N17" s="68">
        <v>21</v>
      </c>
      <c r="O17" s="60">
        <v>6000</v>
      </c>
      <c r="P17" s="61">
        <f t="shared" si="0"/>
        <v>126000</v>
      </c>
      <c r="Q17" s="167"/>
    </row>
    <row r="18" spans="1:17" ht="26.25" customHeight="1" x14ac:dyDescent="0.2">
      <c r="A18" s="13"/>
      <c r="B18" s="13"/>
      <c r="C18" s="69" t="s">
        <v>81</v>
      </c>
      <c r="D18" s="74" t="s">
        <v>58</v>
      </c>
      <c r="E18" s="12">
        <v>44608</v>
      </c>
      <c r="F18" s="72" t="s">
        <v>85</v>
      </c>
      <c r="G18" s="12">
        <v>44625</v>
      </c>
      <c r="H18" s="73" t="s">
        <v>86</v>
      </c>
      <c r="I18" s="15">
        <v>150</v>
      </c>
      <c r="J18" s="15">
        <v>64</v>
      </c>
      <c r="K18" s="15">
        <v>10</v>
      </c>
      <c r="L18" s="15">
        <v>9</v>
      </c>
      <c r="M18" s="77">
        <v>24</v>
      </c>
      <c r="N18" s="68">
        <v>24</v>
      </c>
      <c r="O18" s="60">
        <v>6000</v>
      </c>
      <c r="P18" s="61">
        <f t="shared" si="0"/>
        <v>144000</v>
      </c>
      <c r="Q18" s="167"/>
    </row>
    <row r="19" spans="1:17" ht="26.25" customHeight="1" x14ac:dyDescent="0.2">
      <c r="A19" s="13"/>
      <c r="B19" s="13"/>
      <c r="C19" s="69" t="s">
        <v>82</v>
      </c>
      <c r="D19" s="74" t="s">
        <v>58</v>
      </c>
      <c r="E19" s="12">
        <v>44608</v>
      </c>
      <c r="F19" s="72" t="s">
        <v>85</v>
      </c>
      <c r="G19" s="12">
        <v>44625</v>
      </c>
      <c r="H19" s="73" t="s">
        <v>86</v>
      </c>
      <c r="I19" s="15">
        <v>150</v>
      </c>
      <c r="J19" s="15">
        <v>64</v>
      </c>
      <c r="K19" s="15">
        <v>10</v>
      </c>
      <c r="L19" s="15">
        <v>9</v>
      </c>
      <c r="M19" s="77">
        <v>24</v>
      </c>
      <c r="N19" s="68">
        <v>24</v>
      </c>
      <c r="O19" s="60">
        <v>6000</v>
      </c>
      <c r="P19" s="61">
        <f t="shared" si="0"/>
        <v>144000</v>
      </c>
      <c r="Q19" s="167"/>
    </row>
    <row r="20" spans="1:17" ht="26.25" customHeight="1" x14ac:dyDescent="0.2">
      <c r="A20" s="13"/>
      <c r="B20" s="13"/>
      <c r="C20" s="69" t="s">
        <v>83</v>
      </c>
      <c r="D20" s="74" t="s">
        <v>58</v>
      </c>
      <c r="E20" s="12">
        <v>44608</v>
      </c>
      <c r="F20" s="72" t="s">
        <v>85</v>
      </c>
      <c r="G20" s="12">
        <v>44625</v>
      </c>
      <c r="H20" s="73" t="s">
        <v>86</v>
      </c>
      <c r="I20" s="15">
        <v>150</v>
      </c>
      <c r="J20" s="15">
        <v>64</v>
      </c>
      <c r="K20" s="15">
        <v>10</v>
      </c>
      <c r="L20" s="15">
        <v>9</v>
      </c>
      <c r="M20" s="77">
        <v>24</v>
      </c>
      <c r="N20" s="68">
        <v>24</v>
      </c>
      <c r="O20" s="60">
        <v>6000</v>
      </c>
      <c r="P20" s="61">
        <f t="shared" si="0"/>
        <v>144000</v>
      </c>
      <c r="Q20" s="167"/>
    </row>
    <row r="21" spans="1:17" ht="26.25" customHeight="1" thickBot="1" x14ac:dyDescent="0.25">
      <c r="A21" s="121"/>
      <c r="B21" s="121"/>
      <c r="C21" s="122" t="s">
        <v>84</v>
      </c>
      <c r="D21" s="123" t="s">
        <v>58</v>
      </c>
      <c r="E21" s="102">
        <v>44608</v>
      </c>
      <c r="F21" s="101" t="s">
        <v>85</v>
      </c>
      <c r="G21" s="102">
        <v>44625</v>
      </c>
      <c r="H21" s="124" t="s">
        <v>86</v>
      </c>
      <c r="I21" s="125">
        <v>150</v>
      </c>
      <c r="J21" s="125">
        <v>64</v>
      </c>
      <c r="K21" s="125">
        <v>10</v>
      </c>
      <c r="L21" s="125">
        <v>9</v>
      </c>
      <c r="M21" s="126">
        <v>24</v>
      </c>
      <c r="N21" s="127">
        <v>24</v>
      </c>
      <c r="O21" s="107">
        <v>6000</v>
      </c>
      <c r="P21" s="108">
        <f t="shared" si="0"/>
        <v>144000</v>
      </c>
      <c r="Q21" s="168"/>
    </row>
    <row r="22" spans="1:17" ht="26.25" customHeight="1" thickBot="1" x14ac:dyDescent="0.25">
      <c r="A22" s="131">
        <v>403157</v>
      </c>
      <c r="B22" s="132" t="s">
        <v>87</v>
      </c>
      <c r="C22" s="133" t="s">
        <v>88</v>
      </c>
      <c r="D22" s="134" t="s">
        <v>58</v>
      </c>
      <c r="E22" s="135">
        <v>44610</v>
      </c>
      <c r="F22" s="134" t="s">
        <v>67</v>
      </c>
      <c r="G22" s="135">
        <v>44632</v>
      </c>
      <c r="H22" s="136" t="s">
        <v>89</v>
      </c>
      <c r="I22" s="137">
        <v>35</v>
      </c>
      <c r="J22" s="137">
        <v>35</v>
      </c>
      <c r="K22" s="137">
        <v>55</v>
      </c>
      <c r="L22" s="137">
        <v>8</v>
      </c>
      <c r="M22" s="138">
        <v>16.84375</v>
      </c>
      <c r="N22" s="139">
        <v>17</v>
      </c>
      <c r="O22" s="140">
        <v>6000</v>
      </c>
      <c r="P22" s="141">
        <f t="shared" si="0"/>
        <v>102000</v>
      </c>
      <c r="Q22" s="142">
        <v>1</v>
      </c>
    </row>
    <row r="23" spans="1:17" ht="26.25" customHeight="1" x14ac:dyDescent="0.2">
      <c r="A23" s="110">
        <v>404666</v>
      </c>
      <c r="B23" s="111" t="s">
        <v>90</v>
      </c>
      <c r="C23" s="112" t="s">
        <v>91</v>
      </c>
      <c r="D23" s="113" t="s">
        <v>58</v>
      </c>
      <c r="E23" s="114">
        <v>44612</v>
      </c>
      <c r="F23" s="113" t="s">
        <v>67</v>
      </c>
      <c r="G23" s="114">
        <v>44632</v>
      </c>
      <c r="H23" s="115" t="s">
        <v>89</v>
      </c>
      <c r="I23" s="116">
        <v>71</v>
      </c>
      <c r="J23" s="116">
        <v>57</v>
      </c>
      <c r="K23" s="116">
        <v>91</v>
      </c>
      <c r="L23" s="116">
        <v>7</v>
      </c>
      <c r="M23" s="117">
        <v>92.069249999999997</v>
      </c>
      <c r="N23" s="128">
        <v>92.069249999999997</v>
      </c>
      <c r="O23" s="119">
        <v>6000</v>
      </c>
      <c r="P23" s="120">
        <f t="shared" si="0"/>
        <v>552415.5</v>
      </c>
      <c r="Q23" s="166">
        <v>2</v>
      </c>
    </row>
    <row r="24" spans="1:17" ht="26.25" customHeight="1" thickBot="1" x14ac:dyDescent="0.25">
      <c r="A24" s="121"/>
      <c r="B24" s="129"/>
      <c r="C24" s="100" t="s">
        <v>92</v>
      </c>
      <c r="D24" s="101" t="s">
        <v>58</v>
      </c>
      <c r="E24" s="102">
        <v>44612</v>
      </c>
      <c r="F24" s="101" t="s">
        <v>67</v>
      </c>
      <c r="G24" s="102">
        <v>44632</v>
      </c>
      <c r="H24" s="103" t="s">
        <v>89</v>
      </c>
      <c r="I24" s="104">
        <v>71</v>
      </c>
      <c r="J24" s="104">
        <v>57</v>
      </c>
      <c r="K24" s="104">
        <v>91</v>
      </c>
      <c r="L24" s="104">
        <v>7</v>
      </c>
      <c r="M24" s="105">
        <v>92.069249999999997</v>
      </c>
      <c r="N24" s="106">
        <v>92.069249999999997</v>
      </c>
      <c r="O24" s="107">
        <v>6000</v>
      </c>
      <c r="P24" s="108">
        <f t="shared" si="0"/>
        <v>552415.5</v>
      </c>
      <c r="Q24" s="168"/>
    </row>
    <row r="25" spans="1:17" ht="26.25" customHeight="1" x14ac:dyDescent="0.2">
      <c r="A25" s="110">
        <v>404670</v>
      </c>
      <c r="B25" s="111" t="s">
        <v>93</v>
      </c>
      <c r="C25" s="112" t="s">
        <v>94</v>
      </c>
      <c r="D25" s="113" t="s">
        <v>58</v>
      </c>
      <c r="E25" s="114">
        <v>44614</v>
      </c>
      <c r="F25" s="113" t="s">
        <v>67</v>
      </c>
      <c r="G25" s="114">
        <v>44632</v>
      </c>
      <c r="H25" s="115" t="s">
        <v>96</v>
      </c>
      <c r="I25" s="116">
        <v>93</v>
      </c>
      <c r="J25" s="116">
        <v>93</v>
      </c>
      <c r="K25" s="116">
        <v>23</v>
      </c>
      <c r="L25" s="116">
        <v>9</v>
      </c>
      <c r="M25" s="117">
        <v>49.731749999999998</v>
      </c>
      <c r="N25" s="118">
        <v>50</v>
      </c>
      <c r="O25" s="119">
        <v>6000</v>
      </c>
      <c r="P25" s="120">
        <f t="shared" si="0"/>
        <v>300000</v>
      </c>
      <c r="Q25" s="166">
        <v>2</v>
      </c>
    </row>
    <row r="26" spans="1:17" ht="26.25" customHeight="1" thickBot="1" x14ac:dyDescent="0.25">
      <c r="A26" s="121"/>
      <c r="B26" s="129"/>
      <c r="C26" s="100" t="s">
        <v>95</v>
      </c>
      <c r="D26" s="101" t="s">
        <v>58</v>
      </c>
      <c r="E26" s="102">
        <v>44614</v>
      </c>
      <c r="F26" s="101" t="s">
        <v>67</v>
      </c>
      <c r="G26" s="102">
        <v>44632</v>
      </c>
      <c r="H26" s="103" t="s">
        <v>96</v>
      </c>
      <c r="I26" s="104">
        <v>93</v>
      </c>
      <c r="J26" s="104">
        <v>93</v>
      </c>
      <c r="K26" s="104">
        <v>23</v>
      </c>
      <c r="L26" s="104">
        <v>9</v>
      </c>
      <c r="M26" s="105">
        <v>49.731749999999998</v>
      </c>
      <c r="N26" s="130">
        <v>50</v>
      </c>
      <c r="O26" s="107">
        <v>6000</v>
      </c>
      <c r="P26" s="108">
        <f t="shared" si="0"/>
        <v>300000</v>
      </c>
      <c r="Q26" s="168"/>
    </row>
    <row r="27" spans="1:17" ht="26.25" customHeight="1" x14ac:dyDescent="0.2">
      <c r="A27" s="110">
        <v>404752</v>
      </c>
      <c r="B27" s="111" t="s">
        <v>97</v>
      </c>
      <c r="C27" s="112" t="s">
        <v>98</v>
      </c>
      <c r="D27" s="113" t="s">
        <v>58</v>
      </c>
      <c r="E27" s="114">
        <v>44616</v>
      </c>
      <c r="F27" s="113" t="s">
        <v>67</v>
      </c>
      <c r="G27" s="114">
        <v>44632</v>
      </c>
      <c r="H27" s="115" t="s">
        <v>96</v>
      </c>
      <c r="I27" s="116">
        <v>52</v>
      </c>
      <c r="J27" s="116">
        <v>45</v>
      </c>
      <c r="K27" s="116">
        <v>12</v>
      </c>
      <c r="L27" s="116">
        <v>7</v>
      </c>
      <c r="M27" s="117">
        <v>7.02</v>
      </c>
      <c r="N27" s="128">
        <v>7.02</v>
      </c>
      <c r="O27" s="119">
        <v>6000</v>
      </c>
      <c r="P27" s="120">
        <f t="shared" si="0"/>
        <v>42120</v>
      </c>
      <c r="Q27" s="166">
        <v>13</v>
      </c>
    </row>
    <row r="28" spans="1:17" ht="26.25" customHeight="1" x14ac:dyDescent="0.2">
      <c r="A28" s="13"/>
      <c r="B28" s="71"/>
      <c r="C28" s="8" t="s">
        <v>99</v>
      </c>
      <c r="D28" s="72" t="s">
        <v>58</v>
      </c>
      <c r="E28" s="12">
        <v>44616</v>
      </c>
      <c r="F28" s="72" t="s">
        <v>67</v>
      </c>
      <c r="G28" s="12">
        <v>44632</v>
      </c>
      <c r="H28" s="9" t="s">
        <v>96</v>
      </c>
      <c r="I28" s="1">
        <v>52</v>
      </c>
      <c r="J28" s="1">
        <v>45</v>
      </c>
      <c r="K28" s="1">
        <v>12</v>
      </c>
      <c r="L28" s="1">
        <v>7</v>
      </c>
      <c r="M28" s="76">
        <v>7.02</v>
      </c>
      <c r="N28" s="92">
        <v>7.02</v>
      </c>
      <c r="O28" s="60">
        <v>6000</v>
      </c>
      <c r="P28" s="61">
        <f t="shared" si="0"/>
        <v>42120</v>
      </c>
      <c r="Q28" s="167"/>
    </row>
    <row r="29" spans="1:17" ht="26.25" customHeight="1" x14ac:dyDescent="0.2">
      <c r="A29" s="13"/>
      <c r="B29" s="13"/>
      <c r="C29" s="8" t="s">
        <v>100</v>
      </c>
      <c r="D29" s="72" t="s">
        <v>58</v>
      </c>
      <c r="E29" s="12">
        <v>44616</v>
      </c>
      <c r="F29" s="72" t="s">
        <v>67</v>
      </c>
      <c r="G29" s="12">
        <v>44632</v>
      </c>
      <c r="H29" s="9" t="s">
        <v>96</v>
      </c>
      <c r="I29" s="1">
        <v>47</v>
      </c>
      <c r="J29" s="1">
        <v>43</v>
      </c>
      <c r="K29" s="1">
        <v>38</v>
      </c>
      <c r="L29" s="1">
        <v>7</v>
      </c>
      <c r="M29" s="76">
        <v>19.1995</v>
      </c>
      <c r="N29" s="92">
        <v>19.1995</v>
      </c>
      <c r="O29" s="60">
        <v>6000</v>
      </c>
      <c r="P29" s="61">
        <f t="shared" si="0"/>
        <v>115197</v>
      </c>
      <c r="Q29" s="167"/>
    </row>
    <row r="30" spans="1:17" ht="26.25" customHeight="1" x14ac:dyDescent="0.2">
      <c r="A30" s="13"/>
      <c r="B30" s="13"/>
      <c r="C30" s="69" t="s">
        <v>101</v>
      </c>
      <c r="D30" s="74" t="s">
        <v>58</v>
      </c>
      <c r="E30" s="12">
        <v>44616</v>
      </c>
      <c r="F30" s="72" t="s">
        <v>67</v>
      </c>
      <c r="G30" s="12">
        <v>44632</v>
      </c>
      <c r="H30" s="73" t="s">
        <v>96</v>
      </c>
      <c r="I30" s="15">
        <v>53</v>
      </c>
      <c r="J30" s="15">
        <v>30</v>
      </c>
      <c r="K30" s="15">
        <v>12</v>
      </c>
      <c r="L30" s="15">
        <v>9</v>
      </c>
      <c r="M30" s="77">
        <v>4.7699999999999996</v>
      </c>
      <c r="N30" s="92">
        <v>9</v>
      </c>
      <c r="O30" s="60">
        <v>6000</v>
      </c>
      <c r="P30" s="61">
        <f t="shared" si="0"/>
        <v>54000</v>
      </c>
      <c r="Q30" s="167"/>
    </row>
    <row r="31" spans="1:17" ht="26.25" customHeight="1" x14ac:dyDescent="0.2">
      <c r="A31" s="13"/>
      <c r="B31" s="13"/>
      <c r="C31" s="69" t="s">
        <v>102</v>
      </c>
      <c r="D31" s="74" t="s">
        <v>58</v>
      </c>
      <c r="E31" s="12">
        <v>44616</v>
      </c>
      <c r="F31" s="72" t="s">
        <v>67</v>
      </c>
      <c r="G31" s="12">
        <v>44632</v>
      </c>
      <c r="H31" s="73" t="s">
        <v>96</v>
      </c>
      <c r="I31" s="15">
        <v>95</v>
      </c>
      <c r="J31" s="15">
        <v>90</v>
      </c>
      <c r="K31" s="15">
        <v>20</v>
      </c>
      <c r="L31" s="15">
        <v>7</v>
      </c>
      <c r="M31" s="77">
        <v>42.75</v>
      </c>
      <c r="N31" s="92">
        <v>43</v>
      </c>
      <c r="O31" s="60">
        <v>6000</v>
      </c>
      <c r="P31" s="61">
        <f t="shared" si="0"/>
        <v>258000</v>
      </c>
      <c r="Q31" s="167"/>
    </row>
    <row r="32" spans="1:17" ht="26.25" customHeight="1" x14ac:dyDescent="0.2">
      <c r="A32" s="13"/>
      <c r="B32" s="13"/>
      <c r="C32" s="69" t="s">
        <v>103</v>
      </c>
      <c r="D32" s="74" t="s">
        <v>58</v>
      </c>
      <c r="E32" s="12">
        <v>44616</v>
      </c>
      <c r="F32" s="72" t="s">
        <v>67</v>
      </c>
      <c r="G32" s="12">
        <v>44632</v>
      </c>
      <c r="H32" s="73" t="s">
        <v>96</v>
      </c>
      <c r="I32" s="15">
        <v>95</v>
      </c>
      <c r="J32" s="15">
        <v>90</v>
      </c>
      <c r="K32" s="15">
        <v>20</v>
      </c>
      <c r="L32" s="15">
        <v>7</v>
      </c>
      <c r="M32" s="77">
        <v>42.75</v>
      </c>
      <c r="N32" s="92">
        <v>43</v>
      </c>
      <c r="O32" s="60">
        <v>6000</v>
      </c>
      <c r="P32" s="61">
        <f t="shared" si="0"/>
        <v>258000</v>
      </c>
      <c r="Q32" s="167"/>
    </row>
    <row r="33" spans="1:17" ht="26.25" customHeight="1" x14ac:dyDescent="0.2">
      <c r="A33" s="13"/>
      <c r="B33" s="13"/>
      <c r="C33" s="69" t="s">
        <v>104</v>
      </c>
      <c r="D33" s="74" t="s">
        <v>58</v>
      </c>
      <c r="E33" s="12">
        <v>44616</v>
      </c>
      <c r="F33" s="72" t="s">
        <v>67</v>
      </c>
      <c r="G33" s="12">
        <v>44632</v>
      </c>
      <c r="H33" s="73" t="s">
        <v>96</v>
      </c>
      <c r="I33" s="15">
        <v>87</v>
      </c>
      <c r="J33" s="15">
        <v>53</v>
      </c>
      <c r="K33" s="15">
        <v>37</v>
      </c>
      <c r="L33" s="15">
        <v>11</v>
      </c>
      <c r="M33" s="77">
        <v>42.65175</v>
      </c>
      <c r="N33" s="92">
        <v>43</v>
      </c>
      <c r="O33" s="60">
        <v>6000</v>
      </c>
      <c r="P33" s="61">
        <f t="shared" si="0"/>
        <v>258000</v>
      </c>
      <c r="Q33" s="167"/>
    </row>
    <row r="34" spans="1:17" ht="26.25" customHeight="1" x14ac:dyDescent="0.2">
      <c r="A34" s="13"/>
      <c r="B34" s="13"/>
      <c r="C34" s="69" t="s">
        <v>105</v>
      </c>
      <c r="D34" s="74" t="s">
        <v>58</v>
      </c>
      <c r="E34" s="12">
        <v>44616</v>
      </c>
      <c r="F34" s="72" t="s">
        <v>67</v>
      </c>
      <c r="G34" s="12">
        <v>44632</v>
      </c>
      <c r="H34" s="73" t="s">
        <v>96</v>
      </c>
      <c r="I34" s="15">
        <v>70</v>
      </c>
      <c r="J34" s="15">
        <v>56</v>
      </c>
      <c r="K34" s="15">
        <v>37</v>
      </c>
      <c r="L34" s="15">
        <v>9</v>
      </c>
      <c r="M34" s="77">
        <v>36.26</v>
      </c>
      <c r="N34" s="92">
        <v>36.26</v>
      </c>
      <c r="O34" s="60">
        <v>6000</v>
      </c>
      <c r="P34" s="61">
        <f t="shared" si="0"/>
        <v>217560</v>
      </c>
      <c r="Q34" s="167"/>
    </row>
    <row r="35" spans="1:17" ht="26.25" customHeight="1" x14ac:dyDescent="0.2">
      <c r="A35" s="13"/>
      <c r="B35" s="13"/>
      <c r="C35" s="69" t="s">
        <v>106</v>
      </c>
      <c r="D35" s="74" t="s">
        <v>58</v>
      </c>
      <c r="E35" s="12">
        <v>44616</v>
      </c>
      <c r="F35" s="72" t="s">
        <v>67</v>
      </c>
      <c r="G35" s="12">
        <v>44632</v>
      </c>
      <c r="H35" s="73" t="s">
        <v>96</v>
      </c>
      <c r="I35" s="15">
        <v>52</v>
      </c>
      <c r="J35" s="15">
        <v>45</v>
      </c>
      <c r="K35" s="15">
        <v>12</v>
      </c>
      <c r="L35" s="15">
        <v>7</v>
      </c>
      <c r="M35" s="77">
        <v>7.02</v>
      </c>
      <c r="N35" s="92">
        <v>7.02</v>
      </c>
      <c r="O35" s="60">
        <v>6000</v>
      </c>
      <c r="P35" s="61">
        <f t="shared" si="0"/>
        <v>42120</v>
      </c>
      <c r="Q35" s="167"/>
    </row>
    <row r="36" spans="1:17" ht="26.25" customHeight="1" x14ac:dyDescent="0.2">
      <c r="A36" s="13"/>
      <c r="B36" s="13"/>
      <c r="C36" s="69" t="s">
        <v>107</v>
      </c>
      <c r="D36" s="74" t="s">
        <v>58</v>
      </c>
      <c r="E36" s="12">
        <v>44616</v>
      </c>
      <c r="F36" s="72" t="s">
        <v>67</v>
      </c>
      <c r="G36" s="12">
        <v>44632</v>
      </c>
      <c r="H36" s="73" t="s">
        <v>96</v>
      </c>
      <c r="I36" s="15">
        <v>52</v>
      </c>
      <c r="J36" s="15">
        <v>45</v>
      </c>
      <c r="K36" s="15">
        <v>12</v>
      </c>
      <c r="L36" s="15">
        <v>7</v>
      </c>
      <c r="M36" s="77">
        <v>7.02</v>
      </c>
      <c r="N36" s="92">
        <v>7.02</v>
      </c>
      <c r="O36" s="60">
        <v>6000</v>
      </c>
      <c r="P36" s="61">
        <f t="shared" si="0"/>
        <v>42120</v>
      </c>
      <c r="Q36" s="167"/>
    </row>
    <row r="37" spans="1:17" ht="26.25" customHeight="1" x14ac:dyDescent="0.2">
      <c r="A37" s="13"/>
      <c r="B37" s="13"/>
      <c r="C37" s="69" t="s">
        <v>108</v>
      </c>
      <c r="D37" s="74" t="s">
        <v>58</v>
      </c>
      <c r="E37" s="12">
        <v>44616</v>
      </c>
      <c r="F37" s="72" t="s">
        <v>67</v>
      </c>
      <c r="G37" s="12">
        <v>44632</v>
      </c>
      <c r="H37" s="73" t="s">
        <v>96</v>
      </c>
      <c r="I37" s="15">
        <v>52</v>
      </c>
      <c r="J37" s="15">
        <v>45</v>
      </c>
      <c r="K37" s="15">
        <v>12</v>
      </c>
      <c r="L37" s="15">
        <v>7</v>
      </c>
      <c r="M37" s="77">
        <v>7.02</v>
      </c>
      <c r="N37" s="92">
        <v>7.02</v>
      </c>
      <c r="O37" s="60">
        <v>6000</v>
      </c>
      <c r="P37" s="61">
        <f t="shared" si="0"/>
        <v>42120</v>
      </c>
      <c r="Q37" s="167"/>
    </row>
    <row r="38" spans="1:17" ht="26.25" customHeight="1" x14ac:dyDescent="0.2">
      <c r="A38" s="13"/>
      <c r="B38" s="13"/>
      <c r="C38" s="69" t="s">
        <v>109</v>
      </c>
      <c r="D38" s="74" t="s">
        <v>58</v>
      </c>
      <c r="E38" s="12">
        <v>44616</v>
      </c>
      <c r="F38" s="72" t="s">
        <v>67</v>
      </c>
      <c r="G38" s="12">
        <v>44632</v>
      </c>
      <c r="H38" s="73" t="s">
        <v>96</v>
      </c>
      <c r="I38" s="15">
        <v>70</v>
      </c>
      <c r="J38" s="15">
        <v>45</v>
      </c>
      <c r="K38" s="15">
        <v>33</v>
      </c>
      <c r="L38" s="15">
        <v>11</v>
      </c>
      <c r="M38" s="77">
        <v>25.987500000000001</v>
      </c>
      <c r="N38" s="92">
        <v>26</v>
      </c>
      <c r="O38" s="60">
        <v>6000</v>
      </c>
      <c r="P38" s="61">
        <f t="shared" si="0"/>
        <v>156000</v>
      </c>
      <c r="Q38" s="167"/>
    </row>
    <row r="39" spans="1:17" ht="26.25" customHeight="1" thickBot="1" x14ac:dyDescent="0.25">
      <c r="A39" s="98"/>
      <c r="B39" s="98" t="s">
        <v>110</v>
      </c>
      <c r="C39" s="122" t="s">
        <v>111</v>
      </c>
      <c r="D39" s="123" t="s">
        <v>58</v>
      </c>
      <c r="E39" s="102">
        <v>44616</v>
      </c>
      <c r="F39" s="101" t="s">
        <v>67</v>
      </c>
      <c r="G39" s="102">
        <v>44632</v>
      </c>
      <c r="H39" s="124" t="s">
        <v>96</v>
      </c>
      <c r="I39" s="125">
        <v>52</v>
      </c>
      <c r="J39" s="125">
        <v>45</v>
      </c>
      <c r="K39" s="125">
        <v>12</v>
      </c>
      <c r="L39" s="125">
        <v>7</v>
      </c>
      <c r="M39" s="126">
        <v>7.02</v>
      </c>
      <c r="N39" s="106">
        <v>7.02</v>
      </c>
      <c r="O39" s="107">
        <v>6000</v>
      </c>
      <c r="P39" s="108">
        <f t="shared" si="0"/>
        <v>42120</v>
      </c>
      <c r="Q39" s="168"/>
    </row>
    <row r="40" spans="1:17" ht="26.25" customHeight="1" thickBot="1" x14ac:dyDescent="0.25">
      <c r="A40" s="131">
        <v>404757</v>
      </c>
      <c r="B40" s="132" t="s">
        <v>112</v>
      </c>
      <c r="C40" s="133" t="s">
        <v>113</v>
      </c>
      <c r="D40" s="134" t="s">
        <v>58</v>
      </c>
      <c r="E40" s="135">
        <v>44617</v>
      </c>
      <c r="F40" s="134" t="s">
        <v>67</v>
      </c>
      <c r="G40" s="135">
        <v>44632</v>
      </c>
      <c r="H40" s="136" t="s">
        <v>96</v>
      </c>
      <c r="I40" s="137">
        <v>45</v>
      </c>
      <c r="J40" s="137">
        <v>45</v>
      </c>
      <c r="K40" s="137">
        <v>52</v>
      </c>
      <c r="L40" s="137">
        <v>11</v>
      </c>
      <c r="M40" s="138">
        <v>26.324999999999999</v>
      </c>
      <c r="N40" s="139">
        <v>27</v>
      </c>
      <c r="O40" s="140">
        <v>6000</v>
      </c>
      <c r="P40" s="141">
        <f t="shared" si="0"/>
        <v>162000</v>
      </c>
      <c r="Q40" s="142">
        <v>1</v>
      </c>
    </row>
    <row r="41" spans="1:17" ht="26.25" customHeight="1" x14ac:dyDescent="0.2">
      <c r="A41" s="110">
        <v>404690</v>
      </c>
      <c r="B41" s="111" t="s">
        <v>114</v>
      </c>
      <c r="C41" s="112" t="s">
        <v>115</v>
      </c>
      <c r="D41" s="113" t="s">
        <v>58</v>
      </c>
      <c r="E41" s="114">
        <v>44619</v>
      </c>
      <c r="F41" s="113" t="s">
        <v>67</v>
      </c>
      <c r="G41" s="114">
        <v>44643</v>
      </c>
      <c r="H41" s="115" t="s">
        <v>117</v>
      </c>
      <c r="I41" s="116">
        <v>36</v>
      </c>
      <c r="J41" s="116">
        <v>21</v>
      </c>
      <c r="K41" s="116">
        <v>15</v>
      </c>
      <c r="L41" s="116">
        <v>9</v>
      </c>
      <c r="M41" s="117">
        <v>2.835</v>
      </c>
      <c r="N41" s="118">
        <v>9</v>
      </c>
      <c r="O41" s="119">
        <v>6000</v>
      </c>
      <c r="P41" s="120">
        <f t="shared" si="0"/>
        <v>54000</v>
      </c>
      <c r="Q41" s="166">
        <v>2</v>
      </c>
    </row>
    <row r="42" spans="1:17" ht="26.25" customHeight="1" thickBot="1" x14ac:dyDescent="0.25">
      <c r="A42" s="121"/>
      <c r="B42" s="129"/>
      <c r="C42" s="100" t="s">
        <v>116</v>
      </c>
      <c r="D42" s="101" t="s">
        <v>58</v>
      </c>
      <c r="E42" s="102">
        <v>44619</v>
      </c>
      <c r="F42" s="101" t="s">
        <v>67</v>
      </c>
      <c r="G42" s="102">
        <v>44643</v>
      </c>
      <c r="H42" s="103" t="s">
        <v>117</v>
      </c>
      <c r="I42" s="104">
        <v>87</v>
      </c>
      <c r="J42" s="104">
        <v>46</v>
      </c>
      <c r="K42" s="104">
        <v>12</v>
      </c>
      <c r="L42" s="104">
        <v>9</v>
      </c>
      <c r="M42" s="105">
        <v>12.006</v>
      </c>
      <c r="N42" s="106">
        <v>12.006</v>
      </c>
      <c r="O42" s="107">
        <v>6000</v>
      </c>
      <c r="P42" s="108">
        <f>N42*O42</f>
        <v>72036</v>
      </c>
      <c r="Q42" s="168"/>
    </row>
    <row r="43" spans="1:17" ht="22.5" customHeight="1" thickBot="1" x14ac:dyDescent="0.25">
      <c r="A43" s="161" t="s">
        <v>30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3"/>
      <c r="M43" s="144">
        <f>SUM(M3:M42)</f>
        <v>853.92399999999986</v>
      </c>
      <c r="N43" s="145">
        <f>SUM(N3:N42)</f>
        <v>923.26949999999977</v>
      </c>
      <c r="O43" s="164">
        <f>SUM(P3:P42)</f>
        <v>5539617</v>
      </c>
      <c r="P43" s="165"/>
      <c r="Q43" s="145">
        <f>SUM(Q3:Q42)</f>
        <v>40</v>
      </c>
    </row>
    <row r="44" spans="1:17" ht="18" customHeight="1" x14ac:dyDescent="0.2">
      <c r="A44" s="81"/>
      <c r="B44" s="54" t="s">
        <v>42</v>
      </c>
      <c r="C44" s="53"/>
      <c r="D44" s="55" t="s">
        <v>43</v>
      </c>
      <c r="E44" s="81"/>
      <c r="F44" s="81"/>
      <c r="G44" s="81"/>
      <c r="H44" s="81"/>
      <c r="I44" s="81"/>
      <c r="J44" s="81"/>
      <c r="K44" s="81"/>
      <c r="L44" s="81"/>
      <c r="M44" s="82"/>
      <c r="N44" s="83" t="s">
        <v>51</v>
      </c>
      <c r="O44" s="84"/>
      <c r="P44" s="84">
        <f>O43*10%</f>
        <v>553961.70000000007</v>
      </c>
    </row>
    <row r="45" spans="1:17" ht="18" customHeight="1" thickBot="1" x14ac:dyDescent="0.25">
      <c r="A45" s="81"/>
      <c r="B45" s="54"/>
      <c r="C45" s="53"/>
      <c r="D45" s="55"/>
      <c r="E45" s="81"/>
      <c r="F45" s="81"/>
      <c r="G45" s="81"/>
      <c r="H45" s="81"/>
      <c r="I45" s="81"/>
      <c r="J45" s="81"/>
      <c r="K45" s="81"/>
      <c r="L45" s="81"/>
      <c r="M45" s="82"/>
      <c r="N45" s="85" t="s">
        <v>52</v>
      </c>
      <c r="O45" s="86"/>
      <c r="P45" s="86">
        <f>O43-P44</f>
        <v>4985655.3</v>
      </c>
    </row>
    <row r="46" spans="1:17" ht="18" customHeight="1" x14ac:dyDescent="0.2">
      <c r="A46" s="10"/>
      <c r="H46" s="59"/>
      <c r="N46" s="58" t="s">
        <v>31</v>
      </c>
      <c r="P46" s="65">
        <f>P45*1%</f>
        <v>49856.553</v>
      </c>
    </row>
    <row r="47" spans="1:17" ht="18" customHeight="1" thickBot="1" x14ac:dyDescent="0.25">
      <c r="A47" s="10"/>
      <c r="H47" s="59"/>
      <c r="N47" s="58" t="s">
        <v>53</v>
      </c>
      <c r="P47" s="67">
        <f>P45*2%</f>
        <v>99713.106</v>
      </c>
    </row>
    <row r="48" spans="1:17" ht="18" customHeight="1" x14ac:dyDescent="0.2">
      <c r="A48" s="10"/>
      <c r="H48" s="59"/>
      <c r="N48" s="62" t="s">
        <v>32</v>
      </c>
      <c r="O48" s="63"/>
      <c r="P48" s="66">
        <f>P45+P46-P47</f>
        <v>4935798.7470000004</v>
      </c>
    </row>
    <row r="50" spans="1:16" x14ac:dyDescent="0.2">
      <c r="A50" s="10"/>
      <c r="H50" s="59"/>
      <c r="P50" s="67"/>
    </row>
    <row r="51" spans="1:16" x14ac:dyDescent="0.2">
      <c r="A51" s="10"/>
      <c r="H51" s="59"/>
      <c r="O51" s="56"/>
      <c r="P51" s="67"/>
    </row>
    <row r="52" spans="1:16" s="3" customFormat="1" x14ac:dyDescent="0.25">
      <c r="A52" s="10"/>
      <c r="B52" s="2"/>
      <c r="C52" s="2"/>
      <c r="E52" s="11"/>
      <c r="H52" s="59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9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9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9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9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9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9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9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9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9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59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59"/>
      <c r="N63" s="14"/>
      <c r="O63" s="14"/>
      <c r="P63" s="14"/>
    </row>
  </sheetData>
  <mergeCells count="10">
    <mergeCell ref="A43:L43"/>
    <mergeCell ref="O43:P43"/>
    <mergeCell ref="Q4:Q8"/>
    <mergeCell ref="Q9:Q10"/>
    <mergeCell ref="Q11:Q12"/>
    <mergeCell ref="Q13:Q21"/>
    <mergeCell ref="Q23:Q24"/>
    <mergeCell ref="Q25:Q26"/>
    <mergeCell ref="Q27:Q39"/>
    <mergeCell ref="Q41:Q42"/>
  </mergeCells>
  <conditionalFormatting sqref="B3">
    <cfRule type="duplicateValues" dxfId="43" priority="22"/>
  </conditionalFormatting>
  <conditionalFormatting sqref="B4">
    <cfRule type="duplicateValues" dxfId="42" priority="20"/>
  </conditionalFormatting>
  <conditionalFormatting sqref="B5">
    <cfRule type="duplicateValues" dxfId="41" priority="19"/>
  </conditionalFormatting>
  <conditionalFormatting sqref="B6:B8">
    <cfRule type="duplicateValues" dxfId="40" priority="21"/>
  </conditionalFormatting>
  <conditionalFormatting sqref="B9">
    <cfRule type="duplicateValues" dxfId="39" priority="18"/>
  </conditionalFormatting>
  <conditionalFormatting sqref="B10">
    <cfRule type="duplicateValues" dxfId="38" priority="17"/>
  </conditionalFormatting>
  <conditionalFormatting sqref="B11">
    <cfRule type="duplicateValues" dxfId="37" priority="16"/>
  </conditionalFormatting>
  <conditionalFormatting sqref="B12">
    <cfRule type="duplicateValues" dxfId="36" priority="15"/>
  </conditionalFormatting>
  <conditionalFormatting sqref="B13">
    <cfRule type="duplicateValues" dxfId="35" priority="13"/>
  </conditionalFormatting>
  <conditionalFormatting sqref="B14">
    <cfRule type="duplicateValues" dxfId="34" priority="12"/>
  </conditionalFormatting>
  <conditionalFormatting sqref="B15:B21">
    <cfRule type="duplicateValues" dxfId="33" priority="14"/>
  </conditionalFormatting>
  <conditionalFormatting sqref="B22">
    <cfRule type="duplicateValues" dxfId="32" priority="11"/>
  </conditionalFormatting>
  <conditionalFormatting sqref="B23">
    <cfRule type="duplicateValues" dxfId="31" priority="10"/>
  </conditionalFormatting>
  <conditionalFormatting sqref="B24">
    <cfRule type="duplicateValues" dxfId="30" priority="9"/>
  </conditionalFormatting>
  <conditionalFormatting sqref="B25">
    <cfRule type="duplicateValues" dxfId="29" priority="8"/>
  </conditionalFormatting>
  <conditionalFormatting sqref="B26">
    <cfRule type="duplicateValues" dxfId="28" priority="7"/>
  </conditionalFormatting>
  <conditionalFormatting sqref="B27">
    <cfRule type="duplicateValues" dxfId="27" priority="5"/>
  </conditionalFormatting>
  <conditionalFormatting sqref="B28">
    <cfRule type="duplicateValues" dxfId="26" priority="4"/>
  </conditionalFormatting>
  <conditionalFormatting sqref="B29:B39">
    <cfRule type="duplicateValues" dxfId="25" priority="6"/>
  </conditionalFormatting>
  <conditionalFormatting sqref="B40">
    <cfRule type="duplicateValues" dxfId="24" priority="3"/>
  </conditionalFormatting>
  <conditionalFormatting sqref="B41">
    <cfRule type="duplicateValues" dxfId="23" priority="2"/>
  </conditionalFormatting>
  <conditionalFormatting sqref="B42">
    <cfRule type="duplicateValues" dxfId="22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0" sqref="H10"/>
    </sheetView>
  </sheetViews>
  <sheetFormatPr defaultRowHeight="15" x14ac:dyDescent="0.2"/>
  <cols>
    <col min="1" max="1" width="7.28515625" style="4" customWidth="1"/>
    <col min="2" max="2" width="19.140625" style="2" customWidth="1"/>
    <col min="3" max="3" width="15" style="2" customWidth="1"/>
    <col min="4" max="4" width="12" style="3" customWidth="1"/>
    <col min="5" max="5" width="10.140625" style="11" customWidth="1"/>
    <col min="6" max="6" width="8.7109375" style="3" customWidth="1"/>
    <col min="7" max="7" width="10" style="3" customWidth="1"/>
    <col min="8" max="8" width="20.140625" style="6" customWidth="1"/>
    <col min="9" max="10" width="3.42578125" style="3" customWidth="1"/>
    <col min="11" max="11" width="3.28515625" style="3" customWidth="1"/>
    <col min="12" max="12" width="4.28515625" style="3" customWidth="1"/>
    <col min="13" max="13" width="8" style="3" customWidth="1"/>
    <col min="14" max="14" width="12.28515625" style="14" customWidth="1"/>
    <col min="15" max="15" width="8.140625" style="14" customWidth="1"/>
    <col min="16" max="16" width="8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8">
        <v>403315</v>
      </c>
      <c r="B3" s="70" t="s">
        <v>56</v>
      </c>
      <c r="C3" s="8" t="s">
        <v>57</v>
      </c>
      <c r="D3" s="72" t="s">
        <v>58</v>
      </c>
      <c r="E3" s="12">
        <v>44600</v>
      </c>
      <c r="F3" s="72" t="s">
        <v>59</v>
      </c>
      <c r="G3" s="12">
        <v>44608</v>
      </c>
      <c r="H3" s="9" t="s">
        <v>60</v>
      </c>
      <c r="I3" s="1">
        <v>35</v>
      </c>
      <c r="J3" s="1">
        <v>24</v>
      </c>
      <c r="K3" s="1">
        <v>15</v>
      </c>
      <c r="L3" s="1">
        <v>3</v>
      </c>
      <c r="M3" s="76">
        <v>3.15</v>
      </c>
      <c r="N3" s="92">
        <v>3.15</v>
      </c>
      <c r="O3" s="60">
        <v>6000</v>
      </c>
      <c r="P3" s="61">
        <f>Table22457891011234[[#This Row],[PEMBULATAN]]*O3</f>
        <v>18900</v>
      </c>
      <c r="Q3" s="93">
        <v>1</v>
      </c>
    </row>
    <row r="4" spans="1:17" ht="22.5" customHeight="1" x14ac:dyDescent="0.2">
      <c r="A4" s="169" t="s">
        <v>30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1"/>
      <c r="M4" s="75">
        <f>SUBTOTAL(109,Table22457891011234[KG VOLUME])</f>
        <v>3.15</v>
      </c>
      <c r="N4" s="64">
        <f>SUM(N3:N3)</f>
        <v>3.15</v>
      </c>
      <c r="O4" s="172">
        <f>SUM(P3:P3)</f>
        <v>18900</v>
      </c>
      <c r="P4" s="173"/>
    </row>
    <row r="5" spans="1:17" ht="18" customHeight="1" x14ac:dyDescent="0.2">
      <c r="A5" s="81"/>
      <c r="B5" s="54" t="s">
        <v>42</v>
      </c>
      <c r="C5" s="53"/>
      <c r="D5" s="55" t="s">
        <v>43</v>
      </c>
      <c r="E5" s="81"/>
      <c r="F5" s="81"/>
      <c r="G5" s="81"/>
      <c r="H5" s="81"/>
      <c r="I5" s="81"/>
      <c r="J5" s="81"/>
      <c r="K5" s="81"/>
      <c r="L5" s="81"/>
      <c r="M5" s="82"/>
      <c r="N5" s="83" t="s">
        <v>51</v>
      </c>
      <c r="O5" s="84"/>
      <c r="P5" s="84">
        <f>O4*10%</f>
        <v>1890</v>
      </c>
    </row>
    <row r="6" spans="1:17" ht="18" customHeight="1" thickBot="1" x14ac:dyDescent="0.25">
      <c r="A6" s="81"/>
      <c r="B6" s="54"/>
      <c r="C6" s="53"/>
      <c r="D6" s="55"/>
      <c r="E6" s="81"/>
      <c r="F6" s="81"/>
      <c r="G6" s="81"/>
      <c r="H6" s="81"/>
      <c r="I6" s="81"/>
      <c r="J6" s="81"/>
      <c r="K6" s="81"/>
      <c r="L6" s="81"/>
      <c r="M6" s="82"/>
      <c r="N6" s="85" t="s">
        <v>52</v>
      </c>
      <c r="O6" s="86"/>
      <c r="P6" s="86">
        <f>O4-P5</f>
        <v>17010</v>
      </c>
    </row>
    <row r="7" spans="1:17" ht="18" customHeight="1" x14ac:dyDescent="0.2">
      <c r="A7" s="10"/>
      <c r="H7" s="59"/>
      <c r="N7" s="58" t="s">
        <v>31</v>
      </c>
      <c r="P7" s="65">
        <f>P6*1%</f>
        <v>170.1</v>
      </c>
    </row>
    <row r="8" spans="1:17" ht="18" customHeight="1" thickBot="1" x14ac:dyDescent="0.25">
      <c r="A8" s="10"/>
      <c r="H8" s="59"/>
      <c r="N8" s="58" t="s">
        <v>53</v>
      </c>
      <c r="P8" s="67">
        <f>P6*2%</f>
        <v>340.2</v>
      </c>
    </row>
    <row r="9" spans="1:17" ht="18" customHeight="1" x14ac:dyDescent="0.2">
      <c r="A9" s="10"/>
      <c r="H9" s="59"/>
      <c r="N9" s="62" t="s">
        <v>32</v>
      </c>
      <c r="O9" s="63"/>
      <c r="P9" s="66">
        <f>P6+P7-P8</f>
        <v>16839.899999999998</v>
      </c>
    </row>
    <row r="11" spans="1:17" x14ac:dyDescent="0.2">
      <c r="A11" s="10"/>
      <c r="H11" s="59"/>
      <c r="P11" s="67"/>
    </row>
    <row r="12" spans="1:17" x14ac:dyDescent="0.2">
      <c r="A12" s="10"/>
      <c r="H12" s="59"/>
      <c r="O12" s="56"/>
      <c r="P12" s="67"/>
    </row>
    <row r="13" spans="1:17" s="3" customFormat="1" x14ac:dyDescent="0.25">
      <c r="A13" s="10"/>
      <c r="B13" s="2"/>
      <c r="C13" s="2"/>
      <c r="E13" s="11"/>
      <c r="H13" s="59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59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59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59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9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9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9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9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21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" sqref="H1"/>
    </sheetView>
  </sheetViews>
  <sheetFormatPr defaultRowHeight="15" x14ac:dyDescent="0.2"/>
  <cols>
    <col min="1" max="1" width="6.85546875" style="4" customWidth="1"/>
    <col min="2" max="2" width="20.140625" style="2" customWidth="1"/>
    <col min="3" max="3" width="15.42578125" style="2" customWidth="1"/>
    <col min="4" max="4" width="12.5703125" style="3" customWidth="1"/>
    <col min="5" max="5" width="9.5703125" style="11" customWidth="1"/>
    <col min="6" max="6" width="9.85546875" style="3" customWidth="1"/>
    <col min="7" max="7" width="10.42578125" style="3" customWidth="1"/>
    <col min="8" max="8" width="19.42578125" style="6" customWidth="1"/>
    <col min="9" max="9" width="3.28515625" style="3" customWidth="1"/>
    <col min="10" max="10" width="3.140625" style="3" customWidth="1"/>
    <col min="11" max="11" width="3" style="3" customWidth="1"/>
    <col min="12" max="12" width="4.140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9.140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8">
        <v>403327</v>
      </c>
      <c r="B3" s="70" t="s">
        <v>61</v>
      </c>
      <c r="C3" s="8" t="s">
        <v>62</v>
      </c>
      <c r="D3" s="72" t="s">
        <v>58</v>
      </c>
      <c r="E3" s="12">
        <v>44603</v>
      </c>
      <c r="F3" s="72" t="s">
        <v>67</v>
      </c>
      <c r="G3" s="12">
        <v>44621</v>
      </c>
      <c r="H3" s="9" t="s">
        <v>68</v>
      </c>
      <c r="I3" s="1">
        <v>29</v>
      </c>
      <c r="J3" s="1">
        <v>21</v>
      </c>
      <c r="K3" s="1">
        <v>12</v>
      </c>
      <c r="L3" s="1">
        <v>11</v>
      </c>
      <c r="M3" s="76">
        <v>1.827</v>
      </c>
      <c r="N3" s="7">
        <v>11</v>
      </c>
      <c r="O3" s="60">
        <v>6000</v>
      </c>
      <c r="P3" s="61">
        <f>Table224578910112345[[#This Row],[PEMBULATAN]]*O3</f>
        <v>66000</v>
      </c>
      <c r="Q3" s="174">
        <v>5</v>
      </c>
    </row>
    <row r="4" spans="1:17" ht="26.25" customHeight="1" x14ac:dyDescent="0.2">
      <c r="A4" s="13"/>
      <c r="B4" s="71"/>
      <c r="C4" s="8" t="s">
        <v>63</v>
      </c>
      <c r="D4" s="72" t="s">
        <v>58</v>
      </c>
      <c r="E4" s="12">
        <v>44603</v>
      </c>
      <c r="F4" s="72" t="s">
        <v>67</v>
      </c>
      <c r="G4" s="12">
        <v>44621</v>
      </c>
      <c r="H4" s="9" t="s">
        <v>68</v>
      </c>
      <c r="I4" s="1">
        <v>22</v>
      </c>
      <c r="J4" s="1">
        <v>12</v>
      </c>
      <c r="K4" s="1">
        <v>8</v>
      </c>
      <c r="L4" s="1">
        <v>5</v>
      </c>
      <c r="M4" s="76">
        <v>0.52800000000000002</v>
      </c>
      <c r="N4" s="7">
        <v>5</v>
      </c>
      <c r="O4" s="60">
        <v>6000</v>
      </c>
      <c r="P4" s="61">
        <f>Table224578910112345[[#This Row],[PEMBULATAN]]*O4</f>
        <v>30000</v>
      </c>
      <c r="Q4" s="167"/>
    </row>
    <row r="5" spans="1:17" ht="26.25" customHeight="1" x14ac:dyDescent="0.2">
      <c r="A5" s="13"/>
      <c r="B5" s="13"/>
      <c r="C5" s="8" t="s">
        <v>64</v>
      </c>
      <c r="D5" s="72" t="s">
        <v>58</v>
      </c>
      <c r="E5" s="12">
        <v>44603</v>
      </c>
      <c r="F5" s="72" t="s">
        <v>67</v>
      </c>
      <c r="G5" s="12">
        <v>44621</v>
      </c>
      <c r="H5" s="9" t="s">
        <v>68</v>
      </c>
      <c r="I5" s="1">
        <v>33</v>
      </c>
      <c r="J5" s="1">
        <v>19</v>
      </c>
      <c r="K5" s="1">
        <v>10</v>
      </c>
      <c r="L5" s="1">
        <v>5</v>
      </c>
      <c r="M5" s="76">
        <v>1.5674999999999999</v>
      </c>
      <c r="N5" s="7">
        <v>5</v>
      </c>
      <c r="O5" s="60">
        <v>6000</v>
      </c>
      <c r="P5" s="61">
        <f>Table224578910112345[[#This Row],[PEMBULATAN]]*O5</f>
        <v>30000</v>
      </c>
      <c r="Q5" s="167"/>
    </row>
    <row r="6" spans="1:17" ht="26.25" customHeight="1" x14ac:dyDescent="0.2">
      <c r="A6" s="13"/>
      <c r="B6" s="13"/>
      <c r="C6" s="69" t="s">
        <v>65</v>
      </c>
      <c r="D6" s="74" t="s">
        <v>58</v>
      </c>
      <c r="E6" s="12">
        <v>44603</v>
      </c>
      <c r="F6" s="72" t="s">
        <v>67</v>
      </c>
      <c r="G6" s="12">
        <v>44621</v>
      </c>
      <c r="H6" s="73" t="s">
        <v>68</v>
      </c>
      <c r="I6" s="15">
        <v>25</v>
      </c>
      <c r="J6" s="15">
        <v>22</v>
      </c>
      <c r="K6" s="15">
        <v>15</v>
      </c>
      <c r="L6" s="15">
        <v>12</v>
      </c>
      <c r="M6" s="77">
        <v>2.0625</v>
      </c>
      <c r="N6" s="68">
        <v>12</v>
      </c>
      <c r="O6" s="60">
        <v>6000</v>
      </c>
      <c r="P6" s="61">
        <f>Table224578910112345[[#This Row],[PEMBULATAN]]*O6</f>
        <v>72000</v>
      </c>
      <c r="Q6" s="167"/>
    </row>
    <row r="7" spans="1:17" ht="26.25" customHeight="1" x14ac:dyDescent="0.2">
      <c r="A7" s="13"/>
      <c r="B7" s="13"/>
      <c r="C7" s="69" t="s">
        <v>66</v>
      </c>
      <c r="D7" s="74" t="s">
        <v>58</v>
      </c>
      <c r="E7" s="12">
        <v>44603</v>
      </c>
      <c r="F7" s="72" t="s">
        <v>67</v>
      </c>
      <c r="G7" s="12">
        <v>44621</v>
      </c>
      <c r="H7" s="73" t="s">
        <v>68</v>
      </c>
      <c r="I7" s="15">
        <v>57</v>
      </c>
      <c r="J7" s="15">
        <v>42</v>
      </c>
      <c r="K7" s="15">
        <v>17</v>
      </c>
      <c r="L7" s="15">
        <v>15</v>
      </c>
      <c r="M7" s="77">
        <v>10.1745</v>
      </c>
      <c r="N7" s="68">
        <v>15</v>
      </c>
      <c r="O7" s="60">
        <v>6000</v>
      </c>
      <c r="P7" s="61">
        <f>Table224578910112345[[#This Row],[PEMBULATAN]]*O7</f>
        <v>90000</v>
      </c>
      <c r="Q7" s="175"/>
    </row>
    <row r="8" spans="1:17" ht="22.5" customHeight="1" x14ac:dyDescent="0.2">
      <c r="A8" s="169" t="s">
        <v>30</v>
      </c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1"/>
      <c r="M8" s="75">
        <f>SUBTOTAL(109,Table224578910112345[KG VOLUME])</f>
        <v>16.159500000000001</v>
      </c>
      <c r="N8" s="64">
        <f>SUM(N3:N7)</f>
        <v>48</v>
      </c>
      <c r="O8" s="172">
        <f>SUM(P3:P7)</f>
        <v>288000</v>
      </c>
      <c r="P8" s="173"/>
    </row>
    <row r="9" spans="1:17" ht="18" customHeight="1" x14ac:dyDescent="0.2">
      <c r="A9" s="81"/>
      <c r="B9" s="54" t="s">
        <v>42</v>
      </c>
      <c r="C9" s="53"/>
      <c r="D9" s="55" t="s">
        <v>43</v>
      </c>
      <c r="E9" s="81"/>
      <c r="F9" s="81"/>
      <c r="G9" s="81"/>
      <c r="H9" s="81"/>
      <c r="I9" s="81"/>
      <c r="J9" s="81"/>
      <c r="K9" s="81"/>
      <c r="L9" s="81"/>
      <c r="M9" s="82"/>
      <c r="N9" s="83" t="s">
        <v>51</v>
      </c>
      <c r="O9" s="84"/>
      <c r="P9" s="84">
        <f>O8*10%</f>
        <v>28800</v>
      </c>
    </row>
    <row r="10" spans="1:17" ht="18" customHeight="1" thickBot="1" x14ac:dyDescent="0.25">
      <c r="A10" s="81"/>
      <c r="B10" s="54"/>
      <c r="C10" s="53"/>
      <c r="D10" s="55"/>
      <c r="E10" s="81"/>
      <c r="F10" s="81"/>
      <c r="G10" s="81"/>
      <c r="H10" s="81"/>
      <c r="I10" s="81"/>
      <c r="J10" s="81"/>
      <c r="K10" s="81"/>
      <c r="L10" s="81"/>
      <c r="M10" s="82"/>
      <c r="N10" s="85" t="s">
        <v>52</v>
      </c>
      <c r="O10" s="86"/>
      <c r="P10" s="86">
        <f>O8-P9</f>
        <v>259200</v>
      </c>
    </row>
    <row r="11" spans="1:17" ht="18" customHeight="1" x14ac:dyDescent="0.2">
      <c r="A11" s="10"/>
      <c r="H11" s="59"/>
      <c r="N11" s="58" t="s">
        <v>31</v>
      </c>
      <c r="P11" s="65">
        <f>P10*1%</f>
        <v>2592</v>
      </c>
    </row>
    <row r="12" spans="1:17" ht="18" customHeight="1" thickBot="1" x14ac:dyDescent="0.25">
      <c r="A12" s="10"/>
      <c r="H12" s="59"/>
      <c r="N12" s="58" t="s">
        <v>53</v>
      </c>
      <c r="P12" s="67">
        <f>P10*2%</f>
        <v>5184</v>
      </c>
    </row>
    <row r="13" spans="1:17" ht="18" customHeight="1" x14ac:dyDescent="0.2">
      <c r="A13" s="10"/>
      <c r="H13" s="59"/>
      <c r="N13" s="62" t="s">
        <v>32</v>
      </c>
      <c r="O13" s="63"/>
      <c r="P13" s="66">
        <f>P10+P11-P12</f>
        <v>256608</v>
      </c>
    </row>
    <row r="15" spans="1:17" x14ac:dyDescent="0.2">
      <c r="A15" s="10"/>
      <c r="H15" s="59"/>
      <c r="P15" s="67"/>
    </row>
    <row r="16" spans="1:17" x14ac:dyDescent="0.2">
      <c r="A16" s="10"/>
      <c r="H16" s="59"/>
      <c r="O16" s="56"/>
      <c r="P16" s="67"/>
    </row>
    <row r="17" spans="1:16" s="3" customFormat="1" x14ac:dyDescent="0.25">
      <c r="A17" s="10"/>
      <c r="B17" s="2"/>
      <c r="C17" s="2"/>
      <c r="E17" s="11"/>
      <c r="H17" s="59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9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9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9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9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9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9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9"/>
      <c r="N28" s="14"/>
      <c r="O28" s="14"/>
      <c r="P28" s="14"/>
    </row>
  </sheetData>
  <mergeCells count="3">
    <mergeCell ref="A8:L8"/>
    <mergeCell ref="O8:P8"/>
    <mergeCell ref="Q3:Q7"/>
  </mergeCells>
  <conditionalFormatting sqref="B3">
    <cfRule type="duplicateValues" dxfId="20" priority="2"/>
  </conditionalFormatting>
  <conditionalFormatting sqref="B4">
    <cfRule type="duplicateValues" dxfId="19" priority="1"/>
  </conditionalFormatting>
  <conditionalFormatting sqref="B5:B7">
    <cfRule type="duplicateValues" dxfId="18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defaultRowHeight="15" x14ac:dyDescent="0.2"/>
  <cols>
    <col min="1" max="1" width="6.42578125" style="4" customWidth="1"/>
    <col min="2" max="2" width="20.140625" style="2" customWidth="1"/>
    <col min="3" max="3" width="15.42578125" style="2" customWidth="1"/>
    <col min="4" max="4" width="11.7109375" style="3" customWidth="1"/>
    <col min="5" max="5" width="8.7109375" style="11" customWidth="1"/>
    <col min="6" max="6" width="9.7109375" style="3" customWidth="1"/>
    <col min="7" max="7" width="10.85546875" style="3" customWidth="1"/>
    <col min="8" max="8" width="19.42578125" style="6" customWidth="1"/>
    <col min="9" max="9" width="3" style="3" customWidth="1"/>
    <col min="10" max="10" width="2.85546875" style="3" customWidth="1"/>
    <col min="11" max="11" width="3" style="3" customWidth="1"/>
    <col min="12" max="12" width="4.140625" style="3" customWidth="1"/>
    <col min="13" max="13" width="8.140625" style="3" customWidth="1"/>
    <col min="14" max="14" width="12.140625" style="14" customWidth="1"/>
    <col min="15" max="15" width="8.140625" style="14" customWidth="1"/>
    <col min="16" max="16" width="8.710937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8">
        <v>403331</v>
      </c>
      <c r="B3" s="70" t="s">
        <v>69</v>
      </c>
      <c r="C3" s="8" t="s">
        <v>70</v>
      </c>
      <c r="D3" s="72" t="s">
        <v>58</v>
      </c>
      <c r="E3" s="12">
        <v>44604</v>
      </c>
      <c r="F3" s="72" t="s">
        <v>67</v>
      </c>
      <c r="G3" s="12">
        <v>44621</v>
      </c>
      <c r="H3" s="9" t="s">
        <v>68</v>
      </c>
      <c r="I3" s="1">
        <v>66</v>
      </c>
      <c r="J3" s="1">
        <v>55</v>
      </c>
      <c r="K3" s="1">
        <v>21</v>
      </c>
      <c r="L3" s="1">
        <v>8</v>
      </c>
      <c r="M3" s="76">
        <v>19.057500000000001</v>
      </c>
      <c r="N3" s="92">
        <v>19.057500000000001</v>
      </c>
      <c r="O3" s="60">
        <v>6000</v>
      </c>
      <c r="P3" s="61">
        <f>Table2245789101123456[[#This Row],[PEMBULATAN]]*O3</f>
        <v>114345</v>
      </c>
      <c r="Q3" s="174">
        <v>2</v>
      </c>
    </row>
    <row r="4" spans="1:17" ht="26.25" customHeight="1" x14ac:dyDescent="0.2">
      <c r="A4" s="13"/>
      <c r="B4" s="71"/>
      <c r="C4" s="8" t="s">
        <v>71</v>
      </c>
      <c r="D4" s="72" t="s">
        <v>58</v>
      </c>
      <c r="E4" s="12">
        <v>44604</v>
      </c>
      <c r="F4" s="72" t="s">
        <v>67</v>
      </c>
      <c r="G4" s="12">
        <v>44621</v>
      </c>
      <c r="H4" s="9" t="s">
        <v>68</v>
      </c>
      <c r="I4" s="1">
        <v>66</v>
      </c>
      <c r="J4" s="1">
        <v>55</v>
      </c>
      <c r="K4" s="1">
        <v>21</v>
      </c>
      <c r="L4" s="1">
        <v>8</v>
      </c>
      <c r="M4" s="76">
        <v>19.057500000000001</v>
      </c>
      <c r="N4" s="92">
        <v>19.057500000000001</v>
      </c>
      <c r="O4" s="60">
        <v>6000</v>
      </c>
      <c r="P4" s="61">
        <f>Table2245789101123456[[#This Row],[PEMBULATAN]]*O4</f>
        <v>114345</v>
      </c>
      <c r="Q4" s="175"/>
    </row>
    <row r="5" spans="1:17" ht="22.5" customHeight="1" x14ac:dyDescent="0.2">
      <c r="A5" s="169" t="s">
        <v>30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1"/>
      <c r="M5" s="75">
        <f>SUBTOTAL(109,Table2245789101123456[KG VOLUME])</f>
        <v>38.115000000000002</v>
      </c>
      <c r="N5" s="64">
        <f>SUM(N3:N4)</f>
        <v>38.115000000000002</v>
      </c>
      <c r="O5" s="172">
        <f>SUM(P3:P4)</f>
        <v>228690</v>
      </c>
      <c r="P5" s="173"/>
    </row>
    <row r="6" spans="1:17" ht="18" customHeight="1" x14ac:dyDescent="0.2">
      <c r="A6" s="81"/>
      <c r="B6" s="54" t="s">
        <v>42</v>
      </c>
      <c r="C6" s="53"/>
      <c r="D6" s="55" t="s">
        <v>43</v>
      </c>
      <c r="E6" s="81"/>
      <c r="F6" s="81"/>
      <c r="G6" s="81"/>
      <c r="H6" s="81"/>
      <c r="I6" s="81"/>
      <c r="J6" s="81"/>
      <c r="K6" s="81"/>
      <c r="L6" s="81"/>
      <c r="M6" s="82"/>
      <c r="N6" s="83" t="s">
        <v>51</v>
      </c>
      <c r="O6" s="84"/>
      <c r="P6" s="84">
        <f>O5*10%</f>
        <v>22869</v>
      </c>
    </row>
    <row r="7" spans="1:17" ht="18" customHeight="1" thickBot="1" x14ac:dyDescent="0.25">
      <c r="A7" s="81"/>
      <c r="B7" s="54"/>
      <c r="C7" s="53"/>
      <c r="D7" s="55"/>
      <c r="E7" s="81"/>
      <c r="F7" s="81"/>
      <c r="G7" s="81"/>
      <c r="H7" s="81"/>
      <c r="I7" s="81"/>
      <c r="J7" s="81"/>
      <c r="K7" s="81"/>
      <c r="L7" s="81"/>
      <c r="M7" s="82"/>
      <c r="N7" s="85" t="s">
        <v>52</v>
      </c>
      <c r="O7" s="86"/>
      <c r="P7" s="86">
        <f>O5-P6</f>
        <v>205821</v>
      </c>
    </row>
    <row r="8" spans="1:17" ht="18" customHeight="1" x14ac:dyDescent="0.2">
      <c r="A8" s="10"/>
      <c r="H8" s="59"/>
      <c r="N8" s="58" t="s">
        <v>31</v>
      </c>
      <c r="P8" s="65">
        <f>P7*1%</f>
        <v>2058.21</v>
      </c>
    </row>
    <row r="9" spans="1:17" ht="18" customHeight="1" thickBot="1" x14ac:dyDescent="0.25">
      <c r="A9" s="10"/>
      <c r="H9" s="59"/>
      <c r="N9" s="58" t="s">
        <v>53</v>
      </c>
      <c r="P9" s="67">
        <f>P7*2%</f>
        <v>4116.42</v>
      </c>
    </row>
    <row r="10" spans="1:17" ht="18" customHeight="1" x14ac:dyDescent="0.2">
      <c r="A10" s="10"/>
      <c r="H10" s="59"/>
      <c r="N10" s="62" t="s">
        <v>32</v>
      </c>
      <c r="O10" s="63"/>
      <c r="P10" s="66">
        <f>P7+P8-P9</f>
        <v>203762.78999999998</v>
      </c>
    </row>
    <row r="12" spans="1:17" x14ac:dyDescent="0.2">
      <c r="A12" s="10"/>
      <c r="H12" s="59"/>
      <c r="P12" s="67"/>
    </row>
    <row r="13" spans="1:17" x14ac:dyDescent="0.2">
      <c r="A13" s="10"/>
      <c r="H13" s="59"/>
      <c r="O13" s="56"/>
      <c r="P13" s="67"/>
    </row>
    <row r="14" spans="1:17" s="3" customFormat="1" x14ac:dyDescent="0.25">
      <c r="A14" s="10"/>
      <c r="B14" s="2"/>
      <c r="C14" s="2"/>
      <c r="E14" s="11"/>
      <c r="H14" s="59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59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59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9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9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9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9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9"/>
      <c r="N25" s="14"/>
      <c r="O25" s="14"/>
      <c r="P25" s="14"/>
    </row>
  </sheetData>
  <mergeCells count="3">
    <mergeCell ref="A5:L5"/>
    <mergeCell ref="O5:P5"/>
    <mergeCell ref="Q3:Q4"/>
  </mergeCells>
  <conditionalFormatting sqref="B3">
    <cfRule type="duplicateValues" dxfId="17" priority="2"/>
  </conditionalFormatting>
  <conditionalFormatting sqref="B4">
    <cfRule type="duplicateValues" dxfId="16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7" sqref="K7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12.85546875" style="3" customWidth="1"/>
    <col min="5" max="5" width="9.42578125" style="11" customWidth="1"/>
    <col min="6" max="6" width="10.140625" style="3" customWidth="1"/>
    <col min="7" max="7" width="9.7109375" style="3" customWidth="1"/>
    <col min="8" max="8" width="20.7109375" style="6" customWidth="1"/>
    <col min="9" max="10" width="3.140625" style="3" customWidth="1"/>
    <col min="11" max="11" width="3.28515625" style="3" customWidth="1"/>
    <col min="12" max="12" width="4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9.140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8">
        <v>403338</v>
      </c>
      <c r="B3" s="70" t="s">
        <v>72</v>
      </c>
      <c r="C3" s="8" t="s">
        <v>73</v>
      </c>
      <c r="D3" s="72" t="s">
        <v>58</v>
      </c>
      <c r="E3" s="12">
        <v>44607</v>
      </c>
      <c r="F3" s="72" t="s">
        <v>67</v>
      </c>
      <c r="G3" s="12">
        <v>44621</v>
      </c>
      <c r="H3" s="9" t="s">
        <v>68</v>
      </c>
      <c r="I3" s="1">
        <v>36</v>
      </c>
      <c r="J3" s="1">
        <v>36</v>
      </c>
      <c r="K3" s="1">
        <v>12</v>
      </c>
      <c r="L3" s="1">
        <v>14</v>
      </c>
      <c r="M3" s="76">
        <v>3.8879999999999999</v>
      </c>
      <c r="N3" s="7">
        <v>14</v>
      </c>
      <c r="O3" s="60">
        <v>6000</v>
      </c>
      <c r="P3" s="61">
        <f>Table22457891011234567[[#This Row],[PEMBULATAN]]*O3</f>
        <v>84000</v>
      </c>
      <c r="Q3" s="174">
        <v>2</v>
      </c>
    </row>
    <row r="4" spans="1:17" ht="26.25" customHeight="1" x14ac:dyDescent="0.2">
      <c r="A4" s="13"/>
      <c r="B4" s="71"/>
      <c r="C4" s="8" t="s">
        <v>74</v>
      </c>
      <c r="D4" s="72" t="s">
        <v>58</v>
      </c>
      <c r="E4" s="12">
        <v>44607</v>
      </c>
      <c r="F4" s="72" t="s">
        <v>67</v>
      </c>
      <c r="G4" s="12">
        <v>44621</v>
      </c>
      <c r="H4" s="9" t="s">
        <v>68</v>
      </c>
      <c r="I4" s="1">
        <v>37</v>
      </c>
      <c r="J4" s="1">
        <v>21</v>
      </c>
      <c r="K4" s="1">
        <v>16</v>
      </c>
      <c r="L4" s="1">
        <v>14</v>
      </c>
      <c r="M4" s="76">
        <v>3.1080000000000001</v>
      </c>
      <c r="N4" s="7">
        <v>14</v>
      </c>
      <c r="O4" s="60">
        <v>6000</v>
      </c>
      <c r="P4" s="61">
        <f>Table22457891011234567[[#This Row],[PEMBULATAN]]*O4</f>
        <v>84000</v>
      </c>
      <c r="Q4" s="175"/>
    </row>
    <row r="5" spans="1:17" ht="22.5" customHeight="1" x14ac:dyDescent="0.2">
      <c r="A5" s="169" t="s">
        <v>30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1"/>
      <c r="M5" s="75">
        <f>SUBTOTAL(109,Table22457891011234567[KG VOLUME])</f>
        <v>6.9960000000000004</v>
      </c>
      <c r="N5" s="64">
        <f>SUM(N3:N4)</f>
        <v>28</v>
      </c>
      <c r="O5" s="172">
        <f>SUM(P3:P4)</f>
        <v>168000</v>
      </c>
      <c r="P5" s="173"/>
    </row>
    <row r="6" spans="1:17" ht="18" customHeight="1" x14ac:dyDescent="0.2">
      <c r="A6" s="81"/>
      <c r="B6" s="54" t="s">
        <v>42</v>
      </c>
      <c r="C6" s="53"/>
      <c r="D6" s="55" t="s">
        <v>43</v>
      </c>
      <c r="E6" s="81"/>
      <c r="F6" s="81"/>
      <c r="G6" s="81"/>
      <c r="H6" s="81"/>
      <c r="I6" s="81"/>
      <c r="J6" s="81"/>
      <c r="K6" s="81"/>
      <c r="L6" s="81"/>
      <c r="M6" s="82"/>
      <c r="N6" s="83" t="s">
        <v>51</v>
      </c>
      <c r="O6" s="84"/>
      <c r="P6" s="84">
        <f>O5*10%</f>
        <v>16800</v>
      </c>
    </row>
    <row r="7" spans="1:17" ht="18" customHeight="1" thickBot="1" x14ac:dyDescent="0.25">
      <c r="A7" s="81"/>
      <c r="B7" s="54"/>
      <c r="C7" s="53"/>
      <c r="D7" s="55"/>
      <c r="E7" s="81"/>
      <c r="F7" s="81"/>
      <c r="G7" s="81"/>
      <c r="H7" s="81"/>
      <c r="I7" s="81"/>
      <c r="J7" s="81"/>
      <c r="K7" s="81"/>
      <c r="L7" s="81"/>
      <c r="M7" s="82"/>
      <c r="N7" s="85" t="s">
        <v>52</v>
      </c>
      <c r="O7" s="86"/>
      <c r="P7" s="86">
        <f>O5-P6</f>
        <v>151200</v>
      </c>
    </row>
    <row r="8" spans="1:17" ht="18" customHeight="1" x14ac:dyDescent="0.2">
      <c r="A8" s="10"/>
      <c r="H8" s="59"/>
      <c r="N8" s="58" t="s">
        <v>31</v>
      </c>
      <c r="P8" s="65">
        <f>P7*1%</f>
        <v>1512</v>
      </c>
    </row>
    <row r="9" spans="1:17" ht="18" customHeight="1" thickBot="1" x14ac:dyDescent="0.25">
      <c r="A9" s="10"/>
      <c r="H9" s="59"/>
      <c r="N9" s="58" t="s">
        <v>53</v>
      </c>
      <c r="P9" s="67">
        <f>P7*2%</f>
        <v>3024</v>
      </c>
    </row>
    <row r="10" spans="1:17" ht="18" customHeight="1" x14ac:dyDescent="0.2">
      <c r="A10" s="10"/>
      <c r="H10" s="59"/>
      <c r="N10" s="62" t="s">
        <v>32</v>
      </c>
      <c r="O10" s="63"/>
      <c r="P10" s="66">
        <f>P7+P8-P9</f>
        <v>149688</v>
      </c>
    </row>
    <row r="12" spans="1:17" x14ac:dyDescent="0.2">
      <c r="A12" s="10"/>
      <c r="H12" s="59"/>
      <c r="P12" s="67"/>
    </row>
    <row r="13" spans="1:17" x14ac:dyDescent="0.2">
      <c r="A13" s="10"/>
      <c r="H13" s="59"/>
      <c r="O13" s="56"/>
      <c r="P13" s="67"/>
    </row>
    <row r="14" spans="1:17" s="3" customFormat="1" x14ac:dyDescent="0.25">
      <c r="A14" s="10"/>
      <c r="B14" s="2"/>
      <c r="C14" s="2"/>
      <c r="E14" s="11"/>
      <c r="H14" s="59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59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59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9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9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9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9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9"/>
      <c r="N25" s="14"/>
      <c r="O25" s="14"/>
      <c r="P25" s="14"/>
    </row>
  </sheetData>
  <mergeCells count="3">
    <mergeCell ref="A5:L5"/>
    <mergeCell ref="O5:P5"/>
    <mergeCell ref="Q3:Q4"/>
  </mergeCells>
  <conditionalFormatting sqref="B3">
    <cfRule type="duplicateValues" dxfId="15" priority="2"/>
  </conditionalFormatting>
  <conditionalFormatting sqref="B4">
    <cfRule type="duplicateValues" dxfId="14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4" sqref="L4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11.85546875" style="3" customWidth="1"/>
    <col min="5" max="5" width="8.7109375" style="11" customWidth="1"/>
    <col min="6" max="7" width="9.28515625" style="3" customWidth="1"/>
    <col min="8" max="8" width="17.7109375" style="6" customWidth="1"/>
    <col min="9" max="11" width="4" style="3" customWidth="1"/>
    <col min="12" max="12" width="4.5703125" style="3" customWidth="1"/>
    <col min="13" max="13" width="8" style="3" customWidth="1"/>
    <col min="14" max="14" width="12.28515625" style="14" customWidth="1"/>
    <col min="15" max="15" width="8.140625" style="14" customWidth="1"/>
    <col min="16" max="16" width="11.285156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8">
        <v>403343</v>
      </c>
      <c r="B3" s="70" t="s">
        <v>75</v>
      </c>
      <c r="C3" s="8" t="s">
        <v>76</v>
      </c>
      <c r="D3" s="72" t="s">
        <v>58</v>
      </c>
      <c r="E3" s="12">
        <v>44608</v>
      </c>
      <c r="F3" s="72" t="s">
        <v>85</v>
      </c>
      <c r="G3" s="12">
        <v>44625</v>
      </c>
      <c r="H3" s="9" t="s">
        <v>86</v>
      </c>
      <c r="I3" s="1">
        <v>98</v>
      </c>
      <c r="J3" s="1">
        <v>42</v>
      </c>
      <c r="K3" s="1">
        <v>42</v>
      </c>
      <c r="L3" s="1">
        <v>17</v>
      </c>
      <c r="M3" s="76">
        <v>43.218000000000004</v>
      </c>
      <c r="N3" s="92">
        <v>43.218000000000004</v>
      </c>
      <c r="O3" s="60">
        <v>6000</v>
      </c>
      <c r="P3" s="61">
        <f>Table224578910112345678[[#This Row],[PEMBULATAN]]*O3</f>
        <v>259308.00000000003</v>
      </c>
      <c r="Q3" s="174">
        <v>9</v>
      </c>
    </row>
    <row r="4" spans="1:17" ht="26.25" customHeight="1" x14ac:dyDescent="0.2">
      <c r="A4" s="13"/>
      <c r="B4" s="71"/>
      <c r="C4" s="8" t="s">
        <v>77</v>
      </c>
      <c r="D4" s="72" t="s">
        <v>58</v>
      </c>
      <c r="E4" s="12">
        <v>44608</v>
      </c>
      <c r="F4" s="72" t="s">
        <v>85</v>
      </c>
      <c r="G4" s="12">
        <v>44625</v>
      </c>
      <c r="H4" s="9" t="s">
        <v>86</v>
      </c>
      <c r="I4" s="1">
        <v>65</v>
      </c>
      <c r="J4" s="1">
        <v>42</v>
      </c>
      <c r="K4" s="1">
        <v>25</v>
      </c>
      <c r="L4" s="1">
        <v>17</v>
      </c>
      <c r="M4" s="76">
        <v>17.0625</v>
      </c>
      <c r="N4" s="92">
        <v>17.0625</v>
      </c>
      <c r="O4" s="60">
        <v>6000</v>
      </c>
      <c r="P4" s="61">
        <f>Table224578910112345678[[#This Row],[PEMBULATAN]]*O4</f>
        <v>102375</v>
      </c>
      <c r="Q4" s="167"/>
    </row>
    <row r="5" spans="1:17" ht="26.25" customHeight="1" x14ac:dyDescent="0.2">
      <c r="A5" s="13"/>
      <c r="B5" s="13"/>
      <c r="C5" s="8" t="s">
        <v>78</v>
      </c>
      <c r="D5" s="72" t="s">
        <v>58</v>
      </c>
      <c r="E5" s="12">
        <v>44608</v>
      </c>
      <c r="F5" s="72" t="s">
        <v>85</v>
      </c>
      <c r="G5" s="12">
        <v>44625</v>
      </c>
      <c r="H5" s="9" t="s">
        <v>86</v>
      </c>
      <c r="I5" s="1">
        <v>53</v>
      </c>
      <c r="J5" s="1">
        <v>45</v>
      </c>
      <c r="K5" s="1">
        <v>12</v>
      </c>
      <c r="L5" s="1">
        <v>9</v>
      </c>
      <c r="M5" s="76">
        <v>7.1550000000000002</v>
      </c>
      <c r="N5" s="7">
        <v>9</v>
      </c>
      <c r="O5" s="60">
        <v>6000</v>
      </c>
      <c r="P5" s="61">
        <f>Table224578910112345678[[#This Row],[PEMBULATAN]]*O5</f>
        <v>54000</v>
      </c>
      <c r="Q5" s="167"/>
    </row>
    <row r="6" spans="1:17" ht="26.25" customHeight="1" x14ac:dyDescent="0.2">
      <c r="A6" s="13"/>
      <c r="B6" s="13"/>
      <c r="C6" s="69" t="s">
        <v>79</v>
      </c>
      <c r="D6" s="74" t="s">
        <v>58</v>
      </c>
      <c r="E6" s="12">
        <v>44608</v>
      </c>
      <c r="F6" s="72" t="s">
        <v>85</v>
      </c>
      <c r="G6" s="12">
        <v>44625</v>
      </c>
      <c r="H6" s="73" t="s">
        <v>86</v>
      </c>
      <c r="I6" s="15">
        <v>53</v>
      </c>
      <c r="J6" s="15">
        <v>45</v>
      </c>
      <c r="K6" s="15">
        <v>12</v>
      </c>
      <c r="L6" s="15">
        <v>9</v>
      </c>
      <c r="M6" s="77">
        <v>7.1550000000000002</v>
      </c>
      <c r="N6" s="68">
        <v>9</v>
      </c>
      <c r="O6" s="60">
        <v>6000</v>
      </c>
      <c r="P6" s="61">
        <f>Table224578910112345678[[#This Row],[PEMBULATAN]]*O6</f>
        <v>54000</v>
      </c>
      <c r="Q6" s="167"/>
    </row>
    <row r="7" spans="1:17" ht="26.25" customHeight="1" x14ac:dyDescent="0.2">
      <c r="A7" s="13"/>
      <c r="B7" s="13"/>
      <c r="C7" s="69" t="s">
        <v>80</v>
      </c>
      <c r="D7" s="74" t="s">
        <v>58</v>
      </c>
      <c r="E7" s="12">
        <v>44608</v>
      </c>
      <c r="F7" s="72" t="s">
        <v>85</v>
      </c>
      <c r="G7" s="12">
        <v>44625</v>
      </c>
      <c r="H7" s="73" t="s">
        <v>86</v>
      </c>
      <c r="I7" s="15">
        <v>50</v>
      </c>
      <c r="J7" s="15">
        <v>45</v>
      </c>
      <c r="K7" s="15">
        <v>37</v>
      </c>
      <c r="L7" s="15">
        <v>10</v>
      </c>
      <c r="M7" s="77">
        <v>20.8125</v>
      </c>
      <c r="N7" s="68">
        <v>21</v>
      </c>
      <c r="O7" s="60">
        <v>6000</v>
      </c>
      <c r="P7" s="61">
        <f>Table224578910112345678[[#This Row],[PEMBULATAN]]*O7</f>
        <v>126000</v>
      </c>
      <c r="Q7" s="167"/>
    </row>
    <row r="8" spans="1:17" ht="26.25" customHeight="1" x14ac:dyDescent="0.2">
      <c r="A8" s="13"/>
      <c r="B8" s="13"/>
      <c r="C8" s="69" t="s">
        <v>81</v>
      </c>
      <c r="D8" s="74" t="s">
        <v>58</v>
      </c>
      <c r="E8" s="12">
        <v>44608</v>
      </c>
      <c r="F8" s="72" t="s">
        <v>85</v>
      </c>
      <c r="G8" s="12">
        <v>44625</v>
      </c>
      <c r="H8" s="73" t="s">
        <v>86</v>
      </c>
      <c r="I8" s="15">
        <v>150</v>
      </c>
      <c r="J8" s="15">
        <v>64</v>
      </c>
      <c r="K8" s="15">
        <v>10</v>
      </c>
      <c r="L8" s="15">
        <v>9</v>
      </c>
      <c r="M8" s="77">
        <v>24</v>
      </c>
      <c r="N8" s="68">
        <v>24</v>
      </c>
      <c r="O8" s="60">
        <v>6000</v>
      </c>
      <c r="P8" s="61">
        <f>Table224578910112345678[[#This Row],[PEMBULATAN]]*O8</f>
        <v>144000</v>
      </c>
      <c r="Q8" s="167"/>
    </row>
    <row r="9" spans="1:17" ht="26.25" customHeight="1" x14ac:dyDescent="0.2">
      <c r="A9" s="13"/>
      <c r="B9" s="13"/>
      <c r="C9" s="69" t="s">
        <v>82</v>
      </c>
      <c r="D9" s="74" t="s">
        <v>58</v>
      </c>
      <c r="E9" s="12">
        <v>44608</v>
      </c>
      <c r="F9" s="72" t="s">
        <v>85</v>
      </c>
      <c r="G9" s="12">
        <v>44625</v>
      </c>
      <c r="H9" s="73" t="s">
        <v>86</v>
      </c>
      <c r="I9" s="15">
        <v>150</v>
      </c>
      <c r="J9" s="15">
        <v>64</v>
      </c>
      <c r="K9" s="15">
        <v>10</v>
      </c>
      <c r="L9" s="15">
        <v>9</v>
      </c>
      <c r="M9" s="77">
        <v>24</v>
      </c>
      <c r="N9" s="68">
        <v>24</v>
      </c>
      <c r="O9" s="60">
        <v>6000</v>
      </c>
      <c r="P9" s="61">
        <f>Table224578910112345678[[#This Row],[PEMBULATAN]]*O9</f>
        <v>144000</v>
      </c>
      <c r="Q9" s="167"/>
    </row>
    <row r="10" spans="1:17" ht="26.25" customHeight="1" x14ac:dyDescent="0.2">
      <c r="A10" s="13"/>
      <c r="B10" s="13"/>
      <c r="C10" s="69" t="s">
        <v>83</v>
      </c>
      <c r="D10" s="74" t="s">
        <v>58</v>
      </c>
      <c r="E10" s="12">
        <v>44608</v>
      </c>
      <c r="F10" s="72" t="s">
        <v>85</v>
      </c>
      <c r="G10" s="12">
        <v>44625</v>
      </c>
      <c r="H10" s="73" t="s">
        <v>86</v>
      </c>
      <c r="I10" s="15">
        <v>150</v>
      </c>
      <c r="J10" s="15">
        <v>64</v>
      </c>
      <c r="K10" s="15">
        <v>10</v>
      </c>
      <c r="L10" s="15">
        <v>9</v>
      </c>
      <c r="M10" s="77">
        <v>24</v>
      </c>
      <c r="N10" s="68">
        <v>24</v>
      </c>
      <c r="O10" s="60">
        <v>6000</v>
      </c>
      <c r="P10" s="61">
        <f>Table224578910112345678[[#This Row],[PEMBULATAN]]*O10</f>
        <v>144000</v>
      </c>
      <c r="Q10" s="167"/>
    </row>
    <row r="11" spans="1:17" ht="26.25" customHeight="1" x14ac:dyDescent="0.2">
      <c r="A11" s="13"/>
      <c r="B11" s="13"/>
      <c r="C11" s="69" t="s">
        <v>84</v>
      </c>
      <c r="D11" s="74" t="s">
        <v>58</v>
      </c>
      <c r="E11" s="12">
        <v>44608</v>
      </c>
      <c r="F11" s="72" t="s">
        <v>85</v>
      </c>
      <c r="G11" s="12">
        <v>44625</v>
      </c>
      <c r="H11" s="73" t="s">
        <v>86</v>
      </c>
      <c r="I11" s="15">
        <v>150</v>
      </c>
      <c r="J11" s="15">
        <v>64</v>
      </c>
      <c r="K11" s="15">
        <v>10</v>
      </c>
      <c r="L11" s="15">
        <v>9</v>
      </c>
      <c r="M11" s="77">
        <v>24</v>
      </c>
      <c r="N11" s="68">
        <v>24</v>
      </c>
      <c r="O11" s="60">
        <v>6000</v>
      </c>
      <c r="P11" s="61">
        <f>Table224578910112345678[[#This Row],[PEMBULATAN]]*O11</f>
        <v>144000</v>
      </c>
      <c r="Q11" s="175"/>
    </row>
    <row r="12" spans="1:17" ht="22.5" customHeight="1" x14ac:dyDescent="0.2">
      <c r="A12" s="169" t="s">
        <v>30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1"/>
      <c r="M12" s="75">
        <f>SUBTOTAL(109,Table224578910112345678[KG VOLUME])</f>
        <v>191.40300000000002</v>
      </c>
      <c r="N12" s="64">
        <f>SUM(N3:N11)</f>
        <v>195.28050000000002</v>
      </c>
      <c r="O12" s="172">
        <f>SUM(P3:P11)</f>
        <v>1171683</v>
      </c>
      <c r="P12" s="173"/>
    </row>
    <row r="13" spans="1:17" ht="18" customHeight="1" x14ac:dyDescent="0.2">
      <c r="A13" s="81"/>
      <c r="B13" s="54" t="s">
        <v>42</v>
      </c>
      <c r="C13" s="53"/>
      <c r="D13" s="55" t="s">
        <v>43</v>
      </c>
      <c r="E13" s="81"/>
      <c r="F13" s="81"/>
      <c r="G13" s="81"/>
      <c r="H13" s="81"/>
      <c r="I13" s="81"/>
      <c r="J13" s="81"/>
      <c r="K13" s="81"/>
      <c r="L13" s="81"/>
      <c r="M13" s="82"/>
      <c r="N13" s="83" t="s">
        <v>51</v>
      </c>
      <c r="O13" s="84"/>
      <c r="P13" s="84">
        <f>O12*10%</f>
        <v>117168.3</v>
      </c>
    </row>
    <row r="14" spans="1:17" ht="18" customHeight="1" thickBot="1" x14ac:dyDescent="0.25">
      <c r="A14" s="81"/>
      <c r="B14" s="54"/>
      <c r="C14" s="53"/>
      <c r="D14" s="55"/>
      <c r="E14" s="81"/>
      <c r="F14" s="81"/>
      <c r="G14" s="81"/>
      <c r="H14" s="81"/>
      <c r="I14" s="81"/>
      <c r="J14" s="81"/>
      <c r="K14" s="81"/>
      <c r="L14" s="81"/>
      <c r="M14" s="82"/>
      <c r="N14" s="85" t="s">
        <v>52</v>
      </c>
      <c r="O14" s="86"/>
      <c r="P14" s="86">
        <f>O12-P13</f>
        <v>1054514.7</v>
      </c>
    </row>
    <row r="15" spans="1:17" ht="18" customHeight="1" x14ac:dyDescent="0.2">
      <c r="A15" s="10"/>
      <c r="H15" s="59"/>
      <c r="N15" s="58" t="s">
        <v>31</v>
      </c>
      <c r="P15" s="65">
        <f>P14*1%</f>
        <v>10545.146999999999</v>
      </c>
    </row>
    <row r="16" spans="1:17" ht="18" customHeight="1" thickBot="1" x14ac:dyDescent="0.25">
      <c r="A16" s="10"/>
      <c r="H16" s="59"/>
      <c r="N16" s="58" t="s">
        <v>53</v>
      </c>
      <c r="P16" s="67">
        <f>P14*2%</f>
        <v>21090.293999999998</v>
      </c>
    </row>
    <row r="17" spans="1:16" ht="18" customHeight="1" x14ac:dyDescent="0.2">
      <c r="A17" s="10"/>
      <c r="H17" s="59"/>
      <c r="N17" s="62" t="s">
        <v>32</v>
      </c>
      <c r="O17" s="63"/>
      <c r="P17" s="66">
        <f>P14+P15-P16</f>
        <v>1043969.5530000001</v>
      </c>
    </row>
    <row r="19" spans="1:16" x14ac:dyDescent="0.2">
      <c r="A19" s="10"/>
      <c r="H19" s="59"/>
      <c r="P19" s="67"/>
    </row>
    <row r="20" spans="1:16" x14ac:dyDescent="0.2">
      <c r="A20" s="10"/>
      <c r="H20" s="59"/>
      <c r="O20" s="56"/>
      <c r="P20" s="67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9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9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9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9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9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9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9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9"/>
      <c r="N32" s="14"/>
      <c r="O32" s="14"/>
      <c r="P32" s="14"/>
    </row>
  </sheetData>
  <mergeCells count="3">
    <mergeCell ref="A12:L12"/>
    <mergeCell ref="O12:P12"/>
    <mergeCell ref="Q3:Q11"/>
  </mergeCells>
  <conditionalFormatting sqref="B3">
    <cfRule type="duplicateValues" dxfId="13" priority="2"/>
  </conditionalFormatting>
  <conditionalFormatting sqref="B4">
    <cfRule type="duplicateValues" dxfId="12" priority="1"/>
  </conditionalFormatting>
  <conditionalFormatting sqref="B5:B11">
    <cfRule type="duplicateValues" dxfId="11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RowHeight="15" x14ac:dyDescent="0.2"/>
  <cols>
    <col min="1" max="1" width="6.7109375" style="4" customWidth="1"/>
    <col min="2" max="2" width="19.42578125" style="2" customWidth="1"/>
    <col min="3" max="3" width="14.5703125" style="2" customWidth="1"/>
    <col min="4" max="4" width="13.28515625" style="3" customWidth="1"/>
    <col min="5" max="5" width="8.5703125" style="11" customWidth="1"/>
    <col min="6" max="6" width="10.85546875" style="3" customWidth="1"/>
    <col min="7" max="7" width="10.28515625" style="3" customWidth="1"/>
    <col min="8" max="8" width="21" style="6" customWidth="1"/>
    <col min="9" max="9" width="3.28515625" style="3" customWidth="1"/>
    <col min="10" max="10" width="3.42578125" style="3" customWidth="1"/>
    <col min="11" max="11" width="3.140625" style="3" customWidth="1"/>
    <col min="12" max="12" width="3.710937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8.8554687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1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8">
        <v>403157</v>
      </c>
      <c r="B3" s="70" t="s">
        <v>87</v>
      </c>
      <c r="C3" s="8" t="s">
        <v>88</v>
      </c>
      <c r="D3" s="72" t="s">
        <v>58</v>
      </c>
      <c r="E3" s="12">
        <v>44610</v>
      </c>
      <c r="F3" s="72" t="s">
        <v>67</v>
      </c>
      <c r="G3" s="12">
        <v>44632</v>
      </c>
      <c r="H3" s="9" t="s">
        <v>89</v>
      </c>
      <c r="I3" s="1">
        <v>35</v>
      </c>
      <c r="J3" s="1">
        <v>35</v>
      </c>
      <c r="K3" s="1">
        <v>55</v>
      </c>
      <c r="L3" s="1">
        <v>8</v>
      </c>
      <c r="M3" s="76">
        <v>16.84375</v>
      </c>
      <c r="N3" s="7">
        <v>17</v>
      </c>
      <c r="O3" s="60">
        <v>6000</v>
      </c>
      <c r="P3" s="61">
        <f>Table2245789101123456789[[#This Row],[PEMBULATAN]]*O3</f>
        <v>102000</v>
      </c>
      <c r="Q3" s="93">
        <v>1</v>
      </c>
    </row>
    <row r="4" spans="1:17" ht="22.5" customHeight="1" x14ac:dyDescent="0.2">
      <c r="A4" s="169" t="s">
        <v>30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1"/>
      <c r="M4" s="75">
        <f>SUBTOTAL(109,Table2245789101123456789[KG VOLUME])</f>
        <v>16.84375</v>
      </c>
      <c r="N4" s="64">
        <f>SUM(N3:N3)</f>
        <v>17</v>
      </c>
      <c r="O4" s="172">
        <f>SUM(P3:P3)</f>
        <v>102000</v>
      </c>
      <c r="P4" s="173"/>
    </row>
    <row r="5" spans="1:17" ht="18" customHeight="1" x14ac:dyDescent="0.2">
      <c r="A5" s="81"/>
      <c r="B5" s="54" t="s">
        <v>42</v>
      </c>
      <c r="C5" s="53"/>
      <c r="D5" s="55" t="s">
        <v>43</v>
      </c>
      <c r="E5" s="81"/>
      <c r="F5" s="81"/>
      <c r="G5" s="81"/>
      <c r="H5" s="81"/>
      <c r="I5" s="81"/>
      <c r="J5" s="81"/>
      <c r="K5" s="81"/>
      <c r="L5" s="81"/>
      <c r="M5" s="82"/>
      <c r="N5" s="83" t="s">
        <v>51</v>
      </c>
      <c r="O5" s="84"/>
      <c r="P5" s="84">
        <f>O4*10%</f>
        <v>10200</v>
      </c>
    </row>
    <row r="6" spans="1:17" ht="18" customHeight="1" thickBot="1" x14ac:dyDescent="0.25">
      <c r="A6" s="81"/>
      <c r="B6" s="54"/>
      <c r="C6" s="53"/>
      <c r="D6" s="55"/>
      <c r="E6" s="81"/>
      <c r="F6" s="81"/>
      <c r="G6" s="81"/>
      <c r="H6" s="81"/>
      <c r="I6" s="81"/>
      <c r="J6" s="81"/>
      <c r="K6" s="81"/>
      <c r="L6" s="81"/>
      <c r="M6" s="82"/>
      <c r="N6" s="85" t="s">
        <v>52</v>
      </c>
      <c r="O6" s="86"/>
      <c r="P6" s="86">
        <f>O4-P5</f>
        <v>91800</v>
      </c>
    </row>
    <row r="7" spans="1:17" ht="18" customHeight="1" x14ac:dyDescent="0.2">
      <c r="A7" s="10"/>
      <c r="H7" s="59"/>
      <c r="N7" s="58" t="s">
        <v>31</v>
      </c>
      <c r="P7" s="65">
        <f>P6*1%</f>
        <v>918</v>
      </c>
    </row>
    <row r="8" spans="1:17" ht="18" customHeight="1" thickBot="1" x14ac:dyDescent="0.25">
      <c r="A8" s="10"/>
      <c r="H8" s="59"/>
      <c r="N8" s="58" t="s">
        <v>53</v>
      </c>
      <c r="P8" s="67">
        <f>P6*2%</f>
        <v>1836</v>
      </c>
    </row>
    <row r="9" spans="1:17" ht="18" customHeight="1" x14ac:dyDescent="0.2">
      <c r="A9" s="10"/>
      <c r="H9" s="59"/>
      <c r="N9" s="62" t="s">
        <v>32</v>
      </c>
      <c r="O9" s="63"/>
      <c r="P9" s="66">
        <f>P6+P7-P8</f>
        <v>90882</v>
      </c>
    </row>
    <row r="11" spans="1:17" x14ac:dyDescent="0.2">
      <c r="A11" s="10"/>
      <c r="H11" s="59"/>
      <c r="P11" s="67"/>
    </row>
    <row r="12" spans="1:17" x14ac:dyDescent="0.2">
      <c r="A12" s="10"/>
      <c r="H12" s="59"/>
      <c r="O12" s="56"/>
      <c r="P12" s="67"/>
    </row>
    <row r="13" spans="1:17" s="3" customFormat="1" x14ac:dyDescent="0.25">
      <c r="A13" s="10"/>
      <c r="B13" s="2"/>
      <c r="C13" s="2"/>
      <c r="E13" s="11"/>
      <c r="H13" s="59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59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59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59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9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9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9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9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10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10" sqref="J10"/>
    </sheetView>
  </sheetViews>
  <sheetFormatPr defaultRowHeight="15" x14ac:dyDescent="0.2"/>
  <cols>
    <col min="1" max="1" width="6.28515625" style="4" customWidth="1"/>
    <col min="2" max="2" width="19.42578125" style="2" customWidth="1"/>
    <col min="3" max="3" width="14.5703125" style="2" customWidth="1"/>
    <col min="4" max="4" width="12" style="3" customWidth="1"/>
    <col min="5" max="5" width="9.28515625" style="11" customWidth="1"/>
    <col min="6" max="6" width="11.5703125" style="3" customWidth="1"/>
    <col min="7" max="7" width="9.85546875" style="3" customWidth="1"/>
    <col min="8" max="8" width="20.5703125" style="6" customWidth="1"/>
    <col min="9" max="9" width="3.140625" style="3" customWidth="1"/>
    <col min="10" max="10" width="3.42578125" style="3" customWidth="1"/>
    <col min="11" max="11" width="3.2851562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1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8">
        <v>404666</v>
      </c>
      <c r="B3" s="70" t="s">
        <v>90</v>
      </c>
      <c r="C3" s="8" t="s">
        <v>91</v>
      </c>
      <c r="D3" s="72" t="s">
        <v>58</v>
      </c>
      <c r="E3" s="12">
        <v>44612</v>
      </c>
      <c r="F3" s="72" t="s">
        <v>67</v>
      </c>
      <c r="G3" s="12">
        <v>44632</v>
      </c>
      <c r="H3" s="9" t="s">
        <v>89</v>
      </c>
      <c r="I3" s="1">
        <v>71</v>
      </c>
      <c r="J3" s="1">
        <v>57</v>
      </c>
      <c r="K3" s="1">
        <v>91</v>
      </c>
      <c r="L3" s="1">
        <v>7</v>
      </c>
      <c r="M3" s="76">
        <v>92.069249999999997</v>
      </c>
      <c r="N3" s="92">
        <v>92.069249999999997</v>
      </c>
      <c r="O3" s="60">
        <v>6000</v>
      </c>
      <c r="P3" s="61">
        <f>Table224578910112345678910[[#This Row],[PEMBULATAN]]*O3</f>
        <v>552415.5</v>
      </c>
      <c r="Q3" s="174">
        <v>2</v>
      </c>
    </row>
    <row r="4" spans="1:17" ht="26.25" customHeight="1" x14ac:dyDescent="0.2">
      <c r="A4" s="13"/>
      <c r="B4" s="71"/>
      <c r="C4" s="8" t="s">
        <v>92</v>
      </c>
      <c r="D4" s="72" t="s">
        <v>58</v>
      </c>
      <c r="E4" s="12">
        <v>44612</v>
      </c>
      <c r="F4" s="72" t="s">
        <v>67</v>
      </c>
      <c r="G4" s="12">
        <v>44632</v>
      </c>
      <c r="H4" s="9" t="s">
        <v>89</v>
      </c>
      <c r="I4" s="1">
        <v>71</v>
      </c>
      <c r="J4" s="1">
        <v>57</v>
      </c>
      <c r="K4" s="1">
        <v>91</v>
      </c>
      <c r="L4" s="1">
        <v>7</v>
      </c>
      <c r="M4" s="76">
        <v>92.069249999999997</v>
      </c>
      <c r="N4" s="92">
        <v>92.069249999999997</v>
      </c>
      <c r="O4" s="60">
        <v>6000</v>
      </c>
      <c r="P4" s="61">
        <f>Table224578910112345678910[[#This Row],[PEMBULATAN]]*O4</f>
        <v>552415.5</v>
      </c>
      <c r="Q4" s="175"/>
    </row>
    <row r="5" spans="1:17" ht="22.5" customHeight="1" x14ac:dyDescent="0.2">
      <c r="A5" s="169" t="s">
        <v>30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1"/>
      <c r="M5" s="75">
        <f>SUBTOTAL(109,Table224578910112345678910[KG VOLUME])</f>
        <v>184.13849999999999</v>
      </c>
      <c r="N5" s="64">
        <f>SUM(N3:N4)</f>
        <v>184.13849999999999</v>
      </c>
      <c r="O5" s="172">
        <f>SUM(P3:P4)</f>
        <v>1104831</v>
      </c>
      <c r="P5" s="173"/>
    </row>
    <row r="6" spans="1:17" ht="18" customHeight="1" x14ac:dyDescent="0.2">
      <c r="A6" s="81"/>
      <c r="B6" s="54" t="s">
        <v>42</v>
      </c>
      <c r="C6" s="53"/>
      <c r="D6" s="55" t="s">
        <v>43</v>
      </c>
      <c r="E6" s="81"/>
      <c r="F6" s="81"/>
      <c r="G6" s="81"/>
      <c r="H6" s="81"/>
      <c r="I6" s="81"/>
      <c r="J6" s="81"/>
      <c r="K6" s="81"/>
      <c r="L6" s="81"/>
      <c r="M6" s="82"/>
      <c r="N6" s="83" t="s">
        <v>51</v>
      </c>
      <c r="O6" s="84"/>
      <c r="P6" s="84">
        <f>O5*10%</f>
        <v>110483.1</v>
      </c>
    </row>
    <row r="7" spans="1:17" ht="18" customHeight="1" thickBot="1" x14ac:dyDescent="0.25">
      <c r="A7" s="81"/>
      <c r="B7" s="54"/>
      <c r="C7" s="53"/>
      <c r="D7" s="55"/>
      <c r="E7" s="81"/>
      <c r="F7" s="81"/>
      <c r="G7" s="81"/>
      <c r="H7" s="81"/>
      <c r="I7" s="81"/>
      <c r="J7" s="81"/>
      <c r="K7" s="81"/>
      <c r="L7" s="81"/>
      <c r="M7" s="82"/>
      <c r="N7" s="85" t="s">
        <v>52</v>
      </c>
      <c r="O7" s="86"/>
      <c r="P7" s="86">
        <f>O5-P6</f>
        <v>994347.9</v>
      </c>
    </row>
    <row r="8" spans="1:17" ht="18" customHeight="1" x14ac:dyDescent="0.2">
      <c r="A8" s="10"/>
      <c r="H8" s="59"/>
      <c r="N8" s="58" t="s">
        <v>31</v>
      </c>
      <c r="P8" s="65">
        <f>P7*1%</f>
        <v>9943.4790000000012</v>
      </c>
    </row>
    <row r="9" spans="1:17" ht="18" customHeight="1" thickBot="1" x14ac:dyDescent="0.25">
      <c r="A9" s="10"/>
      <c r="H9" s="59"/>
      <c r="N9" s="58" t="s">
        <v>53</v>
      </c>
      <c r="P9" s="67">
        <f>P7*2%</f>
        <v>19886.958000000002</v>
      </c>
    </row>
    <row r="10" spans="1:17" ht="18" customHeight="1" x14ac:dyDescent="0.2">
      <c r="A10" s="10"/>
      <c r="H10" s="59"/>
      <c r="N10" s="62" t="s">
        <v>32</v>
      </c>
      <c r="O10" s="63"/>
      <c r="P10" s="66">
        <f>P7+P8-P9</f>
        <v>984404.42100000009</v>
      </c>
    </row>
    <row r="12" spans="1:17" x14ac:dyDescent="0.2">
      <c r="A12" s="10"/>
      <c r="H12" s="59"/>
      <c r="P12" s="67"/>
    </row>
    <row r="13" spans="1:17" x14ac:dyDescent="0.2">
      <c r="A13" s="10"/>
      <c r="H13" s="59"/>
      <c r="O13" s="56"/>
      <c r="P13" s="67"/>
    </row>
    <row r="14" spans="1:17" s="3" customFormat="1" x14ac:dyDescent="0.25">
      <c r="A14" s="10"/>
      <c r="B14" s="2"/>
      <c r="C14" s="2"/>
      <c r="E14" s="11"/>
      <c r="H14" s="59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59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59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9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9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9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9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9"/>
      <c r="N25" s="14"/>
      <c r="O25" s="14"/>
      <c r="P25" s="14"/>
    </row>
  </sheetData>
  <mergeCells count="3">
    <mergeCell ref="A5:L5"/>
    <mergeCell ref="O5:P5"/>
    <mergeCell ref="Q3:Q4"/>
  </mergeCells>
  <conditionalFormatting sqref="B3">
    <cfRule type="duplicateValues" dxfId="9" priority="2"/>
  </conditionalFormatting>
  <conditionalFormatting sqref="B4">
    <cfRule type="duplicateValues" dxfId="8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Sicepat_Gorontalo Feb 22</vt:lpstr>
      <vt:lpstr>ALL</vt:lpstr>
      <vt:lpstr>403315</vt:lpstr>
      <vt:lpstr>403327</vt:lpstr>
      <vt:lpstr>403331</vt:lpstr>
      <vt:lpstr>403338</vt:lpstr>
      <vt:lpstr>403343</vt:lpstr>
      <vt:lpstr>403157</vt:lpstr>
      <vt:lpstr>404666</vt:lpstr>
      <vt:lpstr>404670</vt:lpstr>
      <vt:lpstr>404752</vt:lpstr>
      <vt:lpstr>404757</vt:lpstr>
      <vt:lpstr>404690</vt:lpstr>
      <vt:lpstr>'403157'!Print_Titles</vt:lpstr>
      <vt:lpstr>'403315'!Print_Titles</vt:lpstr>
      <vt:lpstr>'403327'!Print_Titles</vt:lpstr>
      <vt:lpstr>'403331'!Print_Titles</vt:lpstr>
      <vt:lpstr>'403338'!Print_Titles</vt:lpstr>
      <vt:lpstr>'403343'!Print_Titles</vt:lpstr>
      <vt:lpstr>'404666'!Print_Titles</vt:lpstr>
      <vt:lpstr>'404670'!Print_Titles</vt:lpstr>
      <vt:lpstr>'404690'!Print_Titles</vt:lpstr>
      <vt:lpstr>'404752'!Print_Titles</vt:lpstr>
      <vt:lpstr>'404757'!Print_Titles</vt:lpstr>
      <vt:lpstr>ALL!Print_Titles</vt:lpstr>
      <vt:lpstr>'Sicepat_Gorontalo Feb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2022-03-27T06:48:50Z</cp:lastPrinted>
  <dcterms:created xsi:type="dcterms:W3CDTF">2021-07-02T11:08:00Z</dcterms:created>
  <dcterms:modified xsi:type="dcterms:W3CDTF">2022-03-27T07:15:25Z</dcterms:modified>
</cp:coreProperties>
</file>