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320" tabRatio="842"/>
  </bookViews>
  <sheets>
    <sheet name="Sicepat_Jayapura_Feb 22" sheetId="2" r:id="rId1"/>
    <sheet name="ALL" sheetId="95" r:id="rId2"/>
    <sheet name="403375" sheetId="26" r:id="rId3"/>
    <sheet name="403395" sheetId="58" r:id="rId4"/>
    <sheet name="403398" sheetId="59" r:id="rId5"/>
    <sheet name="403314" sheetId="60" r:id="rId6"/>
    <sheet name="403340" sheetId="61" r:id="rId7"/>
    <sheet name="403161" sheetId="62" r:id="rId8"/>
    <sheet name="404667" sheetId="91" r:id="rId9"/>
    <sheet name="404680" sheetId="92" r:id="rId10"/>
    <sheet name="404758" sheetId="93" r:id="rId11"/>
    <sheet name="404689" sheetId="94" r:id="rId12"/>
  </sheets>
  <definedNames>
    <definedName name="_xlnm.Print_Titles" localSheetId="7">'403161'!$2:$2</definedName>
    <definedName name="_xlnm.Print_Titles" localSheetId="5">'403314'!$2:$2</definedName>
    <definedName name="_xlnm.Print_Titles" localSheetId="6">'403340'!$2:$2</definedName>
    <definedName name="_xlnm.Print_Titles" localSheetId="2">'403375'!$2:$2</definedName>
    <definedName name="_xlnm.Print_Titles" localSheetId="3">'403395'!$2:$2</definedName>
    <definedName name="_xlnm.Print_Titles" localSheetId="4">'403398'!$2:$2</definedName>
    <definedName name="_xlnm.Print_Titles" localSheetId="8">'404667'!$2:$2</definedName>
    <definedName name="_xlnm.Print_Titles" localSheetId="9">'404680'!$2:$2</definedName>
    <definedName name="_xlnm.Print_Titles" localSheetId="11">'404689'!$2:$2</definedName>
    <definedName name="_xlnm.Print_Titles" localSheetId="10">'404758'!$2:$2</definedName>
    <definedName name="_xlnm.Print_Titles" localSheetId="1">ALL!$2:$2</definedName>
    <definedName name="_xlnm.Print_Titles" localSheetId="0">'Sicepat_Jayapura_Feb 22'!$2:$17</definedName>
  </definedNames>
  <calcPr calcId="162913"/>
</workbook>
</file>

<file path=xl/calcChain.xml><?xml version="1.0" encoding="utf-8"?>
<calcChain xmlns="http://schemas.openxmlformats.org/spreadsheetml/2006/main">
  <c r="J19" i="2" l="1"/>
  <c r="J20" i="2"/>
  <c r="J21" i="2"/>
  <c r="J22" i="2"/>
  <c r="J23" i="2"/>
  <c r="J24" i="2"/>
  <c r="J25" i="2"/>
  <c r="J26" i="2"/>
  <c r="J28" i="2" s="1"/>
  <c r="J27" i="2"/>
  <c r="J18" i="2"/>
  <c r="Q40" i="95"/>
  <c r="M40" i="95"/>
  <c r="O40" i="95"/>
  <c r="N40" i="95"/>
  <c r="P3" i="95"/>
  <c r="P4" i="95"/>
  <c r="P5" i="95"/>
  <c r="P6" i="95"/>
  <c r="P7" i="95"/>
  <c r="P8" i="95"/>
  <c r="P9" i="95"/>
  <c r="P10" i="95"/>
  <c r="P11" i="95"/>
  <c r="P12" i="95"/>
  <c r="P13" i="95"/>
  <c r="P14" i="95"/>
  <c r="P15" i="95"/>
  <c r="P16" i="95"/>
  <c r="P17" i="95"/>
  <c r="P18" i="95"/>
  <c r="P19" i="95"/>
  <c r="P20" i="95"/>
  <c r="P21" i="95"/>
  <c r="P22" i="95"/>
  <c r="P23" i="95"/>
  <c r="P24" i="95"/>
  <c r="P25" i="95"/>
  <c r="P26" i="95"/>
  <c r="P27" i="95"/>
  <c r="P28" i="95"/>
  <c r="P29" i="95"/>
  <c r="P30" i="95"/>
  <c r="P31" i="95"/>
  <c r="P32" i="95"/>
  <c r="P33" i="95"/>
  <c r="P34" i="95"/>
  <c r="P35" i="95"/>
  <c r="P36" i="95"/>
  <c r="P37" i="95"/>
  <c r="P38" i="95"/>
  <c r="P39" i="95"/>
  <c r="G19" i="2"/>
  <c r="G18" i="2"/>
  <c r="C27" i="2"/>
  <c r="B27" i="2"/>
  <c r="C26" i="2"/>
  <c r="B26" i="2"/>
  <c r="C25" i="2"/>
  <c r="B25" i="2"/>
  <c r="C24" i="2"/>
  <c r="B24" i="2"/>
  <c r="A24" i="2"/>
  <c r="A25" i="2" s="1"/>
  <c r="A26" i="2" s="1"/>
  <c r="A27" i="2" s="1"/>
  <c r="N5" i="94"/>
  <c r="P3" i="94"/>
  <c r="P4" i="94"/>
  <c r="M5" i="94"/>
  <c r="O5" i="94"/>
  <c r="N4" i="93"/>
  <c r="M4" i="93"/>
  <c r="P3" i="93"/>
  <c r="O4" i="93" s="1"/>
  <c r="N4" i="92"/>
  <c r="M4" i="92"/>
  <c r="P3" i="92"/>
  <c r="O4" i="92" s="1"/>
  <c r="N4" i="91"/>
  <c r="M4" i="91"/>
  <c r="P3" i="91"/>
  <c r="O4" i="91" s="1"/>
  <c r="P3" i="61"/>
  <c r="P4" i="61"/>
  <c r="N5" i="61"/>
  <c r="O19" i="58"/>
  <c r="N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N14" i="26"/>
  <c r="P13" i="26"/>
  <c r="P12" i="26"/>
  <c r="P11" i="26"/>
  <c r="P10" i="26"/>
  <c r="P9" i="26"/>
  <c r="P8" i="26"/>
  <c r="P7" i="26"/>
  <c r="P6" i="26"/>
  <c r="P5" i="26"/>
  <c r="P4" i="26"/>
  <c r="P41" i="95" l="1"/>
  <c r="P42" i="95" s="1"/>
  <c r="P6" i="94"/>
  <c r="P7" i="94" s="1"/>
  <c r="P5" i="93"/>
  <c r="P6" i="93" s="1"/>
  <c r="P5" i="92"/>
  <c r="P6" i="92" s="1"/>
  <c r="P5" i="91"/>
  <c r="P6" i="91"/>
  <c r="O5" i="61"/>
  <c r="P3" i="26"/>
  <c r="P44" i="95" l="1"/>
  <c r="P43" i="95"/>
  <c r="P45" i="95" s="1"/>
  <c r="P9" i="94"/>
  <c r="P8" i="94"/>
  <c r="P8" i="93"/>
  <c r="P7" i="93"/>
  <c r="P9" i="93" s="1"/>
  <c r="P8" i="92"/>
  <c r="P7" i="92"/>
  <c r="P8" i="91"/>
  <c r="P7" i="91"/>
  <c r="P9" i="91" s="1"/>
  <c r="O14" i="26"/>
  <c r="F23" i="2"/>
  <c r="F22" i="2"/>
  <c r="F21" i="2"/>
  <c r="F20" i="2"/>
  <c r="F19" i="2"/>
  <c r="F18" i="2"/>
  <c r="B23" i="2"/>
  <c r="C23" i="2"/>
  <c r="B22" i="2"/>
  <c r="C22" i="2"/>
  <c r="B21" i="2"/>
  <c r="C21" i="2"/>
  <c r="B20" i="2"/>
  <c r="C20" i="2"/>
  <c r="C19" i="2"/>
  <c r="B19" i="2"/>
  <c r="C18" i="2"/>
  <c r="B18" i="2"/>
  <c r="A19" i="2"/>
  <c r="N4" i="60"/>
  <c r="N4" i="59"/>
  <c r="P10" i="94" l="1"/>
  <c r="P9" i="92"/>
  <c r="N4" i="62"/>
  <c r="M4" i="62"/>
  <c r="P3" i="62"/>
  <c r="M5" i="61"/>
  <c r="M4" i="60"/>
  <c r="P3" i="60"/>
  <c r="M4" i="59"/>
  <c r="P3" i="59"/>
  <c r="M19" i="58"/>
  <c r="P3" i="58"/>
  <c r="O4" i="62" l="1"/>
  <c r="O4" i="60"/>
  <c r="O4" i="59"/>
  <c r="P5" i="62" l="1"/>
  <c r="P6" i="62" s="1"/>
  <c r="P6" i="61"/>
  <c r="P7" i="61" s="1"/>
  <c r="P5" i="60"/>
  <c r="P6" i="60" s="1"/>
  <c r="P7" i="60" s="1"/>
  <c r="P5" i="59"/>
  <c r="P6" i="59" s="1"/>
  <c r="P20" i="58"/>
  <c r="P21" i="58" s="1"/>
  <c r="I33" i="2"/>
  <c r="I32" i="2"/>
  <c r="I34" i="2" s="1"/>
  <c r="P8" i="62" l="1"/>
  <c r="P7" i="62"/>
  <c r="P9" i="61"/>
  <c r="P8" i="61"/>
  <c r="P8" i="60"/>
  <c r="P9" i="60" s="1"/>
  <c r="P8" i="59"/>
  <c r="P7" i="59"/>
  <c r="P23" i="58"/>
  <c r="P22" i="58"/>
  <c r="M14" i="26"/>
  <c r="P24" i="58" l="1"/>
  <c r="P9" i="62"/>
  <c r="P10" i="61"/>
  <c r="P9" i="59"/>
  <c r="P15" i="26" l="1"/>
  <c r="P16" i="26" s="1"/>
  <c r="P18" i="26" l="1"/>
  <c r="P17" i="26"/>
  <c r="A20" i="2"/>
  <c r="A21" i="2" s="1"/>
  <c r="A22" i="2" s="1"/>
  <c r="A23" i="2" s="1"/>
  <c r="P19" i="26" l="1"/>
  <c r="L28" i="2" s="1"/>
  <c r="I45" i="2"/>
  <c r="J30" i="2" l="1"/>
  <c r="J31" i="2" s="1"/>
  <c r="J33" i="2" s="1"/>
  <c r="J32" i="2" l="1"/>
  <c r="J34" i="2" s="1"/>
</calcChain>
</file>

<file path=xl/sharedStrings.xml><?xml version="1.0" encoding="utf-8"?>
<sst xmlns="http://schemas.openxmlformats.org/spreadsheetml/2006/main" count="659" uniqueCount="118">
  <si>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</si>
  <si>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</si>
  <si>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</si>
  <si>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</si>
  <si>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</si>
  <si>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</si>
  <si>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</si>
  <si>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</si>
  <si>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</si>
  <si>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</si>
  <si>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</si>
  <si>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</si>
  <si>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</si>
  <si>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</si>
  <si>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</si>
  <si>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</si>
  <si>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</si>
  <si>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</si>
  <si>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</si>
  <si>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</si>
  <si>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</si>
  <si>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</si>
  <si>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</si>
  <si>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</si>
  <si>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</si>
  <si>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</si>
  <si>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</si>
  <si>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</si>
  <si>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</si>
  <si>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</si>
  <si>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</si>
  <si>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</si>
  <si>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</si>
  <si>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</si>
  <si>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</si>
  <si>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</si>
  <si>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</si>
  <si>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</si>
  <si>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</si>
  <si>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</si>
  <si>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</si>
  <si>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</si>
  <si>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</si>
  <si>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</si>
  <si>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</si>
  <si>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</si>
  <si>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</si>
  <si>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</si>
  <si>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</si>
  <si>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</si>
  <si>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</si>
  <si>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</si>
  <si>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</si>
  <si>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</si>
  <si>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</si>
  <si>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</si>
  <si>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FEBRUARI 2022</t>
  </si>
  <si>
    <t xml:space="preserve"> 19 Maret 2022</t>
  </si>
  <si>
    <t xml:space="preserve"> JAYAPURA</t>
  </si>
  <si>
    <t>DMD/2202/01/WHRL8271</t>
  </si>
  <si>
    <t>GSK220201QVH402</t>
  </si>
  <si>
    <t>GSK220201ZVT053</t>
  </si>
  <si>
    <t>GSK220201HGL182</t>
  </si>
  <si>
    <t>GSK220201YVZ059</t>
  </si>
  <si>
    <t>GSK220201SFT452</t>
  </si>
  <si>
    <t>GSK220201ZRM468</t>
  </si>
  <si>
    <t>GSK220201UWH687</t>
  </si>
  <si>
    <t>GSK220201KUS301</t>
  </si>
  <si>
    <t>GSK220201TNG497</t>
  </si>
  <si>
    <t>GSK220201QXS075</t>
  </si>
  <si>
    <t>GSK220201QMD712</t>
  </si>
  <si>
    <t>DMP DJJ (JAYAPURA)</t>
  </si>
  <si>
    <t>KM GUNUNG DEMPO</t>
  </si>
  <si>
    <t>02/14/2022 INDAH</t>
  </si>
  <si>
    <t>DMD/2202/07/IOVD4968</t>
  </si>
  <si>
    <t>GSK220207JBU590</t>
  </si>
  <si>
    <t>GSK220207NBT104</t>
  </si>
  <si>
    <t>GSK220207NSQ613</t>
  </si>
  <si>
    <t>GSK220207EYS073</t>
  </si>
  <si>
    <t>GSK220207IFR025</t>
  </si>
  <si>
    <t>GSK220207XSV032</t>
  </si>
  <si>
    <t>GSK220207JKA615</t>
  </si>
  <si>
    <t>GSK220207WKS572</t>
  </si>
  <si>
    <t>GSK220207JEZ180</t>
  </si>
  <si>
    <t>GSK220207EKP641</t>
  </si>
  <si>
    <t>GSK220207LYJ268</t>
  </si>
  <si>
    <t>GSK220207LPX152</t>
  </si>
  <si>
    <t>GSK220207DKZ863</t>
  </si>
  <si>
    <t>GSK220207DRB238</t>
  </si>
  <si>
    <t>DMD/2202/07/IBQE8964</t>
  </si>
  <si>
    <t>GSK220207PCU425</t>
  </si>
  <si>
    <t>DMD/2202/07/NGLV1857</t>
  </si>
  <si>
    <t>GSK220205IRZ273</t>
  </si>
  <si>
    <t>03/03/2022 HERFIANSYAH</t>
  </si>
  <si>
    <t>DMD/2202/07/HSTU5123</t>
  </si>
  <si>
    <t>GSK220204MGN139</t>
  </si>
  <si>
    <t>DMD/2202/08/MUFZ6459</t>
  </si>
  <si>
    <t>GSK220208ZEA869</t>
  </si>
  <si>
    <t>DMD/2202/15/JQWR6493</t>
  </si>
  <si>
    <t>GSK220208TWQ473</t>
  </si>
  <si>
    <t>GSK220210HZG920</t>
  </si>
  <si>
    <t>DMD/2202/19/NHLJ3179</t>
  </si>
  <si>
    <t>GSK220219UBP267</t>
  </si>
  <si>
    <t>03/05/2022 HERFIANSYAH</t>
  </si>
  <si>
    <t>DMD/2202/20/GYMT7258</t>
  </si>
  <si>
    <t>GSK220220PKD916</t>
  </si>
  <si>
    <t>DMD/2202/23/JOFM9715</t>
  </si>
  <si>
    <t>GSK220223RBF891</t>
  </si>
  <si>
    <t>3/16/2022 IRFAN</t>
  </si>
  <si>
    <t>DMD/2202/25/UYOL0156</t>
  </si>
  <si>
    <t>GSK220225SIV237</t>
  </si>
  <si>
    <t>DMD/2202/27/OYAS0196</t>
  </si>
  <si>
    <t>GSK220227PHK165</t>
  </si>
  <si>
    <t>DMD/2202/27/SANB0529</t>
  </si>
  <si>
    <t>GSK220227SIP398</t>
  </si>
  <si>
    <t>PENGIRIMAN BARANG TUJUAN JAYAPURA</t>
  </si>
  <si>
    <t>JAYAPURA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</si>
  <si>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Belas Juta Lima Ratus Delapan Puluh Lima Ribu Delapan Ratus Empat Puluh Delapan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</si>
</sst>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66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7" fontId="3" fillId="0" borderId="2" xfId="1" applyNumberFormat="1" applyFont="1" applyBorder="1" applyAlignment="1">
      <alignment horizontal="center" vertical="center"/>
    </xf>
    <xf numFmtId="2" fontId="0" fillId="0" borderId="32" xfId="0" applyNumberFormat="1" applyFont="1" applyBorder="1" applyAlignment="1">
      <alignment vertical="center"/>
    </xf>
    <xf numFmtId="167" fontId="5" fillId="0" borderId="32" xfId="1" applyNumberFormat="1" applyFont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1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7" fontId="5" fillId="0" borderId="33" xfId="1" applyNumberFormat="1" applyFont="1" applyBorder="1" applyAlignment="1">
      <alignment horizontal="center" vertical="center"/>
    </xf>
    <xf numFmtId="167" fontId="5" fillId="0" borderId="31" xfId="1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9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1" name="Table22457891011212" displayName="Table22457891011212" ref="C2:N13" totalsRowShown="0" headerRowDxfId="177" dataDxfId="175" headerRowBorderDxfId="176">
  <tableColumns count="12">
    <tableColumn id="1" name="NOMOR" dataDxfId="174" dataCellStyle="Normal"/>
    <tableColumn id="3" name="TUJUAN" dataDxfId="173" dataCellStyle="Normal"/>
    <tableColumn id="16" name="Pick Up" dataDxfId="172"/>
    <tableColumn id="14" name="KAPAL" dataDxfId="171"/>
    <tableColumn id="15" name="ETD Kapal" dataDxfId="170"/>
    <tableColumn id="10" name="KETERANGAN" dataDxfId="169" dataCellStyle="Normal"/>
    <tableColumn id="5" name="P" dataDxfId="168" dataCellStyle="Normal"/>
    <tableColumn id="6" name="L" dataDxfId="167" dataCellStyle="Normal"/>
    <tableColumn id="7" name="T" dataDxfId="166" dataCellStyle="Normal"/>
    <tableColumn id="4" name="ACT KG" dataDxfId="165" dataCellStyle="Normal"/>
    <tableColumn id="8" name="KG VOLUME" dataDxfId="164" dataCellStyle="Normal"/>
    <tableColumn id="19" name="PEMBULATAN" dataDxfId="163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9" name="Table2245789101123456783910" displayName="Table2245789101123456783910" ref="C2:N3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0" name="Table224578910112345678391011" displayName="Table224578910112345678391011" ref="C2:N3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78910112" displayName="Table224578910112" ref="C2:N13" totalsRowShown="0" headerRowDxfId="161" dataDxfId="159" headerRowBorderDxfId="160">
  <tableColumns count="12">
    <tableColumn id="1" name="NOMOR" dataDxfId="158" dataCellStyle="Normal"/>
    <tableColumn id="3" name="TUJUAN" dataDxfId="157" dataCellStyle="Normal"/>
    <tableColumn id="16" name="Pick Up" dataDxfId="156"/>
    <tableColumn id="14" name="KAPAL" dataDxfId="155"/>
    <tableColumn id="15" name="ETD Kapal" dataDxfId="154"/>
    <tableColumn id="10" name="KETERANGAN" dataDxfId="153" dataCellStyle="Normal"/>
    <tableColumn id="5" name="P" dataDxfId="152" dataCellStyle="Normal"/>
    <tableColumn id="6" name="L" dataDxfId="151" dataCellStyle="Normal"/>
    <tableColumn id="7" name="T" dataDxfId="150" dataCellStyle="Normal"/>
    <tableColumn id="4" name="ACT KG" dataDxfId="149" dataCellStyle="Normal"/>
    <tableColumn id="8" name="KG VOLUME" dataDxfId="148" dataCellStyle="Normal"/>
    <tableColumn id="19" name="PEMBULATAN" dataDxfId="147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3" totalsRowShown="0" headerRowDxfId="144" dataDxfId="142" headerRowBorderDxfId="143">
  <tableColumns count="12">
    <tableColumn id="1" name="NOMOR" dataDxfId="141" dataCellStyle="Normal"/>
    <tableColumn id="3" name="TUJUAN" dataDxfId="140" dataCellStyle="Normal"/>
    <tableColumn id="16" name="Pick Up" dataDxfId="139"/>
    <tableColumn id="14" name="KAPAL" dataDxfId="138"/>
    <tableColumn id="15" name="ETD Kapal" dataDxfId="137"/>
    <tableColumn id="10" name="KETERANGAN" dataDxfId="136" dataCellStyle="Normal"/>
    <tableColumn id="5" name="P" dataDxfId="135" dataCellStyle="Normal"/>
    <tableColumn id="6" name="L" dataDxfId="134" dataCellStyle="Normal"/>
    <tableColumn id="7" name="T" dataDxfId="133" dataCellStyle="Normal"/>
    <tableColumn id="4" name="ACT KG" dataDxfId="132" dataCellStyle="Normal"/>
    <tableColumn id="8" name="KG VOLUME" dataDxfId="131" dataCellStyle="Normal"/>
    <tableColumn id="19" name="PEMBULATAN" dataDxfId="13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3" totalsRowShown="0" headerRowDxfId="128" dataDxfId="126" headerRowBorderDxfId="127">
  <tableColumns count="12">
    <tableColumn id="1" name="NOMOR" dataDxfId="125" dataCellStyle="Normal"/>
    <tableColumn id="3" name="TUJUAN" dataDxfId="124" dataCellStyle="Normal"/>
    <tableColumn id="16" name="Pick Up" dataDxfId="123"/>
    <tableColumn id="14" name="KAPAL" dataDxfId="122"/>
    <tableColumn id="15" name="ETD Kapal" dataDxfId="121"/>
    <tableColumn id="10" name="KETERANGAN" dataDxfId="120" dataCellStyle="Normal"/>
    <tableColumn id="5" name="P" dataDxfId="119" dataCellStyle="Normal"/>
    <tableColumn id="6" name="L" dataDxfId="118" dataCellStyle="Normal"/>
    <tableColumn id="7" name="T" dataDxfId="117" dataCellStyle="Normal"/>
    <tableColumn id="4" name="ACT KG" dataDxfId="116" dataCellStyle="Normal"/>
    <tableColumn id="8" name="KG VOLUME" dataDxfId="115" dataCellStyle="Normal"/>
    <tableColumn id="19" name="PEMBULATAN" dataDxfId="11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3" totalsRowShown="0" headerRowDxfId="112" dataDxfId="110" headerRowBorderDxfId="111">
  <tableColumns count="12">
    <tableColumn id="1" name="NOMOR" dataDxfId="109" dataCellStyle="Normal"/>
    <tableColumn id="3" name="TUJUAN" dataDxfId="108" dataCellStyle="Normal"/>
    <tableColumn id="16" name="Pick Up" dataDxfId="107"/>
    <tableColumn id="14" name="KAPAL" dataDxfId="106"/>
    <tableColumn id="15" name="ETD Kapal" dataDxfId="105"/>
    <tableColumn id="10" name="KETERANGAN" dataDxfId="104" dataCellStyle="Normal"/>
    <tableColumn id="5" name="P" dataDxfId="103" dataCellStyle="Normal"/>
    <tableColumn id="6" name="L" dataDxfId="102" dataCellStyle="Normal"/>
    <tableColumn id="7" name="T" dataDxfId="101" dataCellStyle="Normal"/>
    <tableColumn id="4" name="ACT KG" dataDxfId="100" dataCellStyle="Normal"/>
    <tableColumn id="8" name="KG VOLUME" dataDxfId="99" dataCellStyle="Normal"/>
    <tableColumn id="19" name="PEMBULATAN" dataDxfId="98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3" totalsRowShown="0" headerRowDxfId="95" dataDxfId="93" headerRowBorderDxfId="94">
  <tableColumns count="12">
    <tableColumn id="1" name="NOMOR" dataDxfId="92" dataCellStyle="Normal"/>
    <tableColumn id="3" name="TUJUAN" dataDxfId="91" dataCellStyle="Normal"/>
    <tableColumn id="16" name="Pick Up" dataDxfId="90"/>
    <tableColumn id="14" name="KAPAL" dataDxfId="89"/>
    <tableColumn id="15" name="ETD Kapal" dataDxfId="88"/>
    <tableColumn id="10" name="KETERANGAN" dataDxfId="87" dataCellStyle="Normal"/>
    <tableColumn id="5" name="P" dataDxfId="86" dataCellStyle="Normal"/>
    <tableColumn id="6" name="L" dataDxfId="85" dataCellStyle="Normal"/>
    <tableColumn id="7" name="T" dataDxfId="84" dataCellStyle="Normal"/>
    <tableColumn id="4" name="ACT KG" dataDxfId="83" dataCellStyle="Normal"/>
    <tableColumn id="8" name="KG VOLUME" dataDxfId="82" dataCellStyle="Normal"/>
    <tableColumn id="19" name="PEMBULATAN" dataDxfId="81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3" totalsRowShown="0" headerRowDxfId="79" dataDxfId="77" headerRowBorderDxfId="78">
  <tableColumns count="12">
    <tableColumn id="1" name="NOMOR" dataDxfId="76" dataCellStyle="Normal"/>
    <tableColumn id="3" name="TUJUAN" dataDxfId="75" dataCellStyle="Normal"/>
    <tableColumn id="16" name="Pick Up" dataDxfId="74"/>
    <tableColumn id="14" name="KAPAL" dataDxfId="73"/>
    <tableColumn id="15" name="ETD Kapal" dataDxfId="72"/>
    <tableColumn id="10" name="KETERANGAN" dataDxfId="71" dataCellStyle="Normal"/>
    <tableColumn id="5" name="P" dataDxfId="70" dataCellStyle="Normal"/>
    <tableColumn id="6" name="L" dataDxfId="69" dataCellStyle="Normal"/>
    <tableColumn id="7" name="T" dataDxfId="68" dataCellStyle="Normal"/>
    <tableColumn id="4" name="ACT KG" dataDxfId="67" dataCellStyle="Normal"/>
    <tableColumn id="8" name="KG VOLUME" dataDxfId="66" dataCellStyle="Normal"/>
    <tableColumn id="19" name="PEMBULATAN" dataDxfId="65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2" name="Table2245789101123456783" displayName="Table2245789101123456783" ref="C2:N3" totalsRowShown="0" headerRowDxfId="63" dataDxfId="61" headerRowBorderDxfId="62">
  <tableColumns count="12">
    <tableColumn id="1" name="NOMOR" dataDxfId="60" dataCellStyle="Normal"/>
    <tableColumn id="3" name="TUJUAN" dataDxfId="59" dataCellStyle="Normal"/>
    <tableColumn id="16" name="Pick Up" dataDxfId="58"/>
    <tableColumn id="14" name="KAPAL" dataDxfId="57"/>
    <tableColumn id="15" name="ETD Kapal" dataDxfId="56"/>
    <tableColumn id="10" name="KETERANGAN" dataDxfId="55" dataCellStyle="Normal"/>
    <tableColumn id="5" name="P" dataDxfId="54" dataCellStyle="Normal"/>
    <tableColumn id="6" name="L" dataDxfId="53" dataCellStyle="Normal"/>
    <tableColumn id="7" name="T" dataDxfId="52" dataCellStyle="Normal"/>
    <tableColumn id="4" name="ACT KG" dataDxfId="51" dataCellStyle="Normal"/>
    <tableColumn id="8" name="KG VOLUME" dataDxfId="50" dataCellStyle="Normal"/>
    <tableColumn id="19" name="PEMBULATAN" dataDxfId="49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8" name="Table22457891011234567839" displayName="Table22457891011234567839" ref="C2:N3" totalsRowShown="0" headerRowDxfId="47" dataDxfId="45" headerRowBorderDxfId="46">
  <tableColumns count="12">
    <tableColumn id="1" name="NOMOR" dataDxfId="44" dataCellStyle="Normal"/>
    <tableColumn id="3" name="TUJUAN" dataDxfId="43" dataCellStyle="Normal"/>
    <tableColumn id="16" name="Pick Up" dataDxfId="42"/>
    <tableColumn id="14" name="KAPAL" dataDxfId="41"/>
    <tableColumn id="15" name="ETD Kapal" dataDxfId="40"/>
    <tableColumn id="10" name="KETERANGAN" dataDxfId="39" dataCellStyle="Normal"/>
    <tableColumn id="5" name="P" dataDxfId="38" dataCellStyle="Normal"/>
    <tableColumn id="6" name="L" dataDxfId="37" dataCellStyle="Normal"/>
    <tableColumn id="7" name="T" dataDxfId="36" dataCellStyle="Normal"/>
    <tableColumn id="4" name="ACT KG" dataDxfId="35" dataCellStyle="Normal"/>
    <tableColumn id="8" name="KG VOLUME" dataDxfId="34" dataCellStyle="Normal"/>
    <tableColumn id="19" name="PEMBULATAN" dataDxfId="33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52"/>
  <sheetViews>
    <sheetView tabSelected="1" topLeftCell="A26" workbookViewId="0">
      <selection activeCell="M34" sqref="M34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27" t="s">
        <v>14</v>
      </c>
      <c r="B10" s="128"/>
      <c r="C10" s="128"/>
      <c r="D10" s="128"/>
      <c r="E10" s="128"/>
      <c r="F10" s="128"/>
      <c r="G10" s="128"/>
      <c r="H10" s="128"/>
      <c r="I10" s="128"/>
      <c r="J10" s="129"/>
    </row>
    <row r="12" spans="1:10" x14ac:dyDescent="0.25">
      <c r="A12" s="18" t="s">
        <v>15</v>
      </c>
      <c r="B12" s="18" t="s">
        <v>16</v>
      </c>
      <c r="G12" s="139" t="s">
        <v>49</v>
      </c>
      <c r="H12" s="139"/>
      <c r="I12" s="23" t="s">
        <v>17</v>
      </c>
      <c r="J12" s="24"/>
    </row>
    <row r="13" spans="1:10" x14ac:dyDescent="0.25">
      <c r="G13" s="139" t="s">
        <v>18</v>
      </c>
      <c r="H13" s="139"/>
      <c r="I13" s="23" t="s">
        <v>17</v>
      </c>
      <c r="J13" s="25" t="s">
        <v>57</v>
      </c>
    </row>
    <row r="14" spans="1:10" x14ac:dyDescent="0.25">
      <c r="G14" s="139" t="s">
        <v>50</v>
      </c>
      <c r="H14" s="139"/>
      <c r="I14" s="23" t="s">
        <v>17</v>
      </c>
      <c r="J14" s="18" t="s">
        <v>58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56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30" t="s">
        <v>28</v>
      </c>
      <c r="I17" s="131"/>
      <c r="J17" s="29" t="s">
        <v>29</v>
      </c>
    </row>
    <row r="18" spans="1:12" ht="37.5" customHeight="1" x14ac:dyDescent="0.25">
      <c r="A18" s="30">
        <v>1</v>
      </c>
      <c r="B18" s="31">
        <f>'403375'!E3</f>
        <v>44593</v>
      </c>
      <c r="C18" s="81">
        <f>'403375'!A3</f>
        <v>403375</v>
      </c>
      <c r="D18" s="32" t="s">
        <v>115</v>
      </c>
      <c r="E18" s="32" t="s">
        <v>116</v>
      </c>
      <c r="F18" s="33">
        <f>'403375'!Q3</f>
        <v>11</v>
      </c>
      <c r="G18" s="109">
        <f>'403375'!N14</f>
        <v>200.3</v>
      </c>
      <c r="H18" s="132">
        <v>14000</v>
      </c>
      <c r="I18" s="133"/>
      <c r="J18" s="34">
        <f>G18*H18</f>
        <v>2804200</v>
      </c>
      <c r="L18"/>
    </row>
    <row r="19" spans="1:12" ht="37.5" customHeight="1" x14ac:dyDescent="0.25">
      <c r="A19" s="30">
        <f>A18+1</f>
        <v>2</v>
      </c>
      <c r="B19" s="31">
        <f>'403395'!E3</f>
        <v>44599</v>
      </c>
      <c r="C19" s="81">
        <f>'403395'!A3</f>
        <v>403395</v>
      </c>
      <c r="D19" s="32" t="s">
        <v>115</v>
      </c>
      <c r="E19" s="32" t="s">
        <v>116</v>
      </c>
      <c r="F19" s="33">
        <f>'403395'!Q3</f>
        <v>16</v>
      </c>
      <c r="G19" s="102">
        <f>'403395'!N19</f>
        <v>169</v>
      </c>
      <c r="H19" s="132">
        <v>14000</v>
      </c>
      <c r="I19" s="133"/>
      <c r="J19" s="34">
        <f t="shared" ref="J19:J27" si="0">G19*H19</f>
        <v>2366000</v>
      </c>
      <c r="L19"/>
    </row>
    <row r="20" spans="1:12" ht="37.5" customHeight="1" x14ac:dyDescent="0.25">
      <c r="A20" s="30">
        <f t="shared" ref="A20:A27" si="1">A19+1</f>
        <v>3</v>
      </c>
      <c r="B20" s="31">
        <f>'403398'!E3</f>
        <v>44599</v>
      </c>
      <c r="C20" s="81">
        <f>'403398'!A3</f>
        <v>403398</v>
      </c>
      <c r="D20" s="32" t="s">
        <v>115</v>
      </c>
      <c r="E20" s="32" t="s">
        <v>116</v>
      </c>
      <c r="F20" s="33">
        <f>'403398'!Q3</f>
        <v>1</v>
      </c>
      <c r="G20" s="33">
        <v>100</v>
      </c>
      <c r="H20" s="132">
        <v>14000</v>
      </c>
      <c r="I20" s="133"/>
      <c r="J20" s="34">
        <f t="shared" si="0"/>
        <v>1400000</v>
      </c>
      <c r="L20"/>
    </row>
    <row r="21" spans="1:12" ht="37.5" customHeight="1" x14ac:dyDescent="0.25">
      <c r="A21" s="30">
        <f t="shared" si="1"/>
        <v>4</v>
      </c>
      <c r="B21" s="31">
        <f>'403314'!E3</f>
        <v>44600</v>
      </c>
      <c r="C21" s="81">
        <f>'403314'!A3</f>
        <v>403314</v>
      </c>
      <c r="D21" s="32" t="s">
        <v>115</v>
      </c>
      <c r="E21" s="32" t="s">
        <v>116</v>
      </c>
      <c r="F21" s="33">
        <f>'403314'!Q3</f>
        <v>1</v>
      </c>
      <c r="G21" s="33">
        <v>100</v>
      </c>
      <c r="H21" s="132">
        <v>14000</v>
      </c>
      <c r="I21" s="133"/>
      <c r="J21" s="34">
        <f t="shared" si="0"/>
        <v>1400000</v>
      </c>
      <c r="L21"/>
    </row>
    <row r="22" spans="1:12" ht="37.5" customHeight="1" x14ac:dyDescent="0.25">
      <c r="A22" s="30">
        <f t="shared" si="1"/>
        <v>5</v>
      </c>
      <c r="B22" s="31">
        <f>'403340'!E3</f>
        <v>44607</v>
      </c>
      <c r="C22" s="81">
        <f>'403340'!A3</f>
        <v>403340</v>
      </c>
      <c r="D22" s="32" t="s">
        <v>115</v>
      </c>
      <c r="E22" s="32" t="s">
        <v>116</v>
      </c>
      <c r="F22" s="33">
        <f>'403340'!Q3</f>
        <v>2</v>
      </c>
      <c r="G22" s="33">
        <v>100</v>
      </c>
      <c r="H22" s="132">
        <v>14000</v>
      </c>
      <c r="I22" s="133"/>
      <c r="J22" s="34">
        <f t="shared" si="0"/>
        <v>1400000</v>
      </c>
      <c r="L22"/>
    </row>
    <row r="23" spans="1:12" ht="37.5" customHeight="1" x14ac:dyDescent="0.25">
      <c r="A23" s="30">
        <f t="shared" si="1"/>
        <v>6</v>
      </c>
      <c r="B23" s="31">
        <f>'403161'!E3</f>
        <v>44611</v>
      </c>
      <c r="C23" s="81">
        <f>'403161'!A3</f>
        <v>403161</v>
      </c>
      <c r="D23" s="32" t="s">
        <v>115</v>
      </c>
      <c r="E23" s="32" t="s">
        <v>116</v>
      </c>
      <c r="F23" s="33">
        <f>'403161'!Q3</f>
        <v>1</v>
      </c>
      <c r="G23" s="33">
        <v>100</v>
      </c>
      <c r="H23" s="132">
        <v>14000</v>
      </c>
      <c r="I23" s="133"/>
      <c r="J23" s="34">
        <f t="shared" si="0"/>
        <v>1400000</v>
      </c>
      <c r="L23"/>
    </row>
    <row r="24" spans="1:12" ht="37.5" customHeight="1" x14ac:dyDescent="0.25">
      <c r="A24" s="30">
        <f t="shared" si="1"/>
        <v>7</v>
      </c>
      <c r="B24" s="31">
        <f>Table2245789101123456783[Pick Up]</f>
        <v>44612</v>
      </c>
      <c r="C24" s="81">
        <f>'404667'!A3</f>
        <v>404667</v>
      </c>
      <c r="D24" s="32" t="s">
        <v>115</v>
      </c>
      <c r="E24" s="32" t="s">
        <v>116</v>
      </c>
      <c r="F24" s="33">
        <v>1</v>
      </c>
      <c r="G24" s="33">
        <v>100</v>
      </c>
      <c r="H24" s="132">
        <v>14000</v>
      </c>
      <c r="I24" s="133"/>
      <c r="J24" s="34">
        <f t="shared" si="0"/>
        <v>1400000</v>
      </c>
      <c r="L24"/>
    </row>
    <row r="25" spans="1:12" ht="37.5" customHeight="1" x14ac:dyDescent="0.25">
      <c r="A25" s="30">
        <f t="shared" si="1"/>
        <v>8</v>
      </c>
      <c r="B25" s="31">
        <f>Table22457891011234567839[Pick Up]</f>
        <v>44615</v>
      </c>
      <c r="C25" s="81">
        <f>'404680'!A3</f>
        <v>404680</v>
      </c>
      <c r="D25" s="32" t="s">
        <v>115</v>
      </c>
      <c r="E25" s="32" t="s">
        <v>116</v>
      </c>
      <c r="F25" s="33">
        <v>1</v>
      </c>
      <c r="G25" s="33">
        <v>100</v>
      </c>
      <c r="H25" s="132">
        <v>14000</v>
      </c>
      <c r="I25" s="133"/>
      <c r="J25" s="34">
        <f t="shared" si="0"/>
        <v>1400000</v>
      </c>
      <c r="L25"/>
    </row>
    <row r="26" spans="1:12" ht="37.5" customHeight="1" x14ac:dyDescent="0.25">
      <c r="A26" s="30">
        <f t="shared" si="1"/>
        <v>9</v>
      </c>
      <c r="B26" s="31">
        <f>Table2245789101123456783910[Pick Up]</f>
        <v>44617</v>
      </c>
      <c r="C26" s="81">
        <f>'404758'!A3</f>
        <v>404758</v>
      </c>
      <c r="D26" s="32" t="s">
        <v>115</v>
      </c>
      <c r="E26" s="32" t="s">
        <v>116</v>
      </c>
      <c r="F26" s="33">
        <v>1</v>
      </c>
      <c r="G26" s="33">
        <v>100</v>
      </c>
      <c r="H26" s="132">
        <v>14000</v>
      </c>
      <c r="I26" s="133"/>
      <c r="J26" s="34">
        <f t="shared" si="0"/>
        <v>1400000</v>
      </c>
      <c r="L26"/>
    </row>
    <row r="27" spans="1:12" ht="37.5" customHeight="1" x14ac:dyDescent="0.25">
      <c r="A27" s="30">
        <f t="shared" si="1"/>
        <v>10</v>
      </c>
      <c r="B27" s="31">
        <f>Table224578910112345678391011[Pick Up]</f>
        <v>44619</v>
      </c>
      <c r="C27" s="81">
        <f>'404689'!A3</f>
        <v>404689</v>
      </c>
      <c r="D27" s="32" t="s">
        <v>115</v>
      </c>
      <c r="E27" s="32" t="s">
        <v>116</v>
      </c>
      <c r="F27" s="33">
        <v>2</v>
      </c>
      <c r="G27" s="33">
        <v>100</v>
      </c>
      <c r="H27" s="132">
        <v>14000</v>
      </c>
      <c r="I27" s="133"/>
      <c r="J27" s="34">
        <f t="shared" si="0"/>
        <v>1400000</v>
      </c>
      <c r="L27"/>
    </row>
    <row r="28" spans="1:12" ht="32.25" customHeight="1" thickBot="1" x14ac:dyDescent="0.3">
      <c r="A28" s="134" t="s">
        <v>30</v>
      </c>
      <c r="B28" s="135"/>
      <c r="C28" s="135"/>
      <c r="D28" s="135"/>
      <c r="E28" s="135"/>
      <c r="F28" s="135"/>
      <c r="G28" s="135"/>
      <c r="H28" s="135"/>
      <c r="I28" s="136"/>
      <c r="J28" s="35">
        <f>SUM(J18:J27)</f>
        <v>16370200</v>
      </c>
      <c r="L28" s="79" t="e">
        <f>'403375'!P19+#REF!+#REF!+#REF!+#REF!+#REF!+#REF!+#REF!+#REF!+#REF!+#REF!+#REF!+#REF!+#REF!+#REF!+#REF!+#REF!+#REF!+#REF!+#REF!+#REF!+#REF!+#REF!+#REF!+#REF!+#REF!+#REF!+#REF!+#REF!+#REF!</f>
        <v>#REF!</v>
      </c>
    </row>
    <row r="29" spans="1:12" x14ac:dyDescent="0.25">
      <c r="A29" s="137"/>
      <c r="B29" s="137"/>
      <c r="C29" s="36"/>
      <c r="D29" s="36"/>
      <c r="E29" s="36"/>
      <c r="F29" s="36"/>
      <c r="G29" s="36"/>
      <c r="H29" s="37"/>
      <c r="I29" s="37"/>
      <c r="J29" s="38"/>
    </row>
    <row r="30" spans="1:12" x14ac:dyDescent="0.25">
      <c r="A30" s="82"/>
      <c r="B30" s="82"/>
      <c r="C30" s="82"/>
      <c r="D30" s="82"/>
      <c r="E30" s="82"/>
      <c r="F30" s="82"/>
      <c r="G30" s="39" t="s">
        <v>51</v>
      </c>
      <c r="H30" s="39"/>
      <c r="I30" s="37"/>
      <c r="J30" s="38">
        <f>J28*10%</f>
        <v>1637020</v>
      </c>
      <c r="L30" s="40"/>
    </row>
    <row r="31" spans="1:12" x14ac:dyDescent="0.25">
      <c r="A31" s="82"/>
      <c r="B31" s="82"/>
      <c r="C31" s="82"/>
      <c r="D31" s="82"/>
      <c r="E31" s="82"/>
      <c r="F31" s="82"/>
      <c r="G31" s="89" t="s">
        <v>52</v>
      </c>
      <c r="H31" s="89"/>
      <c r="I31" s="90"/>
      <c r="J31" s="92">
        <f>J28-J30</f>
        <v>14733180</v>
      </c>
      <c r="L31" s="40"/>
    </row>
    <row r="32" spans="1:12" x14ac:dyDescent="0.25">
      <c r="A32" s="82"/>
      <c r="B32" s="82"/>
      <c r="C32" s="82"/>
      <c r="D32" s="82"/>
      <c r="E32" s="82"/>
      <c r="F32" s="82"/>
      <c r="G32" s="39" t="s">
        <v>31</v>
      </c>
      <c r="H32" s="39"/>
      <c r="I32" s="40" t="e">
        <f>#REF!*1%</f>
        <v>#REF!</v>
      </c>
      <c r="J32" s="38">
        <f>J31*1%</f>
        <v>147331.80000000002</v>
      </c>
    </row>
    <row r="33" spans="1:10" ht="16.5" thickBot="1" x14ac:dyDescent="0.3">
      <c r="A33" s="82"/>
      <c r="B33" s="82"/>
      <c r="C33" s="82"/>
      <c r="D33" s="82"/>
      <c r="E33" s="82"/>
      <c r="F33" s="82"/>
      <c r="G33" s="91" t="s">
        <v>54</v>
      </c>
      <c r="H33" s="91"/>
      <c r="I33" s="41">
        <f>I29*10%</f>
        <v>0</v>
      </c>
      <c r="J33" s="41">
        <f>J31*2%</f>
        <v>294663.60000000003</v>
      </c>
    </row>
    <row r="34" spans="1:10" x14ac:dyDescent="0.25">
      <c r="E34" s="17"/>
      <c r="F34" s="17"/>
      <c r="G34" s="42" t="s">
        <v>55</v>
      </c>
      <c r="H34" s="42"/>
      <c r="I34" s="43" t="e">
        <f>I28+I32</f>
        <v>#REF!</v>
      </c>
      <c r="J34" s="43">
        <f>J31+J32-J33</f>
        <v>14585848.200000001</v>
      </c>
    </row>
    <row r="35" spans="1:10" x14ac:dyDescent="0.25">
      <c r="E35" s="17"/>
      <c r="F35" s="17"/>
      <c r="G35" s="42"/>
      <c r="H35" s="42"/>
      <c r="I35" s="43"/>
      <c r="J35" s="43"/>
    </row>
    <row r="36" spans="1:10" x14ac:dyDescent="0.25">
      <c r="A36" s="17" t="s">
        <v>117</v>
      </c>
      <c r="D36" s="17"/>
      <c r="E36" s="17"/>
      <c r="F36" s="17"/>
      <c r="G36" s="17"/>
      <c r="H36" s="42"/>
      <c r="I36" s="42"/>
      <c r="J36" s="43"/>
    </row>
    <row r="37" spans="1:10" x14ac:dyDescent="0.25">
      <c r="A37" s="44"/>
      <c r="D37" s="17"/>
      <c r="E37" s="17"/>
      <c r="F37" s="17"/>
      <c r="G37" s="17"/>
      <c r="H37" s="42"/>
      <c r="I37" s="42"/>
      <c r="J37" s="43"/>
    </row>
    <row r="38" spans="1:10" x14ac:dyDescent="0.25">
      <c r="D38" s="17"/>
      <c r="E38" s="17"/>
      <c r="F38" s="17"/>
      <c r="G38" s="17"/>
      <c r="H38" s="42"/>
      <c r="I38" s="42"/>
      <c r="J38" s="43"/>
    </row>
    <row r="39" spans="1:10" x14ac:dyDescent="0.25">
      <c r="A39" s="45" t="s">
        <v>33</v>
      </c>
    </row>
    <row r="40" spans="1:10" x14ac:dyDescent="0.25">
      <c r="A40" s="46" t="s">
        <v>34</v>
      </c>
      <c r="B40" s="47"/>
      <c r="C40" s="47"/>
      <c r="D40" s="48"/>
      <c r="E40" s="48"/>
      <c r="F40" s="48"/>
      <c r="G40" s="48"/>
    </row>
    <row r="41" spans="1:10" x14ac:dyDescent="0.25">
      <c r="A41" s="46" t="s">
        <v>35</v>
      </c>
      <c r="B41" s="47"/>
      <c r="C41" s="47"/>
      <c r="D41" s="48"/>
      <c r="E41" s="48"/>
      <c r="F41" s="48"/>
      <c r="G41" s="48"/>
    </row>
    <row r="42" spans="1:10" x14ac:dyDescent="0.25">
      <c r="A42" s="49" t="s">
        <v>36</v>
      </c>
      <c r="B42" s="50"/>
      <c r="C42" s="50"/>
      <c r="D42" s="48"/>
      <c r="E42" s="48"/>
      <c r="F42" s="48"/>
      <c r="G42" s="48"/>
    </row>
    <row r="43" spans="1:10" x14ac:dyDescent="0.25">
      <c r="A43" s="51" t="s">
        <v>8</v>
      </c>
      <c r="B43" s="52"/>
      <c r="C43" s="52"/>
      <c r="D43" s="48"/>
      <c r="E43" s="48"/>
      <c r="F43" s="48"/>
      <c r="G43" s="48"/>
    </row>
    <row r="44" spans="1:10" x14ac:dyDescent="0.25">
      <c r="A44" s="53"/>
      <c r="B44" s="53"/>
      <c r="C44" s="53"/>
    </row>
    <row r="45" spans="1:10" x14ac:dyDescent="0.25">
      <c r="H45" s="54" t="s">
        <v>37</v>
      </c>
      <c r="I45" s="140" t="str">
        <f>+J13</f>
        <v xml:space="preserve"> 19 Maret 2022</v>
      </c>
      <c r="J45" s="141"/>
    </row>
    <row r="49" spans="8:10" ht="18" customHeight="1" x14ac:dyDescent="0.25"/>
    <row r="50" spans="8:10" ht="17.25" customHeight="1" x14ac:dyDescent="0.25"/>
    <row r="52" spans="8:10" x14ac:dyDescent="0.25">
      <c r="H52" s="138" t="s">
        <v>38</v>
      </c>
      <c r="I52" s="138"/>
      <c r="J52" s="138"/>
    </row>
  </sheetData>
  <mergeCells count="19">
    <mergeCell ref="H52:J52"/>
    <mergeCell ref="G14:H14"/>
    <mergeCell ref="G13:H13"/>
    <mergeCell ref="G12:H12"/>
    <mergeCell ref="I45:J45"/>
    <mergeCell ref="H24:I24"/>
    <mergeCell ref="H25:I25"/>
    <mergeCell ref="H26:I26"/>
    <mergeCell ref="H27:I27"/>
    <mergeCell ref="A10:J10"/>
    <mergeCell ref="H17:I17"/>
    <mergeCell ref="H18:I18"/>
    <mergeCell ref="A28:I28"/>
    <mergeCell ref="A29:B29"/>
    <mergeCell ref="H19:I19"/>
    <mergeCell ref="H23:I23"/>
    <mergeCell ref="H21:I21"/>
    <mergeCell ref="H20:I20"/>
    <mergeCell ref="H22:I2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H9" sqref="H9"/>
    </sheetView>
  </sheetViews>
  <sheetFormatPr defaultRowHeight="15" x14ac:dyDescent="0.2"/>
  <cols>
    <col min="1" max="1" width="6.5703125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8.5703125" style="6" customWidth="1"/>
    <col min="9" max="11" width="3.285156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0">
        <v>404680</v>
      </c>
      <c r="B3" s="72" t="s">
        <v>106</v>
      </c>
      <c r="C3" s="9" t="s">
        <v>107</v>
      </c>
      <c r="D3" s="74" t="s">
        <v>71</v>
      </c>
      <c r="E3" s="13">
        <v>44615</v>
      </c>
      <c r="F3" s="74" t="s">
        <v>72</v>
      </c>
      <c r="G3" s="13">
        <v>44638</v>
      </c>
      <c r="H3" s="10" t="s">
        <v>108</v>
      </c>
      <c r="I3" s="1">
        <v>58</v>
      </c>
      <c r="J3" s="1">
        <v>31</v>
      </c>
      <c r="K3" s="1">
        <v>13</v>
      </c>
      <c r="L3" s="1">
        <v>13</v>
      </c>
      <c r="M3" s="77">
        <v>5.8434999999999997</v>
      </c>
      <c r="N3" s="8">
        <v>13</v>
      </c>
      <c r="O3" s="63">
        <v>14000</v>
      </c>
      <c r="P3" s="64">
        <f>Table22457891011234567839[[#This Row],[PEMBULATAN]]*O3</f>
        <v>182000</v>
      </c>
      <c r="Q3" s="103">
        <v>1</v>
      </c>
    </row>
    <row r="4" spans="1:17" ht="22.5" customHeight="1" x14ac:dyDescent="0.2">
      <c r="A4" s="150" t="s">
        <v>30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2"/>
      <c r="M4" s="76">
        <f>SUBTOTAL(109,Table22457891011234567839[KG VOLUME])</f>
        <v>5.8434999999999997</v>
      </c>
      <c r="N4" s="67">
        <f>SUM(N3:N3)</f>
        <v>13</v>
      </c>
      <c r="O4" s="153">
        <f>SUM(P3:P3)</f>
        <v>182000</v>
      </c>
      <c r="P4" s="154"/>
    </row>
    <row r="5" spans="1:17" ht="18" customHeight="1" x14ac:dyDescent="0.2">
      <c r="A5" s="83"/>
      <c r="B5" s="56" t="s">
        <v>42</v>
      </c>
      <c r="C5" s="55"/>
      <c r="D5" s="57" t="s">
        <v>43</v>
      </c>
      <c r="E5" s="83"/>
      <c r="F5" s="83"/>
      <c r="G5" s="83"/>
      <c r="H5" s="83"/>
      <c r="I5" s="83"/>
      <c r="J5" s="83"/>
      <c r="K5" s="83"/>
      <c r="L5" s="83"/>
      <c r="M5" s="84"/>
      <c r="N5" s="85" t="s">
        <v>51</v>
      </c>
      <c r="O5" s="86"/>
      <c r="P5" s="86">
        <f>O4*10%</f>
        <v>18200</v>
      </c>
    </row>
    <row r="6" spans="1:17" ht="18" customHeight="1" thickBot="1" x14ac:dyDescent="0.25">
      <c r="A6" s="83"/>
      <c r="B6" s="56"/>
      <c r="C6" s="55"/>
      <c r="D6" s="57"/>
      <c r="E6" s="83"/>
      <c r="F6" s="83"/>
      <c r="G6" s="83"/>
      <c r="H6" s="83"/>
      <c r="I6" s="83"/>
      <c r="J6" s="83"/>
      <c r="K6" s="83"/>
      <c r="L6" s="83"/>
      <c r="M6" s="84"/>
      <c r="N6" s="87" t="s">
        <v>52</v>
      </c>
      <c r="O6" s="88"/>
      <c r="P6" s="88">
        <f>O4-P5</f>
        <v>163800</v>
      </c>
    </row>
    <row r="7" spans="1:17" ht="18" customHeight="1" x14ac:dyDescent="0.2">
      <c r="A7" s="11"/>
      <c r="H7" s="62"/>
      <c r="N7" s="61" t="s">
        <v>31</v>
      </c>
      <c r="P7" s="68">
        <f>P6*1%</f>
        <v>1638</v>
      </c>
    </row>
    <row r="8" spans="1:17" ht="18" customHeight="1" thickBot="1" x14ac:dyDescent="0.25">
      <c r="A8" s="11"/>
      <c r="H8" s="62"/>
      <c r="N8" s="61" t="s">
        <v>53</v>
      </c>
      <c r="P8" s="70">
        <f>P6*2%</f>
        <v>3276</v>
      </c>
    </row>
    <row r="9" spans="1:17" ht="18" customHeight="1" x14ac:dyDescent="0.2">
      <c r="A9" s="11"/>
      <c r="H9" s="62"/>
      <c r="N9" s="65" t="s">
        <v>32</v>
      </c>
      <c r="O9" s="66"/>
      <c r="P9" s="69">
        <f>P6+P7-P8</f>
        <v>162162</v>
      </c>
    </row>
    <row r="11" spans="1:17" x14ac:dyDescent="0.2">
      <c r="A11" s="11"/>
      <c r="H11" s="62"/>
      <c r="P11" s="70"/>
    </row>
    <row r="12" spans="1:17" x14ac:dyDescent="0.2">
      <c r="A12" s="11"/>
      <c r="H12" s="62"/>
      <c r="O12" s="58"/>
      <c r="P12" s="70"/>
    </row>
    <row r="13" spans="1:17" s="3" customFormat="1" x14ac:dyDescent="0.25">
      <c r="A13" s="11"/>
      <c r="B13" s="2"/>
      <c r="C13" s="2"/>
      <c r="E13" s="12"/>
      <c r="H13" s="62"/>
      <c r="N13" s="15"/>
      <c r="O13" s="15"/>
      <c r="P13" s="15"/>
    </row>
    <row r="14" spans="1:17" s="3" customFormat="1" x14ac:dyDescent="0.25">
      <c r="A14" s="11"/>
      <c r="B14" s="2"/>
      <c r="C14" s="2"/>
      <c r="E14" s="12"/>
      <c r="H14" s="62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48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H6" sqref="H6"/>
    </sheetView>
  </sheetViews>
  <sheetFormatPr defaultRowHeight="15" x14ac:dyDescent="0.2"/>
  <cols>
    <col min="1" max="1" width="6.42578125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9.5703125" style="6" customWidth="1"/>
    <col min="9" max="11" width="3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0">
        <v>404758</v>
      </c>
      <c r="B3" s="72" t="s">
        <v>109</v>
      </c>
      <c r="C3" s="9" t="s">
        <v>110</v>
      </c>
      <c r="D3" s="74" t="s">
        <v>71</v>
      </c>
      <c r="E3" s="13">
        <v>44617</v>
      </c>
      <c r="F3" s="74" t="s">
        <v>72</v>
      </c>
      <c r="G3" s="13">
        <v>44638</v>
      </c>
      <c r="H3" s="10" t="s">
        <v>108</v>
      </c>
      <c r="I3" s="1">
        <v>42</v>
      </c>
      <c r="J3" s="1">
        <v>37</v>
      </c>
      <c r="K3" s="1">
        <v>20</v>
      </c>
      <c r="L3" s="1">
        <v>3</v>
      </c>
      <c r="M3" s="77">
        <v>7.77</v>
      </c>
      <c r="N3" s="8">
        <v>8</v>
      </c>
      <c r="O3" s="63">
        <v>14000</v>
      </c>
      <c r="P3" s="64">
        <f>Table2245789101123456783910[[#This Row],[PEMBULATAN]]*O3</f>
        <v>112000</v>
      </c>
      <c r="Q3" s="103">
        <v>1</v>
      </c>
    </row>
    <row r="4" spans="1:17" ht="22.5" customHeight="1" x14ac:dyDescent="0.2">
      <c r="A4" s="150" t="s">
        <v>30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2"/>
      <c r="M4" s="76">
        <f>SUBTOTAL(109,Table2245789101123456783910[KG VOLUME])</f>
        <v>7.77</v>
      </c>
      <c r="N4" s="67">
        <f>SUM(N3:N3)</f>
        <v>8</v>
      </c>
      <c r="O4" s="153">
        <f>SUM(P3:P3)</f>
        <v>112000</v>
      </c>
      <c r="P4" s="154"/>
    </row>
    <row r="5" spans="1:17" ht="18" customHeight="1" x14ac:dyDescent="0.2">
      <c r="A5" s="83"/>
      <c r="B5" s="56" t="s">
        <v>42</v>
      </c>
      <c r="C5" s="55"/>
      <c r="D5" s="57" t="s">
        <v>43</v>
      </c>
      <c r="E5" s="83"/>
      <c r="F5" s="83"/>
      <c r="G5" s="83"/>
      <c r="H5" s="83"/>
      <c r="I5" s="83"/>
      <c r="J5" s="83"/>
      <c r="K5" s="83"/>
      <c r="L5" s="83"/>
      <c r="M5" s="84"/>
      <c r="N5" s="85" t="s">
        <v>51</v>
      </c>
      <c r="O5" s="86"/>
      <c r="P5" s="86">
        <f>O4*10%</f>
        <v>11200</v>
      </c>
    </row>
    <row r="6" spans="1:17" ht="18" customHeight="1" thickBot="1" x14ac:dyDescent="0.25">
      <c r="A6" s="83"/>
      <c r="B6" s="56"/>
      <c r="C6" s="55"/>
      <c r="D6" s="57"/>
      <c r="E6" s="83"/>
      <c r="F6" s="83"/>
      <c r="G6" s="83"/>
      <c r="H6" s="83"/>
      <c r="I6" s="83"/>
      <c r="J6" s="83"/>
      <c r="K6" s="83"/>
      <c r="L6" s="83"/>
      <c r="M6" s="84"/>
      <c r="N6" s="87" t="s">
        <v>52</v>
      </c>
      <c r="O6" s="88"/>
      <c r="P6" s="88">
        <f>O4-P5</f>
        <v>100800</v>
      </c>
    </row>
    <row r="7" spans="1:17" ht="18" customHeight="1" x14ac:dyDescent="0.2">
      <c r="A7" s="11"/>
      <c r="H7" s="62"/>
      <c r="N7" s="61" t="s">
        <v>31</v>
      </c>
      <c r="P7" s="68">
        <f>P6*1%</f>
        <v>1008</v>
      </c>
    </row>
    <row r="8" spans="1:17" ht="18" customHeight="1" thickBot="1" x14ac:dyDescent="0.25">
      <c r="A8" s="11"/>
      <c r="H8" s="62"/>
      <c r="N8" s="61" t="s">
        <v>53</v>
      </c>
      <c r="P8" s="70">
        <f>P6*2%</f>
        <v>2016</v>
      </c>
    </row>
    <row r="9" spans="1:17" ht="18" customHeight="1" x14ac:dyDescent="0.2">
      <c r="A9" s="11"/>
      <c r="H9" s="62"/>
      <c r="N9" s="65" t="s">
        <v>32</v>
      </c>
      <c r="O9" s="66"/>
      <c r="P9" s="69">
        <f>P6+P7-P8</f>
        <v>99792</v>
      </c>
    </row>
    <row r="11" spans="1:17" x14ac:dyDescent="0.2">
      <c r="A11" s="11"/>
      <c r="H11" s="62"/>
      <c r="P11" s="70"/>
    </row>
    <row r="12" spans="1:17" x14ac:dyDescent="0.2">
      <c r="A12" s="11"/>
      <c r="H12" s="62"/>
      <c r="O12" s="58"/>
      <c r="P12" s="70"/>
    </row>
    <row r="13" spans="1:17" s="3" customFormat="1" x14ac:dyDescent="0.25">
      <c r="A13" s="11"/>
      <c r="B13" s="2"/>
      <c r="C13" s="2"/>
      <c r="E13" s="12"/>
      <c r="H13" s="62"/>
      <c r="N13" s="15"/>
      <c r="O13" s="15"/>
      <c r="P13" s="15"/>
    </row>
    <row r="14" spans="1:17" s="3" customFormat="1" x14ac:dyDescent="0.25">
      <c r="A14" s="11"/>
      <c r="B14" s="2"/>
      <c r="C14" s="2"/>
      <c r="E14" s="12"/>
      <c r="H14" s="62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32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H12" sqref="H12"/>
    </sheetView>
  </sheetViews>
  <sheetFormatPr defaultRowHeight="15" x14ac:dyDescent="0.2"/>
  <cols>
    <col min="1" max="1" width="6.7109375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8.28515625" style="6" customWidth="1"/>
    <col min="9" max="11" width="3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0">
        <v>404689</v>
      </c>
      <c r="B3" s="72" t="s">
        <v>111</v>
      </c>
      <c r="C3" s="9" t="s">
        <v>112</v>
      </c>
      <c r="D3" s="74" t="s">
        <v>71</v>
      </c>
      <c r="E3" s="13">
        <v>44619</v>
      </c>
      <c r="F3" s="74" t="s">
        <v>72</v>
      </c>
      <c r="G3" s="13">
        <v>44638</v>
      </c>
      <c r="H3" s="10" t="s">
        <v>108</v>
      </c>
      <c r="I3" s="1">
        <v>46</v>
      </c>
      <c r="J3" s="1">
        <v>40</v>
      </c>
      <c r="K3" s="1">
        <v>26</v>
      </c>
      <c r="L3" s="1">
        <v>6</v>
      </c>
      <c r="M3" s="77">
        <v>11.96</v>
      </c>
      <c r="N3" s="8">
        <v>12</v>
      </c>
      <c r="O3" s="63">
        <v>14000</v>
      </c>
      <c r="P3" s="64">
        <f>O3*N3</f>
        <v>168000</v>
      </c>
      <c r="Q3" s="155">
        <v>2</v>
      </c>
    </row>
    <row r="4" spans="1:17" ht="26.25" customHeight="1" x14ac:dyDescent="0.2">
      <c r="A4" s="14"/>
      <c r="B4" s="73"/>
      <c r="C4" s="9" t="s">
        <v>114</v>
      </c>
      <c r="D4" s="74" t="s">
        <v>71</v>
      </c>
      <c r="E4" s="13">
        <v>44619</v>
      </c>
      <c r="F4" s="74" t="s">
        <v>72</v>
      </c>
      <c r="G4" s="13">
        <v>44638</v>
      </c>
      <c r="H4" s="10" t="s">
        <v>108</v>
      </c>
      <c r="I4" s="1">
        <v>61</v>
      </c>
      <c r="J4" s="1">
        <v>62</v>
      </c>
      <c r="K4" s="1">
        <v>40</v>
      </c>
      <c r="L4" s="1">
        <v>7</v>
      </c>
      <c r="M4" s="77">
        <v>37.82</v>
      </c>
      <c r="N4" s="8">
        <v>38</v>
      </c>
      <c r="O4" s="63">
        <v>14000</v>
      </c>
      <c r="P4" s="64">
        <f>O4*N4</f>
        <v>532000</v>
      </c>
      <c r="Q4" s="157"/>
    </row>
    <row r="5" spans="1:17" ht="22.5" customHeight="1" x14ac:dyDescent="0.2">
      <c r="A5" s="150" t="s">
        <v>30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2"/>
      <c r="M5" s="76">
        <f>SUBTOTAL(109,Table224578910112345678391011[KG VOLUME])</f>
        <v>11.96</v>
      </c>
      <c r="N5" s="67">
        <f>SUM(N3:N4)</f>
        <v>50</v>
      </c>
      <c r="O5" s="153">
        <f>SUM(P3:P3)</f>
        <v>168000</v>
      </c>
      <c r="P5" s="154"/>
    </row>
    <row r="6" spans="1:17" ht="18" customHeight="1" x14ac:dyDescent="0.2">
      <c r="A6" s="83"/>
      <c r="B6" s="56" t="s">
        <v>42</v>
      </c>
      <c r="C6" s="55"/>
      <c r="D6" s="57" t="s">
        <v>43</v>
      </c>
      <c r="E6" s="83"/>
      <c r="F6" s="83"/>
      <c r="G6" s="83"/>
      <c r="H6" s="83"/>
      <c r="I6" s="83"/>
      <c r="J6" s="83"/>
      <c r="K6" s="83"/>
      <c r="L6" s="83"/>
      <c r="M6" s="84"/>
      <c r="N6" s="85" t="s">
        <v>51</v>
      </c>
      <c r="O6" s="86"/>
      <c r="P6" s="86">
        <f>O5*10%</f>
        <v>16800</v>
      </c>
    </row>
    <row r="7" spans="1:17" ht="18" customHeight="1" thickBot="1" x14ac:dyDescent="0.25">
      <c r="A7" s="83"/>
      <c r="B7" s="56"/>
      <c r="C7" s="55"/>
      <c r="D7" s="57"/>
      <c r="E7" s="83"/>
      <c r="F7" s="83"/>
      <c r="G7" s="83"/>
      <c r="H7" s="83"/>
      <c r="I7" s="83"/>
      <c r="J7" s="83"/>
      <c r="K7" s="83"/>
      <c r="L7" s="83"/>
      <c r="M7" s="84"/>
      <c r="N7" s="87" t="s">
        <v>52</v>
      </c>
      <c r="O7" s="88"/>
      <c r="P7" s="88">
        <f>O5-P6</f>
        <v>151200</v>
      </c>
    </row>
    <row r="8" spans="1:17" ht="18" customHeight="1" x14ac:dyDescent="0.2">
      <c r="A8" s="11"/>
      <c r="H8" s="62"/>
      <c r="N8" s="61" t="s">
        <v>31</v>
      </c>
      <c r="P8" s="68">
        <f>P7*1%</f>
        <v>1512</v>
      </c>
    </row>
    <row r="9" spans="1:17" ht="18" customHeight="1" thickBot="1" x14ac:dyDescent="0.25">
      <c r="A9" s="11"/>
      <c r="H9" s="62"/>
      <c r="N9" s="61" t="s">
        <v>53</v>
      </c>
      <c r="P9" s="70">
        <f>P7*2%</f>
        <v>3024</v>
      </c>
    </row>
    <row r="10" spans="1:17" ht="18" customHeight="1" x14ac:dyDescent="0.2">
      <c r="A10" s="11"/>
      <c r="H10" s="62"/>
      <c r="N10" s="65" t="s">
        <v>32</v>
      </c>
      <c r="O10" s="66"/>
      <c r="P10" s="69">
        <f>P7+P8-P9</f>
        <v>149688</v>
      </c>
    </row>
    <row r="12" spans="1:17" x14ac:dyDescent="0.2">
      <c r="A12" s="11"/>
      <c r="H12" s="62"/>
      <c r="P12" s="70"/>
    </row>
    <row r="13" spans="1:17" x14ac:dyDescent="0.2">
      <c r="A13" s="11"/>
      <c r="H13" s="62"/>
      <c r="O13" s="58"/>
      <c r="P13" s="70"/>
    </row>
    <row r="14" spans="1:17" s="3" customFormat="1" x14ac:dyDescent="0.25">
      <c r="A14" s="11"/>
      <c r="B14" s="2"/>
      <c r="C14" s="2"/>
      <c r="E14" s="12"/>
      <c r="H14" s="62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</sheetData>
  <mergeCells count="3">
    <mergeCell ref="A5:L5"/>
    <mergeCell ref="O5:P5"/>
    <mergeCell ref="Q3:Q4"/>
  </mergeCells>
  <conditionalFormatting sqref="B3">
    <cfRule type="duplicateValues" dxfId="16" priority="2"/>
  </conditionalFormatting>
  <conditionalFormatting sqref="B4">
    <cfRule type="duplicateValues" dxfId="1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0"/>
  <sheetViews>
    <sheetView zoomScale="110" zoomScaleNormal="110" workbookViewId="0">
      <pane xSplit="3" ySplit="2" topLeftCell="D35" activePane="bottomRight" state="frozen"/>
      <selection activeCell="G12" sqref="G12"/>
      <selection pane="topRight" activeCell="G12" sqref="G12"/>
      <selection pane="bottomLeft" activeCell="G12" sqref="G12"/>
      <selection pane="bottomRight" activeCell="Q41" sqref="Q41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5.85546875" style="6" customWidth="1"/>
    <col min="9" max="11" width="3.85546875" style="3" customWidth="1"/>
    <col min="12" max="12" width="5" style="3" customWidth="1"/>
    <col min="13" max="13" width="8.5703125" style="3" customWidth="1"/>
    <col min="14" max="14" width="12.140625" style="15" customWidth="1"/>
    <col min="15" max="15" width="8.140625" style="15" customWidth="1"/>
    <col min="16" max="16" width="12.28515625" style="15" customWidth="1"/>
    <col min="17" max="17" width="6.42578125" style="4" customWidth="1"/>
    <col min="18" max="16384" width="9.140625" style="4"/>
  </cols>
  <sheetData>
    <row r="1" spans="1:17" ht="15.75" thickBot="1" x14ac:dyDescent="0.25">
      <c r="H1" s="5"/>
    </row>
    <row r="2" spans="1:17" ht="25.5" x14ac:dyDescent="0.2">
      <c r="A2" s="95" t="s">
        <v>44</v>
      </c>
      <c r="B2" s="96" t="s">
        <v>7</v>
      </c>
      <c r="C2" s="96" t="s">
        <v>0</v>
      </c>
      <c r="D2" s="96" t="s">
        <v>1</v>
      </c>
      <c r="E2" s="97" t="s">
        <v>4</v>
      </c>
      <c r="F2" s="96" t="s">
        <v>3</v>
      </c>
      <c r="G2" s="96" t="s">
        <v>5</v>
      </c>
      <c r="H2" s="97" t="s">
        <v>2</v>
      </c>
      <c r="I2" s="96" t="s">
        <v>39</v>
      </c>
      <c r="J2" s="96" t="s">
        <v>40</v>
      </c>
      <c r="K2" s="96" t="s">
        <v>41</v>
      </c>
      <c r="L2" s="98" t="s">
        <v>45</v>
      </c>
      <c r="M2" s="98" t="s">
        <v>46</v>
      </c>
      <c r="N2" s="98" t="s">
        <v>6</v>
      </c>
      <c r="O2" s="98" t="s">
        <v>47</v>
      </c>
      <c r="P2" s="98" t="s">
        <v>48</v>
      </c>
      <c r="Q2" s="99" t="s">
        <v>26</v>
      </c>
    </row>
    <row r="3" spans="1:17" ht="26.25" customHeight="1" x14ac:dyDescent="0.2">
      <c r="A3" s="100">
        <v>403375</v>
      </c>
      <c r="B3" s="72" t="s">
        <v>59</v>
      </c>
      <c r="C3" s="9" t="s">
        <v>60</v>
      </c>
      <c r="D3" s="74" t="s">
        <v>71</v>
      </c>
      <c r="E3" s="13">
        <v>44593</v>
      </c>
      <c r="F3" s="74" t="s">
        <v>72</v>
      </c>
      <c r="G3" s="13">
        <v>44606</v>
      </c>
      <c r="H3" s="10" t="s">
        <v>73</v>
      </c>
      <c r="I3" s="1">
        <v>65</v>
      </c>
      <c r="J3" s="1">
        <v>56</v>
      </c>
      <c r="K3" s="1">
        <v>22</v>
      </c>
      <c r="L3" s="1">
        <v>9</v>
      </c>
      <c r="M3" s="77">
        <v>20.02</v>
      </c>
      <c r="N3" s="105">
        <v>20.02</v>
      </c>
      <c r="O3" s="63">
        <v>14000</v>
      </c>
      <c r="P3" s="122">
        <f t="shared" ref="P3:P38" si="0">N3*O3</f>
        <v>280280</v>
      </c>
      <c r="Q3" s="142">
        <v>11</v>
      </c>
    </row>
    <row r="4" spans="1:17" ht="26.25" customHeight="1" x14ac:dyDescent="0.2">
      <c r="A4" s="101"/>
      <c r="B4" s="73"/>
      <c r="C4" s="71" t="s">
        <v>61</v>
      </c>
      <c r="D4" s="74" t="s">
        <v>71</v>
      </c>
      <c r="E4" s="13">
        <v>44593</v>
      </c>
      <c r="F4" s="74" t="s">
        <v>72</v>
      </c>
      <c r="G4" s="13">
        <v>44606</v>
      </c>
      <c r="H4" s="75" t="s">
        <v>73</v>
      </c>
      <c r="I4" s="16">
        <v>65</v>
      </c>
      <c r="J4" s="16">
        <v>56</v>
      </c>
      <c r="K4" s="16">
        <v>22</v>
      </c>
      <c r="L4" s="16">
        <v>9</v>
      </c>
      <c r="M4" s="78">
        <v>20.02</v>
      </c>
      <c r="N4" s="105">
        <v>20.02</v>
      </c>
      <c r="O4" s="63">
        <v>14000</v>
      </c>
      <c r="P4" s="122">
        <f t="shared" si="0"/>
        <v>280280</v>
      </c>
      <c r="Q4" s="143"/>
    </row>
    <row r="5" spans="1:17" ht="26.25" customHeight="1" x14ac:dyDescent="0.2">
      <c r="A5" s="101"/>
      <c r="B5" s="73"/>
      <c r="C5" s="71" t="s">
        <v>62</v>
      </c>
      <c r="D5" s="74" t="s">
        <v>71</v>
      </c>
      <c r="E5" s="13">
        <v>44593</v>
      </c>
      <c r="F5" s="74" t="s">
        <v>72</v>
      </c>
      <c r="G5" s="13">
        <v>44606</v>
      </c>
      <c r="H5" s="75" t="s">
        <v>73</v>
      </c>
      <c r="I5" s="16">
        <v>65</v>
      </c>
      <c r="J5" s="16">
        <v>56</v>
      </c>
      <c r="K5" s="16">
        <v>22</v>
      </c>
      <c r="L5" s="16">
        <v>9</v>
      </c>
      <c r="M5" s="78">
        <v>20.02</v>
      </c>
      <c r="N5" s="105">
        <v>20.02</v>
      </c>
      <c r="O5" s="63">
        <v>14000</v>
      </c>
      <c r="P5" s="122">
        <f t="shared" si="0"/>
        <v>280280</v>
      </c>
      <c r="Q5" s="143"/>
    </row>
    <row r="6" spans="1:17" ht="26.25" customHeight="1" x14ac:dyDescent="0.2">
      <c r="A6" s="101"/>
      <c r="B6" s="73"/>
      <c r="C6" s="71" t="s">
        <v>63</v>
      </c>
      <c r="D6" s="74" t="s">
        <v>71</v>
      </c>
      <c r="E6" s="13">
        <v>44593</v>
      </c>
      <c r="F6" s="74" t="s">
        <v>72</v>
      </c>
      <c r="G6" s="13">
        <v>44606</v>
      </c>
      <c r="H6" s="75" t="s">
        <v>73</v>
      </c>
      <c r="I6" s="16">
        <v>52</v>
      </c>
      <c r="J6" s="16">
        <v>45</v>
      </c>
      <c r="K6" s="16">
        <v>13</v>
      </c>
      <c r="L6" s="16">
        <v>11</v>
      </c>
      <c r="M6" s="78">
        <v>7.6050000000000004</v>
      </c>
      <c r="N6" s="105">
        <v>11</v>
      </c>
      <c r="O6" s="63">
        <v>14000</v>
      </c>
      <c r="P6" s="122">
        <f t="shared" si="0"/>
        <v>154000</v>
      </c>
      <c r="Q6" s="143"/>
    </row>
    <row r="7" spans="1:17" ht="26.25" customHeight="1" x14ac:dyDescent="0.2">
      <c r="A7" s="101"/>
      <c r="B7" s="73"/>
      <c r="C7" s="71" t="s">
        <v>64</v>
      </c>
      <c r="D7" s="74" t="s">
        <v>71</v>
      </c>
      <c r="E7" s="13">
        <v>44593</v>
      </c>
      <c r="F7" s="74" t="s">
        <v>72</v>
      </c>
      <c r="G7" s="13">
        <v>44606</v>
      </c>
      <c r="H7" s="75" t="s">
        <v>73</v>
      </c>
      <c r="I7" s="16">
        <v>52</v>
      </c>
      <c r="J7" s="16">
        <v>45</v>
      </c>
      <c r="K7" s="16">
        <v>13</v>
      </c>
      <c r="L7" s="16">
        <v>11</v>
      </c>
      <c r="M7" s="78">
        <v>7.6050000000000004</v>
      </c>
      <c r="N7" s="105">
        <v>11</v>
      </c>
      <c r="O7" s="63">
        <v>14000</v>
      </c>
      <c r="P7" s="122">
        <f t="shared" si="0"/>
        <v>154000</v>
      </c>
      <c r="Q7" s="143"/>
    </row>
    <row r="8" spans="1:17" ht="26.25" customHeight="1" x14ac:dyDescent="0.2">
      <c r="A8" s="101"/>
      <c r="B8" s="73"/>
      <c r="C8" s="71" t="s">
        <v>65</v>
      </c>
      <c r="D8" s="104" t="s">
        <v>71</v>
      </c>
      <c r="E8" s="13">
        <v>44593</v>
      </c>
      <c r="F8" s="74" t="s">
        <v>72</v>
      </c>
      <c r="G8" s="13">
        <v>44606</v>
      </c>
      <c r="H8" s="75" t="s">
        <v>73</v>
      </c>
      <c r="I8" s="16">
        <v>52</v>
      </c>
      <c r="J8" s="16">
        <v>45</v>
      </c>
      <c r="K8" s="16">
        <v>13</v>
      </c>
      <c r="L8" s="16">
        <v>11</v>
      </c>
      <c r="M8" s="78">
        <v>7.6050000000000004</v>
      </c>
      <c r="N8" s="105">
        <v>11</v>
      </c>
      <c r="O8" s="63">
        <v>14000</v>
      </c>
      <c r="P8" s="122">
        <f t="shared" si="0"/>
        <v>154000</v>
      </c>
      <c r="Q8" s="143"/>
    </row>
    <row r="9" spans="1:17" ht="26.25" customHeight="1" x14ac:dyDescent="0.2">
      <c r="A9" s="101"/>
      <c r="B9" s="73"/>
      <c r="C9" s="71" t="s">
        <v>66</v>
      </c>
      <c r="D9" s="104" t="s">
        <v>71</v>
      </c>
      <c r="E9" s="13">
        <v>44593</v>
      </c>
      <c r="F9" s="74" t="s">
        <v>72</v>
      </c>
      <c r="G9" s="13">
        <v>44606</v>
      </c>
      <c r="H9" s="75" t="s">
        <v>73</v>
      </c>
      <c r="I9" s="16">
        <v>52</v>
      </c>
      <c r="J9" s="16">
        <v>45</v>
      </c>
      <c r="K9" s="16">
        <v>13</v>
      </c>
      <c r="L9" s="16">
        <v>11</v>
      </c>
      <c r="M9" s="78">
        <v>7.6050000000000004</v>
      </c>
      <c r="N9" s="105">
        <v>11</v>
      </c>
      <c r="O9" s="63">
        <v>14000</v>
      </c>
      <c r="P9" s="122">
        <f t="shared" si="0"/>
        <v>154000</v>
      </c>
      <c r="Q9" s="143"/>
    </row>
    <row r="10" spans="1:17" ht="26.25" customHeight="1" x14ac:dyDescent="0.2">
      <c r="A10" s="101"/>
      <c r="B10" s="73"/>
      <c r="C10" s="71" t="s">
        <v>67</v>
      </c>
      <c r="D10" s="104" t="s">
        <v>71</v>
      </c>
      <c r="E10" s="13">
        <v>44593</v>
      </c>
      <c r="F10" s="74" t="s">
        <v>72</v>
      </c>
      <c r="G10" s="13">
        <v>44606</v>
      </c>
      <c r="H10" s="75" t="s">
        <v>73</v>
      </c>
      <c r="I10" s="16">
        <v>36</v>
      </c>
      <c r="J10" s="16">
        <v>35</v>
      </c>
      <c r="K10" s="16">
        <v>30</v>
      </c>
      <c r="L10" s="16">
        <v>10</v>
      </c>
      <c r="M10" s="78">
        <v>9.4499999999999993</v>
      </c>
      <c r="N10" s="105">
        <v>10</v>
      </c>
      <c r="O10" s="63">
        <v>14000</v>
      </c>
      <c r="P10" s="122">
        <f t="shared" si="0"/>
        <v>140000</v>
      </c>
      <c r="Q10" s="143"/>
    </row>
    <row r="11" spans="1:17" ht="26.25" customHeight="1" x14ac:dyDescent="0.2">
      <c r="A11" s="101"/>
      <c r="B11" s="73"/>
      <c r="C11" s="71" t="s">
        <v>68</v>
      </c>
      <c r="D11" s="104" t="s">
        <v>71</v>
      </c>
      <c r="E11" s="13">
        <v>44593</v>
      </c>
      <c r="F11" s="74" t="s">
        <v>72</v>
      </c>
      <c r="G11" s="13">
        <v>44606</v>
      </c>
      <c r="H11" s="75" t="s">
        <v>73</v>
      </c>
      <c r="I11" s="16">
        <v>38</v>
      </c>
      <c r="J11" s="16">
        <v>40</v>
      </c>
      <c r="K11" s="16">
        <v>48</v>
      </c>
      <c r="L11" s="16">
        <v>10</v>
      </c>
      <c r="M11" s="78">
        <v>18.239999999999998</v>
      </c>
      <c r="N11" s="105">
        <v>18.239999999999998</v>
      </c>
      <c r="O11" s="63">
        <v>14000</v>
      </c>
      <c r="P11" s="122">
        <f t="shared" si="0"/>
        <v>255359.99999999997</v>
      </c>
      <c r="Q11" s="143"/>
    </row>
    <row r="12" spans="1:17" ht="26.25" customHeight="1" x14ac:dyDescent="0.2">
      <c r="A12" s="101"/>
      <c r="B12" s="73"/>
      <c r="C12" s="71" t="s">
        <v>69</v>
      </c>
      <c r="D12" s="104" t="s">
        <v>71</v>
      </c>
      <c r="E12" s="13">
        <v>44593</v>
      </c>
      <c r="F12" s="74" t="s">
        <v>72</v>
      </c>
      <c r="G12" s="13">
        <v>44606</v>
      </c>
      <c r="H12" s="75" t="s">
        <v>73</v>
      </c>
      <c r="I12" s="16">
        <v>77</v>
      </c>
      <c r="J12" s="16">
        <v>46</v>
      </c>
      <c r="K12" s="16">
        <v>38</v>
      </c>
      <c r="L12" s="16">
        <v>10</v>
      </c>
      <c r="M12" s="78">
        <v>33.649000000000001</v>
      </c>
      <c r="N12" s="105">
        <v>34</v>
      </c>
      <c r="O12" s="63">
        <v>14000</v>
      </c>
      <c r="P12" s="122">
        <f t="shared" si="0"/>
        <v>476000</v>
      </c>
      <c r="Q12" s="143"/>
    </row>
    <row r="13" spans="1:17" ht="26.25" customHeight="1" x14ac:dyDescent="0.2">
      <c r="A13" s="101"/>
      <c r="B13" s="73"/>
      <c r="C13" s="71" t="s">
        <v>70</v>
      </c>
      <c r="D13" s="104" t="s">
        <v>71</v>
      </c>
      <c r="E13" s="13">
        <v>44593</v>
      </c>
      <c r="F13" s="74" t="s">
        <v>72</v>
      </c>
      <c r="G13" s="13">
        <v>44606</v>
      </c>
      <c r="H13" s="75" t="s">
        <v>73</v>
      </c>
      <c r="I13" s="16">
        <v>77</v>
      </c>
      <c r="J13" s="16">
        <v>46</v>
      </c>
      <c r="K13" s="16">
        <v>38</v>
      </c>
      <c r="L13" s="16">
        <v>10</v>
      </c>
      <c r="M13" s="78">
        <v>33.649000000000001</v>
      </c>
      <c r="N13" s="105">
        <v>34</v>
      </c>
      <c r="O13" s="63">
        <v>14000</v>
      </c>
      <c r="P13" s="122">
        <f t="shared" si="0"/>
        <v>476000</v>
      </c>
      <c r="Q13" s="144"/>
    </row>
    <row r="14" spans="1:17" ht="26.25" customHeight="1" x14ac:dyDescent="0.2">
      <c r="A14" s="110">
        <v>403395</v>
      </c>
      <c r="B14" s="72" t="s">
        <v>74</v>
      </c>
      <c r="C14" s="9" t="s">
        <v>75</v>
      </c>
      <c r="D14" s="74" t="s">
        <v>71</v>
      </c>
      <c r="E14" s="13">
        <v>44599</v>
      </c>
      <c r="F14" s="74" t="s">
        <v>72</v>
      </c>
      <c r="G14" s="13">
        <v>44621</v>
      </c>
      <c r="H14" s="10" t="s">
        <v>93</v>
      </c>
      <c r="I14" s="1">
        <v>43</v>
      </c>
      <c r="J14" s="1">
        <v>35</v>
      </c>
      <c r="K14" s="1">
        <v>28</v>
      </c>
      <c r="L14" s="1">
        <v>9</v>
      </c>
      <c r="M14" s="77">
        <v>10.535</v>
      </c>
      <c r="N14" s="8">
        <v>11</v>
      </c>
      <c r="O14" s="63">
        <v>14000</v>
      </c>
      <c r="P14" s="122">
        <f t="shared" si="0"/>
        <v>154000</v>
      </c>
      <c r="Q14" s="142">
        <v>16</v>
      </c>
    </row>
    <row r="15" spans="1:17" ht="26.25" customHeight="1" x14ac:dyDescent="0.2">
      <c r="A15" s="111"/>
      <c r="B15" s="73"/>
      <c r="C15" s="9" t="s">
        <v>76</v>
      </c>
      <c r="D15" s="74" t="s">
        <v>71</v>
      </c>
      <c r="E15" s="13">
        <v>44599</v>
      </c>
      <c r="F15" s="74" t="s">
        <v>72</v>
      </c>
      <c r="G15" s="13">
        <v>44621</v>
      </c>
      <c r="H15" s="10" t="s">
        <v>93</v>
      </c>
      <c r="I15" s="1">
        <v>43</v>
      </c>
      <c r="J15" s="1">
        <v>35</v>
      </c>
      <c r="K15" s="1">
        <v>28</v>
      </c>
      <c r="L15" s="1">
        <v>9</v>
      </c>
      <c r="M15" s="77">
        <v>10.535</v>
      </c>
      <c r="N15" s="8">
        <v>11</v>
      </c>
      <c r="O15" s="63">
        <v>14000</v>
      </c>
      <c r="P15" s="122">
        <f t="shared" si="0"/>
        <v>154000</v>
      </c>
      <c r="Q15" s="143"/>
    </row>
    <row r="16" spans="1:17" ht="26.25" customHeight="1" x14ac:dyDescent="0.2">
      <c r="A16" s="111"/>
      <c r="B16" s="73"/>
      <c r="C16" s="9" t="s">
        <v>77</v>
      </c>
      <c r="D16" s="74" t="s">
        <v>71</v>
      </c>
      <c r="E16" s="13">
        <v>44599</v>
      </c>
      <c r="F16" s="74" t="s">
        <v>72</v>
      </c>
      <c r="G16" s="13">
        <v>44621</v>
      </c>
      <c r="H16" s="10" t="s">
        <v>93</v>
      </c>
      <c r="I16" s="1">
        <v>43</v>
      </c>
      <c r="J16" s="1">
        <v>35</v>
      </c>
      <c r="K16" s="1">
        <v>28</v>
      </c>
      <c r="L16" s="1">
        <v>9</v>
      </c>
      <c r="M16" s="77">
        <v>10.535</v>
      </c>
      <c r="N16" s="8">
        <v>11</v>
      </c>
      <c r="O16" s="63">
        <v>14000</v>
      </c>
      <c r="P16" s="122">
        <f t="shared" si="0"/>
        <v>154000</v>
      </c>
      <c r="Q16" s="143"/>
    </row>
    <row r="17" spans="1:17" ht="26.25" customHeight="1" x14ac:dyDescent="0.2">
      <c r="A17" s="111"/>
      <c r="B17" s="73"/>
      <c r="C17" s="9" t="s">
        <v>78</v>
      </c>
      <c r="D17" s="74" t="s">
        <v>71</v>
      </c>
      <c r="E17" s="13">
        <v>44599</v>
      </c>
      <c r="F17" s="74" t="s">
        <v>72</v>
      </c>
      <c r="G17" s="13">
        <v>44621</v>
      </c>
      <c r="H17" s="10" t="s">
        <v>93</v>
      </c>
      <c r="I17" s="1">
        <v>43</v>
      </c>
      <c r="J17" s="1">
        <v>35</v>
      </c>
      <c r="K17" s="1">
        <v>28</v>
      </c>
      <c r="L17" s="1">
        <v>9</v>
      </c>
      <c r="M17" s="77">
        <v>10.535</v>
      </c>
      <c r="N17" s="8">
        <v>11</v>
      </c>
      <c r="O17" s="63">
        <v>14000</v>
      </c>
      <c r="P17" s="122">
        <f t="shared" si="0"/>
        <v>154000</v>
      </c>
      <c r="Q17" s="143"/>
    </row>
    <row r="18" spans="1:17" ht="26.25" customHeight="1" x14ac:dyDescent="0.2">
      <c r="A18" s="111"/>
      <c r="B18" s="73"/>
      <c r="C18" s="9" t="s">
        <v>79</v>
      </c>
      <c r="D18" s="74" t="s">
        <v>71</v>
      </c>
      <c r="E18" s="13">
        <v>44599</v>
      </c>
      <c r="F18" s="74" t="s">
        <v>72</v>
      </c>
      <c r="G18" s="13">
        <v>44621</v>
      </c>
      <c r="H18" s="10" t="s">
        <v>93</v>
      </c>
      <c r="I18" s="1">
        <v>43</v>
      </c>
      <c r="J18" s="1">
        <v>35</v>
      </c>
      <c r="K18" s="1">
        <v>28</v>
      </c>
      <c r="L18" s="1">
        <v>9</v>
      </c>
      <c r="M18" s="77">
        <v>10.535</v>
      </c>
      <c r="N18" s="8">
        <v>11</v>
      </c>
      <c r="O18" s="63">
        <v>14000</v>
      </c>
      <c r="P18" s="122">
        <f t="shared" si="0"/>
        <v>154000</v>
      </c>
      <c r="Q18" s="143"/>
    </row>
    <row r="19" spans="1:17" ht="26.25" customHeight="1" x14ac:dyDescent="0.2">
      <c r="A19" s="111"/>
      <c r="B19" s="73"/>
      <c r="C19" s="9" t="s">
        <v>80</v>
      </c>
      <c r="D19" s="74" t="s">
        <v>71</v>
      </c>
      <c r="E19" s="13">
        <v>44599</v>
      </c>
      <c r="F19" s="74" t="s">
        <v>72</v>
      </c>
      <c r="G19" s="13">
        <v>44621</v>
      </c>
      <c r="H19" s="10" t="s">
        <v>93</v>
      </c>
      <c r="I19" s="1">
        <v>43</v>
      </c>
      <c r="J19" s="1">
        <v>35</v>
      </c>
      <c r="K19" s="1">
        <v>28</v>
      </c>
      <c r="L19" s="1">
        <v>9</v>
      </c>
      <c r="M19" s="77">
        <v>10.535</v>
      </c>
      <c r="N19" s="8">
        <v>11</v>
      </c>
      <c r="O19" s="63">
        <v>14000</v>
      </c>
      <c r="P19" s="122">
        <f t="shared" si="0"/>
        <v>154000</v>
      </c>
      <c r="Q19" s="143"/>
    </row>
    <row r="20" spans="1:17" ht="26.25" customHeight="1" x14ac:dyDescent="0.2">
      <c r="A20" s="111"/>
      <c r="B20" s="73"/>
      <c r="C20" s="9" t="s">
        <v>81</v>
      </c>
      <c r="D20" s="74" t="s">
        <v>71</v>
      </c>
      <c r="E20" s="13">
        <v>44599</v>
      </c>
      <c r="F20" s="74" t="s">
        <v>72</v>
      </c>
      <c r="G20" s="13">
        <v>44621</v>
      </c>
      <c r="H20" s="10" t="s">
        <v>93</v>
      </c>
      <c r="I20" s="1">
        <v>43</v>
      </c>
      <c r="J20" s="1">
        <v>35</v>
      </c>
      <c r="K20" s="1">
        <v>28</v>
      </c>
      <c r="L20" s="1">
        <v>9</v>
      </c>
      <c r="M20" s="77">
        <v>10.535</v>
      </c>
      <c r="N20" s="8">
        <v>11</v>
      </c>
      <c r="O20" s="63">
        <v>14000</v>
      </c>
      <c r="P20" s="122">
        <f t="shared" si="0"/>
        <v>154000</v>
      </c>
      <c r="Q20" s="143"/>
    </row>
    <row r="21" spans="1:17" ht="26.25" customHeight="1" x14ac:dyDescent="0.2">
      <c r="A21" s="111"/>
      <c r="B21" s="73"/>
      <c r="C21" s="9" t="s">
        <v>82</v>
      </c>
      <c r="D21" s="74" t="s">
        <v>71</v>
      </c>
      <c r="E21" s="13">
        <v>44599</v>
      </c>
      <c r="F21" s="74" t="s">
        <v>72</v>
      </c>
      <c r="G21" s="13">
        <v>44621</v>
      </c>
      <c r="H21" s="10" t="s">
        <v>93</v>
      </c>
      <c r="I21" s="1">
        <v>43</v>
      </c>
      <c r="J21" s="1">
        <v>35</v>
      </c>
      <c r="K21" s="1">
        <v>28</v>
      </c>
      <c r="L21" s="1">
        <v>9</v>
      </c>
      <c r="M21" s="77">
        <v>10.535</v>
      </c>
      <c r="N21" s="8">
        <v>11</v>
      </c>
      <c r="O21" s="63">
        <v>14000</v>
      </c>
      <c r="P21" s="122">
        <f t="shared" si="0"/>
        <v>154000</v>
      </c>
      <c r="Q21" s="143"/>
    </row>
    <row r="22" spans="1:17" ht="26.25" customHeight="1" x14ac:dyDescent="0.2">
      <c r="A22" s="111"/>
      <c r="B22" s="73"/>
      <c r="C22" s="9" t="s">
        <v>83</v>
      </c>
      <c r="D22" s="74" t="s">
        <v>71</v>
      </c>
      <c r="E22" s="13">
        <v>44599</v>
      </c>
      <c r="F22" s="74" t="s">
        <v>72</v>
      </c>
      <c r="G22" s="13">
        <v>44621</v>
      </c>
      <c r="H22" s="10" t="s">
        <v>93</v>
      </c>
      <c r="I22" s="1">
        <v>76</v>
      </c>
      <c r="J22" s="1">
        <v>41</v>
      </c>
      <c r="K22" s="1">
        <v>12</v>
      </c>
      <c r="L22" s="1">
        <v>9</v>
      </c>
      <c r="M22" s="77">
        <v>9.3480000000000008</v>
      </c>
      <c r="N22" s="8">
        <v>10</v>
      </c>
      <c r="O22" s="63">
        <v>14000</v>
      </c>
      <c r="P22" s="122">
        <f t="shared" si="0"/>
        <v>140000</v>
      </c>
      <c r="Q22" s="143"/>
    </row>
    <row r="23" spans="1:17" ht="26.25" customHeight="1" x14ac:dyDescent="0.2">
      <c r="A23" s="111"/>
      <c r="B23" s="73"/>
      <c r="C23" s="9" t="s">
        <v>84</v>
      </c>
      <c r="D23" s="74" t="s">
        <v>71</v>
      </c>
      <c r="E23" s="13">
        <v>44599</v>
      </c>
      <c r="F23" s="74" t="s">
        <v>72</v>
      </c>
      <c r="G23" s="13">
        <v>44621</v>
      </c>
      <c r="H23" s="10" t="s">
        <v>93</v>
      </c>
      <c r="I23" s="1">
        <v>76</v>
      </c>
      <c r="J23" s="1">
        <v>41</v>
      </c>
      <c r="K23" s="1">
        <v>12</v>
      </c>
      <c r="L23" s="1">
        <v>9</v>
      </c>
      <c r="M23" s="77">
        <v>9.3480000000000008</v>
      </c>
      <c r="N23" s="8">
        <v>10</v>
      </c>
      <c r="O23" s="63">
        <v>14000</v>
      </c>
      <c r="P23" s="122">
        <f t="shared" si="0"/>
        <v>140000</v>
      </c>
      <c r="Q23" s="143"/>
    </row>
    <row r="24" spans="1:17" ht="26.25" customHeight="1" x14ac:dyDescent="0.2">
      <c r="A24" s="111"/>
      <c r="B24" s="73"/>
      <c r="C24" s="9" t="s">
        <v>85</v>
      </c>
      <c r="D24" s="74" t="s">
        <v>71</v>
      </c>
      <c r="E24" s="13">
        <v>44599</v>
      </c>
      <c r="F24" s="74" t="s">
        <v>72</v>
      </c>
      <c r="G24" s="13">
        <v>44621</v>
      </c>
      <c r="H24" s="10" t="s">
        <v>93</v>
      </c>
      <c r="I24" s="1">
        <v>76</v>
      </c>
      <c r="J24" s="1">
        <v>41</v>
      </c>
      <c r="K24" s="1">
        <v>12</v>
      </c>
      <c r="L24" s="1">
        <v>9</v>
      </c>
      <c r="M24" s="77">
        <v>9.3480000000000008</v>
      </c>
      <c r="N24" s="8">
        <v>10</v>
      </c>
      <c r="O24" s="63">
        <v>14000</v>
      </c>
      <c r="P24" s="122">
        <f t="shared" si="0"/>
        <v>140000</v>
      </c>
      <c r="Q24" s="143"/>
    </row>
    <row r="25" spans="1:17" ht="26.25" customHeight="1" x14ac:dyDescent="0.2">
      <c r="A25" s="111"/>
      <c r="B25" s="73"/>
      <c r="C25" s="9" t="s">
        <v>86</v>
      </c>
      <c r="D25" s="74" t="s">
        <v>71</v>
      </c>
      <c r="E25" s="13">
        <v>44599</v>
      </c>
      <c r="F25" s="74" t="s">
        <v>72</v>
      </c>
      <c r="G25" s="13">
        <v>44621</v>
      </c>
      <c r="H25" s="10" t="s">
        <v>93</v>
      </c>
      <c r="I25" s="1">
        <v>76</v>
      </c>
      <c r="J25" s="1">
        <v>41</v>
      </c>
      <c r="K25" s="1">
        <v>12</v>
      </c>
      <c r="L25" s="1">
        <v>9</v>
      </c>
      <c r="M25" s="77">
        <v>9.3480000000000008</v>
      </c>
      <c r="N25" s="8">
        <v>10</v>
      </c>
      <c r="O25" s="63">
        <v>14000</v>
      </c>
      <c r="P25" s="122">
        <f t="shared" si="0"/>
        <v>140000</v>
      </c>
      <c r="Q25" s="143"/>
    </row>
    <row r="26" spans="1:17" ht="26.25" customHeight="1" x14ac:dyDescent="0.2">
      <c r="A26" s="111"/>
      <c r="B26" s="73"/>
      <c r="C26" s="9" t="s">
        <v>87</v>
      </c>
      <c r="D26" s="74" t="s">
        <v>71</v>
      </c>
      <c r="E26" s="13">
        <v>44599</v>
      </c>
      <c r="F26" s="74" t="s">
        <v>72</v>
      </c>
      <c r="G26" s="13">
        <v>44621</v>
      </c>
      <c r="H26" s="10" t="s">
        <v>93</v>
      </c>
      <c r="I26" s="1">
        <v>76</v>
      </c>
      <c r="J26" s="1">
        <v>41</v>
      </c>
      <c r="K26" s="1">
        <v>12</v>
      </c>
      <c r="L26" s="1">
        <v>9</v>
      </c>
      <c r="M26" s="77">
        <v>9.3480000000000008</v>
      </c>
      <c r="N26" s="8">
        <v>10</v>
      </c>
      <c r="O26" s="63">
        <v>14000</v>
      </c>
      <c r="P26" s="122">
        <f t="shared" si="0"/>
        <v>140000</v>
      </c>
      <c r="Q26" s="143"/>
    </row>
    <row r="27" spans="1:17" ht="26.25" customHeight="1" x14ac:dyDescent="0.2">
      <c r="A27" s="111"/>
      <c r="B27" s="108"/>
      <c r="C27" s="9" t="s">
        <v>88</v>
      </c>
      <c r="D27" s="74" t="s">
        <v>71</v>
      </c>
      <c r="E27" s="13">
        <v>44599</v>
      </c>
      <c r="F27" s="74" t="s">
        <v>72</v>
      </c>
      <c r="G27" s="13">
        <v>44621</v>
      </c>
      <c r="H27" s="10" t="s">
        <v>93</v>
      </c>
      <c r="I27" s="1">
        <v>29</v>
      </c>
      <c r="J27" s="1">
        <v>29</v>
      </c>
      <c r="K27" s="1">
        <v>56</v>
      </c>
      <c r="L27" s="1">
        <v>10</v>
      </c>
      <c r="M27" s="77">
        <v>11.773999999999999</v>
      </c>
      <c r="N27" s="8">
        <v>12</v>
      </c>
      <c r="O27" s="63">
        <v>14000</v>
      </c>
      <c r="P27" s="122">
        <f t="shared" si="0"/>
        <v>168000</v>
      </c>
      <c r="Q27" s="143"/>
    </row>
    <row r="28" spans="1:17" ht="26.25" customHeight="1" x14ac:dyDescent="0.2">
      <c r="A28" s="111"/>
      <c r="B28" s="72" t="s">
        <v>89</v>
      </c>
      <c r="C28" s="9" t="s">
        <v>90</v>
      </c>
      <c r="D28" s="74" t="s">
        <v>71</v>
      </c>
      <c r="E28" s="13">
        <v>44599</v>
      </c>
      <c r="F28" s="74" t="s">
        <v>72</v>
      </c>
      <c r="G28" s="13">
        <v>44621</v>
      </c>
      <c r="H28" s="10" t="s">
        <v>93</v>
      </c>
      <c r="I28" s="1">
        <v>43</v>
      </c>
      <c r="J28" s="1">
        <v>35</v>
      </c>
      <c r="K28" s="1">
        <v>28</v>
      </c>
      <c r="L28" s="1">
        <v>9</v>
      </c>
      <c r="M28" s="77">
        <v>10.535</v>
      </c>
      <c r="N28" s="8">
        <v>11</v>
      </c>
      <c r="O28" s="63">
        <v>14000</v>
      </c>
      <c r="P28" s="122">
        <f t="shared" si="0"/>
        <v>154000</v>
      </c>
      <c r="Q28" s="143"/>
    </row>
    <row r="29" spans="1:17" ht="26.25" customHeight="1" x14ac:dyDescent="0.2">
      <c r="A29" s="112"/>
      <c r="B29" s="72" t="s">
        <v>91</v>
      </c>
      <c r="C29" s="9" t="s">
        <v>92</v>
      </c>
      <c r="D29" s="74" t="s">
        <v>71</v>
      </c>
      <c r="E29" s="13">
        <v>44599</v>
      </c>
      <c r="F29" s="74" t="s">
        <v>72</v>
      </c>
      <c r="G29" s="13">
        <v>44621</v>
      </c>
      <c r="H29" s="10" t="s">
        <v>93</v>
      </c>
      <c r="I29" s="1">
        <v>50</v>
      </c>
      <c r="J29" s="1">
        <v>60</v>
      </c>
      <c r="K29" s="1">
        <v>10</v>
      </c>
      <c r="L29" s="1">
        <v>5</v>
      </c>
      <c r="M29" s="77">
        <v>7.5</v>
      </c>
      <c r="N29" s="8">
        <v>8</v>
      </c>
      <c r="O29" s="63">
        <v>14000</v>
      </c>
      <c r="P29" s="122">
        <f t="shared" si="0"/>
        <v>112000</v>
      </c>
      <c r="Q29" s="144"/>
    </row>
    <row r="30" spans="1:17" ht="26.25" customHeight="1" x14ac:dyDescent="0.2">
      <c r="A30" s="100">
        <v>403398</v>
      </c>
      <c r="B30" s="72" t="s">
        <v>94</v>
      </c>
      <c r="C30" s="9" t="s">
        <v>95</v>
      </c>
      <c r="D30" s="74" t="s">
        <v>71</v>
      </c>
      <c r="E30" s="13">
        <v>44599</v>
      </c>
      <c r="F30" s="74" t="s">
        <v>72</v>
      </c>
      <c r="G30" s="13">
        <v>44621</v>
      </c>
      <c r="H30" s="10" t="s">
        <v>93</v>
      </c>
      <c r="I30" s="1">
        <v>85</v>
      </c>
      <c r="J30" s="1">
        <v>55</v>
      </c>
      <c r="K30" s="1">
        <v>22</v>
      </c>
      <c r="L30" s="1">
        <v>8</v>
      </c>
      <c r="M30" s="77">
        <v>25.712499999999999</v>
      </c>
      <c r="N30" s="8">
        <v>26</v>
      </c>
      <c r="O30" s="63">
        <v>14000</v>
      </c>
      <c r="P30" s="122">
        <f t="shared" si="0"/>
        <v>364000</v>
      </c>
      <c r="Q30" s="113">
        <v>1</v>
      </c>
    </row>
    <row r="31" spans="1:17" ht="26.25" customHeight="1" x14ac:dyDescent="0.2">
      <c r="A31" s="100">
        <v>403314</v>
      </c>
      <c r="B31" s="72" t="s">
        <v>96</v>
      </c>
      <c r="C31" s="9" t="s">
        <v>97</v>
      </c>
      <c r="D31" s="74" t="s">
        <v>71</v>
      </c>
      <c r="E31" s="13">
        <v>44600</v>
      </c>
      <c r="F31" s="74" t="s">
        <v>72</v>
      </c>
      <c r="G31" s="13">
        <v>44621</v>
      </c>
      <c r="H31" s="10" t="s">
        <v>93</v>
      </c>
      <c r="I31" s="1">
        <v>70</v>
      </c>
      <c r="J31" s="1">
        <v>60</v>
      </c>
      <c r="K31" s="1">
        <v>53</v>
      </c>
      <c r="L31" s="1">
        <v>9</v>
      </c>
      <c r="M31" s="77">
        <v>55.65</v>
      </c>
      <c r="N31" s="8">
        <v>56</v>
      </c>
      <c r="O31" s="63">
        <v>14000</v>
      </c>
      <c r="P31" s="122">
        <f t="shared" si="0"/>
        <v>784000</v>
      </c>
      <c r="Q31" s="113">
        <v>1</v>
      </c>
    </row>
    <row r="32" spans="1:17" ht="26.25" customHeight="1" x14ac:dyDescent="0.2">
      <c r="A32" s="100">
        <v>403340</v>
      </c>
      <c r="B32" s="72" t="s">
        <v>98</v>
      </c>
      <c r="C32" s="9" t="s">
        <v>99</v>
      </c>
      <c r="D32" s="74" t="s">
        <v>71</v>
      </c>
      <c r="E32" s="13">
        <v>44607</v>
      </c>
      <c r="F32" s="74" t="s">
        <v>72</v>
      </c>
      <c r="G32" s="13">
        <v>44621</v>
      </c>
      <c r="H32" s="10" t="s">
        <v>93</v>
      </c>
      <c r="I32" s="1">
        <v>54</v>
      </c>
      <c r="J32" s="1">
        <v>28</v>
      </c>
      <c r="K32" s="1">
        <v>11</v>
      </c>
      <c r="L32" s="1">
        <v>9</v>
      </c>
      <c r="M32" s="77">
        <v>4.1580000000000004</v>
      </c>
      <c r="N32" s="8">
        <v>9</v>
      </c>
      <c r="O32" s="63">
        <v>14000</v>
      </c>
      <c r="P32" s="122">
        <f t="shared" si="0"/>
        <v>126000</v>
      </c>
      <c r="Q32" s="142">
        <v>2</v>
      </c>
    </row>
    <row r="33" spans="1:17" ht="26.25" customHeight="1" x14ac:dyDescent="0.2">
      <c r="A33" s="101"/>
      <c r="B33" s="73"/>
      <c r="C33" s="9" t="s">
        <v>100</v>
      </c>
      <c r="D33" s="74" t="s">
        <v>71</v>
      </c>
      <c r="E33" s="13">
        <v>44607</v>
      </c>
      <c r="F33" s="74" t="s">
        <v>72</v>
      </c>
      <c r="G33" s="13">
        <v>44621</v>
      </c>
      <c r="H33" s="10" t="s">
        <v>93</v>
      </c>
      <c r="I33" s="1">
        <v>61</v>
      </c>
      <c r="J33" s="1">
        <v>21</v>
      </c>
      <c r="K33" s="1">
        <v>17</v>
      </c>
      <c r="L33" s="1">
        <v>10</v>
      </c>
      <c r="M33" s="77">
        <v>5.4442500000000003</v>
      </c>
      <c r="N33" s="8">
        <v>10</v>
      </c>
      <c r="O33" s="63">
        <v>14000</v>
      </c>
      <c r="P33" s="122">
        <f t="shared" si="0"/>
        <v>140000</v>
      </c>
      <c r="Q33" s="144"/>
    </row>
    <row r="34" spans="1:17" ht="26.25" customHeight="1" x14ac:dyDescent="0.2">
      <c r="A34" s="100">
        <v>403161</v>
      </c>
      <c r="B34" s="72" t="s">
        <v>101</v>
      </c>
      <c r="C34" s="9" t="s">
        <v>102</v>
      </c>
      <c r="D34" s="74" t="s">
        <v>71</v>
      </c>
      <c r="E34" s="13">
        <v>44611</v>
      </c>
      <c r="F34" s="74" t="s">
        <v>72</v>
      </c>
      <c r="G34" s="13">
        <v>44625</v>
      </c>
      <c r="H34" s="10" t="s">
        <v>103</v>
      </c>
      <c r="I34" s="1">
        <v>31</v>
      </c>
      <c r="J34" s="1">
        <v>22</v>
      </c>
      <c r="K34" s="1">
        <v>12</v>
      </c>
      <c r="L34" s="1">
        <v>16</v>
      </c>
      <c r="M34" s="77">
        <v>2.0459999999999998</v>
      </c>
      <c r="N34" s="8">
        <v>16</v>
      </c>
      <c r="O34" s="63">
        <v>14000</v>
      </c>
      <c r="P34" s="122">
        <f t="shared" si="0"/>
        <v>224000</v>
      </c>
      <c r="Q34" s="113">
        <v>1</v>
      </c>
    </row>
    <row r="35" spans="1:17" ht="26.25" customHeight="1" x14ac:dyDescent="0.2">
      <c r="A35" s="100">
        <v>404667</v>
      </c>
      <c r="B35" s="72" t="s">
        <v>104</v>
      </c>
      <c r="C35" s="9" t="s">
        <v>105</v>
      </c>
      <c r="D35" s="74" t="s">
        <v>71</v>
      </c>
      <c r="E35" s="13">
        <v>44612</v>
      </c>
      <c r="F35" s="74" t="s">
        <v>72</v>
      </c>
      <c r="G35" s="13">
        <v>44625</v>
      </c>
      <c r="H35" s="10" t="s">
        <v>103</v>
      </c>
      <c r="I35" s="1">
        <v>60</v>
      </c>
      <c r="J35" s="1">
        <v>21</v>
      </c>
      <c r="K35" s="1">
        <v>26</v>
      </c>
      <c r="L35" s="1">
        <v>4</v>
      </c>
      <c r="M35" s="77">
        <v>8.19</v>
      </c>
      <c r="N35" s="8">
        <v>8</v>
      </c>
      <c r="O35" s="63">
        <v>14000</v>
      </c>
      <c r="P35" s="122">
        <f t="shared" si="0"/>
        <v>112000</v>
      </c>
      <c r="Q35" s="113">
        <v>1</v>
      </c>
    </row>
    <row r="36" spans="1:17" ht="26.25" customHeight="1" x14ac:dyDescent="0.2">
      <c r="A36" s="100">
        <v>404680</v>
      </c>
      <c r="B36" s="72" t="s">
        <v>106</v>
      </c>
      <c r="C36" s="9" t="s">
        <v>107</v>
      </c>
      <c r="D36" s="74" t="s">
        <v>71</v>
      </c>
      <c r="E36" s="13">
        <v>44615</v>
      </c>
      <c r="F36" s="74" t="s">
        <v>72</v>
      </c>
      <c r="G36" s="13">
        <v>44638</v>
      </c>
      <c r="H36" s="10" t="s">
        <v>108</v>
      </c>
      <c r="I36" s="1">
        <v>58</v>
      </c>
      <c r="J36" s="1">
        <v>31</v>
      </c>
      <c r="K36" s="1">
        <v>13</v>
      </c>
      <c r="L36" s="1">
        <v>13</v>
      </c>
      <c r="M36" s="77">
        <v>5.8434999999999997</v>
      </c>
      <c r="N36" s="8">
        <v>13</v>
      </c>
      <c r="O36" s="63">
        <v>14000</v>
      </c>
      <c r="P36" s="122">
        <f t="shared" si="0"/>
        <v>182000</v>
      </c>
      <c r="Q36" s="113">
        <v>1</v>
      </c>
    </row>
    <row r="37" spans="1:17" ht="26.25" customHeight="1" x14ac:dyDescent="0.2">
      <c r="A37" s="100">
        <v>404758</v>
      </c>
      <c r="B37" s="72" t="s">
        <v>109</v>
      </c>
      <c r="C37" s="9" t="s">
        <v>110</v>
      </c>
      <c r="D37" s="74" t="s">
        <v>71</v>
      </c>
      <c r="E37" s="13">
        <v>44617</v>
      </c>
      <c r="F37" s="74" t="s">
        <v>72</v>
      </c>
      <c r="G37" s="13">
        <v>44638</v>
      </c>
      <c r="H37" s="10" t="s">
        <v>108</v>
      </c>
      <c r="I37" s="1">
        <v>42</v>
      </c>
      <c r="J37" s="1">
        <v>37</v>
      </c>
      <c r="K37" s="1">
        <v>20</v>
      </c>
      <c r="L37" s="1">
        <v>3</v>
      </c>
      <c r="M37" s="77">
        <v>7.77</v>
      </c>
      <c r="N37" s="8">
        <v>8</v>
      </c>
      <c r="O37" s="63">
        <v>14000</v>
      </c>
      <c r="P37" s="122">
        <f t="shared" si="0"/>
        <v>112000</v>
      </c>
      <c r="Q37" s="113">
        <v>1</v>
      </c>
    </row>
    <row r="38" spans="1:17" ht="26.25" customHeight="1" x14ac:dyDescent="0.2">
      <c r="A38" s="100">
        <v>404689</v>
      </c>
      <c r="B38" s="72" t="s">
        <v>111</v>
      </c>
      <c r="C38" s="9" t="s">
        <v>112</v>
      </c>
      <c r="D38" s="74" t="s">
        <v>71</v>
      </c>
      <c r="E38" s="13">
        <v>44619</v>
      </c>
      <c r="F38" s="74" t="s">
        <v>72</v>
      </c>
      <c r="G38" s="13">
        <v>44638</v>
      </c>
      <c r="H38" s="10" t="s">
        <v>108</v>
      </c>
      <c r="I38" s="1">
        <v>46</v>
      </c>
      <c r="J38" s="1">
        <v>40</v>
      </c>
      <c r="K38" s="1">
        <v>26</v>
      </c>
      <c r="L38" s="1">
        <v>6</v>
      </c>
      <c r="M38" s="77">
        <v>11.96</v>
      </c>
      <c r="N38" s="8">
        <v>12</v>
      </c>
      <c r="O38" s="63">
        <v>14000</v>
      </c>
      <c r="P38" s="122">
        <f t="shared" si="0"/>
        <v>168000</v>
      </c>
      <c r="Q38" s="142">
        <v>2</v>
      </c>
    </row>
    <row r="39" spans="1:17" ht="26.25" customHeight="1" thickBot="1" x14ac:dyDescent="0.25">
      <c r="A39" s="101"/>
      <c r="B39" s="73" t="s">
        <v>113</v>
      </c>
      <c r="C39" s="114" t="s">
        <v>114</v>
      </c>
      <c r="D39" s="115" t="s">
        <v>71</v>
      </c>
      <c r="E39" s="116">
        <v>44619</v>
      </c>
      <c r="F39" s="115" t="s">
        <v>72</v>
      </c>
      <c r="G39" s="116">
        <v>44638</v>
      </c>
      <c r="H39" s="117" t="s">
        <v>108</v>
      </c>
      <c r="I39" s="118">
        <v>61</v>
      </c>
      <c r="J39" s="118">
        <v>62</v>
      </c>
      <c r="K39" s="118">
        <v>40</v>
      </c>
      <c r="L39" s="118">
        <v>7</v>
      </c>
      <c r="M39" s="119">
        <v>37.82</v>
      </c>
      <c r="N39" s="120">
        <v>38</v>
      </c>
      <c r="O39" s="121">
        <v>14000</v>
      </c>
      <c r="P39" s="122">
        <f>N39*O39</f>
        <v>532000</v>
      </c>
      <c r="Q39" s="143"/>
    </row>
    <row r="40" spans="1:17" ht="22.5" customHeight="1" thickBot="1" x14ac:dyDescent="0.25">
      <c r="A40" s="145" t="s">
        <v>30</v>
      </c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7"/>
      <c r="M40" s="123">
        <f>SUM(M3:M39)</f>
        <v>510.89125000000007</v>
      </c>
      <c r="N40" s="124">
        <f>SUM(N3:N39)</f>
        <v>565.29999999999995</v>
      </c>
      <c r="O40" s="148">
        <f>SUM(P3:P39)</f>
        <v>7914200</v>
      </c>
      <c r="P40" s="149"/>
      <c r="Q40" s="125">
        <f>SUM(Q3:Q39)</f>
        <v>37</v>
      </c>
    </row>
    <row r="41" spans="1:17" ht="18" customHeight="1" x14ac:dyDescent="0.2">
      <c r="A41" s="83"/>
      <c r="B41" s="56" t="s">
        <v>42</v>
      </c>
      <c r="C41" s="55"/>
      <c r="D41" s="57" t="s">
        <v>43</v>
      </c>
      <c r="E41" s="83"/>
      <c r="F41" s="83"/>
      <c r="G41" s="83"/>
      <c r="H41" s="83"/>
      <c r="I41" s="83"/>
      <c r="J41" s="83"/>
      <c r="K41" s="83"/>
      <c r="L41" s="83"/>
      <c r="M41" s="84"/>
      <c r="N41" s="85" t="s">
        <v>51</v>
      </c>
      <c r="O41" s="86"/>
      <c r="P41" s="86">
        <f>O40*10%</f>
        <v>791420</v>
      </c>
    </row>
    <row r="42" spans="1:17" ht="18" customHeight="1" thickBot="1" x14ac:dyDescent="0.25">
      <c r="A42" s="83"/>
      <c r="B42" s="56"/>
      <c r="C42" s="55"/>
      <c r="D42" s="57"/>
      <c r="E42" s="83"/>
      <c r="F42" s="83"/>
      <c r="G42" s="83"/>
      <c r="H42" s="83"/>
      <c r="I42" s="83"/>
      <c r="J42" s="83"/>
      <c r="K42" s="83"/>
      <c r="L42" s="83"/>
      <c r="M42" s="84"/>
      <c r="N42" s="87" t="s">
        <v>52</v>
      </c>
      <c r="O42" s="88"/>
      <c r="P42" s="88">
        <f>O40-P41</f>
        <v>7122780</v>
      </c>
    </row>
    <row r="43" spans="1:17" ht="18" customHeight="1" x14ac:dyDescent="0.2">
      <c r="A43" s="11"/>
      <c r="H43" s="62"/>
      <c r="N43" s="61" t="s">
        <v>31</v>
      </c>
      <c r="P43" s="68">
        <f>P42*1%</f>
        <v>71227.8</v>
      </c>
    </row>
    <row r="44" spans="1:17" ht="18" customHeight="1" thickBot="1" x14ac:dyDescent="0.25">
      <c r="A44" s="11"/>
      <c r="H44" s="62"/>
      <c r="N44" s="61" t="s">
        <v>53</v>
      </c>
      <c r="P44" s="70">
        <f>P42*2%</f>
        <v>142455.6</v>
      </c>
    </row>
    <row r="45" spans="1:17" ht="18" customHeight="1" x14ac:dyDescent="0.2">
      <c r="A45" s="11"/>
      <c r="H45" s="62"/>
      <c r="N45" s="65" t="s">
        <v>32</v>
      </c>
      <c r="O45" s="66"/>
      <c r="P45" s="69">
        <f>P42+P43-P44</f>
        <v>7051552.2000000002</v>
      </c>
    </row>
    <row r="47" spans="1:17" x14ac:dyDescent="0.2">
      <c r="A47" s="11"/>
      <c r="H47" s="62"/>
      <c r="P47" s="70"/>
    </row>
    <row r="48" spans="1:17" x14ac:dyDescent="0.2">
      <c r="A48" s="11"/>
      <c r="H48" s="62"/>
      <c r="O48" s="58"/>
      <c r="P48" s="70"/>
    </row>
    <row r="49" spans="1:16" s="3" customFormat="1" x14ac:dyDescent="0.25">
      <c r="A49" s="11"/>
      <c r="B49" s="2"/>
      <c r="C49" s="2"/>
      <c r="E49" s="12"/>
      <c r="H49" s="62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2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2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2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2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2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2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2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2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2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2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2"/>
      <c r="N60" s="15"/>
      <c r="O60" s="15"/>
      <c r="P60" s="15"/>
    </row>
  </sheetData>
  <mergeCells count="6">
    <mergeCell ref="Q3:Q13"/>
    <mergeCell ref="A40:L40"/>
    <mergeCell ref="O40:P40"/>
    <mergeCell ref="Q14:Q29"/>
    <mergeCell ref="Q32:Q33"/>
    <mergeCell ref="Q38:Q39"/>
  </mergeCells>
  <conditionalFormatting sqref="B3:B13">
    <cfRule type="duplicateValues" dxfId="190" priority="13"/>
  </conditionalFormatting>
  <conditionalFormatting sqref="B14">
    <cfRule type="duplicateValues" dxfId="189" priority="11"/>
  </conditionalFormatting>
  <conditionalFormatting sqref="B15:B29">
    <cfRule type="duplicateValues" dxfId="188" priority="12"/>
  </conditionalFormatting>
  <conditionalFormatting sqref="B30">
    <cfRule type="duplicateValues" dxfId="187" priority="10"/>
  </conditionalFormatting>
  <conditionalFormatting sqref="B31">
    <cfRule type="duplicateValues" dxfId="186" priority="9"/>
  </conditionalFormatting>
  <conditionalFormatting sqref="B32">
    <cfRule type="duplicateValues" dxfId="185" priority="8"/>
  </conditionalFormatting>
  <conditionalFormatting sqref="B33">
    <cfRule type="duplicateValues" dxfId="184" priority="7"/>
  </conditionalFormatting>
  <conditionalFormatting sqref="B34">
    <cfRule type="duplicateValues" dxfId="183" priority="6"/>
  </conditionalFormatting>
  <conditionalFormatting sqref="B35">
    <cfRule type="duplicateValues" dxfId="182" priority="5"/>
  </conditionalFormatting>
  <conditionalFormatting sqref="B36">
    <cfRule type="duplicateValues" dxfId="181" priority="4"/>
  </conditionalFormatting>
  <conditionalFormatting sqref="B37">
    <cfRule type="duplicateValues" dxfId="180" priority="3"/>
  </conditionalFormatting>
  <conditionalFormatting sqref="B38">
    <cfRule type="duplicateValues" dxfId="179" priority="2"/>
  </conditionalFormatting>
  <conditionalFormatting sqref="B39">
    <cfRule type="duplicateValues" dxfId="178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4"/>
  <sheetViews>
    <sheetView zoomScale="110" zoomScaleNormal="110" workbookViewId="0">
      <pane xSplit="3" ySplit="2" topLeftCell="D3" activePane="bottomRight" state="frozen"/>
      <selection activeCell="G12" sqref="G12"/>
      <selection pane="topRight" activeCell="G12" sqref="G12"/>
      <selection pane="bottomLeft" activeCell="G12" sqref="G12"/>
      <selection pane="bottomRight" activeCell="M4" sqref="M4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3" style="3" customWidth="1"/>
    <col min="7" max="7" width="9.5703125" style="3" customWidth="1"/>
    <col min="8" max="8" width="18.7109375" style="6" customWidth="1"/>
    <col min="9" max="11" width="3.85546875" style="3" customWidth="1"/>
    <col min="12" max="12" width="5" style="3" customWidth="1"/>
    <col min="13" max="13" width="8.5703125" style="3" customWidth="1"/>
    <col min="14" max="14" width="12.140625" style="15" customWidth="1"/>
    <col min="15" max="15" width="8.140625" style="15" customWidth="1"/>
    <col min="16" max="16" width="12.28515625" style="15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0">
        <v>403375</v>
      </c>
      <c r="B3" s="72" t="s">
        <v>59</v>
      </c>
      <c r="C3" s="9" t="s">
        <v>60</v>
      </c>
      <c r="D3" s="74" t="s">
        <v>71</v>
      </c>
      <c r="E3" s="13">
        <v>44593</v>
      </c>
      <c r="F3" s="74" t="s">
        <v>72</v>
      </c>
      <c r="G3" s="13">
        <v>44606</v>
      </c>
      <c r="H3" s="10" t="s">
        <v>73</v>
      </c>
      <c r="I3" s="1">
        <v>65</v>
      </c>
      <c r="J3" s="1">
        <v>56</v>
      </c>
      <c r="K3" s="1">
        <v>22</v>
      </c>
      <c r="L3" s="1">
        <v>9</v>
      </c>
      <c r="M3" s="77">
        <v>20.02</v>
      </c>
      <c r="N3" s="105">
        <v>20.02</v>
      </c>
      <c r="O3" s="63">
        <v>14000</v>
      </c>
      <c r="P3" s="64">
        <f>Table224578910112[[#This Row],[PEMBULATAN]]*O3</f>
        <v>280280</v>
      </c>
      <c r="Q3" s="126">
        <v>11</v>
      </c>
    </row>
    <row r="4" spans="1:17" ht="26.25" customHeight="1" x14ac:dyDescent="0.2">
      <c r="A4" s="14"/>
      <c r="B4" s="73"/>
      <c r="C4" s="71" t="s">
        <v>61</v>
      </c>
      <c r="D4" s="74" t="s">
        <v>71</v>
      </c>
      <c r="E4" s="13">
        <v>44593</v>
      </c>
      <c r="F4" s="74" t="s">
        <v>72</v>
      </c>
      <c r="G4" s="13">
        <v>44606</v>
      </c>
      <c r="H4" s="75" t="s">
        <v>73</v>
      </c>
      <c r="I4" s="16">
        <v>65</v>
      </c>
      <c r="J4" s="16">
        <v>56</v>
      </c>
      <c r="K4" s="16">
        <v>22</v>
      </c>
      <c r="L4" s="16">
        <v>9</v>
      </c>
      <c r="M4" s="78">
        <v>20.02</v>
      </c>
      <c r="N4" s="105">
        <v>20.02</v>
      </c>
      <c r="O4" s="63">
        <v>14000</v>
      </c>
      <c r="P4" s="64">
        <f>Table224578910112[[#This Row],[PEMBULATAN]]*O4</f>
        <v>280280</v>
      </c>
      <c r="Q4" s="158"/>
    </row>
    <row r="5" spans="1:17" ht="26.25" customHeight="1" x14ac:dyDescent="0.2">
      <c r="A5" s="14"/>
      <c r="B5" s="73"/>
      <c r="C5" s="71" t="s">
        <v>62</v>
      </c>
      <c r="D5" s="74" t="s">
        <v>71</v>
      </c>
      <c r="E5" s="13">
        <v>44593</v>
      </c>
      <c r="F5" s="74" t="s">
        <v>72</v>
      </c>
      <c r="G5" s="13">
        <v>44606</v>
      </c>
      <c r="H5" s="75" t="s">
        <v>73</v>
      </c>
      <c r="I5" s="16">
        <v>65</v>
      </c>
      <c r="J5" s="16">
        <v>56</v>
      </c>
      <c r="K5" s="16">
        <v>22</v>
      </c>
      <c r="L5" s="16">
        <v>9</v>
      </c>
      <c r="M5" s="78">
        <v>20.02</v>
      </c>
      <c r="N5" s="105">
        <v>20.02</v>
      </c>
      <c r="O5" s="63">
        <v>14000</v>
      </c>
      <c r="P5" s="64">
        <f>Table224578910112[[#This Row],[PEMBULATAN]]*O5</f>
        <v>280280</v>
      </c>
      <c r="Q5" s="158"/>
    </row>
    <row r="6" spans="1:17" ht="26.25" customHeight="1" x14ac:dyDescent="0.2">
      <c r="A6" s="14"/>
      <c r="B6" s="73"/>
      <c r="C6" s="71" t="s">
        <v>63</v>
      </c>
      <c r="D6" s="74" t="s">
        <v>71</v>
      </c>
      <c r="E6" s="13">
        <v>44593</v>
      </c>
      <c r="F6" s="74" t="s">
        <v>72</v>
      </c>
      <c r="G6" s="13">
        <v>44606</v>
      </c>
      <c r="H6" s="75" t="s">
        <v>73</v>
      </c>
      <c r="I6" s="16">
        <v>52</v>
      </c>
      <c r="J6" s="16">
        <v>45</v>
      </c>
      <c r="K6" s="16">
        <v>13</v>
      </c>
      <c r="L6" s="16">
        <v>11</v>
      </c>
      <c r="M6" s="78">
        <v>7.6050000000000004</v>
      </c>
      <c r="N6" s="105">
        <v>11</v>
      </c>
      <c r="O6" s="63">
        <v>14000</v>
      </c>
      <c r="P6" s="64">
        <f>Table224578910112[[#This Row],[PEMBULATAN]]*O6</f>
        <v>154000</v>
      </c>
      <c r="Q6" s="158"/>
    </row>
    <row r="7" spans="1:17" ht="26.25" customHeight="1" x14ac:dyDescent="0.2">
      <c r="A7" s="14"/>
      <c r="B7" s="73"/>
      <c r="C7" s="71" t="s">
        <v>64</v>
      </c>
      <c r="D7" s="74" t="s">
        <v>71</v>
      </c>
      <c r="E7" s="13">
        <v>44593</v>
      </c>
      <c r="F7" s="74" t="s">
        <v>72</v>
      </c>
      <c r="G7" s="13">
        <v>44606</v>
      </c>
      <c r="H7" s="75" t="s">
        <v>73</v>
      </c>
      <c r="I7" s="16">
        <v>52</v>
      </c>
      <c r="J7" s="16">
        <v>45</v>
      </c>
      <c r="K7" s="16">
        <v>13</v>
      </c>
      <c r="L7" s="16">
        <v>11</v>
      </c>
      <c r="M7" s="78">
        <v>7.6050000000000004</v>
      </c>
      <c r="N7" s="105">
        <v>11</v>
      </c>
      <c r="O7" s="63">
        <v>14000</v>
      </c>
      <c r="P7" s="64">
        <f>Table224578910112[[#This Row],[PEMBULATAN]]*O7</f>
        <v>154000</v>
      </c>
      <c r="Q7" s="158"/>
    </row>
    <row r="8" spans="1:17" ht="26.25" customHeight="1" x14ac:dyDescent="0.2">
      <c r="A8" s="14"/>
      <c r="B8" s="73"/>
      <c r="C8" s="71" t="s">
        <v>65</v>
      </c>
      <c r="D8" s="104" t="s">
        <v>71</v>
      </c>
      <c r="E8" s="13">
        <v>44593</v>
      </c>
      <c r="F8" s="74" t="s">
        <v>72</v>
      </c>
      <c r="G8" s="13">
        <v>44606</v>
      </c>
      <c r="H8" s="75" t="s">
        <v>73</v>
      </c>
      <c r="I8" s="16">
        <v>52</v>
      </c>
      <c r="J8" s="16">
        <v>45</v>
      </c>
      <c r="K8" s="16">
        <v>13</v>
      </c>
      <c r="L8" s="16">
        <v>11</v>
      </c>
      <c r="M8" s="78">
        <v>7.6050000000000004</v>
      </c>
      <c r="N8" s="105">
        <v>11</v>
      </c>
      <c r="O8" s="63">
        <v>14000</v>
      </c>
      <c r="P8" s="64">
        <f>Table224578910112[[#This Row],[PEMBULATAN]]*O8</f>
        <v>154000</v>
      </c>
      <c r="Q8" s="158"/>
    </row>
    <row r="9" spans="1:17" ht="26.25" customHeight="1" x14ac:dyDescent="0.2">
      <c r="A9" s="14"/>
      <c r="B9" s="73"/>
      <c r="C9" s="71" t="s">
        <v>66</v>
      </c>
      <c r="D9" s="104" t="s">
        <v>71</v>
      </c>
      <c r="E9" s="13">
        <v>44593</v>
      </c>
      <c r="F9" s="74" t="s">
        <v>72</v>
      </c>
      <c r="G9" s="13">
        <v>44606</v>
      </c>
      <c r="H9" s="75" t="s">
        <v>73</v>
      </c>
      <c r="I9" s="16">
        <v>52</v>
      </c>
      <c r="J9" s="16">
        <v>45</v>
      </c>
      <c r="K9" s="16">
        <v>13</v>
      </c>
      <c r="L9" s="16">
        <v>11</v>
      </c>
      <c r="M9" s="78">
        <v>7.6050000000000004</v>
      </c>
      <c r="N9" s="105">
        <v>11</v>
      </c>
      <c r="O9" s="63">
        <v>14000</v>
      </c>
      <c r="P9" s="64">
        <f>Table224578910112[[#This Row],[PEMBULATAN]]*O9</f>
        <v>154000</v>
      </c>
      <c r="Q9" s="158"/>
    </row>
    <row r="10" spans="1:17" ht="26.25" customHeight="1" x14ac:dyDescent="0.2">
      <c r="A10" s="14"/>
      <c r="B10" s="73"/>
      <c r="C10" s="71" t="s">
        <v>67</v>
      </c>
      <c r="D10" s="104" t="s">
        <v>71</v>
      </c>
      <c r="E10" s="13">
        <v>44593</v>
      </c>
      <c r="F10" s="74" t="s">
        <v>72</v>
      </c>
      <c r="G10" s="13">
        <v>44606</v>
      </c>
      <c r="H10" s="75" t="s">
        <v>73</v>
      </c>
      <c r="I10" s="16">
        <v>36</v>
      </c>
      <c r="J10" s="16">
        <v>35</v>
      </c>
      <c r="K10" s="16">
        <v>30</v>
      </c>
      <c r="L10" s="16">
        <v>10</v>
      </c>
      <c r="M10" s="78">
        <v>9.4499999999999993</v>
      </c>
      <c r="N10" s="105">
        <v>10</v>
      </c>
      <c r="O10" s="63">
        <v>14000</v>
      </c>
      <c r="P10" s="64">
        <f>Table224578910112[[#This Row],[PEMBULATAN]]*O10</f>
        <v>140000</v>
      </c>
      <c r="Q10" s="158"/>
    </row>
    <row r="11" spans="1:17" ht="26.25" customHeight="1" x14ac:dyDescent="0.2">
      <c r="A11" s="14"/>
      <c r="B11" s="73"/>
      <c r="C11" s="71" t="s">
        <v>68</v>
      </c>
      <c r="D11" s="104" t="s">
        <v>71</v>
      </c>
      <c r="E11" s="13">
        <v>44593</v>
      </c>
      <c r="F11" s="74" t="s">
        <v>72</v>
      </c>
      <c r="G11" s="13">
        <v>44606</v>
      </c>
      <c r="H11" s="75" t="s">
        <v>73</v>
      </c>
      <c r="I11" s="16">
        <v>38</v>
      </c>
      <c r="J11" s="16">
        <v>40</v>
      </c>
      <c r="K11" s="16">
        <v>48</v>
      </c>
      <c r="L11" s="16">
        <v>10</v>
      </c>
      <c r="M11" s="78">
        <v>18.239999999999998</v>
      </c>
      <c r="N11" s="105">
        <v>18.239999999999998</v>
      </c>
      <c r="O11" s="63">
        <v>14000</v>
      </c>
      <c r="P11" s="64">
        <f>Table224578910112[[#This Row],[PEMBULATAN]]*O11</f>
        <v>255359.99999999997</v>
      </c>
      <c r="Q11" s="158"/>
    </row>
    <row r="12" spans="1:17" ht="26.25" customHeight="1" x14ac:dyDescent="0.2">
      <c r="A12" s="14"/>
      <c r="B12" s="73"/>
      <c r="C12" s="71" t="s">
        <v>69</v>
      </c>
      <c r="D12" s="104" t="s">
        <v>71</v>
      </c>
      <c r="E12" s="13">
        <v>44593</v>
      </c>
      <c r="F12" s="74" t="s">
        <v>72</v>
      </c>
      <c r="G12" s="13">
        <v>44606</v>
      </c>
      <c r="H12" s="75" t="s">
        <v>73</v>
      </c>
      <c r="I12" s="16">
        <v>77</v>
      </c>
      <c r="J12" s="16">
        <v>46</v>
      </c>
      <c r="K12" s="16">
        <v>38</v>
      </c>
      <c r="L12" s="16">
        <v>10</v>
      </c>
      <c r="M12" s="78">
        <v>33.649000000000001</v>
      </c>
      <c r="N12" s="105">
        <v>34</v>
      </c>
      <c r="O12" s="63">
        <v>14000</v>
      </c>
      <c r="P12" s="64">
        <f>Table224578910112[[#This Row],[PEMBULATAN]]*O12</f>
        <v>476000</v>
      </c>
      <c r="Q12" s="158"/>
    </row>
    <row r="13" spans="1:17" ht="26.25" customHeight="1" x14ac:dyDescent="0.2">
      <c r="A13" s="14"/>
      <c r="B13" s="73"/>
      <c r="C13" s="71" t="s">
        <v>70</v>
      </c>
      <c r="D13" s="104" t="s">
        <v>71</v>
      </c>
      <c r="E13" s="13">
        <v>44593</v>
      </c>
      <c r="F13" s="74" t="s">
        <v>72</v>
      </c>
      <c r="G13" s="13">
        <v>44606</v>
      </c>
      <c r="H13" s="75" t="s">
        <v>73</v>
      </c>
      <c r="I13" s="16">
        <v>77</v>
      </c>
      <c r="J13" s="16">
        <v>46</v>
      </c>
      <c r="K13" s="16">
        <v>38</v>
      </c>
      <c r="L13" s="16">
        <v>10</v>
      </c>
      <c r="M13" s="78">
        <v>33.649000000000001</v>
      </c>
      <c r="N13" s="105">
        <v>34</v>
      </c>
      <c r="O13" s="63">
        <v>14000</v>
      </c>
      <c r="P13" s="64">
        <f>Table224578910112[[#This Row],[PEMBULATAN]]*O13</f>
        <v>476000</v>
      </c>
      <c r="Q13" s="159"/>
    </row>
    <row r="14" spans="1:17" ht="22.5" customHeight="1" x14ac:dyDescent="0.2">
      <c r="A14" s="150" t="s">
        <v>30</v>
      </c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2"/>
      <c r="M14" s="76">
        <f>SUBTOTAL(109,Table224578910112[KG VOLUME])</f>
        <v>185.46800000000002</v>
      </c>
      <c r="N14" s="67">
        <f>SUM(N3:N13)</f>
        <v>200.3</v>
      </c>
      <c r="O14" s="153">
        <f>SUM(P3:P13)</f>
        <v>2804200</v>
      </c>
      <c r="P14" s="154"/>
    </row>
    <row r="15" spans="1:17" ht="18" customHeight="1" x14ac:dyDescent="0.2">
      <c r="A15" s="83"/>
      <c r="B15" s="56" t="s">
        <v>42</v>
      </c>
      <c r="C15" s="55"/>
      <c r="D15" s="57" t="s">
        <v>43</v>
      </c>
      <c r="E15" s="83"/>
      <c r="F15" s="83"/>
      <c r="G15" s="83"/>
      <c r="H15" s="83"/>
      <c r="I15" s="83"/>
      <c r="J15" s="83"/>
      <c r="K15" s="83"/>
      <c r="L15" s="83"/>
      <c r="M15" s="84"/>
      <c r="N15" s="85" t="s">
        <v>51</v>
      </c>
      <c r="O15" s="86"/>
      <c r="P15" s="86">
        <f>O14*10%</f>
        <v>280420</v>
      </c>
    </row>
    <row r="16" spans="1:17" ht="18" customHeight="1" thickBot="1" x14ac:dyDescent="0.25">
      <c r="A16" s="83"/>
      <c r="B16" s="56"/>
      <c r="C16" s="55"/>
      <c r="D16" s="57"/>
      <c r="E16" s="83"/>
      <c r="F16" s="83"/>
      <c r="G16" s="83"/>
      <c r="H16" s="83"/>
      <c r="I16" s="83"/>
      <c r="J16" s="83"/>
      <c r="K16" s="83"/>
      <c r="L16" s="83"/>
      <c r="M16" s="84"/>
      <c r="N16" s="87" t="s">
        <v>52</v>
      </c>
      <c r="O16" s="88"/>
      <c r="P16" s="88">
        <f>O14-P15</f>
        <v>2523780</v>
      </c>
    </row>
    <row r="17" spans="1:16" ht="18" customHeight="1" x14ac:dyDescent="0.2">
      <c r="A17" s="11"/>
      <c r="H17" s="62"/>
      <c r="N17" s="61" t="s">
        <v>31</v>
      </c>
      <c r="P17" s="68">
        <f>P16*1%</f>
        <v>25237.8</v>
      </c>
    </row>
    <row r="18" spans="1:16" ht="18" customHeight="1" thickBot="1" x14ac:dyDescent="0.25">
      <c r="A18" s="11"/>
      <c r="H18" s="62"/>
      <c r="N18" s="61" t="s">
        <v>53</v>
      </c>
      <c r="P18" s="70">
        <f>P16*2%</f>
        <v>50475.6</v>
      </c>
    </row>
    <row r="19" spans="1:16" ht="18" customHeight="1" x14ac:dyDescent="0.2">
      <c r="A19" s="11"/>
      <c r="H19" s="62"/>
      <c r="N19" s="65" t="s">
        <v>32</v>
      </c>
      <c r="O19" s="66"/>
      <c r="P19" s="69">
        <f>P16+P17-P18</f>
        <v>2498542.1999999997</v>
      </c>
    </row>
    <row r="21" spans="1:16" x14ac:dyDescent="0.2">
      <c r="A21" s="11"/>
      <c r="H21" s="62"/>
      <c r="P21" s="70"/>
    </row>
    <row r="22" spans="1:16" x14ac:dyDescent="0.2">
      <c r="A22" s="11"/>
      <c r="H22" s="62"/>
      <c r="O22" s="58"/>
      <c r="P22" s="70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2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2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2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2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2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2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2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2"/>
      <c r="N34" s="15"/>
      <c r="O34" s="15"/>
      <c r="P34" s="15"/>
    </row>
  </sheetData>
  <mergeCells count="2">
    <mergeCell ref="A14:L14"/>
    <mergeCell ref="O14:P14"/>
  </mergeCells>
  <conditionalFormatting sqref="B3:B13">
    <cfRule type="duplicateValues" dxfId="162" priority="1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9"/>
  <sheetViews>
    <sheetView zoomScale="110" zoomScaleNormal="110" workbookViewId="0">
      <pane xSplit="3" ySplit="2" topLeftCell="D3" activePane="bottomRight" state="frozen"/>
      <selection activeCell="G12" sqref="G12"/>
      <selection pane="topRight" activeCell="G12" sqref="G12"/>
      <selection pane="bottomLeft" activeCell="G12" sqref="G12"/>
      <selection pane="bottomRight" activeCell="I1" sqref="I1:K1048576"/>
    </sheetView>
  </sheetViews>
  <sheetFormatPr defaultRowHeight="15" x14ac:dyDescent="0.2"/>
  <cols>
    <col min="1" max="1" width="7.5703125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.85546875" style="3" customWidth="1"/>
    <col min="7" max="7" width="9.5703125" style="3" customWidth="1"/>
    <col min="8" max="8" width="17.7109375" style="6" customWidth="1"/>
    <col min="9" max="11" width="3.8554687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94">
        <v>403395</v>
      </c>
      <c r="B3" s="72" t="s">
        <v>74</v>
      </c>
      <c r="C3" s="9" t="s">
        <v>75</v>
      </c>
      <c r="D3" s="74" t="s">
        <v>71</v>
      </c>
      <c r="E3" s="13">
        <v>44599</v>
      </c>
      <c r="F3" s="74" t="s">
        <v>72</v>
      </c>
      <c r="G3" s="13">
        <v>44621</v>
      </c>
      <c r="H3" s="10" t="s">
        <v>93</v>
      </c>
      <c r="I3" s="1">
        <v>43</v>
      </c>
      <c r="J3" s="1">
        <v>35</v>
      </c>
      <c r="K3" s="1">
        <v>28</v>
      </c>
      <c r="L3" s="1">
        <v>9</v>
      </c>
      <c r="M3" s="77">
        <v>10.535</v>
      </c>
      <c r="N3" s="8">
        <v>11</v>
      </c>
      <c r="O3" s="63">
        <v>14000</v>
      </c>
      <c r="P3" s="64">
        <f>Table22457891011234[[#This Row],[PEMBULATAN]]*O3</f>
        <v>154000</v>
      </c>
      <c r="Q3" s="155">
        <v>16</v>
      </c>
    </row>
    <row r="4" spans="1:17" ht="26.25" customHeight="1" x14ac:dyDescent="0.2">
      <c r="A4" s="106"/>
      <c r="B4" s="73"/>
      <c r="C4" s="9" t="s">
        <v>76</v>
      </c>
      <c r="D4" s="74" t="s">
        <v>71</v>
      </c>
      <c r="E4" s="13">
        <v>44599</v>
      </c>
      <c r="F4" s="74" t="s">
        <v>72</v>
      </c>
      <c r="G4" s="13">
        <v>44621</v>
      </c>
      <c r="H4" s="10" t="s">
        <v>93</v>
      </c>
      <c r="I4" s="1">
        <v>43</v>
      </c>
      <c r="J4" s="1">
        <v>35</v>
      </c>
      <c r="K4" s="1">
        <v>28</v>
      </c>
      <c r="L4" s="1">
        <v>9</v>
      </c>
      <c r="M4" s="77">
        <v>10.535</v>
      </c>
      <c r="N4" s="8">
        <v>11</v>
      </c>
      <c r="O4" s="63">
        <v>14000</v>
      </c>
      <c r="P4" s="64">
        <f>N4*O4</f>
        <v>154000</v>
      </c>
      <c r="Q4" s="156"/>
    </row>
    <row r="5" spans="1:17" ht="26.25" customHeight="1" x14ac:dyDescent="0.2">
      <c r="A5" s="106"/>
      <c r="B5" s="73"/>
      <c r="C5" s="9" t="s">
        <v>77</v>
      </c>
      <c r="D5" s="74" t="s">
        <v>71</v>
      </c>
      <c r="E5" s="13">
        <v>44599</v>
      </c>
      <c r="F5" s="74" t="s">
        <v>72</v>
      </c>
      <c r="G5" s="13">
        <v>44621</v>
      </c>
      <c r="H5" s="10" t="s">
        <v>93</v>
      </c>
      <c r="I5" s="1">
        <v>43</v>
      </c>
      <c r="J5" s="1">
        <v>35</v>
      </c>
      <c r="K5" s="1">
        <v>28</v>
      </c>
      <c r="L5" s="1">
        <v>9</v>
      </c>
      <c r="M5" s="77">
        <v>10.535</v>
      </c>
      <c r="N5" s="8">
        <v>11</v>
      </c>
      <c r="O5" s="63">
        <v>14000</v>
      </c>
      <c r="P5" s="64">
        <f t="shared" ref="P5:P18" si="0">N5*O5</f>
        <v>154000</v>
      </c>
      <c r="Q5" s="156"/>
    </row>
    <row r="6" spans="1:17" ht="26.25" customHeight="1" x14ac:dyDescent="0.2">
      <c r="A6" s="106"/>
      <c r="B6" s="73"/>
      <c r="C6" s="9" t="s">
        <v>78</v>
      </c>
      <c r="D6" s="74" t="s">
        <v>71</v>
      </c>
      <c r="E6" s="13">
        <v>44599</v>
      </c>
      <c r="F6" s="74" t="s">
        <v>72</v>
      </c>
      <c r="G6" s="13">
        <v>44621</v>
      </c>
      <c r="H6" s="10" t="s">
        <v>93</v>
      </c>
      <c r="I6" s="1">
        <v>43</v>
      </c>
      <c r="J6" s="1">
        <v>35</v>
      </c>
      <c r="K6" s="1">
        <v>28</v>
      </c>
      <c r="L6" s="1">
        <v>9</v>
      </c>
      <c r="M6" s="77">
        <v>10.535</v>
      </c>
      <c r="N6" s="8">
        <v>11</v>
      </c>
      <c r="O6" s="63">
        <v>14000</v>
      </c>
      <c r="P6" s="64">
        <f t="shared" si="0"/>
        <v>154000</v>
      </c>
      <c r="Q6" s="156"/>
    </row>
    <row r="7" spans="1:17" ht="26.25" customHeight="1" x14ac:dyDescent="0.2">
      <c r="A7" s="106"/>
      <c r="B7" s="73"/>
      <c r="C7" s="9" t="s">
        <v>79</v>
      </c>
      <c r="D7" s="74" t="s">
        <v>71</v>
      </c>
      <c r="E7" s="13">
        <v>44599</v>
      </c>
      <c r="F7" s="74" t="s">
        <v>72</v>
      </c>
      <c r="G7" s="13">
        <v>44621</v>
      </c>
      <c r="H7" s="10" t="s">
        <v>93</v>
      </c>
      <c r="I7" s="1">
        <v>43</v>
      </c>
      <c r="J7" s="1">
        <v>35</v>
      </c>
      <c r="K7" s="1">
        <v>28</v>
      </c>
      <c r="L7" s="1">
        <v>9</v>
      </c>
      <c r="M7" s="77">
        <v>10.535</v>
      </c>
      <c r="N7" s="8">
        <v>11</v>
      </c>
      <c r="O7" s="63">
        <v>14000</v>
      </c>
      <c r="P7" s="64">
        <f t="shared" si="0"/>
        <v>154000</v>
      </c>
      <c r="Q7" s="156"/>
    </row>
    <row r="8" spans="1:17" ht="26.25" customHeight="1" x14ac:dyDescent="0.2">
      <c r="A8" s="106"/>
      <c r="B8" s="73"/>
      <c r="C8" s="9" t="s">
        <v>80</v>
      </c>
      <c r="D8" s="74" t="s">
        <v>71</v>
      </c>
      <c r="E8" s="13">
        <v>44599</v>
      </c>
      <c r="F8" s="74" t="s">
        <v>72</v>
      </c>
      <c r="G8" s="13">
        <v>44621</v>
      </c>
      <c r="H8" s="10" t="s">
        <v>93</v>
      </c>
      <c r="I8" s="1">
        <v>43</v>
      </c>
      <c r="J8" s="1">
        <v>35</v>
      </c>
      <c r="K8" s="1">
        <v>28</v>
      </c>
      <c r="L8" s="1">
        <v>9</v>
      </c>
      <c r="M8" s="77">
        <v>10.535</v>
      </c>
      <c r="N8" s="8">
        <v>11</v>
      </c>
      <c r="O8" s="63">
        <v>14000</v>
      </c>
      <c r="P8" s="64">
        <f t="shared" si="0"/>
        <v>154000</v>
      </c>
      <c r="Q8" s="156"/>
    </row>
    <row r="9" spans="1:17" ht="26.25" customHeight="1" x14ac:dyDescent="0.2">
      <c r="A9" s="106"/>
      <c r="B9" s="73"/>
      <c r="C9" s="9" t="s">
        <v>81</v>
      </c>
      <c r="D9" s="74" t="s">
        <v>71</v>
      </c>
      <c r="E9" s="13">
        <v>44599</v>
      </c>
      <c r="F9" s="74" t="s">
        <v>72</v>
      </c>
      <c r="G9" s="13">
        <v>44621</v>
      </c>
      <c r="H9" s="10" t="s">
        <v>93</v>
      </c>
      <c r="I9" s="1">
        <v>43</v>
      </c>
      <c r="J9" s="1">
        <v>35</v>
      </c>
      <c r="K9" s="1">
        <v>28</v>
      </c>
      <c r="L9" s="1">
        <v>9</v>
      </c>
      <c r="M9" s="77">
        <v>10.535</v>
      </c>
      <c r="N9" s="8">
        <v>11</v>
      </c>
      <c r="O9" s="63">
        <v>14000</v>
      </c>
      <c r="P9" s="64">
        <f t="shared" si="0"/>
        <v>154000</v>
      </c>
      <c r="Q9" s="156"/>
    </row>
    <row r="10" spans="1:17" ht="26.25" customHeight="1" x14ac:dyDescent="0.2">
      <c r="A10" s="106"/>
      <c r="B10" s="73"/>
      <c r="C10" s="9" t="s">
        <v>82</v>
      </c>
      <c r="D10" s="74" t="s">
        <v>71</v>
      </c>
      <c r="E10" s="13">
        <v>44599</v>
      </c>
      <c r="F10" s="74" t="s">
        <v>72</v>
      </c>
      <c r="G10" s="13">
        <v>44621</v>
      </c>
      <c r="H10" s="10" t="s">
        <v>93</v>
      </c>
      <c r="I10" s="1">
        <v>43</v>
      </c>
      <c r="J10" s="1">
        <v>35</v>
      </c>
      <c r="K10" s="1">
        <v>28</v>
      </c>
      <c r="L10" s="1">
        <v>9</v>
      </c>
      <c r="M10" s="77">
        <v>10.535</v>
      </c>
      <c r="N10" s="8">
        <v>11</v>
      </c>
      <c r="O10" s="63">
        <v>14000</v>
      </c>
      <c r="P10" s="64">
        <f t="shared" si="0"/>
        <v>154000</v>
      </c>
      <c r="Q10" s="156"/>
    </row>
    <row r="11" spans="1:17" ht="26.25" customHeight="1" x14ac:dyDescent="0.2">
      <c r="A11" s="106"/>
      <c r="B11" s="73"/>
      <c r="C11" s="9" t="s">
        <v>83</v>
      </c>
      <c r="D11" s="74" t="s">
        <v>71</v>
      </c>
      <c r="E11" s="13">
        <v>44599</v>
      </c>
      <c r="F11" s="74" t="s">
        <v>72</v>
      </c>
      <c r="G11" s="13">
        <v>44621</v>
      </c>
      <c r="H11" s="10" t="s">
        <v>93</v>
      </c>
      <c r="I11" s="1">
        <v>76</v>
      </c>
      <c r="J11" s="1">
        <v>41</v>
      </c>
      <c r="K11" s="1">
        <v>12</v>
      </c>
      <c r="L11" s="1">
        <v>9</v>
      </c>
      <c r="M11" s="77">
        <v>9.3480000000000008</v>
      </c>
      <c r="N11" s="8">
        <v>10</v>
      </c>
      <c r="O11" s="63">
        <v>14000</v>
      </c>
      <c r="P11" s="64">
        <f t="shared" si="0"/>
        <v>140000</v>
      </c>
      <c r="Q11" s="156"/>
    </row>
    <row r="12" spans="1:17" ht="26.25" customHeight="1" x14ac:dyDescent="0.2">
      <c r="A12" s="106"/>
      <c r="B12" s="73"/>
      <c r="C12" s="9" t="s">
        <v>84</v>
      </c>
      <c r="D12" s="74" t="s">
        <v>71</v>
      </c>
      <c r="E12" s="13">
        <v>44599</v>
      </c>
      <c r="F12" s="74" t="s">
        <v>72</v>
      </c>
      <c r="G12" s="13">
        <v>44621</v>
      </c>
      <c r="H12" s="10" t="s">
        <v>93</v>
      </c>
      <c r="I12" s="1">
        <v>76</v>
      </c>
      <c r="J12" s="1">
        <v>41</v>
      </c>
      <c r="K12" s="1">
        <v>12</v>
      </c>
      <c r="L12" s="1">
        <v>9</v>
      </c>
      <c r="M12" s="77">
        <v>9.3480000000000008</v>
      </c>
      <c r="N12" s="8">
        <v>10</v>
      </c>
      <c r="O12" s="63">
        <v>14000</v>
      </c>
      <c r="P12" s="64">
        <f t="shared" si="0"/>
        <v>140000</v>
      </c>
      <c r="Q12" s="156"/>
    </row>
    <row r="13" spans="1:17" ht="26.25" customHeight="1" x14ac:dyDescent="0.2">
      <c r="A13" s="106"/>
      <c r="B13" s="73"/>
      <c r="C13" s="9" t="s">
        <v>85</v>
      </c>
      <c r="D13" s="74" t="s">
        <v>71</v>
      </c>
      <c r="E13" s="13">
        <v>44599</v>
      </c>
      <c r="F13" s="74" t="s">
        <v>72</v>
      </c>
      <c r="G13" s="13">
        <v>44621</v>
      </c>
      <c r="H13" s="10" t="s">
        <v>93</v>
      </c>
      <c r="I13" s="1">
        <v>76</v>
      </c>
      <c r="J13" s="1">
        <v>41</v>
      </c>
      <c r="K13" s="1">
        <v>12</v>
      </c>
      <c r="L13" s="1">
        <v>9</v>
      </c>
      <c r="M13" s="77">
        <v>9.3480000000000008</v>
      </c>
      <c r="N13" s="8">
        <v>10</v>
      </c>
      <c r="O13" s="63">
        <v>14000</v>
      </c>
      <c r="P13" s="64">
        <f t="shared" si="0"/>
        <v>140000</v>
      </c>
      <c r="Q13" s="156"/>
    </row>
    <row r="14" spans="1:17" ht="26.25" customHeight="1" x14ac:dyDescent="0.2">
      <c r="A14" s="106"/>
      <c r="B14" s="73"/>
      <c r="C14" s="9" t="s">
        <v>86</v>
      </c>
      <c r="D14" s="74" t="s">
        <v>71</v>
      </c>
      <c r="E14" s="13">
        <v>44599</v>
      </c>
      <c r="F14" s="74" t="s">
        <v>72</v>
      </c>
      <c r="G14" s="13">
        <v>44621</v>
      </c>
      <c r="H14" s="10" t="s">
        <v>93</v>
      </c>
      <c r="I14" s="1">
        <v>76</v>
      </c>
      <c r="J14" s="1">
        <v>41</v>
      </c>
      <c r="K14" s="1">
        <v>12</v>
      </c>
      <c r="L14" s="1">
        <v>9</v>
      </c>
      <c r="M14" s="77">
        <v>9.3480000000000008</v>
      </c>
      <c r="N14" s="8">
        <v>10</v>
      </c>
      <c r="O14" s="63">
        <v>14000</v>
      </c>
      <c r="P14" s="64">
        <f t="shared" si="0"/>
        <v>140000</v>
      </c>
      <c r="Q14" s="156"/>
    </row>
    <row r="15" spans="1:17" ht="26.25" customHeight="1" x14ac:dyDescent="0.2">
      <c r="A15" s="106"/>
      <c r="B15" s="73"/>
      <c r="C15" s="9" t="s">
        <v>87</v>
      </c>
      <c r="D15" s="74" t="s">
        <v>71</v>
      </c>
      <c r="E15" s="13">
        <v>44599</v>
      </c>
      <c r="F15" s="74" t="s">
        <v>72</v>
      </c>
      <c r="G15" s="13">
        <v>44621</v>
      </c>
      <c r="H15" s="10" t="s">
        <v>93</v>
      </c>
      <c r="I15" s="1">
        <v>76</v>
      </c>
      <c r="J15" s="1">
        <v>41</v>
      </c>
      <c r="K15" s="1">
        <v>12</v>
      </c>
      <c r="L15" s="1">
        <v>9</v>
      </c>
      <c r="M15" s="77">
        <v>9.3480000000000008</v>
      </c>
      <c r="N15" s="8">
        <v>10</v>
      </c>
      <c r="O15" s="63">
        <v>14000</v>
      </c>
      <c r="P15" s="64">
        <f t="shared" si="0"/>
        <v>140000</v>
      </c>
      <c r="Q15" s="156"/>
    </row>
    <row r="16" spans="1:17" ht="26.25" customHeight="1" x14ac:dyDescent="0.2">
      <c r="A16" s="106"/>
      <c r="B16" s="108"/>
      <c r="C16" s="9" t="s">
        <v>88</v>
      </c>
      <c r="D16" s="74" t="s">
        <v>71</v>
      </c>
      <c r="E16" s="13">
        <v>44599</v>
      </c>
      <c r="F16" s="74" t="s">
        <v>72</v>
      </c>
      <c r="G16" s="13">
        <v>44621</v>
      </c>
      <c r="H16" s="10" t="s">
        <v>93</v>
      </c>
      <c r="I16" s="1">
        <v>29</v>
      </c>
      <c r="J16" s="1">
        <v>29</v>
      </c>
      <c r="K16" s="1">
        <v>56</v>
      </c>
      <c r="L16" s="1">
        <v>10</v>
      </c>
      <c r="M16" s="77">
        <v>11.773999999999999</v>
      </c>
      <c r="N16" s="8">
        <v>12</v>
      </c>
      <c r="O16" s="63">
        <v>14000</v>
      </c>
      <c r="P16" s="64">
        <f t="shared" si="0"/>
        <v>168000</v>
      </c>
      <c r="Q16" s="156"/>
    </row>
    <row r="17" spans="1:17" ht="26.25" customHeight="1" x14ac:dyDescent="0.2">
      <c r="A17" s="106"/>
      <c r="B17" s="72" t="s">
        <v>89</v>
      </c>
      <c r="C17" s="9" t="s">
        <v>90</v>
      </c>
      <c r="D17" s="74" t="s">
        <v>71</v>
      </c>
      <c r="E17" s="13">
        <v>44599</v>
      </c>
      <c r="F17" s="74" t="s">
        <v>72</v>
      </c>
      <c r="G17" s="13">
        <v>44621</v>
      </c>
      <c r="H17" s="10" t="s">
        <v>93</v>
      </c>
      <c r="I17" s="1">
        <v>43</v>
      </c>
      <c r="J17" s="1">
        <v>35</v>
      </c>
      <c r="K17" s="1">
        <v>28</v>
      </c>
      <c r="L17" s="1">
        <v>9</v>
      </c>
      <c r="M17" s="77">
        <v>10.535</v>
      </c>
      <c r="N17" s="8">
        <v>11</v>
      </c>
      <c r="O17" s="63">
        <v>14000</v>
      </c>
      <c r="P17" s="64">
        <f t="shared" si="0"/>
        <v>154000</v>
      </c>
      <c r="Q17" s="156"/>
    </row>
    <row r="18" spans="1:17" ht="26.25" customHeight="1" x14ac:dyDescent="0.2">
      <c r="A18" s="107"/>
      <c r="B18" s="72" t="s">
        <v>91</v>
      </c>
      <c r="C18" s="9" t="s">
        <v>92</v>
      </c>
      <c r="D18" s="74" t="s">
        <v>71</v>
      </c>
      <c r="E18" s="13">
        <v>44599</v>
      </c>
      <c r="F18" s="74" t="s">
        <v>72</v>
      </c>
      <c r="G18" s="13">
        <v>44621</v>
      </c>
      <c r="H18" s="10" t="s">
        <v>93</v>
      </c>
      <c r="I18" s="1">
        <v>50</v>
      </c>
      <c r="J18" s="1">
        <v>60</v>
      </c>
      <c r="K18" s="1">
        <v>10</v>
      </c>
      <c r="L18" s="1">
        <v>5</v>
      </c>
      <c r="M18" s="77">
        <v>7.5</v>
      </c>
      <c r="N18" s="8">
        <v>8</v>
      </c>
      <c r="O18" s="63">
        <v>14000</v>
      </c>
      <c r="P18" s="64">
        <f t="shared" si="0"/>
        <v>112000</v>
      </c>
      <c r="Q18" s="157"/>
    </row>
    <row r="19" spans="1:17" ht="22.5" customHeight="1" x14ac:dyDescent="0.2">
      <c r="A19" s="150" t="s">
        <v>30</v>
      </c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2"/>
      <c r="M19" s="76">
        <f>SUBTOTAL(109,Table22457891011234[KG VOLUME])</f>
        <v>10.535</v>
      </c>
      <c r="N19" s="67">
        <f>SUM(N3:N18)</f>
        <v>169</v>
      </c>
      <c r="O19" s="153">
        <f>SUM(P3:P18)</f>
        <v>2366000</v>
      </c>
      <c r="P19" s="154"/>
    </row>
    <row r="20" spans="1:17" ht="18" customHeight="1" x14ac:dyDescent="0.2">
      <c r="A20" s="83"/>
      <c r="B20" s="56" t="s">
        <v>42</v>
      </c>
      <c r="C20" s="55"/>
      <c r="D20" s="57" t="s">
        <v>43</v>
      </c>
      <c r="E20" s="83"/>
      <c r="F20" s="83"/>
      <c r="G20" s="83"/>
      <c r="H20" s="83"/>
      <c r="I20" s="83"/>
      <c r="J20" s="83"/>
      <c r="K20" s="83"/>
      <c r="L20" s="83"/>
      <c r="M20" s="84"/>
      <c r="N20" s="85" t="s">
        <v>51</v>
      </c>
      <c r="O20" s="86"/>
      <c r="P20" s="86">
        <f>O19*10%</f>
        <v>236600</v>
      </c>
    </row>
    <row r="21" spans="1:17" ht="18" customHeight="1" thickBot="1" x14ac:dyDescent="0.25">
      <c r="A21" s="83"/>
      <c r="B21" s="56"/>
      <c r="C21" s="55"/>
      <c r="D21" s="57"/>
      <c r="E21" s="83"/>
      <c r="F21" s="83"/>
      <c r="G21" s="83"/>
      <c r="H21" s="83"/>
      <c r="I21" s="83"/>
      <c r="J21" s="83"/>
      <c r="K21" s="83"/>
      <c r="L21" s="83"/>
      <c r="M21" s="84"/>
      <c r="N21" s="87" t="s">
        <v>52</v>
      </c>
      <c r="O21" s="88"/>
      <c r="P21" s="88">
        <f>O19-P20</f>
        <v>2129400</v>
      </c>
    </row>
    <row r="22" spans="1:17" ht="18" customHeight="1" x14ac:dyDescent="0.2">
      <c r="A22" s="11"/>
      <c r="H22" s="62"/>
      <c r="N22" s="61" t="s">
        <v>31</v>
      </c>
      <c r="P22" s="68">
        <f>P21*1%</f>
        <v>21294</v>
      </c>
    </row>
    <row r="23" spans="1:17" ht="18" customHeight="1" thickBot="1" x14ac:dyDescent="0.25">
      <c r="A23" s="11"/>
      <c r="H23" s="62"/>
      <c r="N23" s="61" t="s">
        <v>53</v>
      </c>
      <c r="P23" s="70">
        <f>P21*2%</f>
        <v>42588</v>
      </c>
    </row>
    <row r="24" spans="1:17" ht="18" customHeight="1" x14ac:dyDescent="0.2">
      <c r="A24" s="11"/>
      <c r="H24" s="62"/>
      <c r="N24" s="65" t="s">
        <v>32</v>
      </c>
      <c r="O24" s="66"/>
      <c r="P24" s="69">
        <f>P21+P22-P23</f>
        <v>2108106</v>
      </c>
    </row>
    <row r="26" spans="1:17" x14ac:dyDescent="0.2">
      <c r="A26" s="11"/>
      <c r="H26" s="62"/>
      <c r="P26" s="70"/>
    </row>
    <row r="27" spans="1:17" x14ac:dyDescent="0.2">
      <c r="A27" s="11"/>
      <c r="H27" s="62"/>
      <c r="O27" s="58"/>
      <c r="P27" s="70"/>
    </row>
    <row r="28" spans="1:17" s="3" customFormat="1" x14ac:dyDescent="0.25">
      <c r="A28" s="11"/>
      <c r="B28" s="2"/>
      <c r="C28" s="2"/>
      <c r="E28" s="12"/>
      <c r="H28" s="62"/>
      <c r="N28" s="15"/>
      <c r="O28" s="15"/>
      <c r="P28" s="15"/>
    </row>
    <row r="29" spans="1:17" s="3" customFormat="1" x14ac:dyDescent="0.25">
      <c r="A29" s="11"/>
      <c r="B29" s="2"/>
      <c r="C29" s="2"/>
      <c r="E29" s="12"/>
      <c r="H29" s="62"/>
      <c r="N29" s="15"/>
      <c r="O29" s="15"/>
      <c r="P29" s="15"/>
    </row>
    <row r="30" spans="1:17" s="3" customFormat="1" x14ac:dyDescent="0.25">
      <c r="A30" s="11"/>
      <c r="B30" s="2"/>
      <c r="C30" s="2"/>
      <c r="E30" s="12"/>
      <c r="H30" s="62"/>
      <c r="N30" s="15"/>
      <c r="O30" s="15"/>
      <c r="P30" s="15"/>
    </row>
    <row r="31" spans="1:17" s="3" customFormat="1" x14ac:dyDescent="0.25">
      <c r="A31" s="11"/>
      <c r="B31" s="2"/>
      <c r="C31" s="2"/>
      <c r="E31" s="12"/>
      <c r="H31" s="62"/>
      <c r="N31" s="15"/>
      <c r="O31" s="15"/>
      <c r="P31" s="15"/>
    </row>
    <row r="32" spans="1:17" s="3" customFormat="1" x14ac:dyDescent="0.25">
      <c r="A32" s="11"/>
      <c r="B32" s="2"/>
      <c r="C32" s="2"/>
      <c r="E32" s="12"/>
      <c r="H32" s="62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2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2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2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2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2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2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2"/>
      <c r="N39" s="15"/>
      <c r="O39" s="15"/>
      <c r="P39" s="15"/>
    </row>
  </sheetData>
  <mergeCells count="3">
    <mergeCell ref="A19:L19"/>
    <mergeCell ref="O19:P19"/>
    <mergeCell ref="Q3:Q18"/>
  </mergeCells>
  <conditionalFormatting sqref="B3">
    <cfRule type="duplicateValues" dxfId="146" priority="3"/>
  </conditionalFormatting>
  <conditionalFormatting sqref="B4:B18">
    <cfRule type="duplicateValues" dxfId="145" priority="1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activeCell="G12" sqref="G12"/>
      <selection pane="topRight" activeCell="G12" sqref="G12"/>
      <selection pane="bottomLeft" activeCell="G12" sqref="G12"/>
      <selection pane="bottomRight" activeCell="H1" sqref="H1:H1048576"/>
    </sheetView>
  </sheetViews>
  <sheetFormatPr defaultRowHeight="15" x14ac:dyDescent="0.2"/>
  <cols>
    <col min="1" max="1" width="7.5703125" style="4" customWidth="1"/>
    <col min="2" max="2" width="19.5703125" style="2" customWidth="1"/>
    <col min="3" max="3" width="14.57031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18.7109375" style="6" customWidth="1"/>
    <col min="9" max="11" width="3.5703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0">
        <v>403398</v>
      </c>
      <c r="B3" s="72" t="s">
        <v>94</v>
      </c>
      <c r="C3" s="9" t="s">
        <v>95</v>
      </c>
      <c r="D3" s="74" t="s">
        <v>71</v>
      </c>
      <c r="E3" s="13">
        <v>44599</v>
      </c>
      <c r="F3" s="74" t="s">
        <v>72</v>
      </c>
      <c r="G3" s="13">
        <v>44621</v>
      </c>
      <c r="H3" s="10" t="s">
        <v>93</v>
      </c>
      <c r="I3" s="1">
        <v>85</v>
      </c>
      <c r="J3" s="1">
        <v>55</v>
      </c>
      <c r="K3" s="1">
        <v>22</v>
      </c>
      <c r="L3" s="1">
        <v>8</v>
      </c>
      <c r="M3" s="77">
        <v>25.712499999999999</v>
      </c>
      <c r="N3" s="8">
        <v>26</v>
      </c>
      <c r="O3" s="63">
        <v>14000</v>
      </c>
      <c r="P3" s="64">
        <f>Table224578910112345[[#This Row],[PEMBULATAN]]*O3</f>
        <v>364000</v>
      </c>
      <c r="Q3" s="103">
        <v>1</v>
      </c>
    </row>
    <row r="4" spans="1:17" ht="22.5" customHeight="1" x14ac:dyDescent="0.2">
      <c r="A4" s="150" t="s">
        <v>30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2"/>
      <c r="M4" s="76">
        <f>SUBTOTAL(109,Table224578910112345[KG VOLUME])</f>
        <v>25.712499999999999</v>
      </c>
      <c r="N4" s="67">
        <f>SUM(N3:N3)</f>
        <v>26</v>
      </c>
      <c r="O4" s="153">
        <f>SUM(P3:P3)</f>
        <v>364000</v>
      </c>
      <c r="P4" s="154"/>
    </row>
    <row r="5" spans="1:17" ht="18" customHeight="1" x14ac:dyDescent="0.2">
      <c r="A5" s="83"/>
      <c r="B5" s="56" t="s">
        <v>42</v>
      </c>
      <c r="C5" s="55"/>
      <c r="D5" s="57" t="s">
        <v>43</v>
      </c>
      <c r="E5" s="83"/>
      <c r="F5" s="83"/>
      <c r="G5" s="83"/>
      <c r="H5" s="83"/>
      <c r="I5" s="83"/>
      <c r="J5" s="83"/>
      <c r="K5" s="83"/>
      <c r="L5" s="83"/>
      <c r="M5" s="84"/>
      <c r="N5" s="85" t="s">
        <v>51</v>
      </c>
      <c r="O5" s="86"/>
      <c r="P5" s="86">
        <f>O4*10%</f>
        <v>36400</v>
      </c>
    </row>
    <row r="6" spans="1:17" ht="18" customHeight="1" thickBot="1" x14ac:dyDescent="0.25">
      <c r="A6" s="83"/>
      <c r="B6" s="56"/>
      <c r="C6" s="55"/>
      <c r="D6" s="57"/>
      <c r="E6" s="83"/>
      <c r="F6" s="83"/>
      <c r="G6" s="83"/>
      <c r="H6" s="83"/>
      <c r="I6" s="83"/>
      <c r="J6" s="83"/>
      <c r="K6" s="83"/>
      <c r="L6" s="83"/>
      <c r="M6" s="84"/>
      <c r="N6" s="87" t="s">
        <v>52</v>
      </c>
      <c r="O6" s="88"/>
      <c r="P6" s="88">
        <f>O4-P5</f>
        <v>327600</v>
      </c>
    </row>
    <row r="7" spans="1:17" ht="18" customHeight="1" x14ac:dyDescent="0.2">
      <c r="A7" s="11"/>
      <c r="H7" s="62"/>
      <c r="N7" s="61" t="s">
        <v>31</v>
      </c>
      <c r="P7" s="68">
        <f>P6*1%</f>
        <v>3276</v>
      </c>
    </row>
    <row r="8" spans="1:17" ht="18" customHeight="1" thickBot="1" x14ac:dyDescent="0.25">
      <c r="A8" s="11"/>
      <c r="H8" s="62"/>
      <c r="N8" s="61" t="s">
        <v>53</v>
      </c>
      <c r="P8" s="70">
        <f>P6*2%</f>
        <v>6552</v>
      </c>
    </row>
    <row r="9" spans="1:17" ht="18" customHeight="1" x14ac:dyDescent="0.2">
      <c r="A9" s="11"/>
      <c r="H9" s="62"/>
      <c r="N9" s="65" t="s">
        <v>32</v>
      </c>
      <c r="O9" s="66"/>
      <c r="P9" s="69">
        <f>P6+P7-P8</f>
        <v>324324</v>
      </c>
    </row>
    <row r="11" spans="1:17" x14ac:dyDescent="0.2">
      <c r="A11" s="11"/>
      <c r="H11" s="62"/>
      <c r="P11" s="70"/>
    </row>
    <row r="12" spans="1:17" x14ac:dyDescent="0.2">
      <c r="A12" s="11"/>
      <c r="H12" s="62"/>
      <c r="O12" s="58"/>
      <c r="P12" s="70"/>
    </row>
    <row r="13" spans="1:17" s="3" customFormat="1" x14ac:dyDescent="0.25">
      <c r="A13" s="11"/>
      <c r="B13" s="2"/>
      <c r="C13" s="2"/>
      <c r="E13" s="12"/>
      <c r="H13" s="62"/>
      <c r="N13" s="15"/>
      <c r="O13" s="15"/>
      <c r="P13" s="15"/>
    </row>
    <row r="14" spans="1:17" s="3" customFormat="1" x14ac:dyDescent="0.25">
      <c r="A14" s="11"/>
      <c r="B14" s="2"/>
      <c r="C14" s="2"/>
      <c r="E14" s="12"/>
      <c r="H14" s="62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129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activeCell="G12" sqref="G12"/>
      <selection pane="topRight" activeCell="G12" sqref="G12"/>
      <selection pane="bottomLeft" activeCell="G12" sqref="G12"/>
      <selection pane="bottomRight" activeCell="H8" sqref="H8"/>
    </sheetView>
  </sheetViews>
  <sheetFormatPr defaultRowHeight="15" x14ac:dyDescent="0.2"/>
  <cols>
    <col min="1" max="1" width="6.7109375" style="4" customWidth="1"/>
    <col min="2" max="2" width="19.5703125" style="2" customWidth="1"/>
    <col min="3" max="3" width="14.5703125" style="2" customWidth="1"/>
    <col min="4" max="4" width="10.5703125" style="3" customWidth="1"/>
    <col min="5" max="5" width="7.42578125" style="12" customWidth="1"/>
    <col min="6" max="6" width="9.7109375" style="3" customWidth="1"/>
    <col min="7" max="7" width="8.42578125" style="3" customWidth="1"/>
    <col min="8" max="8" width="20.5703125" style="6" customWidth="1"/>
    <col min="9" max="11" width="3.1406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0">
        <v>403314</v>
      </c>
      <c r="B3" s="72" t="s">
        <v>96</v>
      </c>
      <c r="C3" s="9" t="s">
        <v>97</v>
      </c>
      <c r="D3" s="74" t="s">
        <v>71</v>
      </c>
      <c r="E3" s="13">
        <v>44600</v>
      </c>
      <c r="F3" s="74" t="s">
        <v>72</v>
      </c>
      <c r="G3" s="13">
        <v>44621</v>
      </c>
      <c r="H3" s="10" t="s">
        <v>93</v>
      </c>
      <c r="I3" s="1">
        <v>70</v>
      </c>
      <c r="J3" s="1">
        <v>60</v>
      </c>
      <c r="K3" s="1">
        <v>53</v>
      </c>
      <c r="L3" s="1">
        <v>9</v>
      </c>
      <c r="M3" s="77">
        <v>55.65</v>
      </c>
      <c r="N3" s="8">
        <v>56</v>
      </c>
      <c r="O3" s="63">
        <v>14000</v>
      </c>
      <c r="P3" s="64">
        <f>Table2245789101123456[[#This Row],[PEMBULATAN]]*O3</f>
        <v>784000</v>
      </c>
      <c r="Q3" s="103">
        <v>1</v>
      </c>
    </row>
    <row r="4" spans="1:17" ht="22.5" customHeight="1" x14ac:dyDescent="0.2">
      <c r="A4" s="150" t="s">
        <v>30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2"/>
      <c r="M4" s="76">
        <f>SUBTOTAL(109,Table2245789101123456[KG VOLUME])</f>
        <v>55.65</v>
      </c>
      <c r="N4" s="67">
        <f>SUM(N3:N3)</f>
        <v>56</v>
      </c>
      <c r="O4" s="153">
        <f>SUM(P3:P3)</f>
        <v>784000</v>
      </c>
      <c r="P4" s="154"/>
    </row>
    <row r="5" spans="1:17" ht="18" customHeight="1" x14ac:dyDescent="0.2">
      <c r="A5" s="83"/>
      <c r="B5" s="56" t="s">
        <v>42</v>
      </c>
      <c r="C5" s="55"/>
      <c r="D5" s="57" t="s">
        <v>43</v>
      </c>
      <c r="E5" s="83"/>
      <c r="F5" s="83"/>
      <c r="G5" s="83"/>
      <c r="H5" s="83"/>
      <c r="I5" s="83"/>
      <c r="J5" s="83"/>
      <c r="K5" s="83"/>
      <c r="L5" s="83"/>
      <c r="M5" s="84"/>
      <c r="N5" s="85" t="s">
        <v>51</v>
      </c>
      <c r="O5" s="86"/>
      <c r="P5" s="86">
        <f>O4*10%</f>
        <v>78400</v>
      </c>
    </row>
    <row r="6" spans="1:17" ht="18" customHeight="1" thickBot="1" x14ac:dyDescent="0.25">
      <c r="A6" s="83"/>
      <c r="B6" s="56"/>
      <c r="C6" s="55"/>
      <c r="D6" s="57"/>
      <c r="E6" s="83"/>
      <c r="F6" s="83"/>
      <c r="G6" s="83"/>
      <c r="H6" s="83"/>
      <c r="I6" s="83"/>
      <c r="J6" s="83"/>
      <c r="K6" s="83"/>
      <c r="L6" s="83"/>
      <c r="M6" s="84"/>
      <c r="N6" s="87" t="s">
        <v>52</v>
      </c>
      <c r="O6" s="88"/>
      <c r="P6" s="88">
        <f>O4-P5</f>
        <v>705600</v>
      </c>
    </row>
    <row r="7" spans="1:17" ht="18" customHeight="1" x14ac:dyDescent="0.2">
      <c r="A7" s="11"/>
      <c r="H7" s="62"/>
      <c r="N7" s="61" t="s">
        <v>31</v>
      </c>
      <c r="P7" s="68">
        <f>P6*1%</f>
        <v>7056</v>
      </c>
    </row>
    <row r="8" spans="1:17" ht="18" customHeight="1" thickBot="1" x14ac:dyDescent="0.25">
      <c r="A8" s="11"/>
      <c r="H8" s="62"/>
      <c r="N8" s="61" t="s">
        <v>53</v>
      </c>
      <c r="P8" s="70">
        <f>P6*2%</f>
        <v>14112</v>
      </c>
    </row>
    <row r="9" spans="1:17" ht="18" customHeight="1" x14ac:dyDescent="0.2">
      <c r="A9" s="11"/>
      <c r="H9" s="62"/>
      <c r="N9" s="65" t="s">
        <v>32</v>
      </c>
      <c r="O9" s="66"/>
      <c r="P9" s="69">
        <f>P6+P7-P8</f>
        <v>698544</v>
      </c>
    </row>
    <row r="11" spans="1:17" x14ac:dyDescent="0.2">
      <c r="A11" s="11"/>
      <c r="H11" s="62"/>
      <c r="P11" s="70"/>
    </row>
    <row r="12" spans="1:17" x14ac:dyDescent="0.2">
      <c r="A12" s="11"/>
      <c r="H12" s="62"/>
      <c r="O12" s="58"/>
      <c r="P12" s="70"/>
    </row>
    <row r="13" spans="1:17" s="3" customFormat="1" x14ac:dyDescent="0.25">
      <c r="A13" s="11"/>
      <c r="B13" s="2"/>
      <c r="C13" s="2"/>
      <c r="E13" s="12"/>
      <c r="H13" s="62"/>
      <c r="N13" s="15"/>
      <c r="O13" s="15"/>
      <c r="P13" s="15"/>
    </row>
    <row r="14" spans="1:17" s="3" customFormat="1" x14ac:dyDescent="0.25">
      <c r="A14" s="11"/>
      <c r="B14" s="2"/>
      <c r="C14" s="2"/>
      <c r="E14" s="12"/>
      <c r="H14" s="62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11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activeCell="G12" sqref="G12"/>
      <selection pane="topRight" activeCell="G12" sqref="G12"/>
      <selection pane="bottomLeft" activeCell="G12" sqref="G12"/>
      <selection pane="bottomRight" activeCell="D10" sqref="D10"/>
    </sheetView>
  </sheetViews>
  <sheetFormatPr defaultRowHeight="15" x14ac:dyDescent="0.2"/>
  <cols>
    <col min="1" max="1" width="7.140625" style="4" customWidth="1"/>
    <col min="2" max="2" width="20.28515625" style="2" customWidth="1"/>
    <col min="3" max="3" width="14.57031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9" style="6" customWidth="1"/>
    <col min="9" max="11" width="3.710937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0">
        <v>403340</v>
      </c>
      <c r="B3" s="72" t="s">
        <v>98</v>
      </c>
      <c r="C3" s="9" t="s">
        <v>99</v>
      </c>
      <c r="D3" s="74" t="s">
        <v>71</v>
      </c>
      <c r="E3" s="13">
        <v>44607</v>
      </c>
      <c r="F3" s="74" t="s">
        <v>72</v>
      </c>
      <c r="G3" s="13">
        <v>44621</v>
      </c>
      <c r="H3" s="10" t="s">
        <v>93</v>
      </c>
      <c r="I3" s="1">
        <v>54</v>
      </c>
      <c r="J3" s="1">
        <v>28</v>
      </c>
      <c r="K3" s="1">
        <v>11</v>
      </c>
      <c r="L3" s="1">
        <v>9</v>
      </c>
      <c r="M3" s="77">
        <v>4.1580000000000004</v>
      </c>
      <c r="N3" s="8">
        <v>9</v>
      </c>
      <c r="O3" s="63">
        <v>14000</v>
      </c>
      <c r="P3" s="64">
        <f>N3*O3</f>
        <v>126000</v>
      </c>
      <c r="Q3" s="155">
        <v>2</v>
      </c>
    </row>
    <row r="4" spans="1:17" ht="26.25" customHeight="1" x14ac:dyDescent="0.2">
      <c r="A4" s="14"/>
      <c r="B4" s="73"/>
      <c r="C4" s="9" t="s">
        <v>100</v>
      </c>
      <c r="D4" s="74" t="s">
        <v>71</v>
      </c>
      <c r="E4" s="13">
        <v>44607</v>
      </c>
      <c r="F4" s="74" t="s">
        <v>72</v>
      </c>
      <c r="G4" s="13">
        <v>44621</v>
      </c>
      <c r="H4" s="10" t="s">
        <v>93</v>
      </c>
      <c r="I4" s="1">
        <v>61</v>
      </c>
      <c r="J4" s="1">
        <v>21</v>
      </c>
      <c r="K4" s="1">
        <v>17</v>
      </c>
      <c r="L4" s="1">
        <v>10</v>
      </c>
      <c r="M4" s="77">
        <v>5.4442500000000003</v>
      </c>
      <c r="N4" s="8">
        <v>10</v>
      </c>
      <c r="O4" s="63">
        <v>14000</v>
      </c>
      <c r="P4" s="64">
        <f>N4*O4</f>
        <v>140000</v>
      </c>
      <c r="Q4" s="157"/>
    </row>
    <row r="5" spans="1:17" ht="22.5" customHeight="1" x14ac:dyDescent="0.2">
      <c r="A5" s="150" t="s">
        <v>30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2"/>
      <c r="M5" s="76">
        <f>SUBTOTAL(109,Table22457891011234567[KG VOLUME])</f>
        <v>4.1580000000000004</v>
      </c>
      <c r="N5" s="67">
        <f>SUM(N3:N4)</f>
        <v>19</v>
      </c>
      <c r="O5" s="153">
        <f>SUM(P3:P4)</f>
        <v>266000</v>
      </c>
      <c r="P5" s="154"/>
    </row>
    <row r="6" spans="1:17" ht="18" customHeight="1" x14ac:dyDescent="0.2">
      <c r="A6" s="83"/>
      <c r="B6" s="56" t="s">
        <v>42</v>
      </c>
      <c r="C6" s="55"/>
      <c r="D6" s="57" t="s">
        <v>43</v>
      </c>
      <c r="E6" s="83"/>
      <c r="F6" s="83"/>
      <c r="G6" s="83"/>
      <c r="H6" s="83"/>
      <c r="I6" s="83"/>
      <c r="J6" s="83"/>
      <c r="K6" s="83"/>
      <c r="L6" s="83"/>
      <c r="M6" s="84"/>
      <c r="N6" s="85" t="s">
        <v>51</v>
      </c>
      <c r="O6" s="86"/>
      <c r="P6" s="86">
        <f>O5*10%</f>
        <v>26600</v>
      </c>
    </row>
    <row r="7" spans="1:17" ht="18" customHeight="1" thickBot="1" x14ac:dyDescent="0.25">
      <c r="A7" s="83"/>
      <c r="B7" s="56"/>
      <c r="C7" s="55"/>
      <c r="D7" s="57"/>
      <c r="E7" s="83"/>
      <c r="F7" s="83"/>
      <c r="G7" s="83"/>
      <c r="H7" s="83"/>
      <c r="I7" s="83"/>
      <c r="J7" s="83"/>
      <c r="K7" s="83"/>
      <c r="L7" s="83"/>
      <c r="M7" s="84"/>
      <c r="N7" s="87" t="s">
        <v>52</v>
      </c>
      <c r="O7" s="88"/>
      <c r="P7" s="88">
        <f>O5-P6</f>
        <v>239400</v>
      </c>
    </row>
    <row r="8" spans="1:17" ht="18" customHeight="1" x14ac:dyDescent="0.2">
      <c r="A8" s="11"/>
      <c r="H8" s="62"/>
      <c r="N8" s="61" t="s">
        <v>31</v>
      </c>
      <c r="P8" s="68">
        <f>P7*1%</f>
        <v>2394</v>
      </c>
    </row>
    <row r="9" spans="1:17" ht="18" customHeight="1" thickBot="1" x14ac:dyDescent="0.25">
      <c r="A9" s="11"/>
      <c r="H9" s="62"/>
      <c r="N9" s="61" t="s">
        <v>53</v>
      </c>
      <c r="P9" s="70">
        <f>P7*2%</f>
        <v>4788</v>
      </c>
    </row>
    <row r="10" spans="1:17" ht="18" customHeight="1" x14ac:dyDescent="0.2">
      <c r="A10" s="11"/>
      <c r="H10" s="62"/>
      <c r="N10" s="65" t="s">
        <v>32</v>
      </c>
      <c r="O10" s="66"/>
      <c r="P10" s="69">
        <f>P7+P8-P9</f>
        <v>237006</v>
      </c>
    </row>
    <row r="12" spans="1:17" x14ac:dyDescent="0.2">
      <c r="A12" s="11"/>
      <c r="H12" s="62"/>
      <c r="P12" s="70"/>
    </row>
    <row r="13" spans="1:17" x14ac:dyDescent="0.2">
      <c r="A13" s="11"/>
      <c r="H13" s="62"/>
      <c r="O13" s="58"/>
      <c r="P13" s="70"/>
    </row>
    <row r="14" spans="1:17" s="3" customFormat="1" x14ac:dyDescent="0.25">
      <c r="A14" s="11"/>
      <c r="B14" s="2"/>
      <c r="C14" s="2"/>
      <c r="E14" s="12"/>
      <c r="H14" s="62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</sheetData>
  <mergeCells count="3">
    <mergeCell ref="A5:L5"/>
    <mergeCell ref="O5:P5"/>
    <mergeCell ref="Q3:Q4"/>
  </mergeCells>
  <conditionalFormatting sqref="B3">
    <cfRule type="duplicateValues" dxfId="97" priority="3"/>
  </conditionalFormatting>
  <conditionalFormatting sqref="B4">
    <cfRule type="duplicateValues" dxfId="96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H9" sqref="H9"/>
    </sheetView>
  </sheetViews>
  <sheetFormatPr defaultRowHeight="15" x14ac:dyDescent="0.2"/>
  <cols>
    <col min="1" max="1" width="7.28515625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8.28515625" style="6" customWidth="1"/>
    <col min="9" max="11" width="3.710937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0">
        <v>403161</v>
      </c>
      <c r="B3" s="72" t="s">
        <v>101</v>
      </c>
      <c r="C3" s="9" t="s">
        <v>102</v>
      </c>
      <c r="D3" s="74" t="s">
        <v>71</v>
      </c>
      <c r="E3" s="13">
        <v>44611</v>
      </c>
      <c r="F3" s="74" t="s">
        <v>72</v>
      </c>
      <c r="G3" s="13">
        <v>44625</v>
      </c>
      <c r="H3" s="10" t="s">
        <v>103</v>
      </c>
      <c r="I3" s="1">
        <v>31</v>
      </c>
      <c r="J3" s="1">
        <v>22</v>
      </c>
      <c r="K3" s="1">
        <v>12</v>
      </c>
      <c r="L3" s="1">
        <v>16</v>
      </c>
      <c r="M3" s="77">
        <v>2.0459999999999998</v>
      </c>
      <c r="N3" s="8">
        <v>16</v>
      </c>
      <c r="O3" s="63">
        <v>14000</v>
      </c>
      <c r="P3" s="64">
        <f>Table224578910112345678[[#This Row],[PEMBULATAN]]*O3</f>
        <v>224000</v>
      </c>
      <c r="Q3" s="103">
        <v>1</v>
      </c>
    </row>
    <row r="4" spans="1:17" ht="22.5" customHeight="1" x14ac:dyDescent="0.2">
      <c r="A4" s="150" t="s">
        <v>30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2"/>
      <c r="M4" s="76">
        <f>SUBTOTAL(109,Table224578910112345678[KG VOLUME])</f>
        <v>2.0459999999999998</v>
      </c>
      <c r="N4" s="67">
        <f>SUM(N3:N3)</f>
        <v>16</v>
      </c>
      <c r="O4" s="153">
        <f>SUM(P3:P3)</f>
        <v>224000</v>
      </c>
      <c r="P4" s="154"/>
    </row>
    <row r="5" spans="1:17" ht="18" customHeight="1" x14ac:dyDescent="0.2">
      <c r="A5" s="83"/>
      <c r="B5" s="56" t="s">
        <v>42</v>
      </c>
      <c r="C5" s="55"/>
      <c r="D5" s="57" t="s">
        <v>43</v>
      </c>
      <c r="E5" s="83"/>
      <c r="F5" s="83"/>
      <c r="G5" s="83"/>
      <c r="H5" s="83"/>
      <c r="I5" s="83"/>
      <c r="J5" s="83"/>
      <c r="K5" s="83"/>
      <c r="L5" s="83"/>
      <c r="M5" s="84"/>
      <c r="N5" s="85" t="s">
        <v>51</v>
      </c>
      <c r="O5" s="86"/>
      <c r="P5" s="86">
        <f>O4*10%</f>
        <v>22400</v>
      </c>
    </row>
    <row r="6" spans="1:17" ht="18" customHeight="1" thickBot="1" x14ac:dyDescent="0.25">
      <c r="A6" s="83"/>
      <c r="B6" s="56"/>
      <c r="C6" s="55"/>
      <c r="D6" s="57"/>
      <c r="E6" s="83"/>
      <c r="F6" s="83"/>
      <c r="G6" s="83"/>
      <c r="H6" s="83"/>
      <c r="I6" s="83"/>
      <c r="J6" s="83"/>
      <c r="K6" s="83"/>
      <c r="L6" s="83"/>
      <c r="M6" s="84"/>
      <c r="N6" s="87" t="s">
        <v>52</v>
      </c>
      <c r="O6" s="88"/>
      <c r="P6" s="88">
        <f>O4-P5</f>
        <v>201600</v>
      </c>
    </row>
    <row r="7" spans="1:17" ht="18" customHeight="1" x14ac:dyDescent="0.2">
      <c r="A7" s="11"/>
      <c r="H7" s="62"/>
      <c r="N7" s="61" t="s">
        <v>31</v>
      </c>
      <c r="P7" s="68">
        <f>P6*1%</f>
        <v>2016</v>
      </c>
    </row>
    <row r="8" spans="1:17" ht="18" customHeight="1" thickBot="1" x14ac:dyDescent="0.25">
      <c r="A8" s="11"/>
      <c r="H8" s="62"/>
      <c r="N8" s="61" t="s">
        <v>53</v>
      </c>
      <c r="P8" s="70">
        <f>P6*2%</f>
        <v>4032</v>
      </c>
    </row>
    <row r="9" spans="1:17" ht="18" customHeight="1" x14ac:dyDescent="0.2">
      <c r="A9" s="11"/>
      <c r="H9" s="62"/>
      <c r="N9" s="65" t="s">
        <v>32</v>
      </c>
      <c r="O9" s="66"/>
      <c r="P9" s="69">
        <f>P6+P7-P8</f>
        <v>199584</v>
      </c>
    </row>
    <row r="11" spans="1:17" x14ac:dyDescent="0.2">
      <c r="A11" s="11"/>
      <c r="H11" s="62"/>
      <c r="P11" s="70"/>
    </row>
    <row r="12" spans="1:17" x14ac:dyDescent="0.2">
      <c r="A12" s="11"/>
      <c r="H12" s="62"/>
      <c r="O12" s="58"/>
      <c r="P12" s="70"/>
    </row>
    <row r="13" spans="1:17" s="3" customFormat="1" x14ac:dyDescent="0.25">
      <c r="A13" s="11"/>
      <c r="B13" s="2"/>
      <c r="C13" s="2"/>
      <c r="E13" s="12"/>
      <c r="H13" s="62"/>
      <c r="N13" s="15"/>
      <c r="O13" s="15"/>
      <c r="P13" s="15"/>
    </row>
    <row r="14" spans="1:17" s="3" customFormat="1" x14ac:dyDescent="0.25">
      <c r="A14" s="11"/>
      <c r="B14" s="2"/>
      <c r="C14" s="2"/>
      <c r="E14" s="12"/>
      <c r="H14" s="62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80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4"/>
  <sheetViews>
    <sheetView zoomScale="110" zoomScaleNormal="110" workbookViewId="0">
      <pane xSplit="3" ySplit="2" topLeftCell="D3" activePane="bottomRight" state="frozen"/>
      <selection activeCell="D3" sqref="D3"/>
      <selection pane="topRight" activeCell="D3" sqref="D3"/>
      <selection pane="bottomLeft" activeCell="D3" sqref="D3"/>
      <selection pane="bottomRight" activeCell="H9" sqref="H9"/>
    </sheetView>
  </sheetViews>
  <sheetFormatPr defaultRowHeight="15" x14ac:dyDescent="0.2"/>
  <cols>
    <col min="1" max="1" width="7.140625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8" style="6" customWidth="1"/>
    <col min="9" max="11" width="3.710937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  <c r="Q2" s="60" t="s">
        <v>26</v>
      </c>
    </row>
    <row r="3" spans="1:17" ht="26.25" customHeight="1" x14ac:dyDescent="0.2">
      <c r="A3" s="80">
        <v>404667</v>
      </c>
      <c r="B3" s="72" t="s">
        <v>104</v>
      </c>
      <c r="C3" s="9" t="s">
        <v>105</v>
      </c>
      <c r="D3" s="74" t="s">
        <v>71</v>
      </c>
      <c r="E3" s="13">
        <v>44612</v>
      </c>
      <c r="F3" s="74" t="s">
        <v>72</v>
      </c>
      <c r="G3" s="13">
        <v>44625</v>
      </c>
      <c r="H3" s="10" t="s">
        <v>103</v>
      </c>
      <c r="I3" s="1">
        <v>60</v>
      </c>
      <c r="J3" s="1">
        <v>21</v>
      </c>
      <c r="K3" s="1">
        <v>26</v>
      </c>
      <c r="L3" s="1">
        <v>4</v>
      </c>
      <c r="M3" s="77">
        <v>8.19</v>
      </c>
      <c r="N3" s="8">
        <v>8</v>
      </c>
      <c r="O3" s="63">
        <v>14000</v>
      </c>
      <c r="P3" s="64">
        <f>Table2245789101123456783[[#This Row],[PEMBULATAN]]*O3</f>
        <v>112000</v>
      </c>
      <c r="Q3" s="103">
        <v>1</v>
      </c>
    </row>
    <row r="4" spans="1:17" ht="22.5" customHeight="1" x14ac:dyDescent="0.2">
      <c r="A4" s="150" t="s">
        <v>30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2"/>
      <c r="M4" s="76">
        <f>SUBTOTAL(109,Table2245789101123456783[KG VOLUME])</f>
        <v>8.19</v>
      </c>
      <c r="N4" s="67">
        <f>SUM(N3:N3)</f>
        <v>8</v>
      </c>
      <c r="O4" s="153">
        <f>SUM(P3:P3)</f>
        <v>112000</v>
      </c>
      <c r="P4" s="154"/>
    </row>
    <row r="5" spans="1:17" ht="18" customHeight="1" x14ac:dyDescent="0.2">
      <c r="A5" s="83"/>
      <c r="B5" s="56" t="s">
        <v>42</v>
      </c>
      <c r="C5" s="55"/>
      <c r="D5" s="57" t="s">
        <v>43</v>
      </c>
      <c r="E5" s="83"/>
      <c r="F5" s="83"/>
      <c r="G5" s="83"/>
      <c r="H5" s="83"/>
      <c r="I5" s="83"/>
      <c r="J5" s="83"/>
      <c r="K5" s="83"/>
      <c r="L5" s="83"/>
      <c r="M5" s="84"/>
      <c r="N5" s="85" t="s">
        <v>51</v>
      </c>
      <c r="O5" s="86"/>
      <c r="P5" s="86">
        <f>O4*10%</f>
        <v>11200</v>
      </c>
    </row>
    <row r="6" spans="1:17" ht="18" customHeight="1" thickBot="1" x14ac:dyDescent="0.25">
      <c r="A6" s="83"/>
      <c r="B6" s="56"/>
      <c r="C6" s="55"/>
      <c r="D6" s="57"/>
      <c r="E6" s="83"/>
      <c r="F6" s="83"/>
      <c r="G6" s="83"/>
      <c r="H6" s="83"/>
      <c r="I6" s="83"/>
      <c r="J6" s="83"/>
      <c r="K6" s="83"/>
      <c r="L6" s="83"/>
      <c r="M6" s="84"/>
      <c r="N6" s="87" t="s">
        <v>52</v>
      </c>
      <c r="O6" s="88"/>
      <c r="P6" s="88">
        <f>O4-P5</f>
        <v>100800</v>
      </c>
    </row>
    <row r="7" spans="1:17" ht="18" customHeight="1" x14ac:dyDescent="0.2">
      <c r="A7" s="11"/>
      <c r="H7" s="62"/>
      <c r="N7" s="61" t="s">
        <v>31</v>
      </c>
      <c r="P7" s="68">
        <f>P6*1%</f>
        <v>1008</v>
      </c>
    </row>
    <row r="8" spans="1:17" ht="18" customHeight="1" thickBot="1" x14ac:dyDescent="0.25">
      <c r="A8" s="11"/>
      <c r="H8" s="62"/>
      <c r="N8" s="61" t="s">
        <v>53</v>
      </c>
      <c r="P8" s="70">
        <f>P6*2%</f>
        <v>2016</v>
      </c>
    </row>
    <row r="9" spans="1:17" ht="18" customHeight="1" x14ac:dyDescent="0.2">
      <c r="A9" s="11"/>
      <c r="H9" s="62"/>
      <c r="N9" s="65" t="s">
        <v>32</v>
      </c>
      <c r="O9" s="66"/>
      <c r="P9" s="69">
        <f>P6+P7-P8</f>
        <v>99792</v>
      </c>
    </row>
    <row r="11" spans="1:17" x14ac:dyDescent="0.2">
      <c r="A11" s="11"/>
      <c r="H11" s="62"/>
      <c r="P11" s="70"/>
    </row>
    <row r="12" spans="1:17" x14ac:dyDescent="0.2">
      <c r="A12" s="11"/>
      <c r="H12" s="62"/>
      <c r="O12" s="58"/>
      <c r="P12" s="70"/>
    </row>
    <row r="13" spans="1:17" s="3" customFormat="1" x14ac:dyDescent="0.25">
      <c r="A13" s="11"/>
      <c r="B13" s="2"/>
      <c r="C13" s="2"/>
      <c r="E13" s="12"/>
      <c r="H13" s="62"/>
      <c r="N13" s="15"/>
      <c r="O13" s="15"/>
      <c r="P13" s="15"/>
    </row>
    <row r="14" spans="1:17" s="3" customFormat="1" x14ac:dyDescent="0.25">
      <c r="A14" s="11"/>
      <c r="B14" s="2"/>
      <c r="C14" s="2"/>
      <c r="E14" s="12"/>
      <c r="H14" s="62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64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Sicepat_Jayapura_Feb 22</vt:lpstr>
      <vt:lpstr>ALL</vt:lpstr>
      <vt:lpstr>403375</vt:lpstr>
      <vt:lpstr>403395</vt:lpstr>
      <vt:lpstr>403398</vt:lpstr>
      <vt:lpstr>403314</vt:lpstr>
      <vt:lpstr>403340</vt:lpstr>
      <vt:lpstr>403161</vt:lpstr>
      <vt:lpstr>404667</vt:lpstr>
      <vt:lpstr>404680</vt:lpstr>
      <vt:lpstr>404758</vt:lpstr>
      <vt:lpstr>404689</vt:lpstr>
      <vt:lpstr>'403161'!Print_Titles</vt:lpstr>
      <vt:lpstr>'403314'!Print_Titles</vt:lpstr>
      <vt:lpstr>'403340'!Print_Titles</vt:lpstr>
      <vt:lpstr>'403375'!Print_Titles</vt:lpstr>
      <vt:lpstr>'403395'!Print_Titles</vt:lpstr>
      <vt:lpstr>'403398'!Print_Titles</vt:lpstr>
      <vt:lpstr>'404667'!Print_Titles</vt:lpstr>
      <vt:lpstr>'404680'!Print_Titles</vt:lpstr>
      <vt:lpstr>'404689'!Print_Titles</vt:lpstr>
      <vt:lpstr>'404758'!Print_Titles</vt:lpstr>
      <vt:lpstr>ALL!Print_Titles</vt:lpstr>
      <vt:lpstr>'Sicepat_Jayapura_Feb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2022-03-27T08:11:29Z</cp:lastPrinted>
  <dcterms:created xsi:type="dcterms:W3CDTF">2021-07-02T11:08:00Z</dcterms:created>
  <dcterms:modified xsi:type="dcterms:W3CDTF">2022-03-27T08:22:56Z</dcterms:modified>
</cp:coreProperties>
</file>