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Merauke Des 2021" sheetId="2" r:id="rId1"/>
    <sheet name="ALL" sheetId="89" r:id="rId2"/>
    <sheet name="403305" sheetId="58" r:id="rId3"/>
    <sheet name="403400" sheetId="59" r:id="rId4"/>
    <sheet name="403312" sheetId="60" r:id="rId5"/>
    <sheet name="403160" sheetId="61" r:id="rId6"/>
    <sheet name="404678" sheetId="62" r:id="rId7"/>
    <sheet name="404754" sheetId="63" r:id="rId8"/>
    <sheet name="404761" sheetId="64" r:id="rId9"/>
  </sheets>
  <definedNames>
    <definedName name="_xlnm.Print_Titles" localSheetId="5">'403160'!$2:$2</definedName>
    <definedName name="_xlnm.Print_Titles" localSheetId="2">'403305'!$2:$2</definedName>
    <definedName name="_xlnm.Print_Titles" localSheetId="4">'403312'!$2:$2</definedName>
    <definedName name="_xlnm.Print_Titles" localSheetId="3">'403400'!$2:$2</definedName>
    <definedName name="_xlnm.Print_Titles" localSheetId="6">'404678'!$2:$2</definedName>
    <definedName name="_xlnm.Print_Titles" localSheetId="7">'404754'!$2:$2</definedName>
    <definedName name="_xlnm.Print_Titles" localSheetId="8">'404761'!$2:$2</definedName>
    <definedName name="_xlnm.Print_Titles" localSheetId="1">ALL!$2:$2</definedName>
    <definedName name="_xlnm.Print_Titles" localSheetId="0">'Sicepat_Merauke Des 2021'!$2:$17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2" l="1"/>
  <c r="L25" i="2"/>
  <c r="F24" i="2"/>
  <c r="F23" i="2"/>
  <c r="F22" i="2"/>
  <c r="F21" i="2"/>
  <c r="F20" i="2"/>
  <c r="F19" i="2"/>
  <c r="F18" i="2"/>
  <c r="P5" i="64"/>
  <c r="P8" i="63"/>
  <c r="P11" i="62"/>
  <c r="P5" i="61"/>
  <c r="P5" i="60"/>
  <c r="P9" i="59"/>
  <c r="P8" i="58"/>
  <c r="P27" i="89"/>
  <c r="O26" i="89"/>
  <c r="Q26" i="89"/>
  <c r="M26" i="89"/>
  <c r="N26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25" i="89"/>
  <c r="N10" i="62"/>
  <c r="N8" i="59"/>
  <c r="C24" i="2"/>
  <c r="P28" i="89" l="1"/>
  <c r="P29" i="89" s="1"/>
  <c r="B24" i="2"/>
  <c r="B23" i="2"/>
  <c r="B22" i="2"/>
  <c r="B21" i="2"/>
  <c r="B20" i="2"/>
  <c r="B19" i="2"/>
  <c r="B18" i="2"/>
  <c r="P30" i="89" l="1"/>
  <c r="P31" i="89" s="1"/>
  <c r="C23" i="2"/>
  <c r="C22" i="2"/>
  <c r="C21" i="2"/>
  <c r="C20" i="2"/>
  <c r="C19" i="2"/>
  <c r="C18" i="2"/>
  <c r="N4" i="64"/>
  <c r="M4" i="64"/>
  <c r="P3" i="64"/>
  <c r="O4" i="64" s="1"/>
  <c r="P6" i="64" s="1"/>
  <c r="N7" i="63"/>
  <c r="G23" i="2" s="1"/>
  <c r="M7" i="63"/>
  <c r="P6" i="63"/>
  <c r="P5" i="63"/>
  <c r="P4" i="63"/>
  <c r="P3" i="63"/>
  <c r="G22" i="2"/>
  <c r="M10" i="62"/>
  <c r="P9" i="62"/>
  <c r="P8" i="62"/>
  <c r="P7" i="62"/>
  <c r="P6" i="62"/>
  <c r="P5" i="62"/>
  <c r="P4" i="62"/>
  <c r="P3" i="62"/>
  <c r="N4" i="61"/>
  <c r="M4" i="61"/>
  <c r="P3" i="61"/>
  <c r="O4" i="61" s="1"/>
  <c r="P6" i="61" s="1"/>
  <c r="N4" i="60"/>
  <c r="M4" i="60"/>
  <c r="P3" i="60"/>
  <c r="O4" i="60" s="1"/>
  <c r="P6" i="60" s="1"/>
  <c r="G19" i="2"/>
  <c r="M8" i="59"/>
  <c r="P7" i="59"/>
  <c r="P6" i="59"/>
  <c r="P5" i="59"/>
  <c r="P4" i="59"/>
  <c r="P3" i="59"/>
  <c r="N7" i="58"/>
  <c r="M7" i="58"/>
  <c r="P6" i="58"/>
  <c r="P5" i="58"/>
  <c r="P4" i="58"/>
  <c r="P3" i="58"/>
  <c r="O7" i="63" l="1"/>
  <c r="P9" i="63" s="1"/>
  <c r="P11" i="63" s="1"/>
  <c r="O10" i="62"/>
  <c r="P12" i="62" s="1"/>
  <c r="P14" i="62" s="1"/>
  <c r="O8" i="59"/>
  <c r="P10" i="59" s="1"/>
  <c r="P12" i="59" s="1"/>
  <c r="O7" i="58"/>
  <c r="P9" i="58" s="1"/>
  <c r="P10" i="58" s="1"/>
  <c r="P8" i="64"/>
  <c r="P7" i="64"/>
  <c r="P8" i="61"/>
  <c r="P7" i="61"/>
  <c r="P8" i="60"/>
  <c r="P7" i="60"/>
  <c r="P9" i="60" s="1"/>
  <c r="P11" i="59" l="1"/>
  <c r="P13" i="62"/>
  <c r="P15" i="62" s="1"/>
  <c r="P11" i="58"/>
  <c r="P12" i="58" s="1"/>
  <c r="P9" i="64"/>
  <c r="P10" i="63"/>
  <c r="P12" i="63" s="1"/>
  <c r="P13" i="59"/>
  <c r="P9" i="61"/>
  <c r="I30" i="2"/>
  <c r="I29" i="2"/>
  <c r="I31" i="2" s="1"/>
  <c r="J24" i="2" l="1"/>
  <c r="J23" i="2"/>
  <c r="J22" i="2" l="1"/>
  <c r="A19" i="2" l="1"/>
  <c r="A20" i="2" s="1"/>
  <c r="A21" i="2" s="1"/>
  <c r="A22" i="2" s="1"/>
  <c r="A23" i="2" s="1"/>
  <c r="A24" i="2" s="1"/>
  <c r="J21" i="2"/>
  <c r="J19" i="2"/>
  <c r="J20" i="2"/>
  <c r="J18" i="2"/>
  <c r="J25" i="2" l="1"/>
  <c r="J27" i="2" s="1"/>
  <c r="I42" i="2"/>
  <c r="J28" i="2" l="1"/>
  <c r="J30" i="2" l="1"/>
  <c r="J29" i="2"/>
  <c r="J31" i="2" l="1"/>
</calcChain>
</file>

<file path=xl/sharedStrings.xml><?xml version="1.0" encoding="utf-8"?>
<sst xmlns="http://schemas.openxmlformats.org/spreadsheetml/2006/main" count="457" uniqueCount="96">
  <si>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</si>
  <si>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</si>
  <si>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</si>
  <si>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</si>
  <si>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</si>
  <si>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</si>
  <si>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</si>
  <si>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</si>
  <si>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</si>
  <si>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</si>
  <si>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</si>
  <si>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</si>
  <si>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</si>
  <si>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</si>
  <si>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</si>
  <si>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</si>
  <si>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</si>
  <si>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</si>
  <si>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</si>
  <si>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</si>
  <si>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</si>
  <si>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</si>
  <si>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</si>
  <si>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</si>
  <si>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</si>
  <si>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</si>
  <si>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</si>
  <si>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</si>
  <si>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</si>
  <si>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</si>
  <si>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</si>
  <si>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</si>
  <si>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</si>
  <si>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</si>
  <si>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</si>
  <si>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</si>
  <si>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</si>
  <si>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</si>
  <si>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</si>
  <si>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</si>
  <si>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</si>
  <si>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</si>
  <si>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</si>
  <si>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</si>
  <si>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</si>
  <si>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</si>
  <si>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</si>
  <si>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</si>
  <si>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</si>
  <si>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</si>
  <si>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</si>
  <si>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</si>
  <si>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</si>
  <si>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</si>
  <si>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</si>
  <si>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</si>
  <si>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MERAUKE</t>
  </si>
  <si>
    <t>DMP MKQ (MERAUKE)</t>
  </si>
  <si>
    <t>DMD/2202/05/JDNH6071</t>
  </si>
  <si>
    <t>GSK220205XQB354</t>
  </si>
  <si>
    <t>GSK220205BGW148</t>
  </si>
  <si>
    <t>GSK220205EQB517</t>
  </si>
  <si>
    <t>GSK220205GYR059</t>
  </si>
  <si>
    <t>3/16/2022 HATTA</t>
  </si>
  <si>
    <t>KM DEMPO</t>
  </si>
  <si>
    <t>DMD/2202/07/SFLC4612</t>
  </si>
  <si>
    <t>GSK220207HRQ037</t>
  </si>
  <si>
    <t>GSK220207JDF359</t>
  </si>
  <si>
    <t>GSK220207YJK879</t>
  </si>
  <si>
    <t>GSK220205WZE584</t>
  </si>
  <si>
    <t>GSK220205WTH361</t>
  </si>
  <si>
    <t>DMD/2202/08/IDET8467</t>
  </si>
  <si>
    <t>GSK220208TCX724</t>
  </si>
  <si>
    <t>DMD/2202/19/GNPJ2631</t>
  </si>
  <si>
    <t>GSK220219ORA480</t>
  </si>
  <si>
    <t>DMD/2202/23/GJPK5936</t>
  </si>
  <si>
    <t>GSK220223DGP734</t>
  </si>
  <si>
    <t>GSK220223RTA857</t>
  </si>
  <si>
    <t>GSK220223SEX460</t>
  </si>
  <si>
    <t>GSK220223VGX681</t>
  </si>
  <si>
    <t>GSK220223YKU704</t>
  </si>
  <si>
    <t>GSK220223ATN092</t>
  </si>
  <si>
    <t>DMD/2202/23/WUAV7295</t>
  </si>
  <si>
    <t>GSK220223RXH430</t>
  </si>
  <si>
    <t>DMD/2202/24/IDHQ6750</t>
  </si>
  <si>
    <t>GSK220224ZNO970</t>
  </si>
  <si>
    <t>GSK220224ZJL029</t>
  </si>
  <si>
    <t>GSK220224KWR153</t>
  </si>
  <si>
    <t>GSK220224WPO584</t>
  </si>
  <si>
    <t>DMD/2202/25/LUIR5809</t>
  </si>
  <si>
    <t>GSK220225WJC754</t>
  </si>
  <si>
    <t xml:space="preserve"> 23 Maret 2022</t>
  </si>
  <si>
    <t xml:space="preserve"> MERAUKE</t>
  </si>
  <si>
    <t xml:space="preserve"> FEBRUARI 2022</t>
  </si>
  <si>
    <t>PENGIRIMAN BARANG TUJUAN MERAUKE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</si>
  <si>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Dua Ratus Tiga Puluh Enam Ribu Enam Ratus Sembilan Puluh Tiga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</si>
</sst>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4" borderId="1" xfId="0" quotePrefix="1" applyNumberFormat="1" applyFont="1" applyFill="1" applyBorder="1" applyAlignment="1">
      <alignment horizontal="center"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" fontId="9" fillId="0" borderId="0" xfId="0" applyNumberFormat="1" applyFont="1"/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5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42</xdr:row>
      <xdr:rowOff>1304</xdr:rowOff>
    </xdr:from>
    <xdr:to>
      <xdr:col>16</xdr:col>
      <xdr:colOff>514350</xdr:colOff>
      <xdr:row>48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342" displayName="Table224578910112342" ref="C2:N6" totalsRowShown="0" headerRowDxfId="134" dataDxfId="132" headerRowBorderDxfId="133">
  <tableColumns count="12">
    <tableColumn id="1" name="NOMOR" dataDxfId="131" dataCellStyle="Normal"/>
    <tableColumn id="3" name="TUJUAN" dataDxfId="130" dataCellStyle="Normal"/>
    <tableColumn id="16" name="Pick Up" dataDxfId="129"/>
    <tableColumn id="14" name="KAPAL" dataDxfId="128"/>
    <tableColumn id="15" name="ETD Kapal" dataDxfId="127"/>
    <tableColumn id="10" name="KETERANGAN" dataDxfId="126" dataCellStyle="Normal"/>
    <tableColumn id="5" name="P" dataDxfId="125" dataCellStyle="Normal"/>
    <tableColumn id="6" name="L" dataDxfId="124" dataCellStyle="Normal"/>
    <tableColumn id="7" name="T" dataDxfId="123" dataCellStyle="Normal"/>
    <tableColumn id="4" name="ACT KG" dataDxfId="122" dataCellStyle="Normal"/>
    <tableColumn id="8" name="KG VOLUME" dataDxfId="121" dataCellStyle="Normal"/>
    <tableColumn id="19" name="PEMBULATAN" dataDxfId="12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6" totalsRowShown="0" headerRowDxfId="116" dataDxfId="114" headerRowBorderDxfId="115">
  <tableColumns count="12">
    <tableColumn id="1" name="NOMOR" dataDxfId="113" dataCellStyle="Normal"/>
    <tableColumn id="3" name="TUJUAN" dataDxfId="112" dataCellStyle="Normal"/>
    <tableColumn id="16" name="Pick Up" dataDxfId="111"/>
    <tableColumn id="14" name="KAPAL" dataDxfId="110"/>
    <tableColumn id="15" name="ETD Kapal" dataDxfId="109"/>
    <tableColumn id="10" name="KETERANGAN" dataDxfId="108" dataCellStyle="Normal"/>
    <tableColumn id="5" name="P" dataDxfId="107" dataCellStyle="Normal"/>
    <tableColumn id="6" name="L" dataDxfId="106" dataCellStyle="Normal"/>
    <tableColumn id="7" name="T" dataDxfId="105" dataCellStyle="Normal"/>
    <tableColumn id="4" name="ACT KG" dataDxfId="104" dataCellStyle="Normal"/>
    <tableColumn id="8" name="KG VOLUME" dataDxfId="103" dataCellStyle="Normal"/>
    <tableColumn id="19" name="PEMBULATAN" dataDxfId="10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7" totalsRowShown="0" headerRowDxfId="98" dataDxfId="96" headerRowBorderDxfId="97">
  <tableColumns count="12">
    <tableColumn id="1" name="NOMOR" dataDxfId="95" dataCellStyle="Normal"/>
    <tableColumn id="3" name="TUJUAN" dataDxfId="94" dataCellStyle="Normal"/>
    <tableColumn id="16" name="Pick Up" dataDxfId="93"/>
    <tableColumn id="14" name="KAPAL" dataDxfId="92"/>
    <tableColumn id="15" name="ETD Kapal" dataDxfId="91"/>
    <tableColumn id="10" name="KETERANGAN" dataDxfId="90" dataCellStyle="Normal"/>
    <tableColumn id="5" name="P" dataDxfId="89" dataCellStyle="Normal"/>
    <tableColumn id="6" name="L" dataDxfId="88" dataCellStyle="Normal"/>
    <tableColumn id="7" name="T" dataDxfId="87" dataCellStyle="Normal"/>
    <tableColumn id="4" name="ACT KG" dataDxfId="86" dataCellStyle="Normal"/>
    <tableColumn id="8" name="KG VOLUME" dataDxfId="85" dataCellStyle="Normal"/>
    <tableColumn id="19" name="PEMBULATAN" dataDxfId="8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3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3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9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6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49"/>
  <sheetViews>
    <sheetView tabSelected="1" topLeftCell="A25" workbookViewId="0">
      <selection activeCell="J37" sqref="J3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0" t="s">
        <v>14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2" spans="1:10" x14ac:dyDescent="0.25">
      <c r="A12" s="17" t="s">
        <v>15</v>
      </c>
      <c r="B12" s="17" t="s">
        <v>16</v>
      </c>
      <c r="G12" s="112" t="s">
        <v>49</v>
      </c>
      <c r="H12" s="112"/>
      <c r="I12" s="22" t="s">
        <v>17</v>
      </c>
      <c r="J12" s="23"/>
    </row>
    <row r="13" spans="1:10" x14ac:dyDescent="0.25">
      <c r="G13" s="112" t="s">
        <v>18</v>
      </c>
      <c r="H13" s="112"/>
      <c r="I13" s="22" t="s">
        <v>17</v>
      </c>
      <c r="J13" s="24" t="s">
        <v>91</v>
      </c>
    </row>
    <row r="14" spans="1:10" x14ac:dyDescent="0.25">
      <c r="G14" s="112" t="s">
        <v>50</v>
      </c>
      <c r="H14" s="112"/>
      <c r="I14" s="22" t="s">
        <v>17</v>
      </c>
      <c r="J14" s="17" t="s">
        <v>92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93</v>
      </c>
    </row>
    <row r="16" spans="1:10" ht="16.5" thickBot="1" x14ac:dyDescent="0.3"/>
    <row r="17" spans="1:13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03" t="s">
        <v>28</v>
      </c>
      <c r="I17" s="104"/>
      <c r="J17" s="28" t="s">
        <v>29</v>
      </c>
    </row>
    <row r="18" spans="1:13" ht="48" customHeight="1" x14ac:dyDescent="0.25">
      <c r="A18" s="29">
        <v>1</v>
      </c>
      <c r="B18" s="30">
        <f>'403305'!E3</f>
        <v>44597</v>
      </c>
      <c r="C18" s="80">
        <f>'403305'!A3</f>
        <v>403305</v>
      </c>
      <c r="D18" s="31" t="s">
        <v>94</v>
      </c>
      <c r="E18" s="31" t="s">
        <v>56</v>
      </c>
      <c r="F18" s="80">
        <f>'403305'!Q3</f>
        <v>4</v>
      </c>
      <c r="G18" s="97">
        <v>100</v>
      </c>
      <c r="H18" s="109">
        <v>19000</v>
      </c>
      <c r="I18" s="110"/>
      <c r="J18" s="32">
        <f t="shared" ref="J18:J24" si="0">G18*H18</f>
        <v>1900000</v>
      </c>
      <c r="L18"/>
    </row>
    <row r="19" spans="1:13" ht="48" customHeight="1" x14ac:dyDescent="0.25">
      <c r="A19" s="29">
        <f t="shared" ref="A19:A24" si="1">A18+1</f>
        <v>2</v>
      </c>
      <c r="B19" s="30">
        <f>'403400'!E3</f>
        <v>44599</v>
      </c>
      <c r="C19" s="80">
        <f>'403400'!A3</f>
        <v>403400</v>
      </c>
      <c r="D19" s="31" t="s">
        <v>94</v>
      </c>
      <c r="E19" s="31" t="s">
        <v>56</v>
      </c>
      <c r="F19" s="80">
        <f>'403400'!Q3</f>
        <v>5</v>
      </c>
      <c r="G19" s="97">
        <f>'403400'!N8</f>
        <v>158.71000000000004</v>
      </c>
      <c r="H19" s="109">
        <v>19000</v>
      </c>
      <c r="I19" s="110"/>
      <c r="J19" s="32">
        <f>G19*H19</f>
        <v>3015490.0000000005</v>
      </c>
      <c r="L19"/>
    </row>
    <row r="20" spans="1:13" ht="48" customHeight="1" x14ac:dyDescent="0.25">
      <c r="A20" s="29">
        <f t="shared" si="1"/>
        <v>3</v>
      </c>
      <c r="B20" s="30">
        <f>'403312'!E3</f>
        <v>44600</v>
      </c>
      <c r="C20" s="80">
        <f>'403312'!A3</f>
        <v>403312</v>
      </c>
      <c r="D20" s="31" t="s">
        <v>94</v>
      </c>
      <c r="E20" s="31" t="s">
        <v>56</v>
      </c>
      <c r="F20" s="80">
        <f>'403312'!Q3</f>
        <v>1</v>
      </c>
      <c r="G20" s="97">
        <v>100</v>
      </c>
      <c r="H20" s="109">
        <v>19000</v>
      </c>
      <c r="I20" s="110"/>
      <c r="J20" s="32">
        <f>G20*H20</f>
        <v>1900000</v>
      </c>
      <c r="L20"/>
    </row>
    <row r="21" spans="1:13" ht="48" customHeight="1" x14ac:dyDescent="0.25">
      <c r="A21" s="29">
        <f t="shared" si="1"/>
        <v>4</v>
      </c>
      <c r="B21" s="30">
        <f>'403160'!E3</f>
        <v>44611</v>
      </c>
      <c r="C21" s="80">
        <f>'403160'!A3</f>
        <v>403160</v>
      </c>
      <c r="D21" s="31" t="s">
        <v>94</v>
      </c>
      <c r="E21" s="31" t="s">
        <v>56</v>
      </c>
      <c r="F21" s="80">
        <f>'403160'!Q3</f>
        <v>1</v>
      </c>
      <c r="G21" s="97">
        <v>100</v>
      </c>
      <c r="H21" s="109">
        <v>19000</v>
      </c>
      <c r="I21" s="110"/>
      <c r="J21" s="32">
        <f>G21*H21</f>
        <v>1900000</v>
      </c>
      <c r="L21"/>
    </row>
    <row r="22" spans="1:13" ht="48" customHeight="1" x14ac:dyDescent="0.25">
      <c r="A22" s="29">
        <f t="shared" si="1"/>
        <v>5</v>
      </c>
      <c r="B22" s="30">
        <f>'404678'!E3</f>
        <v>44615</v>
      </c>
      <c r="C22" s="80">
        <f>'404678'!A3</f>
        <v>404678</v>
      </c>
      <c r="D22" s="31" t="s">
        <v>94</v>
      </c>
      <c r="E22" s="31" t="s">
        <v>56</v>
      </c>
      <c r="F22" s="80">
        <f>'404678'!Q3</f>
        <v>7</v>
      </c>
      <c r="G22" s="97">
        <f>'404678'!N10</f>
        <v>236.14499999999998</v>
      </c>
      <c r="H22" s="109">
        <v>19000</v>
      </c>
      <c r="I22" s="110"/>
      <c r="J22" s="32">
        <f t="shared" si="0"/>
        <v>4486755</v>
      </c>
      <c r="L22"/>
    </row>
    <row r="23" spans="1:13" ht="48" customHeight="1" x14ac:dyDescent="0.25">
      <c r="A23" s="29">
        <f t="shared" si="1"/>
        <v>6</v>
      </c>
      <c r="B23" s="30">
        <f>'404754'!E3</f>
        <v>44616</v>
      </c>
      <c r="C23" s="80">
        <f>'404754'!A3</f>
        <v>404754</v>
      </c>
      <c r="D23" s="31" t="s">
        <v>94</v>
      </c>
      <c r="E23" s="31" t="s">
        <v>56</v>
      </c>
      <c r="F23" s="80">
        <f>'404754'!Q3</f>
        <v>4</v>
      </c>
      <c r="G23" s="97">
        <f>'404754'!N7</f>
        <v>105.18</v>
      </c>
      <c r="H23" s="109">
        <v>19000</v>
      </c>
      <c r="I23" s="110"/>
      <c r="J23" s="32">
        <f t="shared" si="0"/>
        <v>1998420.0000000002</v>
      </c>
      <c r="L23"/>
    </row>
    <row r="24" spans="1:13" ht="48" customHeight="1" x14ac:dyDescent="0.25">
      <c r="A24" s="29">
        <f t="shared" si="1"/>
        <v>7</v>
      </c>
      <c r="B24" s="30">
        <f>'404761'!E3</f>
        <v>44617</v>
      </c>
      <c r="C24" s="96">
        <f>'404761'!A3</f>
        <v>404761</v>
      </c>
      <c r="D24" s="31" t="s">
        <v>94</v>
      </c>
      <c r="E24" s="31" t="s">
        <v>56</v>
      </c>
      <c r="F24" s="96">
        <f>'404761'!Q3</f>
        <v>1</v>
      </c>
      <c r="G24" s="97">
        <v>100</v>
      </c>
      <c r="H24" s="109">
        <v>19000</v>
      </c>
      <c r="I24" s="110"/>
      <c r="J24" s="32">
        <f t="shared" si="0"/>
        <v>1900000</v>
      </c>
      <c r="L24"/>
    </row>
    <row r="25" spans="1:13" ht="32.25" customHeight="1" thickBot="1" x14ac:dyDescent="0.3">
      <c r="A25" s="105" t="s">
        <v>30</v>
      </c>
      <c r="B25" s="106"/>
      <c r="C25" s="106"/>
      <c r="D25" s="106"/>
      <c r="E25" s="106"/>
      <c r="F25" s="106"/>
      <c r="G25" s="106"/>
      <c r="H25" s="106"/>
      <c r="I25" s="107"/>
      <c r="J25" s="33">
        <f>SUM(J18:J24)</f>
        <v>17100665</v>
      </c>
      <c r="L25" s="78">
        <f>SUM(F18:F24)</f>
        <v>23</v>
      </c>
      <c r="M25" s="99">
        <f>SUM(G18:G24)</f>
        <v>900.03500000000008</v>
      </c>
    </row>
    <row r="26" spans="1:13" x14ac:dyDescent="0.25">
      <c r="A26" s="108"/>
      <c r="B26" s="108"/>
      <c r="C26" s="34"/>
      <c r="D26" s="34"/>
      <c r="E26" s="34"/>
      <c r="F26" s="34"/>
      <c r="G26" s="34"/>
      <c r="H26" s="35"/>
      <c r="I26" s="35"/>
      <c r="J26" s="36"/>
    </row>
    <row r="27" spans="1:13" x14ac:dyDescent="0.25">
      <c r="A27" s="81"/>
      <c r="B27" s="81"/>
      <c r="C27" s="81"/>
      <c r="D27" s="81"/>
      <c r="E27" s="81"/>
      <c r="F27" s="81"/>
      <c r="G27" s="37" t="s">
        <v>51</v>
      </c>
      <c r="H27" s="37"/>
      <c r="I27" s="35"/>
      <c r="J27" s="36">
        <f>J25*10%</f>
        <v>1710066.5</v>
      </c>
      <c r="L27" s="38"/>
    </row>
    <row r="28" spans="1:13" x14ac:dyDescent="0.25">
      <c r="A28" s="81"/>
      <c r="B28" s="81"/>
      <c r="C28" s="81"/>
      <c r="D28" s="81"/>
      <c r="E28" s="81"/>
      <c r="F28" s="81"/>
      <c r="G28" s="88" t="s">
        <v>52</v>
      </c>
      <c r="H28" s="88"/>
      <c r="I28" s="89"/>
      <c r="J28" s="91">
        <f>J25-J27</f>
        <v>15390598.5</v>
      </c>
      <c r="L28" s="38"/>
    </row>
    <row r="29" spans="1:13" x14ac:dyDescent="0.25">
      <c r="A29" s="81"/>
      <c r="B29" s="81"/>
      <c r="C29" s="81"/>
      <c r="D29" s="81"/>
      <c r="E29" s="81"/>
      <c r="F29" s="81"/>
      <c r="G29" s="37" t="s">
        <v>31</v>
      </c>
      <c r="H29" s="37"/>
      <c r="I29" s="38" t="e">
        <f>#REF!*1%</f>
        <v>#REF!</v>
      </c>
      <c r="J29" s="36">
        <f>J28*1%</f>
        <v>153905.98500000002</v>
      </c>
    </row>
    <row r="30" spans="1:13" ht="16.5" thickBot="1" x14ac:dyDescent="0.3">
      <c r="A30" s="81"/>
      <c r="B30" s="81"/>
      <c r="C30" s="81"/>
      <c r="D30" s="81"/>
      <c r="E30" s="81"/>
      <c r="F30" s="81"/>
      <c r="G30" s="90" t="s">
        <v>54</v>
      </c>
      <c r="H30" s="90"/>
      <c r="I30" s="39">
        <f>I26*10%</f>
        <v>0</v>
      </c>
      <c r="J30" s="39">
        <f>J28*2%</f>
        <v>307811.97000000003</v>
      </c>
    </row>
    <row r="31" spans="1:13" x14ac:dyDescent="0.25">
      <c r="E31" s="16"/>
      <c r="F31" s="16"/>
      <c r="G31" s="40" t="s">
        <v>55</v>
      </c>
      <c r="H31" s="40"/>
      <c r="I31" s="41" t="e">
        <f>I25+I29</f>
        <v>#REF!</v>
      </c>
      <c r="J31" s="41">
        <f>J28+J29-J30</f>
        <v>15236692.514999999</v>
      </c>
    </row>
    <row r="32" spans="1:13" x14ac:dyDescent="0.25">
      <c r="E32" s="16"/>
      <c r="F32" s="16"/>
      <c r="G32" s="40"/>
      <c r="H32" s="40"/>
      <c r="I32" s="41"/>
      <c r="J32" s="41"/>
    </row>
    <row r="33" spans="1:10" x14ac:dyDescent="0.25">
      <c r="A33" s="16" t="s">
        <v>95</v>
      </c>
      <c r="D33" s="16"/>
      <c r="E33" s="16"/>
      <c r="F33" s="16"/>
      <c r="G33" s="16"/>
      <c r="H33" s="40"/>
      <c r="I33" s="40"/>
      <c r="J33" s="41"/>
    </row>
    <row r="34" spans="1:10" x14ac:dyDescent="0.25">
      <c r="A34" s="42"/>
      <c r="D34" s="16"/>
      <c r="E34" s="16"/>
      <c r="F34" s="16"/>
      <c r="G34" s="16"/>
      <c r="H34" s="40"/>
      <c r="I34" s="40"/>
      <c r="J34" s="41"/>
    </row>
    <row r="35" spans="1:10" x14ac:dyDescent="0.25">
      <c r="D35" s="16"/>
      <c r="E35" s="16"/>
      <c r="F35" s="16"/>
      <c r="G35" s="16"/>
      <c r="H35" s="40"/>
      <c r="I35" s="40"/>
      <c r="J35" s="41"/>
    </row>
    <row r="36" spans="1:10" x14ac:dyDescent="0.25">
      <c r="A36" s="43" t="s">
        <v>33</v>
      </c>
    </row>
    <row r="37" spans="1:10" x14ac:dyDescent="0.25">
      <c r="A37" s="44" t="s">
        <v>34</v>
      </c>
      <c r="B37" s="45"/>
      <c r="C37" s="45"/>
      <c r="D37" s="46"/>
      <c r="E37" s="46"/>
      <c r="F37" s="46"/>
      <c r="G37" s="46"/>
    </row>
    <row r="38" spans="1:10" x14ac:dyDescent="0.25">
      <c r="A38" s="44" t="s">
        <v>35</v>
      </c>
      <c r="B38" s="45"/>
      <c r="C38" s="45"/>
      <c r="D38" s="46"/>
      <c r="E38" s="46"/>
      <c r="F38" s="46"/>
      <c r="G38" s="46"/>
    </row>
    <row r="39" spans="1:10" x14ac:dyDescent="0.25">
      <c r="A39" s="47" t="s">
        <v>36</v>
      </c>
      <c r="B39" s="48"/>
      <c r="C39" s="48"/>
      <c r="D39" s="46"/>
      <c r="E39" s="46"/>
      <c r="F39" s="46"/>
      <c r="G39" s="46"/>
    </row>
    <row r="40" spans="1:10" x14ac:dyDescent="0.25">
      <c r="A40" s="49" t="s">
        <v>8</v>
      </c>
      <c r="B40" s="50"/>
      <c r="C40" s="50"/>
      <c r="D40" s="46"/>
      <c r="E40" s="46"/>
      <c r="F40" s="46"/>
      <c r="G40" s="46"/>
    </row>
    <row r="41" spans="1:10" x14ac:dyDescent="0.25">
      <c r="A41" s="51"/>
      <c r="B41" s="51"/>
      <c r="C41" s="51"/>
    </row>
    <row r="42" spans="1:10" x14ac:dyDescent="0.25">
      <c r="H42" s="52" t="s">
        <v>37</v>
      </c>
      <c r="I42" s="113" t="str">
        <f>+J13</f>
        <v xml:space="preserve"> 23 Maret 2022</v>
      </c>
      <c r="J42" s="114"/>
    </row>
    <row r="46" spans="1:10" ht="18" customHeight="1" x14ac:dyDescent="0.25"/>
    <row r="47" spans="1:10" ht="17.25" customHeight="1" x14ac:dyDescent="0.25"/>
    <row r="49" spans="8:10" x14ac:dyDescent="0.25">
      <c r="H49" s="111" t="s">
        <v>38</v>
      </c>
      <c r="I49" s="111"/>
      <c r="J49" s="111"/>
    </row>
  </sheetData>
  <mergeCells count="16">
    <mergeCell ref="H49:J49"/>
    <mergeCell ref="G14:H14"/>
    <mergeCell ref="G13:H13"/>
    <mergeCell ref="G12:H12"/>
    <mergeCell ref="H24:I24"/>
    <mergeCell ref="I42:J42"/>
    <mergeCell ref="A10:J10"/>
    <mergeCell ref="H17:I17"/>
    <mergeCell ref="A25:I25"/>
    <mergeCell ref="A26:B26"/>
    <mergeCell ref="H18:I18"/>
    <mergeCell ref="H22:I22"/>
    <mergeCell ref="H20:I20"/>
    <mergeCell ref="H19:I19"/>
    <mergeCell ref="H23:I23"/>
    <mergeCell ref="H21:I2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46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J29" sqref="J29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4.5703125" style="2" customWidth="1"/>
    <col min="4" max="4" width="11.5703125" style="3" customWidth="1"/>
    <col min="5" max="5" width="8.5703125" style="11" customWidth="1"/>
    <col min="6" max="6" width="10.28515625" style="3" customWidth="1"/>
    <col min="7" max="7" width="9.28515625" style="3" customWidth="1"/>
    <col min="8" max="8" width="18.140625" style="6" customWidth="1"/>
    <col min="9" max="9" width="4" style="3" customWidth="1"/>
    <col min="10" max="10" width="3.5703125" style="3" customWidth="1"/>
    <col min="11" max="11" width="3.28515625" style="3" customWidth="1"/>
    <col min="12" max="12" width="4.140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2.140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403305</v>
      </c>
      <c r="B3" s="70" t="s">
        <v>58</v>
      </c>
      <c r="C3" s="8" t="s">
        <v>59</v>
      </c>
      <c r="D3" s="72" t="s">
        <v>57</v>
      </c>
      <c r="E3" s="12">
        <v>44597</v>
      </c>
      <c r="F3" s="72" t="s">
        <v>64</v>
      </c>
      <c r="G3" s="12">
        <v>44640</v>
      </c>
      <c r="H3" s="9" t="s">
        <v>63</v>
      </c>
      <c r="I3" s="1">
        <v>65</v>
      </c>
      <c r="J3" s="1">
        <v>56</v>
      </c>
      <c r="K3" s="1">
        <v>26</v>
      </c>
      <c r="L3" s="1">
        <v>8</v>
      </c>
      <c r="M3" s="76">
        <v>23.66</v>
      </c>
      <c r="N3" s="93">
        <v>24</v>
      </c>
      <c r="O3" s="60">
        <v>19000</v>
      </c>
      <c r="P3" s="61">
        <f t="shared" ref="P3:P24" si="0">N3*O3</f>
        <v>456000</v>
      </c>
      <c r="Q3" s="115">
        <v>4</v>
      </c>
    </row>
    <row r="4" spans="1:17" ht="26.25" customHeight="1" x14ac:dyDescent="0.2">
      <c r="A4" s="13"/>
      <c r="B4" s="71"/>
      <c r="C4" s="8" t="s">
        <v>60</v>
      </c>
      <c r="D4" s="72" t="s">
        <v>57</v>
      </c>
      <c r="E4" s="12">
        <v>44597</v>
      </c>
      <c r="F4" s="72" t="s">
        <v>64</v>
      </c>
      <c r="G4" s="12">
        <v>44640</v>
      </c>
      <c r="H4" s="9" t="s">
        <v>63</v>
      </c>
      <c r="I4" s="1">
        <v>28</v>
      </c>
      <c r="J4" s="1">
        <v>24</v>
      </c>
      <c r="K4" s="1">
        <v>20</v>
      </c>
      <c r="L4" s="1">
        <v>8</v>
      </c>
      <c r="M4" s="76">
        <v>3.36</v>
      </c>
      <c r="N4" s="7">
        <v>8</v>
      </c>
      <c r="O4" s="60">
        <v>19000</v>
      </c>
      <c r="P4" s="61">
        <f t="shared" si="0"/>
        <v>152000</v>
      </c>
      <c r="Q4" s="116"/>
    </row>
    <row r="5" spans="1:17" ht="26.25" customHeight="1" x14ac:dyDescent="0.2">
      <c r="A5" s="13"/>
      <c r="B5" s="13"/>
      <c r="C5" s="8" t="s">
        <v>61</v>
      </c>
      <c r="D5" s="72" t="s">
        <v>57</v>
      </c>
      <c r="E5" s="12">
        <v>44597</v>
      </c>
      <c r="F5" s="72" t="s">
        <v>64</v>
      </c>
      <c r="G5" s="12">
        <v>44640</v>
      </c>
      <c r="H5" s="9" t="s">
        <v>63</v>
      </c>
      <c r="I5" s="1">
        <v>50</v>
      </c>
      <c r="J5" s="1">
        <v>45</v>
      </c>
      <c r="K5" s="1">
        <v>10</v>
      </c>
      <c r="L5" s="1">
        <v>10</v>
      </c>
      <c r="M5" s="76">
        <v>5.625</v>
      </c>
      <c r="N5" s="7">
        <v>10</v>
      </c>
      <c r="O5" s="60">
        <v>19000</v>
      </c>
      <c r="P5" s="61">
        <f t="shared" si="0"/>
        <v>190000</v>
      </c>
      <c r="Q5" s="116"/>
    </row>
    <row r="6" spans="1:17" ht="26.25" customHeight="1" x14ac:dyDescent="0.2">
      <c r="A6" s="13"/>
      <c r="B6" s="13"/>
      <c r="C6" s="69" t="s">
        <v>62</v>
      </c>
      <c r="D6" s="74" t="s">
        <v>57</v>
      </c>
      <c r="E6" s="12">
        <v>44597</v>
      </c>
      <c r="F6" s="72" t="s">
        <v>64</v>
      </c>
      <c r="G6" s="12">
        <v>44640</v>
      </c>
      <c r="H6" s="73" t="s">
        <v>63</v>
      </c>
      <c r="I6" s="15">
        <v>50</v>
      </c>
      <c r="J6" s="15">
        <v>45</v>
      </c>
      <c r="K6" s="15">
        <v>10</v>
      </c>
      <c r="L6" s="15">
        <v>10</v>
      </c>
      <c r="M6" s="77">
        <v>5.625</v>
      </c>
      <c r="N6" s="68">
        <v>10</v>
      </c>
      <c r="O6" s="60">
        <v>19000</v>
      </c>
      <c r="P6" s="61">
        <f t="shared" si="0"/>
        <v>190000</v>
      </c>
      <c r="Q6" s="117"/>
    </row>
    <row r="7" spans="1:17" ht="26.25" customHeight="1" x14ac:dyDescent="0.2">
      <c r="A7" s="79">
        <v>403400</v>
      </c>
      <c r="B7" s="70" t="s">
        <v>65</v>
      </c>
      <c r="C7" s="8" t="s">
        <v>66</v>
      </c>
      <c r="D7" s="72" t="s">
        <v>57</v>
      </c>
      <c r="E7" s="12">
        <v>44599</v>
      </c>
      <c r="F7" s="72" t="s">
        <v>64</v>
      </c>
      <c r="G7" s="12">
        <v>44640</v>
      </c>
      <c r="H7" s="9" t="s">
        <v>63</v>
      </c>
      <c r="I7" s="1">
        <v>150</v>
      </c>
      <c r="J7" s="1">
        <v>64</v>
      </c>
      <c r="K7" s="1">
        <v>18</v>
      </c>
      <c r="L7" s="1">
        <v>10</v>
      </c>
      <c r="M7" s="76">
        <v>43.2</v>
      </c>
      <c r="N7" s="93">
        <v>43.2</v>
      </c>
      <c r="O7" s="60">
        <v>19000</v>
      </c>
      <c r="P7" s="61">
        <f t="shared" si="0"/>
        <v>820800</v>
      </c>
      <c r="Q7" s="115">
        <v>5</v>
      </c>
    </row>
    <row r="8" spans="1:17" ht="26.25" customHeight="1" x14ac:dyDescent="0.2">
      <c r="A8" s="13"/>
      <c r="B8" s="71"/>
      <c r="C8" s="8" t="s">
        <v>67</v>
      </c>
      <c r="D8" s="72" t="s">
        <v>57</v>
      </c>
      <c r="E8" s="12">
        <v>44599</v>
      </c>
      <c r="F8" s="72" t="s">
        <v>64</v>
      </c>
      <c r="G8" s="12">
        <v>44640</v>
      </c>
      <c r="H8" s="9" t="s">
        <v>63</v>
      </c>
      <c r="I8" s="1">
        <v>150</v>
      </c>
      <c r="J8" s="1">
        <v>64</v>
      </c>
      <c r="K8" s="1">
        <v>18</v>
      </c>
      <c r="L8" s="1">
        <v>10</v>
      </c>
      <c r="M8" s="76">
        <v>43.2</v>
      </c>
      <c r="N8" s="93">
        <v>43.2</v>
      </c>
      <c r="O8" s="60">
        <v>19000</v>
      </c>
      <c r="P8" s="61">
        <f t="shared" si="0"/>
        <v>820800</v>
      </c>
      <c r="Q8" s="116"/>
    </row>
    <row r="9" spans="1:17" ht="26.25" customHeight="1" x14ac:dyDescent="0.2">
      <c r="A9" s="13"/>
      <c r="B9" s="13"/>
      <c r="C9" s="8" t="s">
        <v>68</v>
      </c>
      <c r="D9" s="72" t="s">
        <v>57</v>
      </c>
      <c r="E9" s="12">
        <v>44599</v>
      </c>
      <c r="F9" s="72" t="s">
        <v>64</v>
      </c>
      <c r="G9" s="12">
        <v>44640</v>
      </c>
      <c r="H9" s="9" t="s">
        <v>63</v>
      </c>
      <c r="I9" s="1">
        <v>150</v>
      </c>
      <c r="J9" s="1">
        <v>64</v>
      </c>
      <c r="K9" s="1">
        <v>18</v>
      </c>
      <c r="L9" s="1">
        <v>10</v>
      </c>
      <c r="M9" s="76">
        <v>43.2</v>
      </c>
      <c r="N9" s="93">
        <v>43.2</v>
      </c>
      <c r="O9" s="60">
        <v>19000</v>
      </c>
      <c r="P9" s="61">
        <f t="shared" si="0"/>
        <v>820800</v>
      </c>
      <c r="Q9" s="116"/>
    </row>
    <row r="10" spans="1:17" ht="26.25" customHeight="1" x14ac:dyDescent="0.2">
      <c r="A10" s="13"/>
      <c r="B10" s="13"/>
      <c r="C10" s="69" t="s">
        <v>69</v>
      </c>
      <c r="D10" s="74" t="s">
        <v>57</v>
      </c>
      <c r="E10" s="12">
        <v>44599</v>
      </c>
      <c r="F10" s="72" t="s">
        <v>64</v>
      </c>
      <c r="G10" s="12">
        <v>44640</v>
      </c>
      <c r="H10" s="73" t="s">
        <v>63</v>
      </c>
      <c r="I10" s="15">
        <v>65</v>
      </c>
      <c r="J10" s="15">
        <v>56</v>
      </c>
      <c r="K10" s="15">
        <v>21</v>
      </c>
      <c r="L10" s="15">
        <v>8</v>
      </c>
      <c r="M10" s="77">
        <v>19.11</v>
      </c>
      <c r="N10" s="93">
        <v>19.11</v>
      </c>
      <c r="O10" s="60">
        <v>19000</v>
      </c>
      <c r="P10" s="61">
        <f t="shared" si="0"/>
        <v>363090</v>
      </c>
      <c r="Q10" s="116"/>
    </row>
    <row r="11" spans="1:17" ht="26.25" customHeight="1" x14ac:dyDescent="0.2">
      <c r="A11" s="13"/>
      <c r="B11" s="13"/>
      <c r="C11" s="69" t="s">
        <v>70</v>
      </c>
      <c r="D11" s="74" t="s">
        <v>57</v>
      </c>
      <c r="E11" s="12">
        <v>44599</v>
      </c>
      <c r="F11" s="72" t="s">
        <v>64</v>
      </c>
      <c r="G11" s="12">
        <v>44640</v>
      </c>
      <c r="H11" s="73" t="s">
        <v>63</v>
      </c>
      <c r="I11" s="15">
        <v>53</v>
      </c>
      <c r="J11" s="15">
        <v>45</v>
      </c>
      <c r="K11" s="15">
        <v>15</v>
      </c>
      <c r="L11" s="15">
        <v>10</v>
      </c>
      <c r="M11" s="77">
        <v>8.9437499999999996</v>
      </c>
      <c r="N11" s="68">
        <v>10</v>
      </c>
      <c r="O11" s="60">
        <v>19000</v>
      </c>
      <c r="P11" s="61">
        <f t="shared" si="0"/>
        <v>190000</v>
      </c>
      <c r="Q11" s="117"/>
    </row>
    <row r="12" spans="1:17" ht="26.25" customHeight="1" x14ac:dyDescent="0.2">
      <c r="A12" s="79">
        <v>403312</v>
      </c>
      <c r="B12" s="70" t="s">
        <v>71</v>
      </c>
      <c r="C12" s="8" t="s">
        <v>72</v>
      </c>
      <c r="D12" s="72" t="s">
        <v>57</v>
      </c>
      <c r="E12" s="12">
        <v>44600</v>
      </c>
      <c r="F12" s="72" t="s">
        <v>64</v>
      </c>
      <c r="G12" s="12">
        <v>44640</v>
      </c>
      <c r="H12" s="9" t="s">
        <v>63</v>
      </c>
      <c r="I12" s="1">
        <v>65</v>
      </c>
      <c r="J12" s="1">
        <v>55</v>
      </c>
      <c r="K12" s="1">
        <v>22</v>
      </c>
      <c r="L12" s="1">
        <v>8</v>
      </c>
      <c r="M12" s="76">
        <v>19.662500000000001</v>
      </c>
      <c r="N12" s="93">
        <v>20</v>
      </c>
      <c r="O12" s="60">
        <v>19000</v>
      </c>
      <c r="P12" s="61">
        <f t="shared" si="0"/>
        <v>380000</v>
      </c>
      <c r="Q12" s="95">
        <v>1</v>
      </c>
    </row>
    <row r="13" spans="1:17" ht="26.25" customHeight="1" x14ac:dyDescent="0.2">
      <c r="A13" s="79">
        <v>403160</v>
      </c>
      <c r="B13" s="70" t="s">
        <v>73</v>
      </c>
      <c r="C13" s="8" t="s">
        <v>74</v>
      </c>
      <c r="D13" s="72" t="s">
        <v>57</v>
      </c>
      <c r="E13" s="12">
        <v>44611</v>
      </c>
      <c r="F13" s="72" t="s">
        <v>64</v>
      </c>
      <c r="G13" s="12">
        <v>44640</v>
      </c>
      <c r="H13" s="9" t="s">
        <v>63</v>
      </c>
      <c r="I13" s="1">
        <v>22</v>
      </c>
      <c r="J13" s="1">
        <v>15</v>
      </c>
      <c r="K13" s="1">
        <v>12</v>
      </c>
      <c r="L13" s="1">
        <v>4</v>
      </c>
      <c r="M13" s="76">
        <v>0.99</v>
      </c>
      <c r="N13" s="7">
        <v>4</v>
      </c>
      <c r="O13" s="60">
        <v>19000</v>
      </c>
      <c r="P13" s="61">
        <f t="shared" si="0"/>
        <v>76000</v>
      </c>
      <c r="Q13" s="95">
        <v>1</v>
      </c>
    </row>
    <row r="14" spans="1:17" ht="26.25" customHeight="1" x14ac:dyDescent="0.2">
      <c r="A14" s="79">
        <v>404678</v>
      </c>
      <c r="B14" s="70" t="s">
        <v>75</v>
      </c>
      <c r="C14" s="8" t="s">
        <v>76</v>
      </c>
      <c r="D14" s="72" t="s">
        <v>57</v>
      </c>
      <c r="E14" s="12">
        <v>44615</v>
      </c>
      <c r="F14" s="72" t="s">
        <v>64</v>
      </c>
      <c r="G14" s="12">
        <v>44640</v>
      </c>
      <c r="H14" s="9" t="s">
        <v>63</v>
      </c>
      <c r="I14" s="1">
        <v>46</v>
      </c>
      <c r="J14" s="1">
        <v>44</v>
      </c>
      <c r="K14" s="1">
        <v>35</v>
      </c>
      <c r="L14" s="1">
        <v>13</v>
      </c>
      <c r="M14" s="76">
        <v>17.71</v>
      </c>
      <c r="N14" s="93">
        <v>18</v>
      </c>
      <c r="O14" s="60">
        <v>19000</v>
      </c>
      <c r="P14" s="61">
        <f t="shared" si="0"/>
        <v>342000</v>
      </c>
      <c r="Q14" s="115">
        <v>7</v>
      </c>
    </row>
    <row r="15" spans="1:17" ht="26.25" customHeight="1" x14ac:dyDescent="0.2">
      <c r="A15" s="13"/>
      <c r="B15" s="71"/>
      <c r="C15" s="8" t="s">
        <v>77</v>
      </c>
      <c r="D15" s="72" t="s">
        <v>57</v>
      </c>
      <c r="E15" s="12">
        <v>44615</v>
      </c>
      <c r="F15" s="72" t="s">
        <v>64</v>
      </c>
      <c r="G15" s="12">
        <v>44640</v>
      </c>
      <c r="H15" s="9" t="s">
        <v>63</v>
      </c>
      <c r="I15" s="1">
        <v>49</v>
      </c>
      <c r="J15" s="1">
        <v>50</v>
      </c>
      <c r="K15" s="1">
        <v>90</v>
      </c>
      <c r="L15" s="1">
        <v>15</v>
      </c>
      <c r="M15" s="76">
        <v>55.125</v>
      </c>
      <c r="N15" s="93">
        <v>55.125</v>
      </c>
      <c r="O15" s="60">
        <v>19000</v>
      </c>
      <c r="P15" s="61">
        <f t="shared" si="0"/>
        <v>1047375</v>
      </c>
      <c r="Q15" s="116"/>
    </row>
    <row r="16" spans="1:17" ht="26.25" customHeight="1" x14ac:dyDescent="0.2">
      <c r="A16" s="13"/>
      <c r="B16" s="13"/>
      <c r="C16" s="8" t="s">
        <v>78</v>
      </c>
      <c r="D16" s="72" t="s">
        <v>57</v>
      </c>
      <c r="E16" s="12">
        <v>44615</v>
      </c>
      <c r="F16" s="72" t="s">
        <v>64</v>
      </c>
      <c r="G16" s="12">
        <v>44640</v>
      </c>
      <c r="H16" s="9" t="s">
        <v>63</v>
      </c>
      <c r="I16" s="1">
        <v>52</v>
      </c>
      <c r="J16" s="1">
        <v>45</v>
      </c>
      <c r="K16" s="1">
        <v>12</v>
      </c>
      <c r="L16" s="1">
        <v>7</v>
      </c>
      <c r="M16" s="76">
        <v>7.02</v>
      </c>
      <c r="N16" s="93">
        <v>7.02</v>
      </c>
      <c r="O16" s="60">
        <v>19000</v>
      </c>
      <c r="P16" s="61">
        <f t="shared" si="0"/>
        <v>133380</v>
      </c>
      <c r="Q16" s="116"/>
    </row>
    <row r="17" spans="1:17" ht="26.25" customHeight="1" x14ac:dyDescent="0.2">
      <c r="A17" s="13"/>
      <c r="B17" s="13"/>
      <c r="C17" s="69" t="s">
        <v>79</v>
      </c>
      <c r="D17" s="74" t="s">
        <v>57</v>
      </c>
      <c r="E17" s="12">
        <v>44615</v>
      </c>
      <c r="F17" s="72" t="s">
        <v>64</v>
      </c>
      <c r="G17" s="12">
        <v>44640</v>
      </c>
      <c r="H17" s="73" t="s">
        <v>63</v>
      </c>
      <c r="I17" s="15">
        <v>52</v>
      </c>
      <c r="J17" s="15">
        <v>35</v>
      </c>
      <c r="K17" s="15">
        <v>12</v>
      </c>
      <c r="L17" s="15">
        <v>13</v>
      </c>
      <c r="M17" s="77">
        <v>5.46</v>
      </c>
      <c r="N17" s="93">
        <v>13</v>
      </c>
      <c r="O17" s="60">
        <v>19000</v>
      </c>
      <c r="P17" s="61">
        <f t="shared" si="0"/>
        <v>247000</v>
      </c>
      <c r="Q17" s="116"/>
    </row>
    <row r="18" spans="1:17" ht="26.25" customHeight="1" x14ac:dyDescent="0.2">
      <c r="A18" s="13"/>
      <c r="B18" s="13"/>
      <c r="C18" s="69" t="s">
        <v>80</v>
      </c>
      <c r="D18" s="74" t="s">
        <v>57</v>
      </c>
      <c r="E18" s="12">
        <v>44615</v>
      </c>
      <c r="F18" s="72" t="s">
        <v>64</v>
      </c>
      <c r="G18" s="12">
        <v>44640</v>
      </c>
      <c r="H18" s="73" t="s">
        <v>63</v>
      </c>
      <c r="I18" s="15">
        <v>50</v>
      </c>
      <c r="J18" s="15">
        <v>49</v>
      </c>
      <c r="K18" s="15">
        <v>93</v>
      </c>
      <c r="L18" s="15">
        <v>15</v>
      </c>
      <c r="M18" s="77">
        <v>56.962499999999999</v>
      </c>
      <c r="N18" s="93">
        <v>57</v>
      </c>
      <c r="O18" s="60">
        <v>19000</v>
      </c>
      <c r="P18" s="61">
        <f t="shared" si="0"/>
        <v>1083000</v>
      </c>
      <c r="Q18" s="116"/>
    </row>
    <row r="19" spans="1:17" ht="26.25" customHeight="1" x14ac:dyDescent="0.2">
      <c r="A19" s="13"/>
      <c r="B19" s="98"/>
      <c r="C19" s="69" t="s">
        <v>81</v>
      </c>
      <c r="D19" s="74" t="s">
        <v>57</v>
      </c>
      <c r="E19" s="12">
        <v>44615</v>
      </c>
      <c r="F19" s="72" t="s">
        <v>64</v>
      </c>
      <c r="G19" s="12">
        <v>44640</v>
      </c>
      <c r="H19" s="73" t="s">
        <v>63</v>
      </c>
      <c r="I19" s="15">
        <v>70</v>
      </c>
      <c r="J19" s="15">
        <v>58</v>
      </c>
      <c r="K19" s="15">
        <v>56</v>
      </c>
      <c r="L19" s="15">
        <v>13</v>
      </c>
      <c r="M19" s="77">
        <v>56.84</v>
      </c>
      <c r="N19" s="93">
        <v>57</v>
      </c>
      <c r="O19" s="60">
        <v>19000</v>
      </c>
      <c r="P19" s="61">
        <f t="shared" si="0"/>
        <v>1083000</v>
      </c>
      <c r="Q19" s="116"/>
    </row>
    <row r="20" spans="1:17" ht="26.25" customHeight="1" x14ac:dyDescent="0.2">
      <c r="A20" s="13"/>
      <c r="B20" s="13" t="s">
        <v>82</v>
      </c>
      <c r="C20" s="69" t="s">
        <v>83</v>
      </c>
      <c r="D20" s="74" t="s">
        <v>57</v>
      </c>
      <c r="E20" s="12">
        <v>44615</v>
      </c>
      <c r="F20" s="72" t="s">
        <v>64</v>
      </c>
      <c r="G20" s="12">
        <v>44640</v>
      </c>
      <c r="H20" s="73" t="s">
        <v>63</v>
      </c>
      <c r="I20" s="15">
        <v>150</v>
      </c>
      <c r="J20" s="15">
        <v>64</v>
      </c>
      <c r="K20" s="15">
        <v>12</v>
      </c>
      <c r="L20" s="15">
        <v>4</v>
      </c>
      <c r="M20" s="77">
        <v>28.8</v>
      </c>
      <c r="N20" s="93">
        <v>29</v>
      </c>
      <c r="O20" s="60">
        <v>19000</v>
      </c>
      <c r="P20" s="61">
        <f t="shared" si="0"/>
        <v>551000</v>
      </c>
      <c r="Q20" s="117"/>
    </row>
    <row r="21" spans="1:17" ht="26.25" customHeight="1" x14ac:dyDescent="0.2">
      <c r="A21" s="79">
        <v>404754</v>
      </c>
      <c r="B21" s="70" t="s">
        <v>84</v>
      </c>
      <c r="C21" s="8" t="s">
        <v>85</v>
      </c>
      <c r="D21" s="72" t="s">
        <v>57</v>
      </c>
      <c r="E21" s="12">
        <v>44616</v>
      </c>
      <c r="F21" s="72" t="s">
        <v>64</v>
      </c>
      <c r="G21" s="12">
        <v>44640</v>
      </c>
      <c r="H21" s="9" t="s">
        <v>63</v>
      </c>
      <c r="I21" s="1">
        <v>27</v>
      </c>
      <c r="J21" s="1">
        <v>21</v>
      </c>
      <c r="K21" s="1">
        <v>23</v>
      </c>
      <c r="L21" s="1">
        <v>11</v>
      </c>
      <c r="M21" s="76">
        <v>3.2602500000000001</v>
      </c>
      <c r="N21" s="93">
        <v>11</v>
      </c>
      <c r="O21" s="60">
        <v>19000</v>
      </c>
      <c r="P21" s="61">
        <f t="shared" si="0"/>
        <v>209000</v>
      </c>
      <c r="Q21" s="115">
        <v>4</v>
      </c>
    </row>
    <row r="22" spans="1:17" ht="26.25" customHeight="1" x14ac:dyDescent="0.2">
      <c r="A22" s="13"/>
      <c r="B22" s="71"/>
      <c r="C22" s="8" t="s">
        <v>86</v>
      </c>
      <c r="D22" s="72" t="s">
        <v>57</v>
      </c>
      <c r="E22" s="12">
        <v>44616</v>
      </c>
      <c r="F22" s="72" t="s">
        <v>64</v>
      </c>
      <c r="G22" s="12">
        <v>44640</v>
      </c>
      <c r="H22" s="9" t="s">
        <v>63</v>
      </c>
      <c r="I22" s="1">
        <v>45</v>
      </c>
      <c r="J22" s="1">
        <v>33</v>
      </c>
      <c r="K22" s="1">
        <v>33</v>
      </c>
      <c r="L22" s="1">
        <v>13</v>
      </c>
      <c r="M22" s="76">
        <v>12.251250000000001</v>
      </c>
      <c r="N22" s="93">
        <v>13</v>
      </c>
      <c r="O22" s="60">
        <v>19000</v>
      </c>
      <c r="P22" s="61">
        <f t="shared" si="0"/>
        <v>247000</v>
      </c>
      <c r="Q22" s="116"/>
    </row>
    <row r="23" spans="1:17" ht="26.25" customHeight="1" x14ac:dyDescent="0.2">
      <c r="A23" s="13"/>
      <c r="B23" s="13"/>
      <c r="C23" s="8" t="s">
        <v>87</v>
      </c>
      <c r="D23" s="72" t="s">
        <v>57</v>
      </c>
      <c r="E23" s="12">
        <v>44616</v>
      </c>
      <c r="F23" s="72" t="s">
        <v>64</v>
      </c>
      <c r="G23" s="12">
        <v>44640</v>
      </c>
      <c r="H23" s="9" t="s">
        <v>63</v>
      </c>
      <c r="I23" s="1">
        <v>65</v>
      </c>
      <c r="J23" s="1">
        <v>57</v>
      </c>
      <c r="K23" s="1">
        <v>20</v>
      </c>
      <c r="L23" s="1">
        <v>7</v>
      </c>
      <c r="M23" s="76">
        <v>18.524999999999999</v>
      </c>
      <c r="N23" s="93">
        <v>18</v>
      </c>
      <c r="O23" s="60">
        <v>19000</v>
      </c>
      <c r="P23" s="61">
        <f t="shared" si="0"/>
        <v>342000</v>
      </c>
      <c r="Q23" s="116"/>
    </row>
    <row r="24" spans="1:17" ht="26.25" customHeight="1" x14ac:dyDescent="0.2">
      <c r="A24" s="13"/>
      <c r="B24" s="13"/>
      <c r="C24" s="69" t="s">
        <v>88</v>
      </c>
      <c r="D24" s="74" t="s">
        <v>57</v>
      </c>
      <c r="E24" s="12">
        <v>44616</v>
      </c>
      <c r="F24" s="72" t="s">
        <v>64</v>
      </c>
      <c r="G24" s="12">
        <v>44640</v>
      </c>
      <c r="H24" s="73" t="s">
        <v>63</v>
      </c>
      <c r="I24" s="15">
        <v>90</v>
      </c>
      <c r="J24" s="15">
        <v>54</v>
      </c>
      <c r="K24" s="15">
        <v>52</v>
      </c>
      <c r="L24" s="15">
        <v>13</v>
      </c>
      <c r="M24" s="77">
        <v>63.18</v>
      </c>
      <c r="N24" s="93">
        <v>63.18</v>
      </c>
      <c r="O24" s="60">
        <v>19000</v>
      </c>
      <c r="P24" s="61">
        <f t="shared" si="0"/>
        <v>1200420</v>
      </c>
      <c r="Q24" s="117"/>
    </row>
    <row r="25" spans="1:17" ht="26.25" customHeight="1" x14ac:dyDescent="0.2">
      <c r="A25" s="79">
        <v>404761</v>
      </c>
      <c r="B25" s="70" t="s">
        <v>89</v>
      </c>
      <c r="C25" s="8" t="s">
        <v>90</v>
      </c>
      <c r="D25" s="72" t="s">
        <v>57</v>
      </c>
      <c r="E25" s="12">
        <v>44617</v>
      </c>
      <c r="F25" s="72" t="s">
        <v>64</v>
      </c>
      <c r="G25" s="12">
        <v>44640</v>
      </c>
      <c r="H25" s="9" t="s">
        <v>63</v>
      </c>
      <c r="I25" s="1">
        <v>40</v>
      </c>
      <c r="J25" s="1">
        <v>39</v>
      </c>
      <c r="K25" s="1">
        <v>42</v>
      </c>
      <c r="L25" s="1">
        <v>4</v>
      </c>
      <c r="M25" s="76">
        <v>16.38</v>
      </c>
      <c r="N25" s="7">
        <v>17</v>
      </c>
      <c r="O25" s="60">
        <v>19000</v>
      </c>
      <c r="P25" s="61">
        <f>N25*O25</f>
        <v>323000</v>
      </c>
      <c r="Q25" s="95">
        <v>1</v>
      </c>
    </row>
    <row r="26" spans="1:17" ht="22.5" customHeight="1" x14ac:dyDescent="0.2">
      <c r="A26" s="118" t="s">
        <v>30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20"/>
      <c r="M26" s="75">
        <f>SUM(M3:M25)</f>
        <v>558.09024999999986</v>
      </c>
      <c r="N26" s="64">
        <f>SUM(N3:N25)</f>
        <v>593.03499999999997</v>
      </c>
      <c r="O26" s="121">
        <f>SUM(P3:P25)</f>
        <v>11267665</v>
      </c>
      <c r="P26" s="122"/>
      <c r="Q26" s="64">
        <f>SUM(Q3:Q25)</f>
        <v>23</v>
      </c>
    </row>
    <row r="27" spans="1:17" ht="18" customHeight="1" x14ac:dyDescent="0.2">
      <c r="A27" s="82"/>
      <c r="B27" s="54" t="s">
        <v>42</v>
      </c>
      <c r="C27" s="53"/>
      <c r="D27" s="55" t="s">
        <v>43</v>
      </c>
      <c r="E27" s="82"/>
      <c r="F27" s="82"/>
      <c r="G27" s="82"/>
      <c r="H27" s="82"/>
      <c r="I27" s="82"/>
      <c r="J27" s="82"/>
      <c r="K27" s="82"/>
      <c r="L27" s="82"/>
      <c r="M27" s="83"/>
      <c r="N27" s="84" t="s">
        <v>51</v>
      </c>
      <c r="O27" s="85"/>
      <c r="P27" s="85">
        <f>O26*10%</f>
        <v>1126766.5</v>
      </c>
    </row>
    <row r="28" spans="1:17" ht="18" customHeight="1" thickBot="1" x14ac:dyDescent="0.25">
      <c r="A28" s="82"/>
      <c r="B28" s="54"/>
      <c r="C28" s="53"/>
      <c r="D28" s="55"/>
      <c r="E28" s="82"/>
      <c r="F28" s="82"/>
      <c r="G28" s="82"/>
      <c r="H28" s="82"/>
      <c r="I28" s="82"/>
      <c r="J28" s="82"/>
      <c r="K28" s="82"/>
      <c r="L28" s="82"/>
      <c r="M28" s="83"/>
      <c r="N28" s="86" t="s">
        <v>52</v>
      </c>
      <c r="O28" s="87"/>
      <c r="P28" s="87">
        <f>O26-P27</f>
        <v>10140898.5</v>
      </c>
    </row>
    <row r="29" spans="1:17" ht="18" customHeight="1" x14ac:dyDescent="0.2">
      <c r="A29" s="10"/>
      <c r="H29" s="59"/>
      <c r="N29" s="58" t="s">
        <v>31</v>
      </c>
      <c r="P29" s="65">
        <f>P28*1%</f>
        <v>101408.985</v>
      </c>
    </row>
    <row r="30" spans="1:17" ht="18" customHeight="1" thickBot="1" x14ac:dyDescent="0.25">
      <c r="A30" s="10"/>
      <c r="H30" s="59"/>
      <c r="N30" s="58" t="s">
        <v>53</v>
      </c>
      <c r="P30" s="67">
        <f>P28*2%</f>
        <v>202817.97</v>
      </c>
    </row>
    <row r="31" spans="1:17" ht="18" customHeight="1" x14ac:dyDescent="0.2">
      <c r="A31" s="10"/>
      <c r="H31" s="59"/>
      <c r="N31" s="62" t="s">
        <v>32</v>
      </c>
      <c r="O31" s="63"/>
      <c r="P31" s="66">
        <f>P28+P29-P30</f>
        <v>10039489.514999999</v>
      </c>
    </row>
    <row r="33" spans="1:16" x14ac:dyDescent="0.2">
      <c r="A33" s="10"/>
      <c r="H33" s="59"/>
      <c r="P33" s="67"/>
    </row>
    <row r="34" spans="1:16" x14ac:dyDescent="0.2">
      <c r="A34" s="10"/>
      <c r="H34" s="59"/>
      <c r="O34" s="56"/>
      <c r="P34" s="67"/>
    </row>
    <row r="35" spans="1:16" s="3" customFormat="1" x14ac:dyDescent="0.25">
      <c r="A35" s="10"/>
      <c r="B35" s="2"/>
      <c r="C35" s="2"/>
      <c r="E35" s="11"/>
      <c r="H35" s="59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9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9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9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9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9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9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9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9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9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9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9"/>
      <c r="N46" s="14"/>
      <c r="O46" s="14"/>
      <c r="P46" s="14"/>
    </row>
  </sheetData>
  <mergeCells count="6">
    <mergeCell ref="Q3:Q6"/>
    <mergeCell ref="A26:L26"/>
    <mergeCell ref="O26:P26"/>
    <mergeCell ref="Q7:Q11"/>
    <mergeCell ref="Q14:Q20"/>
    <mergeCell ref="Q21:Q24"/>
  </mergeCells>
  <conditionalFormatting sqref="B3">
    <cfRule type="duplicateValues" dxfId="149" priority="14"/>
  </conditionalFormatting>
  <conditionalFormatting sqref="B4">
    <cfRule type="duplicateValues" dxfId="148" priority="13"/>
  </conditionalFormatting>
  <conditionalFormatting sqref="B5:B6">
    <cfRule type="duplicateValues" dxfId="147" priority="15"/>
  </conditionalFormatting>
  <conditionalFormatting sqref="B7">
    <cfRule type="duplicateValues" dxfId="146" priority="11"/>
  </conditionalFormatting>
  <conditionalFormatting sqref="B8">
    <cfRule type="duplicateValues" dxfId="145" priority="10"/>
  </conditionalFormatting>
  <conditionalFormatting sqref="B9:B11">
    <cfRule type="duplicateValues" dxfId="144" priority="12"/>
  </conditionalFormatting>
  <conditionalFormatting sqref="B12">
    <cfRule type="duplicateValues" dxfId="143" priority="9"/>
  </conditionalFormatting>
  <conditionalFormatting sqref="B13">
    <cfRule type="duplicateValues" dxfId="142" priority="8"/>
  </conditionalFormatting>
  <conditionalFormatting sqref="B14">
    <cfRule type="duplicateValues" dxfId="141" priority="6"/>
  </conditionalFormatting>
  <conditionalFormatting sqref="B15">
    <cfRule type="duplicateValues" dxfId="140" priority="5"/>
  </conditionalFormatting>
  <conditionalFormatting sqref="B16:B20">
    <cfRule type="duplicateValues" dxfId="139" priority="7"/>
  </conditionalFormatting>
  <conditionalFormatting sqref="B21">
    <cfRule type="duplicateValues" dxfId="138" priority="3"/>
  </conditionalFormatting>
  <conditionalFormatting sqref="B22">
    <cfRule type="duplicateValues" dxfId="137" priority="2"/>
  </conditionalFormatting>
  <conditionalFormatting sqref="B23:B24">
    <cfRule type="duplicateValues" dxfId="136" priority="4"/>
  </conditionalFormatting>
  <conditionalFormatting sqref="B25">
    <cfRule type="duplicateValues" dxfId="13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1" sqref="H11"/>
    </sheetView>
  </sheetViews>
  <sheetFormatPr defaultRowHeight="15" x14ac:dyDescent="0.2"/>
  <cols>
    <col min="1" max="1" width="6.28515625" style="4" customWidth="1"/>
    <col min="2" max="2" width="19" style="2" customWidth="1"/>
    <col min="3" max="3" width="15.7109375" style="2" customWidth="1"/>
    <col min="4" max="4" width="11.5703125" style="3" customWidth="1"/>
    <col min="5" max="5" width="8.5703125" style="11" customWidth="1"/>
    <col min="6" max="6" width="10.28515625" style="3" customWidth="1"/>
    <col min="7" max="7" width="9.28515625" style="3" customWidth="1"/>
    <col min="8" max="8" width="21.85546875" style="6" customWidth="1"/>
    <col min="9" max="9" width="3.28515625" style="3" customWidth="1"/>
    <col min="10" max="10" width="3.5703125" style="3" customWidth="1"/>
    <col min="11" max="11" width="3.28515625" style="3" customWidth="1"/>
    <col min="12" max="12" width="4.140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9.140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403305</v>
      </c>
      <c r="B3" s="70" t="s">
        <v>58</v>
      </c>
      <c r="C3" s="8" t="s">
        <v>59</v>
      </c>
      <c r="D3" s="72" t="s">
        <v>57</v>
      </c>
      <c r="E3" s="12">
        <v>44597</v>
      </c>
      <c r="F3" s="72" t="s">
        <v>64</v>
      </c>
      <c r="G3" s="12">
        <v>44640</v>
      </c>
      <c r="H3" s="9" t="s">
        <v>63</v>
      </c>
      <c r="I3" s="1">
        <v>65</v>
      </c>
      <c r="J3" s="1">
        <v>56</v>
      </c>
      <c r="K3" s="1">
        <v>26</v>
      </c>
      <c r="L3" s="1">
        <v>8</v>
      </c>
      <c r="M3" s="76">
        <v>23.66</v>
      </c>
      <c r="N3" s="93">
        <v>24</v>
      </c>
      <c r="O3" s="60">
        <v>19000</v>
      </c>
      <c r="P3" s="61">
        <f>Table22457891011234[[#This Row],[PEMBULATAN]]*O3</f>
        <v>456000</v>
      </c>
      <c r="Q3" s="115">
        <v>4</v>
      </c>
    </row>
    <row r="4" spans="1:17" ht="26.25" customHeight="1" x14ac:dyDescent="0.2">
      <c r="A4" s="13"/>
      <c r="B4" s="71"/>
      <c r="C4" s="8" t="s">
        <v>60</v>
      </c>
      <c r="D4" s="72" t="s">
        <v>57</v>
      </c>
      <c r="E4" s="12">
        <v>44597</v>
      </c>
      <c r="F4" s="72" t="s">
        <v>64</v>
      </c>
      <c r="G4" s="12">
        <v>44640</v>
      </c>
      <c r="H4" s="9" t="s">
        <v>63</v>
      </c>
      <c r="I4" s="1">
        <v>28</v>
      </c>
      <c r="J4" s="1">
        <v>24</v>
      </c>
      <c r="K4" s="1">
        <v>20</v>
      </c>
      <c r="L4" s="1">
        <v>8</v>
      </c>
      <c r="M4" s="76">
        <v>3.36</v>
      </c>
      <c r="N4" s="7">
        <v>8</v>
      </c>
      <c r="O4" s="60">
        <v>19000</v>
      </c>
      <c r="P4" s="61">
        <f>Table22457891011234[[#This Row],[PEMBULATAN]]*O4</f>
        <v>152000</v>
      </c>
      <c r="Q4" s="116"/>
    </row>
    <row r="5" spans="1:17" ht="26.25" customHeight="1" x14ac:dyDescent="0.2">
      <c r="A5" s="13"/>
      <c r="B5" s="13"/>
      <c r="C5" s="8" t="s">
        <v>61</v>
      </c>
      <c r="D5" s="72" t="s">
        <v>57</v>
      </c>
      <c r="E5" s="12">
        <v>44597</v>
      </c>
      <c r="F5" s="72" t="s">
        <v>64</v>
      </c>
      <c r="G5" s="12">
        <v>44640</v>
      </c>
      <c r="H5" s="9" t="s">
        <v>63</v>
      </c>
      <c r="I5" s="1">
        <v>50</v>
      </c>
      <c r="J5" s="1">
        <v>45</v>
      </c>
      <c r="K5" s="1">
        <v>10</v>
      </c>
      <c r="L5" s="1">
        <v>10</v>
      </c>
      <c r="M5" s="76">
        <v>5.625</v>
      </c>
      <c r="N5" s="7">
        <v>10</v>
      </c>
      <c r="O5" s="60">
        <v>19000</v>
      </c>
      <c r="P5" s="61">
        <f>Table22457891011234[[#This Row],[PEMBULATAN]]*O5</f>
        <v>190000</v>
      </c>
      <c r="Q5" s="116"/>
    </row>
    <row r="6" spans="1:17" ht="26.25" customHeight="1" x14ac:dyDescent="0.2">
      <c r="A6" s="13"/>
      <c r="B6" s="13"/>
      <c r="C6" s="69" t="s">
        <v>62</v>
      </c>
      <c r="D6" s="74" t="s">
        <v>57</v>
      </c>
      <c r="E6" s="12">
        <v>44597</v>
      </c>
      <c r="F6" s="72" t="s">
        <v>64</v>
      </c>
      <c r="G6" s="12">
        <v>44640</v>
      </c>
      <c r="H6" s="73" t="s">
        <v>63</v>
      </c>
      <c r="I6" s="15">
        <v>50</v>
      </c>
      <c r="J6" s="15">
        <v>45</v>
      </c>
      <c r="K6" s="15">
        <v>10</v>
      </c>
      <c r="L6" s="15">
        <v>10</v>
      </c>
      <c r="M6" s="77">
        <v>5.625</v>
      </c>
      <c r="N6" s="68">
        <v>10</v>
      </c>
      <c r="O6" s="60">
        <v>19000</v>
      </c>
      <c r="P6" s="61">
        <f>Table22457891011234[[#This Row],[PEMBULATAN]]*O6</f>
        <v>190000</v>
      </c>
      <c r="Q6" s="117"/>
    </row>
    <row r="7" spans="1:17" ht="22.5" customHeight="1" x14ac:dyDescent="0.2">
      <c r="A7" s="118" t="s">
        <v>30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20"/>
      <c r="M7" s="75">
        <f>SUBTOTAL(109,Table22457891011234[KG VOLUME])</f>
        <v>38.269999999999996</v>
      </c>
      <c r="N7" s="64">
        <f>SUM(N3:N6)</f>
        <v>52</v>
      </c>
      <c r="O7" s="121">
        <f>SUM(P3:P6)</f>
        <v>988000</v>
      </c>
      <c r="P7" s="122"/>
    </row>
    <row r="8" spans="1:17" ht="18" customHeight="1" x14ac:dyDescent="0.2">
      <c r="A8" s="82"/>
      <c r="B8" s="54" t="s">
        <v>42</v>
      </c>
      <c r="C8" s="53"/>
      <c r="D8" s="55" t="s">
        <v>43</v>
      </c>
      <c r="E8" s="82"/>
      <c r="F8" s="82"/>
      <c r="G8" s="82"/>
      <c r="H8" s="82"/>
      <c r="I8" s="82"/>
      <c r="J8" s="82"/>
      <c r="K8" s="82"/>
      <c r="L8" s="82"/>
      <c r="M8" s="83"/>
      <c r="N8" s="84" t="s">
        <v>51</v>
      </c>
      <c r="O8" s="85"/>
      <c r="P8" s="85">
        <f>O7*10%</f>
        <v>98800</v>
      </c>
    </row>
    <row r="9" spans="1:17" ht="18" customHeight="1" thickBot="1" x14ac:dyDescent="0.25">
      <c r="A9" s="82"/>
      <c r="B9" s="54"/>
      <c r="C9" s="53"/>
      <c r="D9" s="55"/>
      <c r="E9" s="82"/>
      <c r="F9" s="82"/>
      <c r="G9" s="82"/>
      <c r="H9" s="82"/>
      <c r="I9" s="82"/>
      <c r="J9" s="82"/>
      <c r="K9" s="82"/>
      <c r="L9" s="82"/>
      <c r="M9" s="83"/>
      <c r="N9" s="86" t="s">
        <v>52</v>
      </c>
      <c r="O9" s="87"/>
      <c r="P9" s="87">
        <f>O7-P8</f>
        <v>889200</v>
      </c>
    </row>
    <row r="10" spans="1:17" ht="18" customHeight="1" x14ac:dyDescent="0.2">
      <c r="A10" s="10"/>
      <c r="H10" s="59"/>
      <c r="N10" s="58" t="s">
        <v>31</v>
      </c>
      <c r="P10" s="65">
        <f>P9*1%</f>
        <v>8892</v>
      </c>
    </row>
    <row r="11" spans="1:17" ht="18" customHeight="1" thickBot="1" x14ac:dyDescent="0.25">
      <c r="A11" s="10"/>
      <c r="H11" s="59"/>
      <c r="N11" s="58" t="s">
        <v>53</v>
      </c>
      <c r="P11" s="67">
        <f>P9*2%</f>
        <v>17784</v>
      </c>
    </row>
    <row r="12" spans="1:17" ht="18" customHeight="1" x14ac:dyDescent="0.2">
      <c r="A12" s="10"/>
      <c r="H12" s="59"/>
      <c r="N12" s="62" t="s">
        <v>32</v>
      </c>
      <c r="O12" s="63"/>
      <c r="P12" s="66">
        <f>P9+P10-P11</f>
        <v>880308</v>
      </c>
    </row>
    <row r="14" spans="1:17" x14ac:dyDescent="0.2">
      <c r="A14" s="10"/>
      <c r="H14" s="59"/>
      <c r="P14" s="67"/>
    </row>
    <row r="15" spans="1:17" x14ac:dyDescent="0.2">
      <c r="A15" s="10"/>
      <c r="H15" s="59"/>
      <c r="O15" s="56"/>
      <c r="P15" s="67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9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9"/>
      <c r="N27" s="14"/>
      <c r="O27" s="14"/>
      <c r="P27" s="14"/>
    </row>
  </sheetData>
  <mergeCells count="3">
    <mergeCell ref="A7:L7"/>
    <mergeCell ref="O7:P7"/>
    <mergeCell ref="Q3:Q6"/>
  </mergeCells>
  <conditionalFormatting sqref="B3">
    <cfRule type="duplicateValues" dxfId="119" priority="2"/>
  </conditionalFormatting>
  <conditionalFormatting sqref="B4">
    <cfRule type="duplicateValues" dxfId="118" priority="1"/>
  </conditionalFormatting>
  <conditionalFormatting sqref="B5:B6">
    <cfRule type="duplicateValues" dxfId="117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"/>
  <cols>
    <col min="1" max="1" width="7.28515625" style="4" customWidth="1"/>
    <col min="2" max="2" width="18.42578125" style="2" customWidth="1"/>
    <col min="3" max="3" width="15.28515625" style="2" customWidth="1"/>
    <col min="4" max="4" width="10.85546875" style="3" customWidth="1"/>
    <col min="5" max="5" width="9.5703125" style="11" customWidth="1"/>
    <col min="6" max="6" width="11.28515625" style="3" customWidth="1"/>
    <col min="7" max="7" width="9.7109375" style="3" customWidth="1"/>
    <col min="8" max="8" width="19.28515625" style="6" customWidth="1"/>
    <col min="9" max="9" width="3.7109375" style="3" customWidth="1"/>
    <col min="10" max="10" width="3.5703125" style="3" customWidth="1"/>
    <col min="11" max="11" width="3.28515625" style="3" customWidth="1"/>
    <col min="12" max="12" width="4.140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403400</v>
      </c>
      <c r="B3" s="70" t="s">
        <v>65</v>
      </c>
      <c r="C3" s="8" t="s">
        <v>66</v>
      </c>
      <c r="D3" s="72" t="s">
        <v>57</v>
      </c>
      <c r="E3" s="12">
        <v>44599</v>
      </c>
      <c r="F3" s="72" t="s">
        <v>64</v>
      </c>
      <c r="G3" s="12">
        <v>44640</v>
      </c>
      <c r="H3" s="9" t="s">
        <v>63</v>
      </c>
      <c r="I3" s="1">
        <v>150</v>
      </c>
      <c r="J3" s="1">
        <v>64</v>
      </c>
      <c r="K3" s="1">
        <v>18</v>
      </c>
      <c r="L3" s="1">
        <v>10</v>
      </c>
      <c r="M3" s="76">
        <v>43.2</v>
      </c>
      <c r="N3" s="93">
        <v>43.2</v>
      </c>
      <c r="O3" s="60">
        <v>19000</v>
      </c>
      <c r="P3" s="61">
        <f>Table224578910112345[[#This Row],[PEMBULATAN]]*O3</f>
        <v>820800</v>
      </c>
      <c r="Q3" s="115">
        <v>5</v>
      </c>
    </row>
    <row r="4" spans="1:17" ht="26.25" customHeight="1" x14ac:dyDescent="0.2">
      <c r="A4" s="13"/>
      <c r="B4" s="71"/>
      <c r="C4" s="8" t="s">
        <v>67</v>
      </c>
      <c r="D4" s="72" t="s">
        <v>57</v>
      </c>
      <c r="E4" s="12">
        <v>44599</v>
      </c>
      <c r="F4" s="72" t="s">
        <v>64</v>
      </c>
      <c r="G4" s="12">
        <v>44640</v>
      </c>
      <c r="H4" s="9" t="s">
        <v>63</v>
      </c>
      <c r="I4" s="1">
        <v>150</v>
      </c>
      <c r="J4" s="1">
        <v>64</v>
      </c>
      <c r="K4" s="1">
        <v>18</v>
      </c>
      <c r="L4" s="1">
        <v>10</v>
      </c>
      <c r="M4" s="76">
        <v>43.2</v>
      </c>
      <c r="N4" s="93">
        <v>43.2</v>
      </c>
      <c r="O4" s="60">
        <v>19000</v>
      </c>
      <c r="P4" s="61">
        <f>Table224578910112345[[#This Row],[PEMBULATAN]]*O4</f>
        <v>820800</v>
      </c>
      <c r="Q4" s="116"/>
    </row>
    <row r="5" spans="1:17" ht="26.25" customHeight="1" x14ac:dyDescent="0.2">
      <c r="A5" s="13"/>
      <c r="B5" s="13"/>
      <c r="C5" s="8" t="s">
        <v>68</v>
      </c>
      <c r="D5" s="72" t="s">
        <v>57</v>
      </c>
      <c r="E5" s="12">
        <v>44599</v>
      </c>
      <c r="F5" s="72" t="s">
        <v>64</v>
      </c>
      <c r="G5" s="12">
        <v>44640</v>
      </c>
      <c r="H5" s="9" t="s">
        <v>63</v>
      </c>
      <c r="I5" s="1">
        <v>150</v>
      </c>
      <c r="J5" s="1">
        <v>64</v>
      </c>
      <c r="K5" s="1">
        <v>18</v>
      </c>
      <c r="L5" s="1">
        <v>10</v>
      </c>
      <c r="M5" s="76">
        <v>43.2</v>
      </c>
      <c r="N5" s="93">
        <v>43.2</v>
      </c>
      <c r="O5" s="60">
        <v>19000</v>
      </c>
      <c r="P5" s="61">
        <f>Table224578910112345[[#This Row],[PEMBULATAN]]*O5</f>
        <v>820800</v>
      </c>
      <c r="Q5" s="116"/>
    </row>
    <row r="6" spans="1:17" ht="26.25" customHeight="1" x14ac:dyDescent="0.2">
      <c r="A6" s="13"/>
      <c r="B6" s="13"/>
      <c r="C6" s="69" t="s">
        <v>69</v>
      </c>
      <c r="D6" s="74" t="s">
        <v>57</v>
      </c>
      <c r="E6" s="12">
        <v>44599</v>
      </c>
      <c r="F6" s="72" t="s">
        <v>64</v>
      </c>
      <c r="G6" s="12">
        <v>44640</v>
      </c>
      <c r="H6" s="73" t="s">
        <v>63</v>
      </c>
      <c r="I6" s="15">
        <v>65</v>
      </c>
      <c r="J6" s="15">
        <v>56</v>
      </c>
      <c r="K6" s="15">
        <v>21</v>
      </c>
      <c r="L6" s="15">
        <v>8</v>
      </c>
      <c r="M6" s="77">
        <v>19.11</v>
      </c>
      <c r="N6" s="93">
        <v>19.11</v>
      </c>
      <c r="O6" s="60">
        <v>19000</v>
      </c>
      <c r="P6" s="61">
        <f>Table224578910112345[[#This Row],[PEMBULATAN]]*O6</f>
        <v>363090</v>
      </c>
      <c r="Q6" s="116"/>
    </row>
    <row r="7" spans="1:17" ht="26.25" customHeight="1" x14ac:dyDescent="0.2">
      <c r="A7" s="13"/>
      <c r="B7" s="13"/>
      <c r="C7" s="69" t="s">
        <v>70</v>
      </c>
      <c r="D7" s="74" t="s">
        <v>57</v>
      </c>
      <c r="E7" s="12">
        <v>44599</v>
      </c>
      <c r="F7" s="72" t="s">
        <v>64</v>
      </c>
      <c r="G7" s="12">
        <v>44640</v>
      </c>
      <c r="H7" s="73" t="s">
        <v>63</v>
      </c>
      <c r="I7" s="15">
        <v>53</v>
      </c>
      <c r="J7" s="15">
        <v>45</v>
      </c>
      <c r="K7" s="15">
        <v>15</v>
      </c>
      <c r="L7" s="15">
        <v>10</v>
      </c>
      <c r="M7" s="77">
        <v>8.9437499999999996</v>
      </c>
      <c r="N7" s="68">
        <v>10</v>
      </c>
      <c r="O7" s="60">
        <v>19000</v>
      </c>
      <c r="P7" s="61">
        <f>Table224578910112345[[#This Row],[PEMBULATAN]]*O7</f>
        <v>190000</v>
      </c>
      <c r="Q7" s="117"/>
    </row>
    <row r="8" spans="1:17" ht="22.5" customHeight="1" x14ac:dyDescent="0.2">
      <c r="A8" s="118" t="s">
        <v>30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0"/>
      <c r="M8" s="75">
        <f>SUBTOTAL(109,Table224578910112345[KG VOLUME])</f>
        <v>157.65375000000003</v>
      </c>
      <c r="N8" s="64">
        <f>SUM(N3:N7)</f>
        <v>158.71000000000004</v>
      </c>
      <c r="O8" s="121">
        <f>SUM(P3:P7)</f>
        <v>3015490</v>
      </c>
      <c r="P8" s="122"/>
    </row>
    <row r="9" spans="1:17" ht="18" customHeight="1" x14ac:dyDescent="0.2">
      <c r="A9" s="82"/>
      <c r="B9" s="54" t="s">
        <v>42</v>
      </c>
      <c r="C9" s="53"/>
      <c r="D9" s="55" t="s">
        <v>43</v>
      </c>
      <c r="E9" s="82"/>
      <c r="F9" s="82"/>
      <c r="G9" s="82"/>
      <c r="H9" s="82"/>
      <c r="I9" s="82"/>
      <c r="J9" s="82"/>
      <c r="K9" s="82"/>
      <c r="L9" s="82"/>
      <c r="M9" s="83"/>
      <c r="N9" s="84" t="s">
        <v>51</v>
      </c>
      <c r="O9" s="85"/>
      <c r="P9" s="85">
        <f>O8*10%</f>
        <v>301549</v>
      </c>
    </row>
    <row r="10" spans="1:17" ht="18" customHeight="1" thickBot="1" x14ac:dyDescent="0.25">
      <c r="A10" s="82"/>
      <c r="B10" s="54"/>
      <c r="C10" s="53"/>
      <c r="D10" s="55"/>
      <c r="E10" s="82"/>
      <c r="F10" s="82"/>
      <c r="G10" s="82"/>
      <c r="H10" s="82"/>
      <c r="I10" s="82"/>
      <c r="J10" s="82"/>
      <c r="K10" s="82"/>
      <c r="L10" s="82"/>
      <c r="M10" s="83"/>
      <c r="N10" s="86" t="s">
        <v>52</v>
      </c>
      <c r="O10" s="87"/>
      <c r="P10" s="87">
        <f>O8-P9</f>
        <v>2713941</v>
      </c>
    </row>
    <row r="11" spans="1:17" ht="18" customHeight="1" x14ac:dyDescent="0.2">
      <c r="A11" s="10"/>
      <c r="H11" s="59"/>
      <c r="N11" s="58" t="s">
        <v>31</v>
      </c>
      <c r="P11" s="65">
        <f>P10*1%</f>
        <v>27139.41</v>
      </c>
    </row>
    <row r="12" spans="1:17" ht="18" customHeight="1" thickBot="1" x14ac:dyDescent="0.25">
      <c r="A12" s="10"/>
      <c r="H12" s="59"/>
      <c r="N12" s="58" t="s">
        <v>53</v>
      </c>
      <c r="P12" s="67">
        <f>P10*2%</f>
        <v>54278.82</v>
      </c>
    </row>
    <row r="13" spans="1:17" ht="18" customHeight="1" x14ac:dyDescent="0.2">
      <c r="A13" s="10"/>
      <c r="H13" s="59"/>
      <c r="N13" s="62" t="s">
        <v>32</v>
      </c>
      <c r="O13" s="63"/>
      <c r="P13" s="66">
        <f>P10+P11-P12</f>
        <v>2686801.5900000003</v>
      </c>
    </row>
    <row r="15" spans="1:17" x14ac:dyDescent="0.2">
      <c r="A15" s="10"/>
      <c r="H15" s="59"/>
      <c r="P15" s="67"/>
    </row>
    <row r="16" spans="1:17" x14ac:dyDescent="0.2">
      <c r="A16" s="10"/>
      <c r="H16" s="59"/>
      <c r="O16" s="56"/>
      <c r="P16" s="67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9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9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9"/>
      <c r="N28" s="14"/>
      <c r="O28" s="14"/>
      <c r="P28" s="14"/>
    </row>
  </sheetData>
  <mergeCells count="3">
    <mergeCell ref="A8:L8"/>
    <mergeCell ref="O8:P8"/>
    <mergeCell ref="Q3:Q7"/>
  </mergeCells>
  <conditionalFormatting sqref="B3">
    <cfRule type="duplicateValues" dxfId="101" priority="2"/>
  </conditionalFormatting>
  <conditionalFormatting sqref="B4">
    <cfRule type="duplicateValues" dxfId="100" priority="1"/>
  </conditionalFormatting>
  <conditionalFormatting sqref="B5:B7">
    <cfRule type="duplicateValues" dxfId="99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2" sqref="J12"/>
    </sheetView>
  </sheetViews>
  <sheetFormatPr defaultRowHeight="15" x14ac:dyDescent="0.2"/>
  <cols>
    <col min="1" max="1" width="6.140625" style="4" customWidth="1"/>
    <col min="2" max="2" width="18.42578125" style="2" customWidth="1"/>
    <col min="3" max="3" width="14.5703125" style="2" customWidth="1"/>
    <col min="4" max="4" width="11.28515625" style="3" customWidth="1"/>
    <col min="5" max="5" width="9.5703125" style="11" customWidth="1"/>
    <col min="6" max="7" width="10.42578125" style="3" customWidth="1"/>
    <col min="8" max="8" width="20.85546875" style="6" customWidth="1"/>
    <col min="9" max="10" width="3.42578125" style="3" customWidth="1"/>
    <col min="11" max="11" width="3.2851562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8.855468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403312</v>
      </c>
      <c r="B3" s="70" t="s">
        <v>71</v>
      </c>
      <c r="C3" s="8" t="s">
        <v>72</v>
      </c>
      <c r="D3" s="72" t="s">
        <v>57</v>
      </c>
      <c r="E3" s="12">
        <v>44600</v>
      </c>
      <c r="F3" s="72" t="s">
        <v>64</v>
      </c>
      <c r="G3" s="12">
        <v>44640</v>
      </c>
      <c r="H3" s="9" t="s">
        <v>63</v>
      </c>
      <c r="I3" s="1">
        <v>65</v>
      </c>
      <c r="J3" s="1">
        <v>55</v>
      </c>
      <c r="K3" s="1">
        <v>22</v>
      </c>
      <c r="L3" s="1">
        <v>8</v>
      </c>
      <c r="M3" s="76">
        <v>19.662500000000001</v>
      </c>
      <c r="N3" s="93">
        <v>20</v>
      </c>
      <c r="O3" s="60">
        <v>19000</v>
      </c>
      <c r="P3" s="61">
        <f>Table2245789101123456[[#This Row],[PEMBULATAN]]*O3</f>
        <v>380000</v>
      </c>
      <c r="Q3" s="95">
        <v>1</v>
      </c>
    </row>
    <row r="4" spans="1:17" ht="22.5" customHeight="1" x14ac:dyDescent="0.2">
      <c r="A4" s="118" t="s">
        <v>30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5">
        <f>SUBTOTAL(109,Table2245789101123456[KG VOLUME])</f>
        <v>19.662500000000001</v>
      </c>
      <c r="N4" s="64">
        <f>SUM(N3:N3)</f>
        <v>20</v>
      </c>
      <c r="O4" s="121">
        <f>SUM(P3:P3)</f>
        <v>380000</v>
      </c>
      <c r="P4" s="122"/>
    </row>
    <row r="5" spans="1:17" ht="18" customHeight="1" x14ac:dyDescent="0.2">
      <c r="A5" s="82"/>
      <c r="B5" s="54" t="s">
        <v>42</v>
      </c>
      <c r="C5" s="53"/>
      <c r="D5" s="55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38000</v>
      </c>
    </row>
    <row r="6" spans="1:17" ht="18" customHeight="1" thickBot="1" x14ac:dyDescent="0.25">
      <c r="A6" s="82"/>
      <c r="B6" s="54"/>
      <c r="C6" s="53"/>
      <c r="D6" s="55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342000</v>
      </c>
    </row>
    <row r="7" spans="1:17" ht="18" customHeight="1" x14ac:dyDescent="0.2">
      <c r="A7" s="10"/>
      <c r="H7" s="59"/>
      <c r="N7" s="58" t="s">
        <v>31</v>
      </c>
      <c r="P7" s="65">
        <f>P6*1%</f>
        <v>3420</v>
      </c>
    </row>
    <row r="8" spans="1:17" ht="18" customHeight="1" thickBot="1" x14ac:dyDescent="0.25">
      <c r="A8" s="10"/>
      <c r="H8" s="59"/>
      <c r="N8" s="58" t="s">
        <v>53</v>
      </c>
      <c r="P8" s="67">
        <f>P6*2%</f>
        <v>6840</v>
      </c>
    </row>
    <row r="9" spans="1:17" ht="18" customHeight="1" x14ac:dyDescent="0.2">
      <c r="A9" s="10"/>
      <c r="H9" s="59"/>
      <c r="N9" s="62" t="s">
        <v>32</v>
      </c>
      <c r="O9" s="63"/>
      <c r="P9" s="66">
        <f>P6+P7-P8</f>
        <v>338580</v>
      </c>
    </row>
    <row r="11" spans="1:17" x14ac:dyDescent="0.2">
      <c r="A11" s="10"/>
      <c r="H11" s="59"/>
      <c r="P11" s="67"/>
    </row>
    <row r="12" spans="1:17" x14ac:dyDescent="0.2">
      <c r="A12" s="10"/>
      <c r="H12" s="59"/>
      <c r="O12" s="56"/>
      <c r="P12" s="67"/>
    </row>
    <row r="13" spans="1:17" s="3" customFormat="1" x14ac:dyDescent="0.25">
      <c r="A13" s="10"/>
      <c r="B13" s="2"/>
      <c r="C13" s="2"/>
      <c r="E13" s="11"/>
      <c r="H13" s="59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8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RowHeight="15" x14ac:dyDescent="0.2"/>
  <cols>
    <col min="1" max="1" width="6.140625" style="4" customWidth="1"/>
    <col min="2" max="2" width="18.7109375" style="2" customWidth="1"/>
    <col min="3" max="3" width="15.140625" style="2" customWidth="1"/>
    <col min="4" max="4" width="11" style="3" customWidth="1"/>
    <col min="5" max="5" width="10" style="11" customWidth="1"/>
    <col min="6" max="7" width="9.7109375" style="3" customWidth="1"/>
    <col min="8" max="8" width="19" style="6" customWidth="1"/>
    <col min="9" max="12" width="3.855468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403160</v>
      </c>
      <c r="B3" s="70" t="s">
        <v>73</v>
      </c>
      <c r="C3" s="8" t="s">
        <v>74</v>
      </c>
      <c r="D3" s="72" t="s">
        <v>57</v>
      </c>
      <c r="E3" s="12">
        <v>44611</v>
      </c>
      <c r="F3" s="72" t="s">
        <v>64</v>
      </c>
      <c r="G3" s="12">
        <v>44640</v>
      </c>
      <c r="H3" s="9" t="s">
        <v>63</v>
      </c>
      <c r="I3" s="1">
        <v>22</v>
      </c>
      <c r="J3" s="1">
        <v>15</v>
      </c>
      <c r="K3" s="1">
        <v>12</v>
      </c>
      <c r="L3" s="1">
        <v>4</v>
      </c>
      <c r="M3" s="76">
        <v>0.99</v>
      </c>
      <c r="N3" s="7">
        <v>4</v>
      </c>
      <c r="O3" s="60">
        <v>19000</v>
      </c>
      <c r="P3" s="61">
        <f>Table22457891011234567[[#This Row],[PEMBULATAN]]*O3</f>
        <v>76000</v>
      </c>
      <c r="Q3" s="95">
        <v>1</v>
      </c>
    </row>
    <row r="4" spans="1:17" ht="22.5" customHeight="1" x14ac:dyDescent="0.2">
      <c r="A4" s="118" t="s">
        <v>30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5">
        <f>SUBTOTAL(109,Table22457891011234567[KG VOLUME])</f>
        <v>0.99</v>
      </c>
      <c r="N4" s="64">
        <f>SUM(N3:N3)</f>
        <v>4</v>
      </c>
      <c r="O4" s="121">
        <f>SUM(P3:P3)</f>
        <v>76000</v>
      </c>
      <c r="P4" s="122"/>
    </row>
    <row r="5" spans="1:17" ht="18" customHeight="1" x14ac:dyDescent="0.2">
      <c r="A5" s="82"/>
      <c r="B5" s="54" t="s">
        <v>42</v>
      </c>
      <c r="C5" s="53"/>
      <c r="D5" s="55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7600</v>
      </c>
    </row>
    <row r="6" spans="1:17" ht="18" customHeight="1" thickBot="1" x14ac:dyDescent="0.25">
      <c r="A6" s="82"/>
      <c r="B6" s="54"/>
      <c r="C6" s="53"/>
      <c r="D6" s="55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68400</v>
      </c>
    </row>
    <row r="7" spans="1:17" ht="18" customHeight="1" x14ac:dyDescent="0.2">
      <c r="A7" s="10"/>
      <c r="H7" s="59"/>
      <c r="N7" s="58" t="s">
        <v>31</v>
      </c>
      <c r="P7" s="65">
        <f>P6*1%</f>
        <v>684</v>
      </c>
    </row>
    <row r="8" spans="1:17" ht="18" customHeight="1" thickBot="1" x14ac:dyDescent="0.25">
      <c r="A8" s="10"/>
      <c r="H8" s="59"/>
      <c r="N8" s="58" t="s">
        <v>53</v>
      </c>
      <c r="P8" s="67">
        <f>P6*2%</f>
        <v>1368</v>
      </c>
    </row>
    <row r="9" spans="1:17" ht="18" customHeight="1" x14ac:dyDescent="0.2">
      <c r="A9" s="10"/>
      <c r="H9" s="59"/>
      <c r="N9" s="62" t="s">
        <v>32</v>
      </c>
      <c r="O9" s="63"/>
      <c r="P9" s="66">
        <f>P6+P7-P8</f>
        <v>67716</v>
      </c>
    </row>
    <row r="11" spans="1:17" x14ac:dyDescent="0.2">
      <c r="A11" s="10"/>
      <c r="H11" s="59"/>
      <c r="P11" s="67"/>
    </row>
    <row r="12" spans="1:17" x14ac:dyDescent="0.2">
      <c r="A12" s="10"/>
      <c r="H12" s="59"/>
      <c r="O12" s="56"/>
      <c r="P12" s="67"/>
    </row>
    <row r="13" spans="1:17" s="3" customFormat="1" x14ac:dyDescent="0.25">
      <c r="A13" s="10"/>
      <c r="B13" s="2"/>
      <c r="C13" s="2"/>
      <c r="E13" s="11"/>
      <c r="H13" s="59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6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4.5703125" style="2" customWidth="1"/>
    <col min="4" max="4" width="9.42578125" style="3" customWidth="1"/>
    <col min="5" max="5" width="8.85546875" style="11" customWidth="1"/>
    <col min="6" max="6" width="10.28515625" style="3" customWidth="1"/>
    <col min="7" max="7" width="9.140625" style="3" customWidth="1"/>
    <col min="8" max="8" width="20.42578125" style="6" customWidth="1"/>
    <col min="9" max="10" width="3.7109375" style="3" customWidth="1"/>
    <col min="11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1.140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404678</v>
      </c>
      <c r="B3" s="70" t="s">
        <v>75</v>
      </c>
      <c r="C3" s="8" t="s">
        <v>76</v>
      </c>
      <c r="D3" s="72" t="s">
        <v>57</v>
      </c>
      <c r="E3" s="12">
        <v>44615</v>
      </c>
      <c r="F3" s="72" t="s">
        <v>64</v>
      </c>
      <c r="G3" s="12">
        <v>44640</v>
      </c>
      <c r="H3" s="9" t="s">
        <v>63</v>
      </c>
      <c r="I3" s="1">
        <v>46</v>
      </c>
      <c r="J3" s="1">
        <v>44</v>
      </c>
      <c r="K3" s="1">
        <v>35</v>
      </c>
      <c r="L3" s="1">
        <v>13</v>
      </c>
      <c r="M3" s="76">
        <v>17.71</v>
      </c>
      <c r="N3" s="93">
        <v>18</v>
      </c>
      <c r="O3" s="60">
        <v>19000</v>
      </c>
      <c r="P3" s="61">
        <f>Table224578910112345678[[#This Row],[PEMBULATAN]]*O3</f>
        <v>342000</v>
      </c>
      <c r="Q3" s="115">
        <v>7</v>
      </c>
    </row>
    <row r="4" spans="1:17" ht="26.25" customHeight="1" x14ac:dyDescent="0.2">
      <c r="A4" s="13"/>
      <c r="B4" s="71"/>
      <c r="C4" s="8" t="s">
        <v>77</v>
      </c>
      <c r="D4" s="72" t="s">
        <v>57</v>
      </c>
      <c r="E4" s="12">
        <v>44615</v>
      </c>
      <c r="F4" s="72" t="s">
        <v>64</v>
      </c>
      <c r="G4" s="12">
        <v>44640</v>
      </c>
      <c r="H4" s="9" t="s">
        <v>63</v>
      </c>
      <c r="I4" s="1">
        <v>49</v>
      </c>
      <c r="J4" s="1">
        <v>50</v>
      </c>
      <c r="K4" s="1">
        <v>90</v>
      </c>
      <c r="L4" s="1">
        <v>15</v>
      </c>
      <c r="M4" s="76">
        <v>55.125</v>
      </c>
      <c r="N4" s="93">
        <v>55.125</v>
      </c>
      <c r="O4" s="60">
        <v>19000</v>
      </c>
      <c r="P4" s="61">
        <f>Table224578910112345678[[#This Row],[PEMBULATAN]]*O4</f>
        <v>1047375</v>
      </c>
      <c r="Q4" s="116"/>
    </row>
    <row r="5" spans="1:17" ht="26.25" customHeight="1" x14ac:dyDescent="0.2">
      <c r="A5" s="13"/>
      <c r="B5" s="13"/>
      <c r="C5" s="8" t="s">
        <v>78</v>
      </c>
      <c r="D5" s="72" t="s">
        <v>57</v>
      </c>
      <c r="E5" s="12">
        <v>44615</v>
      </c>
      <c r="F5" s="72" t="s">
        <v>64</v>
      </c>
      <c r="G5" s="12">
        <v>44640</v>
      </c>
      <c r="H5" s="9" t="s">
        <v>63</v>
      </c>
      <c r="I5" s="1">
        <v>52</v>
      </c>
      <c r="J5" s="1">
        <v>45</v>
      </c>
      <c r="K5" s="1">
        <v>12</v>
      </c>
      <c r="L5" s="1">
        <v>7</v>
      </c>
      <c r="M5" s="76">
        <v>7.02</v>
      </c>
      <c r="N5" s="93">
        <v>7.02</v>
      </c>
      <c r="O5" s="60">
        <v>19000</v>
      </c>
      <c r="P5" s="61">
        <f>Table224578910112345678[[#This Row],[PEMBULATAN]]*O5</f>
        <v>133380</v>
      </c>
      <c r="Q5" s="116"/>
    </row>
    <row r="6" spans="1:17" ht="26.25" customHeight="1" x14ac:dyDescent="0.2">
      <c r="A6" s="13"/>
      <c r="B6" s="13"/>
      <c r="C6" s="69" t="s">
        <v>79</v>
      </c>
      <c r="D6" s="74" t="s">
        <v>57</v>
      </c>
      <c r="E6" s="12">
        <v>44615</v>
      </c>
      <c r="F6" s="72" t="s">
        <v>64</v>
      </c>
      <c r="G6" s="12">
        <v>44640</v>
      </c>
      <c r="H6" s="73" t="s">
        <v>63</v>
      </c>
      <c r="I6" s="15">
        <v>52</v>
      </c>
      <c r="J6" s="15">
        <v>35</v>
      </c>
      <c r="K6" s="15">
        <v>12</v>
      </c>
      <c r="L6" s="15">
        <v>13</v>
      </c>
      <c r="M6" s="77">
        <v>5.46</v>
      </c>
      <c r="N6" s="93">
        <v>13</v>
      </c>
      <c r="O6" s="60">
        <v>19000</v>
      </c>
      <c r="P6" s="61">
        <f>Table224578910112345678[[#This Row],[PEMBULATAN]]*O6</f>
        <v>247000</v>
      </c>
      <c r="Q6" s="116"/>
    </row>
    <row r="7" spans="1:17" ht="26.25" customHeight="1" x14ac:dyDescent="0.2">
      <c r="A7" s="13"/>
      <c r="B7" s="13"/>
      <c r="C7" s="69" t="s">
        <v>80</v>
      </c>
      <c r="D7" s="74" t="s">
        <v>57</v>
      </c>
      <c r="E7" s="12">
        <v>44615</v>
      </c>
      <c r="F7" s="72" t="s">
        <v>64</v>
      </c>
      <c r="G7" s="12">
        <v>44640</v>
      </c>
      <c r="H7" s="73" t="s">
        <v>63</v>
      </c>
      <c r="I7" s="15">
        <v>50</v>
      </c>
      <c r="J7" s="15">
        <v>49</v>
      </c>
      <c r="K7" s="15">
        <v>93</v>
      </c>
      <c r="L7" s="15">
        <v>15</v>
      </c>
      <c r="M7" s="77">
        <v>56.962499999999999</v>
      </c>
      <c r="N7" s="93">
        <v>57</v>
      </c>
      <c r="O7" s="60">
        <v>19000</v>
      </c>
      <c r="P7" s="61">
        <f>Table224578910112345678[[#This Row],[PEMBULATAN]]*O7</f>
        <v>1083000</v>
      </c>
      <c r="Q7" s="116"/>
    </row>
    <row r="8" spans="1:17" ht="26.25" customHeight="1" x14ac:dyDescent="0.2">
      <c r="A8" s="13"/>
      <c r="B8" s="98"/>
      <c r="C8" s="69" t="s">
        <v>81</v>
      </c>
      <c r="D8" s="74" t="s">
        <v>57</v>
      </c>
      <c r="E8" s="12">
        <v>44615</v>
      </c>
      <c r="F8" s="72" t="s">
        <v>64</v>
      </c>
      <c r="G8" s="12">
        <v>44640</v>
      </c>
      <c r="H8" s="73" t="s">
        <v>63</v>
      </c>
      <c r="I8" s="15">
        <v>70</v>
      </c>
      <c r="J8" s="15">
        <v>58</v>
      </c>
      <c r="K8" s="15">
        <v>56</v>
      </c>
      <c r="L8" s="15">
        <v>13</v>
      </c>
      <c r="M8" s="77">
        <v>56.84</v>
      </c>
      <c r="N8" s="93">
        <v>57</v>
      </c>
      <c r="O8" s="60">
        <v>19000</v>
      </c>
      <c r="P8" s="61">
        <f>Table224578910112345678[[#This Row],[PEMBULATAN]]*O8</f>
        <v>1083000</v>
      </c>
      <c r="Q8" s="116"/>
    </row>
    <row r="9" spans="1:17" ht="26.25" customHeight="1" x14ac:dyDescent="0.2">
      <c r="A9" s="13"/>
      <c r="B9" s="13" t="s">
        <v>82</v>
      </c>
      <c r="C9" s="69" t="s">
        <v>83</v>
      </c>
      <c r="D9" s="74" t="s">
        <v>57</v>
      </c>
      <c r="E9" s="12">
        <v>44615</v>
      </c>
      <c r="F9" s="72" t="s">
        <v>64</v>
      </c>
      <c r="G9" s="12">
        <v>44640</v>
      </c>
      <c r="H9" s="73" t="s">
        <v>63</v>
      </c>
      <c r="I9" s="15">
        <v>150</v>
      </c>
      <c r="J9" s="15">
        <v>64</v>
      </c>
      <c r="K9" s="15">
        <v>12</v>
      </c>
      <c r="L9" s="15">
        <v>4</v>
      </c>
      <c r="M9" s="77">
        <v>28.8</v>
      </c>
      <c r="N9" s="93">
        <v>29</v>
      </c>
      <c r="O9" s="60">
        <v>19000</v>
      </c>
      <c r="P9" s="61">
        <f>Table224578910112345678[[#This Row],[PEMBULATAN]]*O9</f>
        <v>551000</v>
      </c>
      <c r="Q9" s="117"/>
    </row>
    <row r="10" spans="1:17" ht="22.5" customHeight="1" x14ac:dyDescent="0.2">
      <c r="A10" s="118" t="s">
        <v>30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20"/>
      <c r="M10" s="75">
        <f>SUBTOTAL(109,Table224578910112345678[KG VOLUME])</f>
        <v>227.91750000000002</v>
      </c>
      <c r="N10" s="64">
        <f>SUM(N3:N9)</f>
        <v>236.14499999999998</v>
      </c>
      <c r="O10" s="121">
        <f>SUM(P3:P9)</f>
        <v>4486755</v>
      </c>
      <c r="P10" s="122"/>
    </row>
    <row r="11" spans="1:17" ht="18" customHeight="1" x14ac:dyDescent="0.2">
      <c r="A11" s="82"/>
      <c r="B11" s="54" t="s">
        <v>42</v>
      </c>
      <c r="C11" s="53"/>
      <c r="D11" s="55" t="s">
        <v>43</v>
      </c>
      <c r="E11" s="82"/>
      <c r="F11" s="82"/>
      <c r="G11" s="82"/>
      <c r="H11" s="82"/>
      <c r="I11" s="82"/>
      <c r="J11" s="82"/>
      <c r="K11" s="82"/>
      <c r="L11" s="82"/>
      <c r="M11" s="83"/>
      <c r="N11" s="84" t="s">
        <v>51</v>
      </c>
      <c r="O11" s="85"/>
      <c r="P11" s="85">
        <f>O10*10%</f>
        <v>448675.5</v>
      </c>
    </row>
    <row r="12" spans="1:17" ht="18" customHeight="1" thickBot="1" x14ac:dyDescent="0.25">
      <c r="A12" s="82"/>
      <c r="B12" s="54"/>
      <c r="C12" s="53"/>
      <c r="D12" s="55"/>
      <c r="E12" s="82"/>
      <c r="F12" s="82"/>
      <c r="G12" s="82"/>
      <c r="H12" s="82"/>
      <c r="I12" s="82"/>
      <c r="J12" s="82"/>
      <c r="K12" s="82"/>
      <c r="L12" s="82"/>
      <c r="M12" s="83"/>
      <c r="N12" s="86" t="s">
        <v>52</v>
      </c>
      <c r="O12" s="87"/>
      <c r="P12" s="87">
        <f>O10-P11</f>
        <v>4038079.5</v>
      </c>
    </row>
    <row r="13" spans="1:17" ht="18" customHeight="1" x14ac:dyDescent="0.2">
      <c r="A13" s="10"/>
      <c r="H13" s="59"/>
      <c r="N13" s="58" t="s">
        <v>31</v>
      </c>
      <c r="P13" s="65">
        <f>P12*1%</f>
        <v>40380.794999999998</v>
      </c>
    </row>
    <row r="14" spans="1:17" ht="18" customHeight="1" thickBot="1" x14ac:dyDescent="0.25">
      <c r="A14" s="10"/>
      <c r="H14" s="59"/>
      <c r="N14" s="58" t="s">
        <v>53</v>
      </c>
      <c r="P14" s="67">
        <f>P12*2%</f>
        <v>80761.59</v>
      </c>
    </row>
    <row r="15" spans="1:17" ht="18" customHeight="1" x14ac:dyDescent="0.2">
      <c r="A15" s="10"/>
      <c r="H15" s="59"/>
      <c r="N15" s="62" t="s">
        <v>32</v>
      </c>
      <c r="O15" s="63"/>
      <c r="P15" s="66">
        <f>P12+P13-P14</f>
        <v>3997698.7050000001</v>
      </c>
    </row>
    <row r="17" spans="1:16" x14ac:dyDescent="0.2">
      <c r="A17" s="10"/>
      <c r="H17" s="59"/>
      <c r="P17" s="67"/>
    </row>
    <row r="18" spans="1:16" x14ac:dyDescent="0.2">
      <c r="A18" s="10"/>
      <c r="H18" s="59"/>
      <c r="O18" s="56"/>
      <c r="P18" s="67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9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9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9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9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9"/>
      <c r="N30" s="14"/>
      <c r="O30" s="14"/>
      <c r="P30" s="14"/>
    </row>
  </sheetData>
  <mergeCells count="3">
    <mergeCell ref="A10:L10"/>
    <mergeCell ref="O10:P10"/>
    <mergeCell ref="Q3:Q9"/>
  </mergeCells>
  <conditionalFormatting sqref="B3">
    <cfRule type="duplicateValues" dxfId="51" priority="2"/>
  </conditionalFormatting>
  <conditionalFormatting sqref="B4">
    <cfRule type="duplicateValues" dxfId="50" priority="1"/>
  </conditionalFormatting>
  <conditionalFormatting sqref="B5:B9">
    <cfRule type="duplicateValues" dxfId="49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RowHeight="15" x14ac:dyDescent="0.2"/>
  <cols>
    <col min="1" max="1" width="6.140625" style="4" customWidth="1"/>
    <col min="2" max="2" width="19" style="2" customWidth="1"/>
    <col min="3" max="3" width="14.5703125" style="2" customWidth="1"/>
    <col min="4" max="4" width="10" style="3" customWidth="1"/>
    <col min="5" max="5" width="9.42578125" style="11" customWidth="1"/>
    <col min="6" max="6" width="10.28515625" style="3" customWidth="1"/>
    <col min="7" max="7" width="10" style="3" customWidth="1"/>
    <col min="8" max="8" width="20.28515625" style="6" customWidth="1"/>
    <col min="9" max="9" width="3.42578125" style="3" customWidth="1"/>
    <col min="10" max="10" width="3.140625" style="3" customWidth="1"/>
    <col min="11" max="11" width="3" style="3" customWidth="1"/>
    <col min="12" max="12" width="4.140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404754</v>
      </c>
      <c r="B3" s="70" t="s">
        <v>84</v>
      </c>
      <c r="C3" s="8" t="s">
        <v>85</v>
      </c>
      <c r="D3" s="72" t="s">
        <v>57</v>
      </c>
      <c r="E3" s="12">
        <v>44616</v>
      </c>
      <c r="F3" s="72" t="s">
        <v>64</v>
      </c>
      <c r="G3" s="12">
        <v>44640</v>
      </c>
      <c r="H3" s="9" t="s">
        <v>63</v>
      </c>
      <c r="I3" s="1">
        <v>27</v>
      </c>
      <c r="J3" s="1">
        <v>21</v>
      </c>
      <c r="K3" s="1">
        <v>23</v>
      </c>
      <c r="L3" s="1">
        <v>11</v>
      </c>
      <c r="M3" s="76">
        <v>3.2602500000000001</v>
      </c>
      <c r="N3" s="93">
        <v>11</v>
      </c>
      <c r="O3" s="60">
        <v>19000</v>
      </c>
      <c r="P3" s="61">
        <f>Table2245789101123456789[[#This Row],[PEMBULATAN]]*O3</f>
        <v>209000</v>
      </c>
      <c r="Q3" s="115">
        <v>4</v>
      </c>
    </row>
    <row r="4" spans="1:17" ht="26.25" customHeight="1" x14ac:dyDescent="0.2">
      <c r="A4" s="13"/>
      <c r="B4" s="71"/>
      <c r="C4" s="8" t="s">
        <v>86</v>
      </c>
      <c r="D4" s="72" t="s">
        <v>57</v>
      </c>
      <c r="E4" s="12">
        <v>44616</v>
      </c>
      <c r="F4" s="72" t="s">
        <v>64</v>
      </c>
      <c r="G4" s="12">
        <v>44640</v>
      </c>
      <c r="H4" s="9" t="s">
        <v>63</v>
      </c>
      <c r="I4" s="1">
        <v>45</v>
      </c>
      <c r="J4" s="1">
        <v>33</v>
      </c>
      <c r="K4" s="1">
        <v>33</v>
      </c>
      <c r="L4" s="1">
        <v>13</v>
      </c>
      <c r="M4" s="76">
        <v>12.251250000000001</v>
      </c>
      <c r="N4" s="93">
        <v>13</v>
      </c>
      <c r="O4" s="60">
        <v>19000</v>
      </c>
      <c r="P4" s="61">
        <f>Table2245789101123456789[[#This Row],[PEMBULATAN]]*O4</f>
        <v>247000</v>
      </c>
      <c r="Q4" s="116"/>
    </row>
    <row r="5" spans="1:17" ht="26.25" customHeight="1" x14ac:dyDescent="0.2">
      <c r="A5" s="13"/>
      <c r="B5" s="13"/>
      <c r="C5" s="8" t="s">
        <v>87</v>
      </c>
      <c r="D5" s="72" t="s">
        <v>57</v>
      </c>
      <c r="E5" s="12">
        <v>44616</v>
      </c>
      <c r="F5" s="72" t="s">
        <v>64</v>
      </c>
      <c r="G5" s="12">
        <v>44640</v>
      </c>
      <c r="H5" s="9" t="s">
        <v>63</v>
      </c>
      <c r="I5" s="1">
        <v>65</v>
      </c>
      <c r="J5" s="1">
        <v>57</v>
      </c>
      <c r="K5" s="1">
        <v>20</v>
      </c>
      <c r="L5" s="1">
        <v>7</v>
      </c>
      <c r="M5" s="76">
        <v>18.524999999999999</v>
      </c>
      <c r="N5" s="93">
        <v>18</v>
      </c>
      <c r="O5" s="60">
        <v>19000</v>
      </c>
      <c r="P5" s="61">
        <f>Table2245789101123456789[[#This Row],[PEMBULATAN]]*O5</f>
        <v>342000</v>
      </c>
      <c r="Q5" s="116"/>
    </row>
    <row r="6" spans="1:17" ht="26.25" customHeight="1" x14ac:dyDescent="0.2">
      <c r="A6" s="13"/>
      <c r="B6" s="13"/>
      <c r="C6" s="69" t="s">
        <v>88</v>
      </c>
      <c r="D6" s="74" t="s">
        <v>57</v>
      </c>
      <c r="E6" s="12">
        <v>44616</v>
      </c>
      <c r="F6" s="72" t="s">
        <v>64</v>
      </c>
      <c r="G6" s="12">
        <v>44640</v>
      </c>
      <c r="H6" s="73" t="s">
        <v>63</v>
      </c>
      <c r="I6" s="15">
        <v>90</v>
      </c>
      <c r="J6" s="15">
        <v>54</v>
      </c>
      <c r="K6" s="15">
        <v>52</v>
      </c>
      <c r="L6" s="15">
        <v>13</v>
      </c>
      <c r="M6" s="77">
        <v>63.18</v>
      </c>
      <c r="N6" s="93">
        <v>63.18</v>
      </c>
      <c r="O6" s="60">
        <v>19000</v>
      </c>
      <c r="P6" s="61">
        <f>Table2245789101123456789[[#This Row],[PEMBULATAN]]*O6</f>
        <v>1200420</v>
      </c>
      <c r="Q6" s="117"/>
    </row>
    <row r="7" spans="1:17" ht="22.5" customHeight="1" x14ac:dyDescent="0.2">
      <c r="A7" s="118" t="s">
        <v>30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20"/>
      <c r="M7" s="75">
        <f>SUBTOTAL(109,Table2245789101123456789[KG VOLUME])</f>
        <v>97.216499999999996</v>
      </c>
      <c r="N7" s="64">
        <f>SUM(N3:N6)</f>
        <v>105.18</v>
      </c>
      <c r="O7" s="121">
        <f>SUM(P3:P6)</f>
        <v>1998420</v>
      </c>
      <c r="P7" s="122"/>
    </row>
    <row r="8" spans="1:17" ht="18" customHeight="1" x14ac:dyDescent="0.2">
      <c r="A8" s="82"/>
      <c r="B8" s="54" t="s">
        <v>42</v>
      </c>
      <c r="C8" s="53"/>
      <c r="D8" s="55" t="s">
        <v>43</v>
      </c>
      <c r="E8" s="82"/>
      <c r="F8" s="82"/>
      <c r="G8" s="82"/>
      <c r="H8" s="82"/>
      <c r="I8" s="82"/>
      <c r="J8" s="82"/>
      <c r="K8" s="82"/>
      <c r="L8" s="82"/>
      <c r="M8" s="83"/>
      <c r="N8" s="84" t="s">
        <v>51</v>
      </c>
      <c r="O8" s="85"/>
      <c r="P8" s="85">
        <f>O7*10%</f>
        <v>199842</v>
      </c>
    </row>
    <row r="9" spans="1:17" ht="18" customHeight="1" thickBot="1" x14ac:dyDescent="0.25">
      <c r="A9" s="82"/>
      <c r="B9" s="54"/>
      <c r="C9" s="53"/>
      <c r="D9" s="55"/>
      <c r="E9" s="82"/>
      <c r="F9" s="82"/>
      <c r="G9" s="82"/>
      <c r="H9" s="82"/>
      <c r="I9" s="82"/>
      <c r="J9" s="82"/>
      <c r="K9" s="82"/>
      <c r="L9" s="82"/>
      <c r="M9" s="83"/>
      <c r="N9" s="86" t="s">
        <v>52</v>
      </c>
      <c r="O9" s="87"/>
      <c r="P9" s="87">
        <f>O7-P8</f>
        <v>1798578</v>
      </c>
    </row>
    <row r="10" spans="1:17" ht="18" customHeight="1" x14ac:dyDescent="0.2">
      <c r="A10" s="10"/>
      <c r="H10" s="59"/>
      <c r="N10" s="58" t="s">
        <v>31</v>
      </c>
      <c r="P10" s="65">
        <f>P9*1%</f>
        <v>17985.78</v>
      </c>
    </row>
    <row r="11" spans="1:17" ht="18" customHeight="1" thickBot="1" x14ac:dyDescent="0.25">
      <c r="A11" s="10"/>
      <c r="H11" s="59"/>
      <c r="N11" s="58" t="s">
        <v>53</v>
      </c>
      <c r="P11" s="67">
        <f>P9*2%</f>
        <v>35971.56</v>
      </c>
    </row>
    <row r="12" spans="1:17" ht="18" customHeight="1" x14ac:dyDescent="0.2">
      <c r="A12" s="10"/>
      <c r="H12" s="59"/>
      <c r="N12" s="62" t="s">
        <v>32</v>
      </c>
      <c r="O12" s="63"/>
      <c r="P12" s="66">
        <f>P9+P10-P11</f>
        <v>1780592.22</v>
      </c>
    </row>
    <row r="14" spans="1:17" x14ac:dyDescent="0.2">
      <c r="A14" s="10"/>
      <c r="H14" s="59"/>
      <c r="P14" s="67"/>
    </row>
    <row r="15" spans="1:17" x14ac:dyDescent="0.2">
      <c r="A15" s="10"/>
      <c r="H15" s="59"/>
      <c r="O15" s="56"/>
      <c r="P15" s="67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9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9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9"/>
      <c r="N27" s="14"/>
      <c r="O27" s="14"/>
      <c r="P27" s="14"/>
    </row>
  </sheetData>
  <mergeCells count="3">
    <mergeCell ref="A7:L7"/>
    <mergeCell ref="O7:P7"/>
    <mergeCell ref="Q3:Q6"/>
  </mergeCells>
  <conditionalFormatting sqref="B3">
    <cfRule type="duplicateValues" dxfId="33" priority="2"/>
  </conditionalFormatting>
  <conditionalFormatting sqref="B4">
    <cfRule type="duplicateValues" dxfId="32" priority="1"/>
  </conditionalFormatting>
  <conditionalFormatting sqref="B5:B6">
    <cfRule type="duplicateValues" dxfId="31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8" sqref="G8"/>
    </sheetView>
  </sheetViews>
  <sheetFormatPr defaultRowHeight="15" x14ac:dyDescent="0.2"/>
  <cols>
    <col min="1" max="1" width="7.42578125" style="4" customWidth="1"/>
    <col min="2" max="2" width="18.42578125" style="2" customWidth="1"/>
    <col min="3" max="3" width="15.28515625" style="2" customWidth="1"/>
    <col min="4" max="4" width="10" style="3" customWidth="1"/>
    <col min="5" max="5" width="8.85546875" style="11" customWidth="1"/>
    <col min="6" max="6" width="8.85546875" style="3" customWidth="1"/>
    <col min="7" max="7" width="11.140625" style="3" customWidth="1"/>
    <col min="8" max="8" width="22.28515625" style="6" customWidth="1"/>
    <col min="9" max="9" width="3.42578125" style="3" customWidth="1"/>
    <col min="10" max="10" width="3.140625" style="3" customWidth="1"/>
    <col min="11" max="11" width="3.28515625" style="3" customWidth="1"/>
    <col min="12" max="12" width="3.85546875" style="3" customWidth="1"/>
    <col min="13" max="13" width="8" style="3" customWidth="1"/>
    <col min="14" max="14" width="12.140625" style="14" customWidth="1"/>
    <col min="15" max="15" width="8.140625" style="14" customWidth="1"/>
    <col min="16" max="16" width="8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2" t="s">
        <v>44</v>
      </c>
      <c r="B2" s="57" t="s">
        <v>7</v>
      </c>
      <c r="C2" s="57" t="s">
        <v>0</v>
      </c>
      <c r="D2" s="57" t="s">
        <v>1</v>
      </c>
      <c r="E2" s="94" t="s">
        <v>4</v>
      </c>
      <c r="F2" s="57" t="s">
        <v>3</v>
      </c>
      <c r="G2" s="57" t="s">
        <v>5</v>
      </c>
      <c r="H2" s="94" t="s">
        <v>2</v>
      </c>
      <c r="I2" s="57" t="s">
        <v>39</v>
      </c>
      <c r="J2" s="57" t="s">
        <v>40</v>
      </c>
      <c r="K2" s="57" t="s">
        <v>41</v>
      </c>
      <c r="L2" s="57" t="s">
        <v>45</v>
      </c>
      <c r="M2" s="57" t="s">
        <v>46</v>
      </c>
      <c r="N2" s="57" t="s">
        <v>6</v>
      </c>
      <c r="O2" s="57" t="s">
        <v>47</v>
      </c>
      <c r="P2" s="57" t="s">
        <v>48</v>
      </c>
      <c r="Q2" s="57" t="s">
        <v>26</v>
      </c>
    </row>
    <row r="3" spans="1:17" ht="26.25" customHeight="1" x14ac:dyDescent="0.2">
      <c r="A3" s="79">
        <v>404761</v>
      </c>
      <c r="B3" s="70" t="s">
        <v>89</v>
      </c>
      <c r="C3" s="8" t="s">
        <v>90</v>
      </c>
      <c r="D3" s="72" t="s">
        <v>57</v>
      </c>
      <c r="E3" s="12">
        <v>44617</v>
      </c>
      <c r="F3" s="72" t="s">
        <v>64</v>
      </c>
      <c r="G3" s="12">
        <v>44640</v>
      </c>
      <c r="H3" s="9" t="s">
        <v>63</v>
      </c>
      <c r="I3" s="1">
        <v>40</v>
      </c>
      <c r="J3" s="1">
        <v>39</v>
      </c>
      <c r="K3" s="1">
        <v>42</v>
      </c>
      <c r="L3" s="1">
        <v>4</v>
      </c>
      <c r="M3" s="76">
        <v>16.38</v>
      </c>
      <c r="N3" s="7">
        <v>17</v>
      </c>
      <c r="O3" s="60">
        <v>19000</v>
      </c>
      <c r="P3" s="61">
        <f>Table224578910112345678910[[#This Row],[PEMBULATAN]]*O3</f>
        <v>323000</v>
      </c>
      <c r="Q3" s="95">
        <v>1</v>
      </c>
    </row>
    <row r="4" spans="1:17" ht="22.5" customHeight="1" x14ac:dyDescent="0.2">
      <c r="A4" s="118" t="s">
        <v>30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  <c r="M4" s="75">
        <f>SUBTOTAL(109,Table224578910112345678910[KG VOLUME])</f>
        <v>16.38</v>
      </c>
      <c r="N4" s="64">
        <f>SUM(N3:N3)</f>
        <v>17</v>
      </c>
      <c r="O4" s="121">
        <f>SUM(P3:P3)</f>
        <v>323000</v>
      </c>
      <c r="P4" s="122"/>
    </row>
    <row r="5" spans="1:17" ht="18" customHeight="1" x14ac:dyDescent="0.2">
      <c r="A5" s="82"/>
      <c r="B5" s="54" t="s">
        <v>42</v>
      </c>
      <c r="C5" s="53"/>
      <c r="D5" s="55" t="s">
        <v>43</v>
      </c>
      <c r="E5" s="82"/>
      <c r="F5" s="82"/>
      <c r="G5" s="82"/>
      <c r="H5" s="82"/>
      <c r="I5" s="82"/>
      <c r="J5" s="82"/>
      <c r="K5" s="82"/>
      <c r="L5" s="82"/>
      <c r="M5" s="83"/>
      <c r="N5" s="84" t="s">
        <v>51</v>
      </c>
      <c r="O5" s="85"/>
      <c r="P5" s="85">
        <f>O4*10%</f>
        <v>32300</v>
      </c>
    </row>
    <row r="6" spans="1:17" ht="18" customHeight="1" thickBot="1" x14ac:dyDescent="0.25">
      <c r="A6" s="82"/>
      <c r="B6" s="54"/>
      <c r="C6" s="53"/>
      <c r="D6" s="55"/>
      <c r="E6" s="82"/>
      <c r="F6" s="82"/>
      <c r="G6" s="82"/>
      <c r="H6" s="82"/>
      <c r="I6" s="82"/>
      <c r="J6" s="82"/>
      <c r="K6" s="82"/>
      <c r="L6" s="82"/>
      <c r="M6" s="83"/>
      <c r="N6" s="86" t="s">
        <v>52</v>
      </c>
      <c r="O6" s="87"/>
      <c r="P6" s="87">
        <f>O4-P5</f>
        <v>290700</v>
      </c>
    </row>
    <row r="7" spans="1:17" ht="18" customHeight="1" x14ac:dyDescent="0.2">
      <c r="A7" s="10"/>
      <c r="H7" s="59"/>
      <c r="N7" s="58" t="s">
        <v>31</v>
      </c>
      <c r="P7" s="65">
        <f>P6*1%</f>
        <v>2907</v>
      </c>
    </row>
    <row r="8" spans="1:17" ht="18" customHeight="1" thickBot="1" x14ac:dyDescent="0.25">
      <c r="A8" s="10"/>
      <c r="H8" s="59"/>
      <c r="N8" s="58" t="s">
        <v>53</v>
      </c>
      <c r="P8" s="67">
        <f>P6*2%</f>
        <v>5814</v>
      </c>
    </row>
    <row r="9" spans="1:17" ht="18" customHeight="1" x14ac:dyDescent="0.2">
      <c r="A9" s="10"/>
      <c r="H9" s="59"/>
      <c r="N9" s="62" t="s">
        <v>32</v>
      </c>
      <c r="O9" s="63"/>
      <c r="P9" s="66">
        <f>P6+P7-P8</f>
        <v>287793</v>
      </c>
    </row>
    <row r="11" spans="1:17" x14ac:dyDescent="0.2">
      <c r="A11" s="10"/>
      <c r="H11" s="59"/>
      <c r="P11" s="67"/>
    </row>
    <row r="12" spans="1:17" x14ac:dyDescent="0.2">
      <c r="A12" s="10"/>
      <c r="H12" s="59"/>
      <c r="O12" s="56"/>
      <c r="P12" s="67"/>
    </row>
    <row r="13" spans="1:17" s="3" customFormat="1" x14ac:dyDescent="0.25">
      <c r="A13" s="10"/>
      <c r="B13" s="2"/>
      <c r="C13" s="2"/>
      <c r="E13" s="11"/>
      <c r="H13" s="59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59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59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59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9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9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9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9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9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9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9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9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1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Sicepat_Merauke Des 2021</vt:lpstr>
      <vt:lpstr>ALL</vt:lpstr>
      <vt:lpstr>403305</vt:lpstr>
      <vt:lpstr>403400</vt:lpstr>
      <vt:lpstr>403312</vt:lpstr>
      <vt:lpstr>403160</vt:lpstr>
      <vt:lpstr>404678</vt:lpstr>
      <vt:lpstr>404754</vt:lpstr>
      <vt:lpstr>404761</vt:lpstr>
      <vt:lpstr>'403160'!Print_Titles</vt:lpstr>
      <vt:lpstr>'403305'!Print_Titles</vt:lpstr>
      <vt:lpstr>'403312'!Print_Titles</vt:lpstr>
      <vt:lpstr>'403400'!Print_Titles</vt:lpstr>
      <vt:lpstr>'404678'!Print_Titles</vt:lpstr>
      <vt:lpstr>'404754'!Print_Titles</vt:lpstr>
      <vt:lpstr>'404761'!Print_Titles</vt:lpstr>
      <vt:lpstr>ALL!Print_Titles</vt:lpstr>
      <vt:lpstr>'Sicepat_Merauke 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2022-03-27T07:50:58Z</cp:lastPrinted>
  <dcterms:created xsi:type="dcterms:W3CDTF">2021-07-02T11:08:00Z</dcterms:created>
  <dcterms:modified xsi:type="dcterms:W3CDTF">2022-03-27T08:08:14Z</dcterms:modified>
</cp:coreProperties>
</file>