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0" yWindow="0" windowWidth="20490" windowHeight="7320" tabRatio="842"/>
  </bookViews>
  <sheets>
    <sheet name="Sicepat_Ternate Feb 22" sheetId="2" r:id="rId1"/>
    <sheet name="ALL" sheetId="90" r:id="rId2"/>
    <sheet name="403392" sheetId="26" r:id="rId3"/>
    <sheet name="403311" sheetId="58" r:id="rId4"/>
    <sheet name="403326" sheetId="59" r:id="rId5"/>
    <sheet name="403162" sheetId="60" r:id="rId6"/>
    <sheet name="404663" sheetId="61" r:id="rId7"/>
  </sheets>
  <definedNames>
    <definedName name="_xlnm.Print_Titles" localSheetId="5">'403162'!$2:$2</definedName>
    <definedName name="_xlnm.Print_Titles" localSheetId="3">'403311'!$2:$2</definedName>
    <definedName name="_xlnm.Print_Titles" localSheetId="4">'403326'!$2:$2</definedName>
    <definedName name="_xlnm.Print_Titles" localSheetId="2">'403392'!$2:$2</definedName>
    <definedName name="_xlnm.Print_Titles" localSheetId="6">'404663'!$2:$2</definedName>
    <definedName name="_xlnm.Print_Titles" localSheetId="1">ALL!$2:$2</definedName>
    <definedName name="_xlnm.Print_Titles" localSheetId="0">'Sicepat_Ternate Feb 22'!$2:$17</definedName>
  </definedNames>
  <calcPr calcId="162913"/>
</workbook>
</file>

<file path=xl/calcChain.xml><?xml version="1.0" encoding="utf-8"?>
<calcChain xmlns="http://schemas.openxmlformats.org/spreadsheetml/2006/main">
  <c r="O20" i="90" l="1"/>
  <c r="N20" i="90"/>
  <c r="Q20" i="90"/>
  <c r="M20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P3" i="90"/>
  <c r="P19" i="90"/>
  <c r="N7" i="61"/>
  <c r="P4" i="61"/>
  <c r="P5" i="61"/>
  <c r="P6" i="61"/>
  <c r="P21" i="90" l="1"/>
  <c r="P22" i="90" s="1"/>
  <c r="N7" i="58"/>
  <c r="P24" i="90" l="1"/>
  <c r="P23" i="90"/>
  <c r="F22" i="2"/>
  <c r="F21" i="2"/>
  <c r="F20" i="2"/>
  <c r="F19" i="2"/>
  <c r="F18" i="2"/>
  <c r="B22" i="2"/>
  <c r="C22" i="2"/>
  <c r="B21" i="2"/>
  <c r="C21" i="2"/>
  <c r="B20" i="2"/>
  <c r="C20" i="2"/>
  <c r="C19" i="2"/>
  <c r="B19" i="2"/>
  <c r="C18" i="2"/>
  <c r="B18" i="2"/>
  <c r="A19" i="2"/>
  <c r="N4" i="60"/>
  <c r="N9" i="59"/>
  <c r="G20" i="2" s="1"/>
  <c r="N5" i="26"/>
  <c r="P25" i="90" l="1"/>
  <c r="G22" i="2"/>
  <c r="M7" i="61"/>
  <c r="P3" i="61"/>
  <c r="M4" i="60"/>
  <c r="P3" i="60"/>
  <c r="M9" i="59"/>
  <c r="P8" i="59"/>
  <c r="P7" i="59"/>
  <c r="P6" i="59"/>
  <c r="P5" i="59"/>
  <c r="P4" i="59"/>
  <c r="P3" i="59"/>
  <c r="M7" i="58"/>
  <c r="P6" i="58"/>
  <c r="P5" i="58"/>
  <c r="P4" i="58"/>
  <c r="P3" i="58"/>
  <c r="O7" i="61" l="1"/>
  <c r="O4" i="60"/>
  <c r="O9" i="59"/>
  <c r="O7" i="58"/>
  <c r="P8" i="61" l="1"/>
  <c r="P9" i="61" s="1"/>
  <c r="P5" i="60"/>
  <c r="P6" i="60" s="1"/>
  <c r="P7" i="60" s="1"/>
  <c r="P10" i="59"/>
  <c r="P11" i="59" s="1"/>
  <c r="P8" i="58"/>
  <c r="P9" i="58" s="1"/>
  <c r="P8" i="60"/>
  <c r="I28" i="2"/>
  <c r="I27" i="2"/>
  <c r="I29" i="2" s="1"/>
  <c r="P4" i="26"/>
  <c r="P11" i="61" l="1"/>
  <c r="P10" i="61"/>
  <c r="P12" i="61" s="1"/>
  <c r="P9" i="60"/>
  <c r="P13" i="59"/>
  <c r="P12" i="59"/>
  <c r="P14" i="59" s="1"/>
  <c r="P11" i="58"/>
  <c r="P10" i="58"/>
  <c r="P12" i="58" s="1"/>
  <c r="M5" i="26"/>
  <c r="P3" i="26"/>
  <c r="O5" i="26" l="1"/>
  <c r="P6" i="26" l="1"/>
  <c r="P7" i="26" s="1"/>
  <c r="P8" i="26" l="1"/>
  <c r="P9" i="26"/>
  <c r="P10" i="26" s="1"/>
  <c r="A20" i="2"/>
  <c r="A21" i="2" s="1"/>
  <c r="A22" i="2" s="1"/>
  <c r="J22" i="2"/>
  <c r="J20" i="2"/>
  <c r="J21" i="2"/>
  <c r="J19" i="2"/>
  <c r="I40" i="2" l="1"/>
  <c r="J18" i="2"/>
  <c r="J23" i="2" l="1"/>
  <c r="J25" i="2" l="1"/>
  <c r="J26" i="2" s="1"/>
  <c r="J28" i="2" s="1"/>
  <c r="J27" i="2" l="1"/>
  <c r="J29" i="2" s="1"/>
</calcChain>
</file>

<file path=xl/sharedStrings.xml><?xml version="1.0" encoding="utf-8"?>
<sst xmlns="http://schemas.openxmlformats.org/spreadsheetml/2006/main" count="351" uniqueCount="89">
  <si>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</si>
  <si>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</si>
  <si>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</si>
  <si>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</si>
  <si>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</si>
  <si>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</si>
  <si>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</si>
  <si>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</si>
  <si>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</si>
  <si>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</si>
  <si>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</si>
  <si>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</si>
  <si>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</si>
  <si>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</si>
  <si>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</si>
  <si>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</si>
  <si>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</si>
  <si>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</si>
  <si>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</si>
  <si>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</si>
  <si>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</si>
  <si>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</si>
  <si>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</si>
  <si>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</si>
  <si>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</si>
  <si>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</si>
  <si>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</si>
  <si>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</si>
  <si>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</si>
  <si>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</si>
  <si>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</si>
  <si>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</si>
  <si>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</si>
  <si>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</si>
  <si>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</si>
  <si>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</si>
  <si>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</si>
  <si>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</si>
  <si>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</si>
  <si>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</si>
  <si>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</si>
  <si>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</si>
  <si>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</si>
  <si>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</si>
  <si>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</si>
  <si>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</si>
  <si>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</si>
  <si>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</si>
  <si>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</si>
  <si>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</si>
  <si>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</si>
  <si>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</si>
  <si>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</si>
  <si>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</si>
  <si>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</si>
  <si>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</si>
  <si>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 xml:space="preserve"> 17 Maret 2022</t>
  </si>
  <si>
    <t xml:space="preserve"> FEBRUARI 2022</t>
  </si>
  <si>
    <t>PENGIRIMAN BARANG TUJUAN TERNATE</t>
  </si>
  <si>
    <t>TERNATE</t>
  </si>
  <si>
    <t>DMD/2202/07/BZTA6328</t>
  </si>
  <si>
    <t>GSK220201CRL470</t>
  </si>
  <si>
    <t>GSK220127RQW409</t>
  </si>
  <si>
    <t>DMP TTE (TERNATE)</t>
  </si>
  <si>
    <t>KM SINABUNG</t>
  </si>
  <si>
    <t>02/26/2022 WAHYUDI</t>
  </si>
  <si>
    <t>DMD/2202/08/DMGT2458</t>
  </si>
  <si>
    <t>GSK220208HEI961</t>
  </si>
  <si>
    <t>DMD/2202/08/OVBW5093</t>
  </si>
  <si>
    <t>GSK220208QRL857</t>
  </si>
  <si>
    <t>GSK220208IXK293</t>
  </si>
  <si>
    <t>GSK220208XIR562</t>
  </si>
  <si>
    <t>DMD/2202/11/DJMK2178</t>
  </si>
  <si>
    <t>GSK220211UZQ740</t>
  </si>
  <si>
    <t>GSK220211GSZ259</t>
  </si>
  <si>
    <t>GSK220211PXK257</t>
  </si>
  <si>
    <t>GSK220210ABK398</t>
  </si>
  <si>
    <t>GSK220211RLN310</t>
  </si>
  <si>
    <t>GSK220211WCX364</t>
  </si>
  <si>
    <t xml:space="preserve">KM LABOBAR </t>
  </si>
  <si>
    <t>03/01/2022 WAHYUDI</t>
  </si>
  <si>
    <t>DMD/2202/19/HAVP7513</t>
  </si>
  <si>
    <t>GSK220219WHI049</t>
  </si>
  <si>
    <t>DMD/2202/20/STGZ9806</t>
  </si>
  <si>
    <t>GSK220220ELK678</t>
  </si>
  <si>
    <t>GSK220220ICR870</t>
  </si>
  <si>
    <t>GSK220220SYG207</t>
  </si>
  <si>
    <t>GSK220220FUR342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</si>
  <si>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Juta Delapan Ribu Dua Ratus Sembilan Puluh Sembilan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</si>
</sst>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4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166" fontId="3" fillId="2" borderId="1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" fontId="9" fillId="4" borderId="1" xfId="3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/>
    </xf>
    <xf numFmtId="2" fontId="0" fillId="0" borderId="24" xfId="0" applyNumberFormat="1" applyFont="1" applyBorder="1" applyAlignment="1">
      <alignment vertical="center"/>
    </xf>
    <xf numFmtId="167" fontId="5" fillId="0" borderId="24" xfId="1" applyNumberFormat="1" applyFont="1" applyBorder="1" applyAlignment="1">
      <alignment vertical="center"/>
    </xf>
    <xf numFmtId="0" fontId="15" fillId="0" borderId="32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167" fontId="5" fillId="0" borderId="31" xfId="1" applyNumberFormat="1" applyFont="1" applyBorder="1" applyAlignment="1">
      <alignment horizontal="center" vertical="center"/>
    </xf>
    <xf numFmtId="167" fontId="5" fillId="0" borderId="20" xfId="1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1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2" name="Table2245789101123" displayName="Table2245789101123" ref="C2:N4" totalsRowShown="0" headerRowDxfId="100" dataDxfId="98" headerRowBorderDxfId="99">
  <tableColumns count="12">
    <tableColumn id="1" name="NOMOR" dataDxfId="97" dataCellStyle="Normal"/>
    <tableColumn id="3" name="TUJUAN" dataDxfId="96" dataCellStyle="Normal"/>
    <tableColumn id="16" name="Pick Up" dataDxfId="95"/>
    <tableColumn id="14" name="KAPAL" dataDxfId="94"/>
    <tableColumn id="15" name="ETD Kapal" dataDxfId="93"/>
    <tableColumn id="10" name="KETERANGAN" dataDxfId="92" dataCellStyle="Normal"/>
    <tableColumn id="5" name="P" dataDxfId="91" dataCellStyle="Normal"/>
    <tableColumn id="6" name="L" dataDxfId="90" dataCellStyle="Normal"/>
    <tableColumn id="7" name="T" dataDxfId="89" dataCellStyle="Normal"/>
    <tableColumn id="4" name="ACT KG" dataDxfId="88" dataCellStyle="Normal"/>
    <tableColumn id="8" name="KG VOLUME" dataDxfId="87" dataCellStyle="Normal"/>
    <tableColumn id="19" name="PEMBULATAN" dataDxfId="86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" name="Table224578910112" displayName="Table224578910112" ref="C2:N4" totalsRowShown="0" headerRowDxfId="83" dataDxfId="81" headerRowBorderDxfId="82">
  <tableColumns count="12">
    <tableColumn id="1" name="NOMOR" dataDxfId="80" dataCellStyle="Normal"/>
    <tableColumn id="3" name="TUJUAN" dataDxfId="79" dataCellStyle="Normal"/>
    <tableColumn id="16" name="Pick Up" dataDxfId="78"/>
    <tableColumn id="14" name="KAPAL" dataDxfId="77"/>
    <tableColumn id="15" name="ETD Kapal" dataDxfId="76"/>
    <tableColumn id="10" name="KETERANGAN" dataDxfId="75" dataCellStyle="Normal"/>
    <tableColumn id="5" name="P" dataDxfId="74" dataCellStyle="Normal"/>
    <tableColumn id="6" name="L" dataDxfId="73" dataCellStyle="Normal"/>
    <tableColumn id="7" name="T" dataDxfId="72" dataCellStyle="Normal"/>
    <tableColumn id="4" name="ACT KG" dataDxfId="71" dataCellStyle="Normal"/>
    <tableColumn id="8" name="KG VOLUME" dataDxfId="70" dataCellStyle="Normal"/>
    <tableColumn id="19" name="PEMBULATAN" dataDxfId="69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22457891011234" displayName="Table22457891011234" ref="C2:N6" totalsRowShown="0" headerRowDxfId="65" dataDxfId="63" headerRowBorderDxfId="64">
  <tableColumns count="12">
    <tableColumn id="1" name="NOMOR" dataDxfId="62" dataCellStyle="Normal"/>
    <tableColumn id="3" name="TUJUAN" dataDxfId="61" dataCellStyle="Normal"/>
    <tableColumn id="16" name="Pick Up" dataDxfId="60"/>
    <tableColumn id="14" name="KAPAL" dataDxfId="59"/>
    <tableColumn id="15" name="ETD Kapal" dataDxfId="58"/>
    <tableColumn id="10" name="KETERANGAN" dataDxfId="57" dataCellStyle="Normal"/>
    <tableColumn id="5" name="P" dataDxfId="56" dataCellStyle="Normal"/>
    <tableColumn id="6" name="L" dataDxfId="55" dataCellStyle="Normal"/>
    <tableColumn id="7" name="T" dataDxfId="54" dataCellStyle="Normal"/>
    <tableColumn id="4" name="ACT KG" dataDxfId="53" dataCellStyle="Normal"/>
    <tableColumn id="8" name="KG VOLUME" dataDxfId="52" dataCellStyle="Normal"/>
    <tableColumn id="19" name="PEMBULATAN" dataDxfId="51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224578910112345" displayName="Table224578910112345" ref="C2:N8" totalsRowShown="0" headerRowDxfId="47" dataDxfId="45" headerRowBorderDxfId="46">
  <tableColumns count="12">
    <tableColumn id="1" name="NOMOR" dataDxfId="44" dataCellStyle="Normal"/>
    <tableColumn id="3" name="TUJUAN" dataDxfId="43" dataCellStyle="Normal"/>
    <tableColumn id="16" name="Pick Up" dataDxfId="42"/>
    <tableColumn id="14" name="KAPAL" dataDxfId="41"/>
    <tableColumn id="15" name="ETD Kapal" dataDxfId="40"/>
    <tableColumn id="10" name="KETERANGAN" dataDxfId="39" dataCellStyle="Normal"/>
    <tableColumn id="5" name="P" dataDxfId="38" dataCellStyle="Normal"/>
    <tableColumn id="6" name="L" dataDxfId="37" dataCellStyle="Normal"/>
    <tableColumn id="7" name="T" dataDxfId="36" dataCellStyle="Normal"/>
    <tableColumn id="4" name="ACT KG" dataDxfId="35" dataCellStyle="Normal"/>
    <tableColumn id="8" name="KG VOLUME" dataDxfId="34" dataCellStyle="Normal"/>
    <tableColumn id="19" name="PEMBULATAN" dataDxfId="33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2245789101123456" displayName="Table2245789101123456" ref="C2:N3" totalsRowShown="0" headerRowDxfId="31" dataDxfId="29" headerRowBorderDxfId="30">
  <tableColumns count="12">
    <tableColumn id="1" name="NOMOR" dataDxfId="28" dataCellStyle="Normal"/>
    <tableColumn id="3" name="TUJUAN" dataDxfId="27" dataCellStyle="Normal"/>
    <tableColumn id="16" name="Pick Up" dataDxfId="26"/>
    <tableColumn id="14" name="KAPAL" dataDxfId="25"/>
    <tableColumn id="15" name="ETD Kapal" dataDxfId="24"/>
    <tableColumn id="10" name="KETERANGAN" dataDxfId="23" dataCellStyle="Normal"/>
    <tableColumn id="5" name="P" dataDxfId="22" dataCellStyle="Normal"/>
    <tableColumn id="6" name="L" dataDxfId="21" dataCellStyle="Normal"/>
    <tableColumn id="7" name="T" dataDxfId="20" dataCellStyle="Normal"/>
    <tableColumn id="4" name="ACT KG" dataDxfId="19" dataCellStyle="Normal"/>
    <tableColumn id="8" name="KG VOLUME" dataDxfId="18" dataCellStyle="Normal"/>
    <tableColumn id="19" name="PEMBULATAN" dataDxfId="17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6" name="Table22457891011234567" displayName="Table22457891011234567" ref="C2:N6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7"/>
  <sheetViews>
    <sheetView tabSelected="1" topLeftCell="A24" workbookViewId="0">
      <selection activeCell="K39" sqref="K39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20" t="s">
        <v>14</v>
      </c>
      <c r="B10" s="121"/>
      <c r="C10" s="121"/>
      <c r="D10" s="121"/>
      <c r="E10" s="121"/>
      <c r="F10" s="121"/>
      <c r="G10" s="121"/>
      <c r="H10" s="121"/>
      <c r="I10" s="121"/>
      <c r="J10" s="122"/>
    </row>
    <row r="12" spans="1:10" x14ac:dyDescent="0.25">
      <c r="A12" s="18" t="s">
        <v>15</v>
      </c>
      <c r="B12" s="18" t="s">
        <v>16</v>
      </c>
      <c r="G12" s="117" t="s">
        <v>49</v>
      </c>
      <c r="H12" s="117"/>
      <c r="I12" s="23" t="s">
        <v>17</v>
      </c>
      <c r="J12" s="24"/>
    </row>
    <row r="13" spans="1:10" x14ac:dyDescent="0.25">
      <c r="G13" s="117" t="s">
        <v>18</v>
      </c>
      <c r="H13" s="117"/>
      <c r="I13" s="23" t="s">
        <v>17</v>
      </c>
      <c r="J13" s="25" t="s">
        <v>56</v>
      </c>
    </row>
    <row r="14" spans="1:10" x14ac:dyDescent="0.25">
      <c r="G14" s="117" t="s">
        <v>50</v>
      </c>
      <c r="H14" s="117"/>
      <c r="I14" s="23" t="s">
        <v>17</v>
      </c>
      <c r="J14" s="18" t="s">
        <v>59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57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23" t="s">
        <v>28</v>
      </c>
      <c r="I17" s="124"/>
      <c r="J17" s="29" t="s">
        <v>29</v>
      </c>
    </row>
    <row r="18" spans="1:12" ht="48" customHeight="1" x14ac:dyDescent="0.25">
      <c r="A18" s="30">
        <v>1</v>
      </c>
      <c r="B18" s="31">
        <f>'403392'!E3</f>
        <v>44599</v>
      </c>
      <c r="C18" s="83">
        <f>'403392'!A3</f>
        <v>403392</v>
      </c>
      <c r="D18" s="32" t="s">
        <v>58</v>
      </c>
      <c r="E18" s="32" t="s">
        <v>59</v>
      </c>
      <c r="F18" s="33">
        <f>'403392'!Q3</f>
        <v>2</v>
      </c>
      <c r="G18" s="109">
        <v>100</v>
      </c>
      <c r="H18" s="125">
        <v>14000</v>
      </c>
      <c r="I18" s="126"/>
      <c r="J18" s="34">
        <f>G18*H18</f>
        <v>1400000</v>
      </c>
      <c r="L18"/>
    </row>
    <row r="19" spans="1:12" ht="48" customHeight="1" x14ac:dyDescent="0.25">
      <c r="A19" s="30">
        <f>A18+1</f>
        <v>2</v>
      </c>
      <c r="B19" s="31">
        <f>'403311'!E3</f>
        <v>44600</v>
      </c>
      <c r="C19" s="83">
        <f>'403311'!A3</f>
        <v>403311</v>
      </c>
      <c r="D19" s="32" t="s">
        <v>58</v>
      </c>
      <c r="E19" s="32" t="s">
        <v>59</v>
      </c>
      <c r="F19" s="33">
        <f>'403311'!Q3</f>
        <v>4</v>
      </c>
      <c r="G19" s="106">
        <v>100</v>
      </c>
      <c r="H19" s="125">
        <v>14000</v>
      </c>
      <c r="I19" s="126"/>
      <c r="J19" s="34">
        <f t="shared" ref="J19" si="0">G19*H19</f>
        <v>1400000</v>
      </c>
      <c r="L19"/>
    </row>
    <row r="20" spans="1:12" ht="48" customHeight="1" x14ac:dyDescent="0.25">
      <c r="A20" s="30">
        <f t="shared" ref="A20:A22" si="1">A19+1</f>
        <v>3</v>
      </c>
      <c r="B20" s="31">
        <f>'403326'!E3</f>
        <v>44603</v>
      </c>
      <c r="C20" s="83">
        <f>'403326'!A3</f>
        <v>403326</v>
      </c>
      <c r="D20" s="32" t="s">
        <v>58</v>
      </c>
      <c r="E20" s="32" t="s">
        <v>59</v>
      </c>
      <c r="F20" s="33">
        <f>'403326'!Q3</f>
        <v>6</v>
      </c>
      <c r="G20" s="106">
        <f>'403326'!N9</f>
        <v>132.83250000000001</v>
      </c>
      <c r="H20" s="125">
        <v>14000</v>
      </c>
      <c r="I20" s="126"/>
      <c r="J20" s="34">
        <f>G20*H20</f>
        <v>1859655.0000000002</v>
      </c>
      <c r="L20"/>
    </row>
    <row r="21" spans="1:12" ht="48" customHeight="1" x14ac:dyDescent="0.25">
      <c r="A21" s="30">
        <f t="shared" si="1"/>
        <v>4</v>
      </c>
      <c r="B21" s="31">
        <f>'403162'!E3</f>
        <v>44611</v>
      </c>
      <c r="C21" s="83">
        <f>'403162'!A3</f>
        <v>403162</v>
      </c>
      <c r="D21" s="32" t="s">
        <v>58</v>
      </c>
      <c r="E21" s="32" t="s">
        <v>59</v>
      </c>
      <c r="F21" s="33">
        <f>'403162'!Q3</f>
        <v>1</v>
      </c>
      <c r="G21" s="106">
        <v>100</v>
      </c>
      <c r="H21" s="125">
        <v>14000</v>
      </c>
      <c r="I21" s="126"/>
      <c r="J21" s="34">
        <f>G21*H21</f>
        <v>1400000</v>
      </c>
      <c r="L21"/>
    </row>
    <row r="22" spans="1:12" ht="48" customHeight="1" x14ac:dyDescent="0.25">
      <c r="A22" s="30">
        <f t="shared" si="1"/>
        <v>5</v>
      </c>
      <c r="B22" s="31">
        <f>'404663'!E3</f>
        <v>44612</v>
      </c>
      <c r="C22" s="83">
        <f>'404663'!A3</f>
        <v>404663</v>
      </c>
      <c r="D22" s="32" t="s">
        <v>58</v>
      </c>
      <c r="E22" s="32" t="s">
        <v>59</v>
      </c>
      <c r="F22" s="33">
        <f>'404663'!Q3</f>
        <v>4</v>
      </c>
      <c r="G22" s="106">
        <f>'404663'!N7</f>
        <v>129</v>
      </c>
      <c r="H22" s="125">
        <v>14000</v>
      </c>
      <c r="I22" s="126"/>
      <c r="J22" s="34">
        <f>G22*H22</f>
        <v>1806000</v>
      </c>
      <c r="L22"/>
    </row>
    <row r="23" spans="1:12" ht="32.25" customHeight="1" thickBot="1" x14ac:dyDescent="0.3">
      <c r="A23" s="127" t="s">
        <v>30</v>
      </c>
      <c r="B23" s="128"/>
      <c r="C23" s="128"/>
      <c r="D23" s="128"/>
      <c r="E23" s="128"/>
      <c r="F23" s="128"/>
      <c r="G23" s="128"/>
      <c r="H23" s="128"/>
      <c r="I23" s="129"/>
      <c r="J23" s="35">
        <f>SUM(J18:J22)</f>
        <v>7865655</v>
      </c>
      <c r="L23" s="81"/>
    </row>
    <row r="24" spans="1:12" x14ac:dyDescent="0.25">
      <c r="A24" s="130"/>
      <c r="B24" s="130"/>
      <c r="C24" s="36"/>
      <c r="D24" s="36"/>
      <c r="E24" s="36"/>
      <c r="F24" s="36"/>
      <c r="G24" s="36"/>
      <c r="H24" s="37"/>
      <c r="I24" s="37"/>
      <c r="J24" s="38"/>
    </row>
    <row r="25" spans="1:12" x14ac:dyDescent="0.25">
      <c r="A25" s="84"/>
      <c r="B25" s="84"/>
      <c r="C25" s="84"/>
      <c r="D25" s="84"/>
      <c r="E25" s="84"/>
      <c r="F25" s="84"/>
      <c r="G25" s="39" t="s">
        <v>51</v>
      </c>
      <c r="H25" s="39"/>
      <c r="I25" s="37"/>
      <c r="J25" s="38">
        <f>J23*10%</f>
        <v>786565.5</v>
      </c>
      <c r="L25" s="40"/>
    </row>
    <row r="26" spans="1:12" x14ac:dyDescent="0.25">
      <c r="A26" s="84"/>
      <c r="B26" s="84"/>
      <c r="C26" s="84"/>
      <c r="D26" s="84"/>
      <c r="E26" s="84"/>
      <c r="F26" s="84"/>
      <c r="G26" s="91" t="s">
        <v>52</v>
      </c>
      <c r="H26" s="91"/>
      <c r="I26" s="92"/>
      <c r="J26" s="94">
        <f>J23-J25</f>
        <v>7079089.5</v>
      </c>
      <c r="L26" s="40"/>
    </row>
    <row r="27" spans="1:12" x14ac:dyDescent="0.25">
      <c r="A27" s="84"/>
      <c r="B27" s="84"/>
      <c r="C27" s="84"/>
      <c r="D27" s="84"/>
      <c r="E27" s="84"/>
      <c r="F27" s="84"/>
      <c r="G27" s="39" t="s">
        <v>31</v>
      </c>
      <c r="H27" s="39"/>
      <c r="I27" s="40" t="e">
        <f>#REF!*1%</f>
        <v>#REF!</v>
      </c>
      <c r="J27" s="38">
        <f>J26*1%</f>
        <v>70790.895000000004</v>
      </c>
    </row>
    <row r="28" spans="1:12" ht="16.5" thickBot="1" x14ac:dyDescent="0.3">
      <c r="A28" s="84"/>
      <c r="B28" s="84"/>
      <c r="C28" s="84"/>
      <c r="D28" s="84"/>
      <c r="E28" s="84"/>
      <c r="F28" s="84"/>
      <c r="G28" s="93" t="s">
        <v>54</v>
      </c>
      <c r="H28" s="93"/>
      <c r="I28" s="41">
        <f>I24*10%</f>
        <v>0</v>
      </c>
      <c r="J28" s="41">
        <f>J26*2%</f>
        <v>141581.79</v>
      </c>
    </row>
    <row r="29" spans="1:12" x14ac:dyDescent="0.25">
      <c r="E29" s="17"/>
      <c r="F29" s="17"/>
      <c r="G29" s="42" t="s">
        <v>55</v>
      </c>
      <c r="H29" s="42"/>
      <c r="I29" s="43" t="e">
        <f>I23+I27</f>
        <v>#REF!</v>
      </c>
      <c r="J29" s="43">
        <f>J26+J27-J28</f>
        <v>7008298.6049999995</v>
      </c>
    </row>
    <row r="30" spans="1:12" x14ac:dyDescent="0.25">
      <c r="E30" s="17"/>
      <c r="F30" s="17"/>
      <c r="G30" s="42"/>
      <c r="H30" s="42"/>
      <c r="I30" s="43"/>
      <c r="J30" s="43"/>
    </row>
    <row r="31" spans="1:12" x14ac:dyDescent="0.25">
      <c r="A31" s="17" t="s">
        <v>88</v>
      </c>
      <c r="D31" s="17"/>
      <c r="E31" s="17"/>
      <c r="F31" s="17"/>
      <c r="G31" s="17"/>
      <c r="H31" s="42"/>
      <c r="I31" s="42"/>
      <c r="J31" s="43"/>
    </row>
    <row r="32" spans="1:12" x14ac:dyDescent="0.25">
      <c r="A32" s="44"/>
      <c r="D32" s="17"/>
      <c r="E32" s="17"/>
      <c r="F32" s="17"/>
      <c r="G32" s="17"/>
      <c r="H32" s="42"/>
      <c r="I32" s="42"/>
      <c r="J32" s="43"/>
    </row>
    <row r="33" spans="1:10" x14ac:dyDescent="0.25">
      <c r="D33" s="17"/>
      <c r="E33" s="17"/>
      <c r="F33" s="17"/>
      <c r="G33" s="17"/>
      <c r="H33" s="42"/>
      <c r="I33" s="42"/>
      <c r="J33" s="43"/>
    </row>
    <row r="34" spans="1:10" x14ac:dyDescent="0.25">
      <c r="A34" s="45" t="s">
        <v>33</v>
      </c>
    </row>
    <row r="35" spans="1:10" x14ac:dyDescent="0.25">
      <c r="A35" s="46" t="s">
        <v>34</v>
      </c>
      <c r="B35" s="47"/>
      <c r="C35" s="47"/>
      <c r="D35" s="48"/>
      <c r="E35" s="48"/>
      <c r="F35" s="48"/>
      <c r="G35" s="48"/>
    </row>
    <row r="36" spans="1:10" x14ac:dyDescent="0.25">
      <c r="A36" s="46" t="s">
        <v>35</v>
      </c>
      <c r="B36" s="47"/>
      <c r="C36" s="47"/>
      <c r="D36" s="48"/>
      <c r="E36" s="48"/>
      <c r="F36" s="48"/>
      <c r="G36" s="48"/>
    </row>
    <row r="37" spans="1:10" x14ac:dyDescent="0.25">
      <c r="A37" s="49" t="s">
        <v>36</v>
      </c>
      <c r="B37" s="50"/>
      <c r="C37" s="50"/>
      <c r="D37" s="48"/>
      <c r="E37" s="48"/>
      <c r="F37" s="48"/>
      <c r="G37" s="48"/>
    </row>
    <row r="38" spans="1:10" x14ac:dyDescent="0.25">
      <c r="A38" s="51" t="s">
        <v>8</v>
      </c>
      <c r="B38" s="52"/>
      <c r="C38" s="52"/>
      <c r="D38" s="48"/>
      <c r="E38" s="48"/>
      <c r="F38" s="48"/>
      <c r="G38" s="48"/>
    </row>
    <row r="39" spans="1:10" x14ac:dyDescent="0.25">
      <c r="A39" s="53"/>
      <c r="B39" s="53"/>
      <c r="C39" s="53"/>
    </row>
    <row r="40" spans="1:10" x14ac:dyDescent="0.25">
      <c r="H40" s="54" t="s">
        <v>37</v>
      </c>
      <c r="I40" s="118" t="str">
        <f>+J13</f>
        <v xml:space="preserve"> 17 Maret 2022</v>
      </c>
      <c r="J40" s="119"/>
    </row>
    <row r="44" spans="1:10" ht="18" customHeight="1" x14ac:dyDescent="0.25"/>
    <row r="45" spans="1:10" ht="17.25" customHeight="1" x14ac:dyDescent="0.25"/>
    <row r="47" spans="1:10" x14ac:dyDescent="0.25">
      <c r="H47" s="116" t="s">
        <v>38</v>
      </c>
      <c r="I47" s="116"/>
      <c r="J47" s="116"/>
    </row>
  </sheetData>
  <mergeCells count="14">
    <mergeCell ref="A10:J10"/>
    <mergeCell ref="H17:I17"/>
    <mergeCell ref="H18:I18"/>
    <mergeCell ref="A23:I23"/>
    <mergeCell ref="A24:B24"/>
    <mergeCell ref="H19:I19"/>
    <mergeCell ref="H21:I21"/>
    <mergeCell ref="H20:I20"/>
    <mergeCell ref="H22:I22"/>
    <mergeCell ref="H47:J47"/>
    <mergeCell ref="G14:H14"/>
    <mergeCell ref="G13:H13"/>
    <mergeCell ref="G12:H12"/>
    <mergeCell ref="I40:J4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0"/>
  <sheetViews>
    <sheetView zoomScale="110" zoomScaleNormal="110" workbookViewId="0">
      <pane xSplit="3" ySplit="2" topLeftCell="D18" activePane="bottomRight" state="frozen"/>
      <selection activeCell="A3" sqref="A3:XFD6"/>
      <selection pane="topRight" activeCell="A3" sqref="A3:XFD6"/>
      <selection pane="bottomLeft" activeCell="A3" sqref="A3:XFD6"/>
      <selection pane="bottomRight" activeCell="F29" sqref="F29"/>
    </sheetView>
  </sheetViews>
  <sheetFormatPr defaultRowHeight="15" x14ac:dyDescent="0.2"/>
  <cols>
    <col min="1" max="1" width="6.85546875" style="4" customWidth="1"/>
    <col min="2" max="2" width="19.5703125" style="2" customWidth="1"/>
    <col min="3" max="3" width="14.5703125" style="2" customWidth="1"/>
    <col min="4" max="4" width="11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5.85546875" style="6" customWidth="1"/>
    <col min="9" max="11" width="3.140625" style="3" customWidth="1"/>
    <col min="12" max="12" width="5" style="3" customWidth="1"/>
    <col min="13" max="13" width="8.5703125" style="3" customWidth="1"/>
    <col min="14" max="14" width="12.140625" style="15" customWidth="1"/>
    <col min="15" max="15" width="8.140625" style="15" customWidth="1"/>
    <col min="16" max="16" width="12.28515625" style="15" customWidth="1"/>
    <col min="17" max="17" width="6.42578125" style="4" customWidth="1"/>
    <col min="18" max="16384" width="9.140625" style="4"/>
  </cols>
  <sheetData>
    <row r="1" spans="1:17" ht="15.75" thickBot="1" x14ac:dyDescent="0.25">
      <c r="H1" s="5"/>
    </row>
    <row r="2" spans="1:17" ht="25.5" x14ac:dyDescent="0.2">
      <c r="A2" s="99" t="s">
        <v>44</v>
      </c>
      <c r="B2" s="100" t="s">
        <v>7</v>
      </c>
      <c r="C2" s="100" t="s">
        <v>0</v>
      </c>
      <c r="D2" s="100" t="s">
        <v>1</v>
      </c>
      <c r="E2" s="101" t="s">
        <v>4</v>
      </c>
      <c r="F2" s="100" t="s">
        <v>3</v>
      </c>
      <c r="G2" s="100" t="s">
        <v>5</v>
      </c>
      <c r="H2" s="101" t="s">
        <v>2</v>
      </c>
      <c r="I2" s="100" t="s">
        <v>39</v>
      </c>
      <c r="J2" s="100" t="s">
        <v>40</v>
      </c>
      <c r="K2" s="100" t="s">
        <v>41</v>
      </c>
      <c r="L2" s="102" t="s">
        <v>45</v>
      </c>
      <c r="M2" s="102" t="s">
        <v>46</v>
      </c>
      <c r="N2" s="102" t="s">
        <v>6</v>
      </c>
      <c r="O2" s="102" t="s">
        <v>47</v>
      </c>
      <c r="P2" s="102" t="s">
        <v>48</v>
      </c>
      <c r="Q2" s="103" t="s">
        <v>26</v>
      </c>
    </row>
    <row r="3" spans="1:17" ht="26.25" customHeight="1" x14ac:dyDescent="0.2">
      <c r="A3" s="104">
        <v>403392</v>
      </c>
      <c r="B3" s="74" t="s">
        <v>60</v>
      </c>
      <c r="C3" s="9" t="s">
        <v>61</v>
      </c>
      <c r="D3" s="76" t="s">
        <v>63</v>
      </c>
      <c r="E3" s="13">
        <v>44599</v>
      </c>
      <c r="F3" s="76" t="s">
        <v>64</v>
      </c>
      <c r="G3" s="13">
        <v>44619</v>
      </c>
      <c r="H3" s="10" t="s">
        <v>65</v>
      </c>
      <c r="I3" s="1">
        <v>40</v>
      </c>
      <c r="J3" s="1">
        <v>4</v>
      </c>
      <c r="K3" s="1">
        <v>28</v>
      </c>
      <c r="L3" s="1">
        <v>10</v>
      </c>
      <c r="M3" s="96">
        <v>1.1200000000000001</v>
      </c>
      <c r="N3" s="8">
        <v>10</v>
      </c>
      <c r="O3" s="64">
        <v>14000</v>
      </c>
      <c r="P3" s="65">
        <f t="shared" ref="P3:P18" si="0">N3*O3</f>
        <v>140000</v>
      </c>
      <c r="Q3" s="131">
        <v>2</v>
      </c>
    </row>
    <row r="4" spans="1:17" ht="26.25" customHeight="1" x14ac:dyDescent="0.2">
      <c r="A4" s="105"/>
      <c r="B4" s="75"/>
      <c r="C4" s="9" t="s">
        <v>62</v>
      </c>
      <c r="D4" s="76" t="s">
        <v>63</v>
      </c>
      <c r="E4" s="13">
        <v>44599</v>
      </c>
      <c r="F4" s="76" t="s">
        <v>64</v>
      </c>
      <c r="G4" s="13">
        <v>44619</v>
      </c>
      <c r="H4" s="10" t="s">
        <v>65</v>
      </c>
      <c r="I4" s="1">
        <v>35</v>
      </c>
      <c r="J4" s="1">
        <v>35</v>
      </c>
      <c r="K4" s="1">
        <v>76</v>
      </c>
      <c r="L4" s="1">
        <v>13</v>
      </c>
      <c r="M4" s="96">
        <v>23.274999999999999</v>
      </c>
      <c r="N4" s="97">
        <v>23.274999999999999</v>
      </c>
      <c r="O4" s="64">
        <v>14000</v>
      </c>
      <c r="P4" s="65">
        <f t="shared" si="0"/>
        <v>325850</v>
      </c>
      <c r="Q4" s="132"/>
    </row>
    <row r="5" spans="1:17" ht="26.25" customHeight="1" x14ac:dyDescent="0.2">
      <c r="A5" s="111">
        <v>403311</v>
      </c>
      <c r="B5" s="110" t="s">
        <v>66</v>
      </c>
      <c r="C5" s="9" t="s">
        <v>67</v>
      </c>
      <c r="D5" s="76" t="s">
        <v>63</v>
      </c>
      <c r="E5" s="13">
        <v>44600</v>
      </c>
      <c r="F5" s="76" t="s">
        <v>64</v>
      </c>
      <c r="G5" s="13">
        <v>44619</v>
      </c>
      <c r="H5" s="10" t="s">
        <v>65</v>
      </c>
      <c r="I5" s="1">
        <v>52</v>
      </c>
      <c r="J5" s="1">
        <v>32</v>
      </c>
      <c r="K5" s="1">
        <v>12</v>
      </c>
      <c r="L5" s="1">
        <v>11</v>
      </c>
      <c r="M5" s="79">
        <v>4.992</v>
      </c>
      <c r="N5" s="8">
        <v>11</v>
      </c>
      <c r="O5" s="64">
        <v>14000</v>
      </c>
      <c r="P5" s="65">
        <f t="shared" si="0"/>
        <v>154000</v>
      </c>
      <c r="Q5" s="131">
        <v>4</v>
      </c>
    </row>
    <row r="6" spans="1:17" ht="26.25" customHeight="1" x14ac:dyDescent="0.2">
      <c r="A6" s="105"/>
      <c r="B6" s="75" t="s">
        <v>68</v>
      </c>
      <c r="C6" s="9" t="s">
        <v>69</v>
      </c>
      <c r="D6" s="76" t="s">
        <v>63</v>
      </c>
      <c r="E6" s="13">
        <v>44600</v>
      </c>
      <c r="F6" s="76" t="s">
        <v>64</v>
      </c>
      <c r="G6" s="13">
        <v>44619</v>
      </c>
      <c r="H6" s="10" t="s">
        <v>65</v>
      </c>
      <c r="I6" s="1">
        <v>35</v>
      </c>
      <c r="J6" s="1">
        <v>25</v>
      </c>
      <c r="K6" s="1">
        <v>20</v>
      </c>
      <c r="L6" s="1">
        <v>11</v>
      </c>
      <c r="M6" s="79">
        <v>4.375</v>
      </c>
      <c r="N6" s="8">
        <v>11</v>
      </c>
      <c r="O6" s="64">
        <v>14000</v>
      </c>
      <c r="P6" s="65">
        <f t="shared" si="0"/>
        <v>154000</v>
      </c>
      <c r="Q6" s="138"/>
    </row>
    <row r="7" spans="1:17" ht="26.25" customHeight="1" x14ac:dyDescent="0.2">
      <c r="A7" s="105"/>
      <c r="B7" s="14"/>
      <c r="C7" s="9" t="s">
        <v>70</v>
      </c>
      <c r="D7" s="76" t="s">
        <v>63</v>
      </c>
      <c r="E7" s="13">
        <v>44600</v>
      </c>
      <c r="F7" s="76" t="s">
        <v>64</v>
      </c>
      <c r="G7" s="13">
        <v>44619</v>
      </c>
      <c r="H7" s="10" t="s">
        <v>65</v>
      </c>
      <c r="I7" s="1">
        <v>24</v>
      </c>
      <c r="J7" s="1">
        <v>16</v>
      </c>
      <c r="K7" s="1">
        <v>8</v>
      </c>
      <c r="L7" s="1">
        <v>11</v>
      </c>
      <c r="M7" s="79">
        <v>0.76800000000000002</v>
      </c>
      <c r="N7" s="8">
        <v>11</v>
      </c>
      <c r="O7" s="64">
        <v>14000</v>
      </c>
      <c r="P7" s="65">
        <f t="shared" si="0"/>
        <v>154000</v>
      </c>
      <c r="Q7" s="138"/>
    </row>
    <row r="8" spans="1:17" ht="26.25" customHeight="1" x14ac:dyDescent="0.2">
      <c r="A8" s="105"/>
      <c r="B8" s="14"/>
      <c r="C8" s="73" t="s">
        <v>71</v>
      </c>
      <c r="D8" s="76" t="s">
        <v>63</v>
      </c>
      <c r="E8" s="13">
        <v>44600</v>
      </c>
      <c r="F8" s="76" t="s">
        <v>64</v>
      </c>
      <c r="G8" s="13">
        <v>44619</v>
      </c>
      <c r="H8" s="77" t="s">
        <v>65</v>
      </c>
      <c r="I8" s="16">
        <v>70</v>
      </c>
      <c r="J8" s="16">
        <v>60</v>
      </c>
      <c r="K8" s="16">
        <v>53</v>
      </c>
      <c r="L8" s="16">
        <v>11</v>
      </c>
      <c r="M8" s="80">
        <v>55.65</v>
      </c>
      <c r="N8" s="72">
        <v>56</v>
      </c>
      <c r="O8" s="64">
        <v>14000</v>
      </c>
      <c r="P8" s="65">
        <f t="shared" si="0"/>
        <v>784000</v>
      </c>
      <c r="Q8" s="132"/>
    </row>
    <row r="9" spans="1:17" ht="26.25" customHeight="1" x14ac:dyDescent="0.2">
      <c r="A9" s="104">
        <v>403326</v>
      </c>
      <c r="B9" s="74" t="s">
        <v>72</v>
      </c>
      <c r="C9" s="9" t="s">
        <v>73</v>
      </c>
      <c r="D9" s="76" t="s">
        <v>63</v>
      </c>
      <c r="E9" s="13">
        <v>44603</v>
      </c>
      <c r="F9" s="76" t="s">
        <v>79</v>
      </c>
      <c r="G9" s="13">
        <v>44625</v>
      </c>
      <c r="H9" s="10" t="s">
        <v>80</v>
      </c>
      <c r="I9" s="1">
        <v>87</v>
      </c>
      <c r="J9" s="1">
        <v>45</v>
      </c>
      <c r="K9" s="1">
        <v>34</v>
      </c>
      <c r="L9" s="1">
        <v>14</v>
      </c>
      <c r="M9" s="79">
        <v>33.277500000000003</v>
      </c>
      <c r="N9" s="97">
        <v>33.277500000000003</v>
      </c>
      <c r="O9" s="64">
        <v>14000</v>
      </c>
      <c r="P9" s="65">
        <f t="shared" si="0"/>
        <v>465885.00000000006</v>
      </c>
      <c r="Q9" s="131">
        <v>6</v>
      </c>
    </row>
    <row r="10" spans="1:17" ht="26.25" customHeight="1" x14ac:dyDescent="0.2">
      <c r="A10" s="105"/>
      <c r="B10" s="75"/>
      <c r="C10" s="9" t="s">
        <v>74</v>
      </c>
      <c r="D10" s="76" t="s">
        <v>63</v>
      </c>
      <c r="E10" s="13">
        <v>44603</v>
      </c>
      <c r="F10" s="76" t="s">
        <v>79</v>
      </c>
      <c r="G10" s="13">
        <v>44625</v>
      </c>
      <c r="H10" s="10" t="s">
        <v>80</v>
      </c>
      <c r="I10" s="1">
        <v>87</v>
      </c>
      <c r="J10" s="1">
        <v>45</v>
      </c>
      <c r="K10" s="1">
        <v>34</v>
      </c>
      <c r="L10" s="1">
        <v>14</v>
      </c>
      <c r="M10" s="79">
        <v>33.277500000000003</v>
      </c>
      <c r="N10" s="97">
        <v>33.277500000000003</v>
      </c>
      <c r="O10" s="64">
        <v>14000</v>
      </c>
      <c r="P10" s="65">
        <f t="shared" si="0"/>
        <v>465885.00000000006</v>
      </c>
      <c r="Q10" s="138"/>
    </row>
    <row r="11" spans="1:17" ht="26.25" customHeight="1" x14ac:dyDescent="0.2">
      <c r="A11" s="105"/>
      <c r="B11" s="14"/>
      <c r="C11" s="9" t="s">
        <v>75</v>
      </c>
      <c r="D11" s="76" t="s">
        <v>63</v>
      </c>
      <c r="E11" s="13">
        <v>44603</v>
      </c>
      <c r="F11" s="76" t="s">
        <v>79</v>
      </c>
      <c r="G11" s="13">
        <v>44625</v>
      </c>
      <c r="H11" s="10" t="s">
        <v>80</v>
      </c>
      <c r="I11" s="1">
        <v>87</v>
      </c>
      <c r="J11" s="1">
        <v>45</v>
      </c>
      <c r="K11" s="1">
        <v>34</v>
      </c>
      <c r="L11" s="1">
        <v>14</v>
      </c>
      <c r="M11" s="79">
        <v>33.277500000000003</v>
      </c>
      <c r="N11" s="97">
        <v>33.277500000000003</v>
      </c>
      <c r="O11" s="64">
        <v>14000</v>
      </c>
      <c r="P11" s="65">
        <f t="shared" si="0"/>
        <v>465885.00000000006</v>
      </c>
      <c r="Q11" s="138"/>
    </row>
    <row r="12" spans="1:17" ht="26.25" customHeight="1" x14ac:dyDescent="0.2">
      <c r="A12" s="105"/>
      <c r="B12" s="14"/>
      <c r="C12" s="73" t="s">
        <v>76</v>
      </c>
      <c r="D12" s="76" t="s">
        <v>63</v>
      </c>
      <c r="E12" s="13">
        <v>44603</v>
      </c>
      <c r="F12" s="76" t="s">
        <v>79</v>
      </c>
      <c r="G12" s="13">
        <v>44625</v>
      </c>
      <c r="H12" s="77" t="s">
        <v>80</v>
      </c>
      <c r="I12" s="16">
        <v>37</v>
      </c>
      <c r="J12" s="16">
        <v>22</v>
      </c>
      <c r="K12" s="16">
        <v>15</v>
      </c>
      <c r="L12" s="16">
        <v>10</v>
      </c>
      <c r="M12" s="80">
        <v>3.0525000000000002</v>
      </c>
      <c r="N12" s="97">
        <v>10</v>
      </c>
      <c r="O12" s="64">
        <v>14000</v>
      </c>
      <c r="P12" s="65">
        <f t="shared" si="0"/>
        <v>140000</v>
      </c>
      <c r="Q12" s="138"/>
    </row>
    <row r="13" spans="1:17" ht="26.25" customHeight="1" x14ac:dyDescent="0.2">
      <c r="A13" s="105"/>
      <c r="B13" s="14"/>
      <c r="C13" s="73" t="s">
        <v>77</v>
      </c>
      <c r="D13" s="76" t="s">
        <v>63</v>
      </c>
      <c r="E13" s="13">
        <v>44603</v>
      </c>
      <c r="F13" s="76" t="s">
        <v>79</v>
      </c>
      <c r="G13" s="13">
        <v>44625</v>
      </c>
      <c r="H13" s="77" t="s">
        <v>80</v>
      </c>
      <c r="I13" s="16">
        <v>22</v>
      </c>
      <c r="J13" s="16">
        <v>15</v>
      </c>
      <c r="K13" s="16">
        <v>12</v>
      </c>
      <c r="L13" s="16">
        <v>12</v>
      </c>
      <c r="M13" s="80">
        <v>0.99</v>
      </c>
      <c r="N13" s="72">
        <v>12</v>
      </c>
      <c r="O13" s="64">
        <v>14000</v>
      </c>
      <c r="P13" s="65">
        <f t="shared" si="0"/>
        <v>168000</v>
      </c>
      <c r="Q13" s="138"/>
    </row>
    <row r="14" spans="1:17" ht="26.25" customHeight="1" x14ac:dyDescent="0.2">
      <c r="A14" s="105"/>
      <c r="B14" s="14"/>
      <c r="C14" s="73" t="s">
        <v>78</v>
      </c>
      <c r="D14" s="76" t="s">
        <v>63</v>
      </c>
      <c r="E14" s="13">
        <v>44603</v>
      </c>
      <c r="F14" s="76" t="s">
        <v>79</v>
      </c>
      <c r="G14" s="13">
        <v>44625</v>
      </c>
      <c r="H14" s="77" t="s">
        <v>80</v>
      </c>
      <c r="I14" s="16">
        <v>45</v>
      </c>
      <c r="J14" s="16">
        <v>34</v>
      </c>
      <c r="K14" s="16">
        <v>12</v>
      </c>
      <c r="L14" s="16">
        <v>11</v>
      </c>
      <c r="M14" s="80">
        <v>4.59</v>
      </c>
      <c r="N14" s="72">
        <v>11</v>
      </c>
      <c r="O14" s="64">
        <v>14000</v>
      </c>
      <c r="P14" s="65">
        <f t="shared" si="0"/>
        <v>154000</v>
      </c>
      <c r="Q14" s="132"/>
    </row>
    <row r="15" spans="1:17" ht="26.25" customHeight="1" x14ac:dyDescent="0.2">
      <c r="A15" s="104">
        <v>403162</v>
      </c>
      <c r="B15" s="74" t="s">
        <v>81</v>
      </c>
      <c r="C15" s="9" t="s">
        <v>82</v>
      </c>
      <c r="D15" s="76" t="s">
        <v>63</v>
      </c>
      <c r="E15" s="13">
        <v>44611</v>
      </c>
      <c r="F15" s="76" t="s">
        <v>79</v>
      </c>
      <c r="G15" s="13">
        <v>44625</v>
      </c>
      <c r="H15" s="10" t="s">
        <v>80</v>
      </c>
      <c r="I15" s="1">
        <v>47</v>
      </c>
      <c r="J15" s="1">
        <v>37</v>
      </c>
      <c r="K15" s="1">
        <v>20</v>
      </c>
      <c r="L15" s="1">
        <v>16</v>
      </c>
      <c r="M15" s="79">
        <v>8.6950000000000003</v>
      </c>
      <c r="N15" s="8">
        <v>16</v>
      </c>
      <c r="O15" s="64">
        <v>14000</v>
      </c>
      <c r="P15" s="65">
        <f t="shared" si="0"/>
        <v>224000</v>
      </c>
      <c r="Q15" s="112">
        <v>1</v>
      </c>
    </row>
    <row r="16" spans="1:17" ht="26.25" customHeight="1" x14ac:dyDescent="0.2">
      <c r="A16" s="104">
        <v>404663</v>
      </c>
      <c r="B16" s="74" t="s">
        <v>83</v>
      </c>
      <c r="C16" s="9" t="s">
        <v>84</v>
      </c>
      <c r="D16" s="76" t="s">
        <v>63</v>
      </c>
      <c r="E16" s="13">
        <v>44612</v>
      </c>
      <c r="F16" s="76" t="s">
        <v>79</v>
      </c>
      <c r="G16" s="13">
        <v>44625</v>
      </c>
      <c r="H16" s="10" t="s">
        <v>80</v>
      </c>
      <c r="I16" s="1">
        <v>80</v>
      </c>
      <c r="J16" s="1">
        <v>37</v>
      </c>
      <c r="K16" s="1">
        <v>51</v>
      </c>
      <c r="L16" s="1">
        <v>18</v>
      </c>
      <c r="M16" s="79">
        <v>37.74</v>
      </c>
      <c r="N16" s="8">
        <v>38</v>
      </c>
      <c r="O16" s="64">
        <v>14000</v>
      </c>
      <c r="P16" s="65">
        <f t="shared" si="0"/>
        <v>532000</v>
      </c>
      <c r="Q16" s="131">
        <v>4</v>
      </c>
    </row>
    <row r="17" spans="1:17" ht="26.25" customHeight="1" x14ac:dyDescent="0.2">
      <c r="A17" s="105"/>
      <c r="B17" s="75"/>
      <c r="C17" s="73" t="s">
        <v>85</v>
      </c>
      <c r="D17" s="108" t="s">
        <v>63</v>
      </c>
      <c r="E17" s="13">
        <v>44612</v>
      </c>
      <c r="F17" s="76" t="s">
        <v>79</v>
      </c>
      <c r="G17" s="13">
        <v>44625</v>
      </c>
      <c r="H17" s="77" t="s">
        <v>80</v>
      </c>
      <c r="I17" s="16">
        <v>80</v>
      </c>
      <c r="J17" s="16">
        <v>37</v>
      </c>
      <c r="K17" s="16">
        <v>51</v>
      </c>
      <c r="L17" s="16">
        <v>18</v>
      </c>
      <c r="M17" s="80">
        <v>37.74</v>
      </c>
      <c r="N17" s="72">
        <v>38</v>
      </c>
      <c r="O17" s="64">
        <v>14000</v>
      </c>
      <c r="P17" s="65">
        <f t="shared" si="0"/>
        <v>532000</v>
      </c>
      <c r="Q17" s="138"/>
    </row>
    <row r="18" spans="1:17" ht="26.25" customHeight="1" x14ac:dyDescent="0.2">
      <c r="A18" s="105"/>
      <c r="B18" s="75"/>
      <c r="C18" s="73" t="s">
        <v>86</v>
      </c>
      <c r="D18" s="108" t="s">
        <v>63</v>
      </c>
      <c r="E18" s="13">
        <v>44612</v>
      </c>
      <c r="F18" s="76" t="s">
        <v>79</v>
      </c>
      <c r="G18" s="13">
        <v>44625</v>
      </c>
      <c r="H18" s="77" t="s">
        <v>80</v>
      </c>
      <c r="I18" s="16">
        <v>76</v>
      </c>
      <c r="J18" s="16">
        <v>35</v>
      </c>
      <c r="K18" s="16">
        <v>25</v>
      </c>
      <c r="L18" s="16">
        <v>6</v>
      </c>
      <c r="M18" s="80">
        <v>16.625</v>
      </c>
      <c r="N18" s="72">
        <v>17</v>
      </c>
      <c r="O18" s="64">
        <v>14000</v>
      </c>
      <c r="P18" s="65">
        <f t="shared" si="0"/>
        <v>238000</v>
      </c>
      <c r="Q18" s="138"/>
    </row>
    <row r="19" spans="1:17" ht="26.25" customHeight="1" x14ac:dyDescent="0.2">
      <c r="A19" s="105"/>
      <c r="B19" s="75"/>
      <c r="C19" s="9" t="s">
        <v>87</v>
      </c>
      <c r="D19" s="76" t="s">
        <v>63</v>
      </c>
      <c r="E19" s="13">
        <v>44612</v>
      </c>
      <c r="F19" s="76" t="s">
        <v>79</v>
      </c>
      <c r="G19" s="13">
        <v>44625</v>
      </c>
      <c r="H19" s="10" t="s">
        <v>80</v>
      </c>
      <c r="I19" s="1">
        <v>76</v>
      </c>
      <c r="J19" s="1">
        <v>35</v>
      </c>
      <c r="K19" s="1">
        <v>25</v>
      </c>
      <c r="L19" s="1">
        <v>36</v>
      </c>
      <c r="M19" s="79">
        <v>16.625</v>
      </c>
      <c r="N19" s="8">
        <v>36</v>
      </c>
      <c r="O19" s="64">
        <v>14000</v>
      </c>
      <c r="P19" s="65">
        <f>N19*O19</f>
        <v>504000</v>
      </c>
      <c r="Q19" s="132"/>
    </row>
    <row r="20" spans="1:17" ht="22.5" customHeight="1" thickBot="1" x14ac:dyDescent="0.25">
      <c r="A20" s="133" t="s">
        <v>30</v>
      </c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5"/>
      <c r="M20" s="113">
        <f>SUM(M3:M19)</f>
        <v>316.07000000000005</v>
      </c>
      <c r="N20" s="114">
        <f>SUM(N3:N19)</f>
        <v>400.10750000000002</v>
      </c>
      <c r="O20" s="136">
        <f>SUM(P3:P19)</f>
        <v>5601505</v>
      </c>
      <c r="P20" s="137"/>
      <c r="Q20" s="115">
        <f>SUM(Q3:Q19)</f>
        <v>17</v>
      </c>
    </row>
    <row r="21" spans="1:17" ht="18" customHeight="1" x14ac:dyDescent="0.2">
      <c r="A21" s="85"/>
      <c r="B21" s="56" t="s">
        <v>42</v>
      </c>
      <c r="C21" s="55"/>
      <c r="D21" s="57" t="s">
        <v>43</v>
      </c>
      <c r="E21" s="85"/>
      <c r="F21" s="85"/>
      <c r="G21" s="85"/>
      <c r="H21" s="85"/>
      <c r="I21" s="85"/>
      <c r="J21" s="85"/>
      <c r="K21" s="85"/>
      <c r="L21" s="85"/>
      <c r="M21" s="86"/>
      <c r="N21" s="87" t="s">
        <v>51</v>
      </c>
      <c r="O21" s="88"/>
      <c r="P21" s="88">
        <f>O20*10%</f>
        <v>560150.5</v>
      </c>
    </row>
    <row r="22" spans="1:17" ht="18" customHeight="1" thickBot="1" x14ac:dyDescent="0.25">
      <c r="A22" s="85"/>
      <c r="B22" s="56"/>
      <c r="C22" s="55"/>
      <c r="D22" s="57"/>
      <c r="E22" s="85"/>
      <c r="F22" s="85"/>
      <c r="G22" s="85"/>
      <c r="H22" s="85"/>
      <c r="I22" s="85"/>
      <c r="J22" s="85"/>
      <c r="K22" s="85"/>
      <c r="L22" s="85"/>
      <c r="M22" s="86"/>
      <c r="N22" s="89" t="s">
        <v>52</v>
      </c>
      <c r="O22" s="90"/>
      <c r="P22" s="90">
        <f>O20-P21</f>
        <v>5041354.5</v>
      </c>
    </row>
    <row r="23" spans="1:17" ht="18" customHeight="1" x14ac:dyDescent="0.2">
      <c r="A23" s="11"/>
      <c r="H23" s="63"/>
      <c r="N23" s="62" t="s">
        <v>31</v>
      </c>
      <c r="P23" s="69">
        <f>P22*1%</f>
        <v>50413.544999999998</v>
      </c>
    </row>
    <row r="24" spans="1:17" ht="18" customHeight="1" thickBot="1" x14ac:dyDescent="0.25">
      <c r="A24" s="11"/>
      <c r="H24" s="63"/>
      <c r="N24" s="62" t="s">
        <v>53</v>
      </c>
      <c r="P24" s="71">
        <f>P22*2%</f>
        <v>100827.09</v>
      </c>
    </row>
    <row r="25" spans="1:17" ht="18" customHeight="1" x14ac:dyDescent="0.2">
      <c r="A25" s="11"/>
      <c r="H25" s="63"/>
      <c r="N25" s="66" t="s">
        <v>32</v>
      </c>
      <c r="O25" s="67"/>
      <c r="P25" s="70">
        <f>P22+P23-P24</f>
        <v>4990940.9550000001</v>
      </c>
    </row>
    <row r="27" spans="1:17" x14ac:dyDescent="0.2">
      <c r="A27" s="11"/>
      <c r="H27" s="63"/>
      <c r="P27" s="71"/>
    </row>
    <row r="28" spans="1:17" x14ac:dyDescent="0.2">
      <c r="A28" s="11"/>
      <c r="H28" s="63"/>
      <c r="O28" s="58"/>
      <c r="P28" s="71"/>
    </row>
    <row r="29" spans="1:17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7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7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7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3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</sheetData>
  <mergeCells count="6">
    <mergeCell ref="Q3:Q4"/>
    <mergeCell ref="A20:L20"/>
    <mergeCell ref="O20:P20"/>
    <mergeCell ref="Q5:Q8"/>
    <mergeCell ref="Q9:Q14"/>
    <mergeCell ref="Q16:Q19"/>
  </mergeCells>
  <conditionalFormatting sqref="B3">
    <cfRule type="duplicateValues" dxfId="111" priority="11"/>
  </conditionalFormatting>
  <conditionalFormatting sqref="B4">
    <cfRule type="duplicateValues" dxfId="110" priority="10"/>
  </conditionalFormatting>
  <conditionalFormatting sqref="B5">
    <cfRule type="duplicateValues" dxfId="109" priority="8"/>
  </conditionalFormatting>
  <conditionalFormatting sqref="B6">
    <cfRule type="duplicateValues" dxfId="108" priority="7"/>
  </conditionalFormatting>
  <conditionalFormatting sqref="B7:B8">
    <cfRule type="duplicateValues" dxfId="107" priority="9"/>
  </conditionalFormatting>
  <conditionalFormatting sqref="B9">
    <cfRule type="duplicateValues" dxfId="106" priority="5"/>
  </conditionalFormatting>
  <conditionalFormatting sqref="B10">
    <cfRule type="duplicateValues" dxfId="105" priority="4"/>
  </conditionalFormatting>
  <conditionalFormatting sqref="B11:B14">
    <cfRule type="duplicateValues" dxfId="104" priority="6"/>
  </conditionalFormatting>
  <conditionalFormatting sqref="B15">
    <cfRule type="duplicateValues" dxfId="103" priority="3"/>
  </conditionalFormatting>
  <conditionalFormatting sqref="B16:B18">
    <cfRule type="duplicateValues" dxfId="102" priority="2"/>
  </conditionalFormatting>
  <conditionalFormatting sqref="B19">
    <cfRule type="duplicateValues" dxfId="101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5"/>
  <sheetViews>
    <sheetView zoomScale="110" zoomScaleNormal="110" workbookViewId="0">
      <pane xSplit="3" ySplit="2" topLeftCell="D3" activePane="bottomRight" state="frozen"/>
      <selection activeCell="J8" sqref="J8"/>
      <selection pane="topRight" activeCell="J8" sqref="J8"/>
      <selection pane="bottomLeft" activeCell="J8" sqref="J8"/>
      <selection pane="bottomRight" activeCell="I10" sqref="I10"/>
    </sheetView>
  </sheetViews>
  <sheetFormatPr defaultRowHeight="15" x14ac:dyDescent="0.2"/>
  <cols>
    <col min="1" max="1" width="6.85546875" style="4" customWidth="1"/>
    <col min="2" max="2" width="19.5703125" style="2" customWidth="1"/>
    <col min="3" max="3" width="14.5703125" style="2" customWidth="1"/>
    <col min="4" max="4" width="11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9.28515625" style="6" customWidth="1"/>
    <col min="9" max="11" width="3.140625" style="3" customWidth="1"/>
    <col min="12" max="12" width="5" style="3" customWidth="1"/>
    <col min="13" max="13" width="8.5703125" style="3" customWidth="1"/>
    <col min="14" max="14" width="12.140625" style="15" customWidth="1"/>
    <col min="15" max="15" width="8.140625" style="15" customWidth="1"/>
    <col min="16" max="16" width="12.28515625" style="15" customWidth="1"/>
    <col min="17" max="17" width="6.42578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5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  <c r="Q2" s="61" t="s">
        <v>26</v>
      </c>
    </row>
    <row r="3" spans="1:17" ht="26.25" customHeight="1" x14ac:dyDescent="0.2">
      <c r="A3" s="82">
        <v>403392</v>
      </c>
      <c r="B3" s="74" t="s">
        <v>60</v>
      </c>
      <c r="C3" s="9" t="s">
        <v>61</v>
      </c>
      <c r="D3" s="76" t="s">
        <v>63</v>
      </c>
      <c r="E3" s="13">
        <v>44599</v>
      </c>
      <c r="F3" s="76" t="s">
        <v>64</v>
      </c>
      <c r="G3" s="13">
        <v>44619</v>
      </c>
      <c r="H3" s="10" t="s">
        <v>65</v>
      </c>
      <c r="I3" s="1">
        <v>40</v>
      </c>
      <c r="J3" s="1">
        <v>4</v>
      </c>
      <c r="K3" s="1">
        <v>28</v>
      </c>
      <c r="L3" s="1">
        <v>10</v>
      </c>
      <c r="M3" s="96">
        <v>1.1200000000000001</v>
      </c>
      <c r="N3" s="8">
        <v>10</v>
      </c>
      <c r="O3" s="64">
        <v>14000</v>
      </c>
      <c r="P3" s="65">
        <f>Table224578910112[[#This Row],[PEMBULATAN]]*O3</f>
        <v>140000</v>
      </c>
      <c r="Q3" s="144">
        <v>2</v>
      </c>
    </row>
    <row r="4" spans="1:17" ht="26.25" customHeight="1" x14ac:dyDescent="0.2">
      <c r="A4" s="14"/>
      <c r="B4" s="75"/>
      <c r="C4" s="9" t="s">
        <v>62</v>
      </c>
      <c r="D4" s="76" t="s">
        <v>63</v>
      </c>
      <c r="E4" s="13">
        <v>44599</v>
      </c>
      <c r="F4" s="76" t="s">
        <v>64</v>
      </c>
      <c r="G4" s="13">
        <v>44619</v>
      </c>
      <c r="H4" s="10" t="s">
        <v>65</v>
      </c>
      <c r="I4" s="1">
        <v>35</v>
      </c>
      <c r="J4" s="1">
        <v>35</v>
      </c>
      <c r="K4" s="1">
        <v>76</v>
      </c>
      <c r="L4" s="1">
        <v>13</v>
      </c>
      <c r="M4" s="96">
        <v>23.274999999999999</v>
      </c>
      <c r="N4" s="97">
        <v>23.274999999999999</v>
      </c>
      <c r="O4" s="64">
        <v>14000</v>
      </c>
      <c r="P4" s="65">
        <f>Table224578910112[[#This Row],[PEMBULATAN]]*O4</f>
        <v>325850</v>
      </c>
      <c r="Q4" s="145"/>
    </row>
    <row r="5" spans="1:17" ht="22.5" customHeight="1" x14ac:dyDescent="0.2">
      <c r="A5" s="139" t="s">
        <v>30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1"/>
      <c r="M5" s="78">
        <f>SUBTOTAL(109,Table224578910112[KG VOLUME])</f>
        <v>24.395</v>
      </c>
      <c r="N5" s="68">
        <f>SUM(N3:N4)</f>
        <v>33.274999999999999</v>
      </c>
      <c r="O5" s="142">
        <f>SUM(P3:P4)</f>
        <v>465850</v>
      </c>
      <c r="P5" s="143"/>
    </row>
    <row r="6" spans="1:17" ht="18" customHeight="1" x14ac:dyDescent="0.2">
      <c r="A6" s="85"/>
      <c r="B6" s="56" t="s">
        <v>42</v>
      </c>
      <c r="C6" s="55"/>
      <c r="D6" s="57" t="s">
        <v>43</v>
      </c>
      <c r="E6" s="85"/>
      <c r="F6" s="85"/>
      <c r="G6" s="85"/>
      <c r="H6" s="85"/>
      <c r="I6" s="85"/>
      <c r="J6" s="85"/>
      <c r="K6" s="85"/>
      <c r="L6" s="85"/>
      <c r="M6" s="86"/>
      <c r="N6" s="87" t="s">
        <v>51</v>
      </c>
      <c r="O6" s="88"/>
      <c r="P6" s="88">
        <f>O5*10%</f>
        <v>46585</v>
      </c>
    </row>
    <row r="7" spans="1:17" ht="18" customHeight="1" thickBot="1" x14ac:dyDescent="0.25">
      <c r="A7" s="85"/>
      <c r="B7" s="56"/>
      <c r="C7" s="55"/>
      <c r="D7" s="57"/>
      <c r="E7" s="85"/>
      <c r="F7" s="85"/>
      <c r="G7" s="85"/>
      <c r="H7" s="85"/>
      <c r="I7" s="85"/>
      <c r="J7" s="85"/>
      <c r="K7" s="85"/>
      <c r="L7" s="85"/>
      <c r="M7" s="86"/>
      <c r="N7" s="89" t="s">
        <v>52</v>
      </c>
      <c r="O7" s="90"/>
      <c r="P7" s="90">
        <f>O5-P6</f>
        <v>419265</v>
      </c>
    </row>
    <row r="8" spans="1:17" ht="18" customHeight="1" x14ac:dyDescent="0.2">
      <c r="A8" s="11"/>
      <c r="H8" s="63"/>
      <c r="N8" s="62" t="s">
        <v>31</v>
      </c>
      <c r="P8" s="69">
        <f>P7*1%</f>
        <v>4192.6499999999996</v>
      </c>
    </row>
    <row r="9" spans="1:17" ht="18" customHeight="1" thickBot="1" x14ac:dyDescent="0.25">
      <c r="A9" s="11"/>
      <c r="H9" s="63"/>
      <c r="N9" s="62" t="s">
        <v>53</v>
      </c>
      <c r="P9" s="71">
        <f>P7*2%</f>
        <v>8385.2999999999993</v>
      </c>
    </row>
    <row r="10" spans="1:17" ht="18" customHeight="1" x14ac:dyDescent="0.2">
      <c r="A10" s="11"/>
      <c r="H10" s="63"/>
      <c r="N10" s="66" t="s">
        <v>32</v>
      </c>
      <c r="O10" s="67"/>
      <c r="P10" s="70">
        <f>P7+P8-P9</f>
        <v>415072.35000000003</v>
      </c>
    </row>
    <row r="12" spans="1:17" x14ac:dyDescent="0.2">
      <c r="A12" s="11"/>
      <c r="H12" s="63"/>
      <c r="P12" s="71"/>
    </row>
    <row r="13" spans="1:17" x14ac:dyDescent="0.2">
      <c r="A13" s="11"/>
      <c r="H13" s="63"/>
      <c r="O13" s="58"/>
      <c r="P13" s="71"/>
    </row>
    <row r="14" spans="1:17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7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</sheetData>
  <mergeCells count="3">
    <mergeCell ref="A5:L5"/>
    <mergeCell ref="O5:P5"/>
    <mergeCell ref="Q3:Q4"/>
  </mergeCells>
  <conditionalFormatting sqref="B3">
    <cfRule type="duplicateValues" dxfId="85" priority="2"/>
  </conditionalFormatting>
  <conditionalFormatting sqref="B4">
    <cfRule type="duplicateValues" dxfId="84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7"/>
  <sheetViews>
    <sheetView zoomScale="110" zoomScaleNormal="110" workbookViewId="0">
      <pane xSplit="3" ySplit="2" topLeftCell="D3" activePane="bottomRight" state="frozen"/>
      <selection activeCell="J8" sqref="J8"/>
      <selection pane="topRight" activeCell="J8" sqref="J8"/>
      <selection pane="bottomLeft" activeCell="J8" sqref="J8"/>
      <selection pane="bottomRight" activeCell="I6" sqref="I6"/>
    </sheetView>
  </sheetViews>
  <sheetFormatPr defaultRowHeight="15" x14ac:dyDescent="0.2"/>
  <cols>
    <col min="1" max="1" width="8" style="4" customWidth="1"/>
    <col min="2" max="2" width="20.85546875" style="2" customWidth="1"/>
    <col min="3" max="3" width="14.5703125" style="2" customWidth="1"/>
    <col min="4" max="4" width="10.7109375" style="3" customWidth="1"/>
    <col min="5" max="5" width="8" style="12" customWidth="1"/>
    <col min="6" max="6" width="11.85546875" style="3" customWidth="1"/>
    <col min="7" max="7" width="9.5703125" style="3" customWidth="1"/>
    <col min="8" max="8" width="18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  <c r="Q2" s="61" t="s">
        <v>26</v>
      </c>
    </row>
    <row r="3" spans="1:17" ht="26.25" customHeight="1" x14ac:dyDescent="0.2">
      <c r="A3" s="98">
        <v>403311</v>
      </c>
      <c r="B3" s="110" t="s">
        <v>66</v>
      </c>
      <c r="C3" s="9" t="s">
        <v>67</v>
      </c>
      <c r="D3" s="76" t="s">
        <v>63</v>
      </c>
      <c r="E3" s="13">
        <v>44600</v>
      </c>
      <c r="F3" s="76" t="s">
        <v>64</v>
      </c>
      <c r="G3" s="13">
        <v>44619</v>
      </c>
      <c r="H3" s="10" t="s">
        <v>65</v>
      </c>
      <c r="I3" s="1">
        <v>52</v>
      </c>
      <c r="J3" s="1">
        <v>32</v>
      </c>
      <c r="K3" s="1">
        <v>12</v>
      </c>
      <c r="L3" s="1">
        <v>11</v>
      </c>
      <c r="M3" s="79">
        <v>4.992</v>
      </c>
      <c r="N3" s="8">
        <v>11</v>
      </c>
      <c r="O3" s="64">
        <v>14000</v>
      </c>
      <c r="P3" s="65">
        <f>Table22457891011234[[#This Row],[PEMBULATAN]]*O3</f>
        <v>154000</v>
      </c>
      <c r="Q3" s="144">
        <v>4</v>
      </c>
    </row>
    <row r="4" spans="1:17" ht="26.25" customHeight="1" x14ac:dyDescent="0.2">
      <c r="A4" s="14"/>
      <c r="B4" s="75" t="s">
        <v>68</v>
      </c>
      <c r="C4" s="9" t="s">
        <v>69</v>
      </c>
      <c r="D4" s="76" t="s">
        <v>63</v>
      </c>
      <c r="E4" s="13">
        <v>44600</v>
      </c>
      <c r="F4" s="76" t="s">
        <v>64</v>
      </c>
      <c r="G4" s="13">
        <v>44619</v>
      </c>
      <c r="H4" s="10" t="s">
        <v>65</v>
      </c>
      <c r="I4" s="1">
        <v>35</v>
      </c>
      <c r="J4" s="1">
        <v>25</v>
      </c>
      <c r="K4" s="1">
        <v>20</v>
      </c>
      <c r="L4" s="1">
        <v>11</v>
      </c>
      <c r="M4" s="79">
        <v>4.375</v>
      </c>
      <c r="N4" s="8">
        <v>11</v>
      </c>
      <c r="O4" s="64">
        <v>14000</v>
      </c>
      <c r="P4" s="65">
        <f>Table22457891011234[[#This Row],[PEMBULATAN]]*O4</f>
        <v>154000</v>
      </c>
      <c r="Q4" s="146"/>
    </row>
    <row r="5" spans="1:17" ht="26.25" customHeight="1" x14ac:dyDescent="0.2">
      <c r="A5" s="14"/>
      <c r="B5" s="14"/>
      <c r="C5" s="9" t="s">
        <v>70</v>
      </c>
      <c r="D5" s="76" t="s">
        <v>63</v>
      </c>
      <c r="E5" s="13">
        <v>44600</v>
      </c>
      <c r="F5" s="76" t="s">
        <v>64</v>
      </c>
      <c r="G5" s="13">
        <v>44619</v>
      </c>
      <c r="H5" s="10" t="s">
        <v>65</v>
      </c>
      <c r="I5" s="1">
        <v>24</v>
      </c>
      <c r="J5" s="1">
        <v>16</v>
      </c>
      <c r="K5" s="1">
        <v>8</v>
      </c>
      <c r="L5" s="1">
        <v>11</v>
      </c>
      <c r="M5" s="79">
        <v>0.76800000000000002</v>
      </c>
      <c r="N5" s="8">
        <v>11</v>
      </c>
      <c r="O5" s="64">
        <v>14000</v>
      </c>
      <c r="P5" s="65">
        <f>Table22457891011234[[#This Row],[PEMBULATAN]]*O5</f>
        <v>154000</v>
      </c>
      <c r="Q5" s="146"/>
    </row>
    <row r="6" spans="1:17" ht="26.25" customHeight="1" x14ac:dyDescent="0.2">
      <c r="A6" s="14"/>
      <c r="B6" s="14"/>
      <c r="C6" s="73" t="s">
        <v>71</v>
      </c>
      <c r="D6" s="76" t="s">
        <v>63</v>
      </c>
      <c r="E6" s="13">
        <v>44600</v>
      </c>
      <c r="F6" s="76" t="s">
        <v>64</v>
      </c>
      <c r="G6" s="13">
        <v>44619</v>
      </c>
      <c r="H6" s="77" t="s">
        <v>65</v>
      </c>
      <c r="I6" s="16">
        <v>70</v>
      </c>
      <c r="J6" s="16">
        <v>60</v>
      </c>
      <c r="K6" s="16">
        <v>53</v>
      </c>
      <c r="L6" s="16">
        <v>11</v>
      </c>
      <c r="M6" s="80">
        <v>55.65</v>
      </c>
      <c r="N6" s="72">
        <v>56</v>
      </c>
      <c r="O6" s="64">
        <v>14000</v>
      </c>
      <c r="P6" s="65">
        <f>Table22457891011234[[#This Row],[PEMBULATAN]]*O6</f>
        <v>784000</v>
      </c>
      <c r="Q6" s="145"/>
    </row>
    <row r="7" spans="1:17" ht="22.5" customHeight="1" x14ac:dyDescent="0.2">
      <c r="A7" s="139" t="s">
        <v>30</v>
      </c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1"/>
      <c r="M7" s="78">
        <f>SUBTOTAL(109,Table22457891011234[KG VOLUME])</f>
        <v>65.784999999999997</v>
      </c>
      <c r="N7" s="68">
        <f>SUM(N3:N6)</f>
        <v>89</v>
      </c>
      <c r="O7" s="142">
        <f>SUM(P3:P6)</f>
        <v>1246000</v>
      </c>
      <c r="P7" s="143"/>
    </row>
    <row r="8" spans="1:17" ht="18" customHeight="1" x14ac:dyDescent="0.2">
      <c r="A8" s="85"/>
      <c r="B8" s="56" t="s">
        <v>42</v>
      </c>
      <c r="C8" s="55"/>
      <c r="D8" s="57" t="s">
        <v>43</v>
      </c>
      <c r="E8" s="85"/>
      <c r="F8" s="85"/>
      <c r="G8" s="85"/>
      <c r="H8" s="85"/>
      <c r="I8" s="85"/>
      <c r="J8" s="85"/>
      <c r="K8" s="85"/>
      <c r="L8" s="85"/>
      <c r="M8" s="86"/>
      <c r="N8" s="87" t="s">
        <v>51</v>
      </c>
      <c r="O8" s="88"/>
      <c r="P8" s="88">
        <f>O7*10%</f>
        <v>124600</v>
      </c>
    </row>
    <row r="9" spans="1:17" ht="18" customHeight="1" thickBot="1" x14ac:dyDescent="0.25">
      <c r="A9" s="85"/>
      <c r="B9" s="56"/>
      <c r="C9" s="55"/>
      <c r="D9" s="57"/>
      <c r="E9" s="85"/>
      <c r="F9" s="85"/>
      <c r="G9" s="85"/>
      <c r="H9" s="85"/>
      <c r="I9" s="85"/>
      <c r="J9" s="85"/>
      <c r="K9" s="85"/>
      <c r="L9" s="85"/>
      <c r="M9" s="86"/>
      <c r="N9" s="89" t="s">
        <v>52</v>
      </c>
      <c r="O9" s="90"/>
      <c r="P9" s="90">
        <f>O7-P8</f>
        <v>1121400</v>
      </c>
    </row>
    <row r="10" spans="1:17" ht="18" customHeight="1" x14ac:dyDescent="0.2">
      <c r="A10" s="11"/>
      <c r="H10" s="63"/>
      <c r="N10" s="62" t="s">
        <v>31</v>
      </c>
      <c r="P10" s="69">
        <f>P9*1%</f>
        <v>11214</v>
      </c>
    </row>
    <row r="11" spans="1:17" ht="18" customHeight="1" thickBot="1" x14ac:dyDescent="0.25">
      <c r="A11" s="11"/>
      <c r="H11" s="63"/>
      <c r="N11" s="62" t="s">
        <v>53</v>
      </c>
      <c r="P11" s="71">
        <f>P9*2%</f>
        <v>22428</v>
      </c>
    </row>
    <row r="12" spans="1:17" ht="18" customHeight="1" x14ac:dyDescent="0.2">
      <c r="A12" s="11"/>
      <c r="H12" s="63"/>
      <c r="N12" s="66" t="s">
        <v>32</v>
      </c>
      <c r="O12" s="67"/>
      <c r="P12" s="70">
        <f>P9+P10-P11</f>
        <v>1110186</v>
      </c>
    </row>
    <row r="14" spans="1:17" x14ac:dyDescent="0.2">
      <c r="A14" s="11"/>
      <c r="H14" s="63"/>
      <c r="P14" s="71"/>
    </row>
    <row r="15" spans="1:17" x14ac:dyDescent="0.2">
      <c r="A15" s="11"/>
      <c r="H15" s="63"/>
      <c r="O15" s="58"/>
      <c r="P15" s="71"/>
    </row>
    <row r="16" spans="1:17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</sheetData>
  <mergeCells count="3">
    <mergeCell ref="A7:L7"/>
    <mergeCell ref="O7:P7"/>
    <mergeCell ref="Q3:Q6"/>
  </mergeCells>
  <conditionalFormatting sqref="B3">
    <cfRule type="duplicateValues" dxfId="68" priority="2"/>
  </conditionalFormatting>
  <conditionalFormatting sqref="B4">
    <cfRule type="duplicateValues" dxfId="67" priority="1"/>
  </conditionalFormatting>
  <conditionalFormatting sqref="B5:B6">
    <cfRule type="duplicateValues" dxfId="66" priority="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9"/>
  <sheetViews>
    <sheetView zoomScale="110" zoomScaleNormal="110" workbookViewId="0">
      <pane xSplit="3" ySplit="2" topLeftCell="D3" activePane="bottomRight" state="frozen"/>
      <selection activeCell="J8" sqref="J8"/>
      <selection pane="topRight" activeCell="J8" sqref="J8"/>
      <selection pane="bottomLeft" activeCell="J8" sqref="J8"/>
      <selection pane="bottomRight" activeCell="J7" sqref="J7"/>
    </sheetView>
  </sheetViews>
  <sheetFormatPr defaultRowHeight="15" x14ac:dyDescent="0.2"/>
  <cols>
    <col min="1" max="1" width="7" style="4" customWidth="1"/>
    <col min="2" max="2" width="19.5703125" style="2" customWidth="1"/>
    <col min="3" max="3" width="14.5703125" style="2" customWidth="1"/>
    <col min="4" max="4" width="10" style="3" customWidth="1"/>
    <col min="5" max="5" width="8" style="12" customWidth="1"/>
    <col min="6" max="6" width="11.85546875" style="3" customWidth="1"/>
    <col min="7" max="7" width="9.5703125" style="3" customWidth="1"/>
    <col min="8" max="8" width="18.85546875" style="6" customWidth="1"/>
    <col min="9" max="11" width="4.1406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.42578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5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  <c r="Q2" s="61" t="s">
        <v>26</v>
      </c>
    </row>
    <row r="3" spans="1:17" ht="26.25" customHeight="1" x14ac:dyDescent="0.2">
      <c r="A3" s="82">
        <v>403326</v>
      </c>
      <c r="B3" s="74" t="s">
        <v>72</v>
      </c>
      <c r="C3" s="9" t="s">
        <v>73</v>
      </c>
      <c r="D3" s="76" t="s">
        <v>63</v>
      </c>
      <c r="E3" s="13">
        <v>44603</v>
      </c>
      <c r="F3" s="76" t="s">
        <v>79</v>
      </c>
      <c r="G3" s="13">
        <v>44625</v>
      </c>
      <c r="H3" s="10" t="s">
        <v>80</v>
      </c>
      <c r="I3" s="1">
        <v>87</v>
      </c>
      <c r="J3" s="1">
        <v>45</v>
      </c>
      <c r="K3" s="1">
        <v>34</v>
      </c>
      <c r="L3" s="1">
        <v>14</v>
      </c>
      <c r="M3" s="79">
        <v>33.277500000000003</v>
      </c>
      <c r="N3" s="97">
        <v>33.277500000000003</v>
      </c>
      <c r="O3" s="64">
        <v>14000</v>
      </c>
      <c r="P3" s="65">
        <f>Table224578910112345[[#This Row],[PEMBULATAN]]*O3</f>
        <v>465885.00000000006</v>
      </c>
      <c r="Q3" s="144">
        <v>6</v>
      </c>
    </row>
    <row r="4" spans="1:17" ht="26.25" customHeight="1" x14ac:dyDescent="0.2">
      <c r="A4" s="14"/>
      <c r="B4" s="75"/>
      <c r="C4" s="9" t="s">
        <v>74</v>
      </c>
      <c r="D4" s="76" t="s">
        <v>63</v>
      </c>
      <c r="E4" s="13">
        <v>44603</v>
      </c>
      <c r="F4" s="76" t="s">
        <v>79</v>
      </c>
      <c r="G4" s="13">
        <v>44625</v>
      </c>
      <c r="H4" s="10" t="s">
        <v>80</v>
      </c>
      <c r="I4" s="1">
        <v>87</v>
      </c>
      <c r="J4" s="1">
        <v>45</v>
      </c>
      <c r="K4" s="1">
        <v>34</v>
      </c>
      <c r="L4" s="1">
        <v>14</v>
      </c>
      <c r="M4" s="79">
        <v>33.277500000000003</v>
      </c>
      <c r="N4" s="97">
        <v>33.277500000000003</v>
      </c>
      <c r="O4" s="64">
        <v>14000</v>
      </c>
      <c r="P4" s="65">
        <f>Table224578910112345[[#This Row],[PEMBULATAN]]*O4</f>
        <v>465885.00000000006</v>
      </c>
      <c r="Q4" s="146"/>
    </row>
    <row r="5" spans="1:17" ht="26.25" customHeight="1" x14ac:dyDescent="0.2">
      <c r="A5" s="14"/>
      <c r="B5" s="14"/>
      <c r="C5" s="9" t="s">
        <v>75</v>
      </c>
      <c r="D5" s="76" t="s">
        <v>63</v>
      </c>
      <c r="E5" s="13">
        <v>44603</v>
      </c>
      <c r="F5" s="76" t="s">
        <v>79</v>
      </c>
      <c r="G5" s="13">
        <v>44625</v>
      </c>
      <c r="H5" s="10" t="s">
        <v>80</v>
      </c>
      <c r="I5" s="1">
        <v>87</v>
      </c>
      <c r="J5" s="1">
        <v>45</v>
      </c>
      <c r="K5" s="1">
        <v>34</v>
      </c>
      <c r="L5" s="1">
        <v>14</v>
      </c>
      <c r="M5" s="79">
        <v>33.277500000000003</v>
      </c>
      <c r="N5" s="97">
        <v>33.277500000000003</v>
      </c>
      <c r="O5" s="64">
        <v>14000</v>
      </c>
      <c r="P5" s="65">
        <f>Table224578910112345[[#This Row],[PEMBULATAN]]*O5</f>
        <v>465885.00000000006</v>
      </c>
      <c r="Q5" s="146"/>
    </row>
    <row r="6" spans="1:17" ht="26.25" customHeight="1" x14ac:dyDescent="0.2">
      <c r="A6" s="14"/>
      <c r="B6" s="14"/>
      <c r="C6" s="73" t="s">
        <v>76</v>
      </c>
      <c r="D6" s="76" t="s">
        <v>63</v>
      </c>
      <c r="E6" s="13">
        <v>44603</v>
      </c>
      <c r="F6" s="76" t="s">
        <v>79</v>
      </c>
      <c r="G6" s="13">
        <v>44625</v>
      </c>
      <c r="H6" s="77" t="s">
        <v>80</v>
      </c>
      <c r="I6" s="16">
        <v>37</v>
      </c>
      <c r="J6" s="16">
        <v>22</v>
      </c>
      <c r="K6" s="16">
        <v>15</v>
      </c>
      <c r="L6" s="16">
        <v>10</v>
      </c>
      <c r="M6" s="80">
        <v>3.0525000000000002</v>
      </c>
      <c r="N6" s="97">
        <v>10</v>
      </c>
      <c r="O6" s="64">
        <v>14000</v>
      </c>
      <c r="P6" s="65">
        <f>Table224578910112345[[#This Row],[PEMBULATAN]]*O6</f>
        <v>140000</v>
      </c>
      <c r="Q6" s="146"/>
    </row>
    <row r="7" spans="1:17" ht="26.25" customHeight="1" x14ac:dyDescent="0.2">
      <c r="A7" s="14"/>
      <c r="B7" s="14"/>
      <c r="C7" s="73" t="s">
        <v>77</v>
      </c>
      <c r="D7" s="76" t="s">
        <v>63</v>
      </c>
      <c r="E7" s="13">
        <v>44603</v>
      </c>
      <c r="F7" s="76" t="s">
        <v>79</v>
      </c>
      <c r="G7" s="13">
        <v>44625</v>
      </c>
      <c r="H7" s="77" t="s">
        <v>80</v>
      </c>
      <c r="I7" s="16">
        <v>22</v>
      </c>
      <c r="J7" s="16">
        <v>15</v>
      </c>
      <c r="K7" s="16">
        <v>12</v>
      </c>
      <c r="L7" s="16">
        <v>12</v>
      </c>
      <c r="M7" s="80">
        <v>0.99</v>
      </c>
      <c r="N7" s="72">
        <v>12</v>
      </c>
      <c r="O7" s="64">
        <v>14000</v>
      </c>
      <c r="P7" s="65">
        <f>Table224578910112345[[#This Row],[PEMBULATAN]]*O7</f>
        <v>168000</v>
      </c>
      <c r="Q7" s="146"/>
    </row>
    <row r="8" spans="1:17" ht="26.25" customHeight="1" x14ac:dyDescent="0.2">
      <c r="A8" s="14"/>
      <c r="B8" s="14"/>
      <c r="C8" s="73" t="s">
        <v>78</v>
      </c>
      <c r="D8" s="76" t="s">
        <v>63</v>
      </c>
      <c r="E8" s="13">
        <v>44603</v>
      </c>
      <c r="F8" s="76" t="s">
        <v>79</v>
      </c>
      <c r="G8" s="13">
        <v>44625</v>
      </c>
      <c r="H8" s="77" t="s">
        <v>80</v>
      </c>
      <c r="I8" s="16">
        <v>45</v>
      </c>
      <c r="J8" s="16">
        <v>34</v>
      </c>
      <c r="K8" s="16">
        <v>12</v>
      </c>
      <c r="L8" s="16">
        <v>11</v>
      </c>
      <c r="M8" s="80">
        <v>4.59</v>
      </c>
      <c r="N8" s="72">
        <v>11</v>
      </c>
      <c r="O8" s="64">
        <v>14000</v>
      </c>
      <c r="P8" s="65">
        <f>Table224578910112345[[#This Row],[PEMBULATAN]]*O8</f>
        <v>154000</v>
      </c>
      <c r="Q8" s="145"/>
    </row>
    <row r="9" spans="1:17" ht="22.5" customHeight="1" x14ac:dyDescent="0.2">
      <c r="A9" s="139" t="s">
        <v>30</v>
      </c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1"/>
      <c r="M9" s="78">
        <f>SUBTOTAL(109,Table224578910112345[KG VOLUME])</f>
        <v>108.465</v>
      </c>
      <c r="N9" s="68">
        <f>SUM(N3:N8)</f>
        <v>132.83250000000001</v>
      </c>
      <c r="O9" s="142">
        <f>SUM(P3:P8)</f>
        <v>1859655.0000000002</v>
      </c>
      <c r="P9" s="143"/>
    </row>
    <row r="10" spans="1:17" ht="18" customHeight="1" x14ac:dyDescent="0.2">
      <c r="A10" s="85"/>
      <c r="B10" s="56" t="s">
        <v>42</v>
      </c>
      <c r="C10" s="55"/>
      <c r="D10" s="57" t="s">
        <v>43</v>
      </c>
      <c r="E10" s="85"/>
      <c r="F10" s="85"/>
      <c r="G10" s="85"/>
      <c r="H10" s="85"/>
      <c r="I10" s="85"/>
      <c r="J10" s="85"/>
      <c r="K10" s="85"/>
      <c r="L10" s="85"/>
      <c r="M10" s="86"/>
      <c r="N10" s="87" t="s">
        <v>51</v>
      </c>
      <c r="O10" s="88"/>
      <c r="P10" s="88">
        <f>O9*10%</f>
        <v>185965.50000000003</v>
      </c>
    </row>
    <row r="11" spans="1:17" ht="18" customHeight="1" thickBot="1" x14ac:dyDescent="0.25">
      <c r="A11" s="85"/>
      <c r="B11" s="56"/>
      <c r="C11" s="55"/>
      <c r="D11" s="57"/>
      <c r="E11" s="85"/>
      <c r="F11" s="85"/>
      <c r="G11" s="85"/>
      <c r="H11" s="85"/>
      <c r="I11" s="85"/>
      <c r="J11" s="85"/>
      <c r="K11" s="85"/>
      <c r="L11" s="85"/>
      <c r="M11" s="86"/>
      <c r="N11" s="89" t="s">
        <v>52</v>
      </c>
      <c r="O11" s="90"/>
      <c r="P11" s="90">
        <f>O9-P10</f>
        <v>1673689.5000000002</v>
      </c>
    </row>
    <row r="12" spans="1:17" ht="18" customHeight="1" x14ac:dyDescent="0.2">
      <c r="A12" s="11"/>
      <c r="H12" s="63"/>
      <c r="N12" s="62" t="s">
        <v>31</v>
      </c>
      <c r="P12" s="69">
        <f>P11*1%</f>
        <v>16736.895000000004</v>
      </c>
    </row>
    <row r="13" spans="1:17" ht="18" customHeight="1" thickBot="1" x14ac:dyDescent="0.25">
      <c r="A13" s="11"/>
      <c r="H13" s="63"/>
      <c r="N13" s="62" t="s">
        <v>53</v>
      </c>
      <c r="P13" s="71">
        <f>P11*2%</f>
        <v>33473.790000000008</v>
      </c>
    </row>
    <row r="14" spans="1:17" ht="18" customHeight="1" x14ac:dyDescent="0.2">
      <c r="A14" s="11"/>
      <c r="H14" s="63"/>
      <c r="N14" s="66" t="s">
        <v>32</v>
      </c>
      <c r="O14" s="67"/>
      <c r="P14" s="70">
        <f>P11+P12-P13</f>
        <v>1656952.6050000002</v>
      </c>
    </row>
    <row r="16" spans="1:17" x14ac:dyDescent="0.2">
      <c r="A16" s="11"/>
      <c r="H16" s="63"/>
      <c r="P16" s="71"/>
    </row>
    <row r="17" spans="1:16" x14ac:dyDescent="0.2">
      <c r="A17" s="11"/>
      <c r="H17" s="63"/>
      <c r="O17" s="58"/>
      <c r="P17" s="71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</sheetData>
  <mergeCells count="3">
    <mergeCell ref="A9:L9"/>
    <mergeCell ref="O9:P9"/>
    <mergeCell ref="Q3:Q8"/>
  </mergeCells>
  <conditionalFormatting sqref="B3">
    <cfRule type="duplicateValues" dxfId="50" priority="2"/>
  </conditionalFormatting>
  <conditionalFormatting sqref="B4">
    <cfRule type="duplicateValues" dxfId="49" priority="1"/>
  </conditionalFormatting>
  <conditionalFormatting sqref="B5:B8">
    <cfRule type="duplicateValues" dxfId="48" priority="1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0" zoomScaleNormal="110" workbookViewId="0">
      <pane xSplit="3" ySplit="2" topLeftCell="D3" activePane="bottomRight" state="frozen"/>
      <selection activeCell="J8" sqref="J8"/>
      <selection pane="topRight" activeCell="J8" sqref="J8"/>
      <selection pane="bottomLeft" activeCell="J8" sqref="J8"/>
      <selection pane="bottomRight" activeCell="H10" sqref="H10"/>
    </sheetView>
  </sheetViews>
  <sheetFormatPr defaultRowHeight="15" x14ac:dyDescent="0.2"/>
  <cols>
    <col min="1" max="1" width="7.140625" style="4" customWidth="1"/>
    <col min="2" max="2" width="19.5703125" style="2" customWidth="1"/>
    <col min="3" max="3" width="14.5703125" style="2" customWidth="1"/>
    <col min="4" max="4" width="10.5703125" style="3" customWidth="1"/>
    <col min="5" max="5" width="7.42578125" style="12" customWidth="1"/>
    <col min="6" max="6" width="9.7109375" style="3" customWidth="1"/>
    <col min="7" max="7" width="8.42578125" style="3" customWidth="1"/>
    <col min="8" max="8" width="17" style="6" customWidth="1"/>
    <col min="9" max="11" width="3.710937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5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  <c r="Q2" s="61" t="s">
        <v>26</v>
      </c>
    </row>
    <row r="3" spans="1:17" ht="26.25" customHeight="1" x14ac:dyDescent="0.2">
      <c r="A3" s="82">
        <v>403162</v>
      </c>
      <c r="B3" s="74" t="s">
        <v>81</v>
      </c>
      <c r="C3" s="9" t="s">
        <v>82</v>
      </c>
      <c r="D3" s="76" t="s">
        <v>63</v>
      </c>
      <c r="E3" s="13">
        <v>44611</v>
      </c>
      <c r="F3" s="76" t="s">
        <v>79</v>
      </c>
      <c r="G3" s="13">
        <v>44625</v>
      </c>
      <c r="H3" s="10" t="s">
        <v>80</v>
      </c>
      <c r="I3" s="1">
        <v>47</v>
      </c>
      <c r="J3" s="1">
        <v>37</v>
      </c>
      <c r="K3" s="1">
        <v>20</v>
      </c>
      <c r="L3" s="1">
        <v>16</v>
      </c>
      <c r="M3" s="79">
        <v>8.6950000000000003</v>
      </c>
      <c r="N3" s="8">
        <v>16</v>
      </c>
      <c r="O3" s="64">
        <v>14000</v>
      </c>
      <c r="P3" s="65">
        <f>Table2245789101123456[[#This Row],[PEMBULATAN]]*O3</f>
        <v>224000</v>
      </c>
      <c r="Q3" s="107">
        <v>1</v>
      </c>
    </row>
    <row r="4" spans="1:17" ht="22.5" customHeight="1" x14ac:dyDescent="0.2">
      <c r="A4" s="139" t="s">
        <v>30</v>
      </c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1"/>
      <c r="M4" s="78">
        <f>SUBTOTAL(109,Table2245789101123456[KG VOLUME])</f>
        <v>8.6950000000000003</v>
      </c>
      <c r="N4" s="68">
        <f>SUM(N3:N3)</f>
        <v>16</v>
      </c>
      <c r="O4" s="142">
        <f>SUM(P3:P3)</f>
        <v>224000</v>
      </c>
      <c r="P4" s="143"/>
    </row>
    <row r="5" spans="1:17" ht="18" customHeight="1" x14ac:dyDescent="0.2">
      <c r="A5" s="85"/>
      <c r="B5" s="56" t="s">
        <v>42</v>
      </c>
      <c r="C5" s="55"/>
      <c r="D5" s="57" t="s">
        <v>43</v>
      </c>
      <c r="E5" s="85"/>
      <c r="F5" s="85"/>
      <c r="G5" s="85"/>
      <c r="H5" s="85"/>
      <c r="I5" s="85"/>
      <c r="J5" s="85"/>
      <c r="K5" s="85"/>
      <c r="L5" s="85"/>
      <c r="M5" s="86"/>
      <c r="N5" s="87" t="s">
        <v>51</v>
      </c>
      <c r="O5" s="88"/>
      <c r="P5" s="88">
        <f>O4*10%</f>
        <v>22400</v>
      </c>
    </row>
    <row r="6" spans="1:17" ht="18" customHeight="1" thickBot="1" x14ac:dyDescent="0.25">
      <c r="A6" s="85"/>
      <c r="B6" s="56"/>
      <c r="C6" s="55"/>
      <c r="D6" s="57"/>
      <c r="E6" s="85"/>
      <c r="F6" s="85"/>
      <c r="G6" s="85"/>
      <c r="H6" s="85"/>
      <c r="I6" s="85"/>
      <c r="J6" s="85"/>
      <c r="K6" s="85"/>
      <c r="L6" s="85"/>
      <c r="M6" s="86"/>
      <c r="N6" s="89" t="s">
        <v>52</v>
      </c>
      <c r="O6" s="90"/>
      <c r="P6" s="90">
        <f>O4-P5</f>
        <v>201600</v>
      </c>
    </row>
    <row r="7" spans="1:17" ht="18" customHeight="1" x14ac:dyDescent="0.2">
      <c r="A7" s="11"/>
      <c r="H7" s="63"/>
      <c r="N7" s="62" t="s">
        <v>31</v>
      </c>
      <c r="P7" s="69">
        <f>P6*1%</f>
        <v>2016</v>
      </c>
    </row>
    <row r="8" spans="1:17" ht="18" customHeight="1" thickBot="1" x14ac:dyDescent="0.25">
      <c r="A8" s="11"/>
      <c r="H8" s="63"/>
      <c r="N8" s="62" t="s">
        <v>53</v>
      </c>
      <c r="P8" s="71">
        <f>P6*2%</f>
        <v>4032</v>
      </c>
    </row>
    <row r="9" spans="1:17" ht="18" customHeight="1" x14ac:dyDescent="0.2">
      <c r="A9" s="11"/>
      <c r="H9" s="63"/>
      <c r="N9" s="66" t="s">
        <v>32</v>
      </c>
      <c r="O9" s="67"/>
      <c r="P9" s="70">
        <f>P6+P7-P8</f>
        <v>199584</v>
      </c>
    </row>
    <row r="11" spans="1:17" x14ac:dyDescent="0.2">
      <c r="A11" s="11"/>
      <c r="H11" s="63"/>
      <c r="P11" s="71"/>
    </row>
    <row r="12" spans="1:17" x14ac:dyDescent="0.2">
      <c r="A12" s="11"/>
      <c r="H12" s="63"/>
      <c r="O12" s="58"/>
      <c r="P12" s="71"/>
    </row>
    <row r="13" spans="1:17" s="3" customFormat="1" x14ac:dyDescent="0.25">
      <c r="A13" s="11"/>
      <c r="B13" s="2"/>
      <c r="C13" s="2"/>
      <c r="E13" s="12"/>
      <c r="H13" s="63"/>
      <c r="N13" s="15"/>
      <c r="O13" s="15"/>
      <c r="P13" s="15"/>
    </row>
    <row r="14" spans="1:17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7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32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7"/>
  <sheetViews>
    <sheetView zoomScale="110" zoomScaleNormal="110" workbookViewId="0">
      <pane xSplit="3" ySplit="2" topLeftCell="D3" activePane="bottomRight" state="frozen"/>
      <selection activeCell="F29" sqref="F29"/>
      <selection pane="topRight" activeCell="F29" sqref="F29"/>
      <selection pane="bottomLeft" activeCell="F29" sqref="F29"/>
      <selection pane="bottomRight" activeCell="E5" sqref="E5"/>
    </sheetView>
  </sheetViews>
  <sheetFormatPr defaultRowHeight="15" x14ac:dyDescent="0.2"/>
  <cols>
    <col min="1" max="1" width="7.28515625" style="4" customWidth="1"/>
    <col min="2" max="2" width="20.28515625" style="2" customWidth="1"/>
    <col min="3" max="3" width="14.5703125" style="2" customWidth="1"/>
    <col min="4" max="4" width="10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7.28515625" style="6" customWidth="1"/>
    <col min="9" max="11" width="3.710937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7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5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  <c r="Q2" s="61" t="s">
        <v>26</v>
      </c>
    </row>
    <row r="3" spans="1:17" ht="26.25" customHeight="1" x14ac:dyDescent="0.2">
      <c r="A3" s="82">
        <v>404663</v>
      </c>
      <c r="B3" s="74" t="s">
        <v>83</v>
      </c>
      <c r="C3" s="9" t="s">
        <v>84</v>
      </c>
      <c r="D3" s="76" t="s">
        <v>63</v>
      </c>
      <c r="E3" s="13">
        <v>44612</v>
      </c>
      <c r="F3" s="76" t="s">
        <v>79</v>
      </c>
      <c r="G3" s="13">
        <v>44625</v>
      </c>
      <c r="H3" s="10" t="s">
        <v>80</v>
      </c>
      <c r="I3" s="1">
        <v>80</v>
      </c>
      <c r="J3" s="1">
        <v>37</v>
      </c>
      <c r="K3" s="1">
        <v>51</v>
      </c>
      <c r="L3" s="1">
        <v>18</v>
      </c>
      <c r="M3" s="79">
        <v>37.74</v>
      </c>
      <c r="N3" s="8">
        <v>38</v>
      </c>
      <c r="O3" s="64">
        <v>14000</v>
      </c>
      <c r="P3" s="65">
        <f>Table22457891011234567[[#This Row],[PEMBULATAN]]*O3</f>
        <v>532000</v>
      </c>
      <c r="Q3" s="144">
        <v>4</v>
      </c>
    </row>
    <row r="4" spans="1:17" ht="26.25" customHeight="1" x14ac:dyDescent="0.2">
      <c r="A4" s="14"/>
      <c r="B4" s="75"/>
      <c r="C4" s="73" t="s">
        <v>85</v>
      </c>
      <c r="D4" s="108" t="s">
        <v>63</v>
      </c>
      <c r="E4" s="13">
        <v>44612</v>
      </c>
      <c r="F4" s="76" t="s">
        <v>79</v>
      </c>
      <c r="G4" s="13">
        <v>44625</v>
      </c>
      <c r="H4" s="77" t="s">
        <v>80</v>
      </c>
      <c r="I4" s="16">
        <v>80</v>
      </c>
      <c r="J4" s="16">
        <v>37</v>
      </c>
      <c r="K4" s="16">
        <v>51</v>
      </c>
      <c r="L4" s="16">
        <v>18</v>
      </c>
      <c r="M4" s="80">
        <v>37.74</v>
      </c>
      <c r="N4" s="72">
        <v>38</v>
      </c>
      <c r="O4" s="64">
        <v>14000</v>
      </c>
      <c r="P4" s="65">
        <f>Table22457891011234567[[#This Row],[PEMBULATAN]]*O4</f>
        <v>532000</v>
      </c>
      <c r="Q4" s="146"/>
    </row>
    <row r="5" spans="1:17" ht="26.25" customHeight="1" x14ac:dyDescent="0.2">
      <c r="A5" s="14"/>
      <c r="B5" s="75"/>
      <c r="C5" s="73" t="s">
        <v>86</v>
      </c>
      <c r="D5" s="108" t="s">
        <v>63</v>
      </c>
      <c r="E5" s="13">
        <v>44612</v>
      </c>
      <c r="F5" s="76" t="s">
        <v>79</v>
      </c>
      <c r="G5" s="13">
        <v>44625</v>
      </c>
      <c r="H5" s="77" t="s">
        <v>80</v>
      </c>
      <c r="I5" s="16">
        <v>76</v>
      </c>
      <c r="J5" s="16">
        <v>35</v>
      </c>
      <c r="K5" s="16">
        <v>25</v>
      </c>
      <c r="L5" s="16">
        <v>6</v>
      </c>
      <c r="M5" s="80">
        <v>16.625</v>
      </c>
      <c r="N5" s="72">
        <v>17</v>
      </c>
      <c r="O5" s="64">
        <v>14000</v>
      </c>
      <c r="P5" s="65">
        <f>Table22457891011234567[[#This Row],[PEMBULATAN]]*O5</f>
        <v>238000</v>
      </c>
      <c r="Q5" s="146"/>
    </row>
    <row r="6" spans="1:17" ht="26.25" customHeight="1" x14ac:dyDescent="0.2">
      <c r="A6" s="14"/>
      <c r="B6" s="75"/>
      <c r="C6" s="9" t="s">
        <v>87</v>
      </c>
      <c r="D6" s="76" t="s">
        <v>63</v>
      </c>
      <c r="E6" s="13">
        <v>44612</v>
      </c>
      <c r="F6" s="76" t="s">
        <v>79</v>
      </c>
      <c r="G6" s="13">
        <v>44625</v>
      </c>
      <c r="H6" s="10" t="s">
        <v>80</v>
      </c>
      <c r="I6" s="1">
        <v>76</v>
      </c>
      <c r="J6" s="1">
        <v>35</v>
      </c>
      <c r="K6" s="1">
        <v>25</v>
      </c>
      <c r="L6" s="1">
        <v>36</v>
      </c>
      <c r="M6" s="79">
        <v>16.625</v>
      </c>
      <c r="N6" s="8">
        <v>36</v>
      </c>
      <c r="O6" s="64">
        <v>14000</v>
      </c>
      <c r="P6" s="65">
        <f>Table22457891011234567[[#This Row],[PEMBULATAN]]*O6</f>
        <v>504000</v>
      </c>
      <c r="Q6" s="145"/>
    </row>
    <row r="7" spans="1:17" ht="22.5" customHeight="1" x14ac:dyDescent="0.2">
      <c r="A7" s="139" t="s">
        <v>30</v>
      </c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1"/>
      <c r="M7" s="78">
        <f>SUBTOTAL(109,Table22457891011234567[KG VOLUME])</f>
        <v>108.73</v>
      </c>
      <c r="N7" s="68">
        <f>SUM(N3:N6)</f>
        <v>129</v>
      </c>
      <c r="O7" s="142">
        <f>SUM(P3:P6)</f>
        <v>1806000</v>
      </c>
      <c r="P7" s="143"/>
    </row>
    <row r="8" spans="1:17" ht="18" customHeight="1" x14ac:dyDescent="0.2">
      <c r="A8" s="85"/>
      <c r="B8" s="56" t="s">
        <v>42</v>
      </c>
      <c r="C8" s="55"/>
      <c r="D8" s="57" t="s">
        <v>43</v>
      </c>
      <c r="E8" s="85"/>
      <c r="F8" s="85"/>
      <c r="G8" s="85"/>
      <c r="H8" s="85"/>
      <c r="I8" s="85"/>
      <c r="J8" s="85"/>
      <c r="K8" s="85"/>
      <c r="L8" s="85"/>
      <c r="M8" s="86"/>
      <c r="N8" s="87" t="s">
        <v>51</v>
      </c>
      <c r="O8" s="88"/>
      <c r="P8" s="88">
        <f>O7*10%</f>
        <v>180600</v>
      </c>
    </row>
    <row r="9" spans="1:17" ht="18" customHeight="1" thickBot="1" x14ac:dyDescent="0.25">
      <c r="A9" s="85"/>
      <c r="B9" s="56"/>
      <c r="C9" s="55"/>
      <c r="D9" s="57"/>
      <c r="E9" s="85"/>
      <c r="F9" s="85"/>
      <c r="G9" s="85"/>
      <c r="H9" s="85"/>
      <c r="I9" s="85"/>
      <c r="J9" s="85"/>
      <c r="K9" s="85"/>
      <c r="L9" s="85"/>
      <c r="M9" s="86"/>
      <c r="N9" s="89" t="s">
        <v>52</v>
      </c>
      <c r="O9" s="90"/>
      <c r="P9" s="90">
        <f>O7-P8</f>
        <v>1625400</v>
      </c>
    </row>
    <row r="10" spans="1:17" ht="18" customHeight="1" x14ac:dyDescent="0.2">
      <c r="A10" s="11"/>
      <c r="H10" s="63"/>
      <c r="N10" s="62" t="s">
        <v>31</v>
      </c>
      <c r="P10" s="69">
        <f>P9*1%</f>
        <v>16254</v>
      </c>
    </row>
    <row r="11" spans="1:17" ht="18" customHeight="1" thickBot="1" x14ac:dyDescent="0.25">
      <c r="A11" s="11"/>
      <c r="H11" s="63"/>
      <c r="N11" s="62" t="s">
        <v>53</v>
      </c>
      <c r="P11" s="71">
        <f>P9*2%</f>
        <v>32508</v>
      </c>
    </row>
    <row r="12" spans="1:17" ht="18" customHeight="1" x14ac:dyDescent="0.2">
      <c r="A12" s="11"/>
      <c r="H12" s="63"/>
      <c r="N12" s="66" t="s">
        <v>32</v>
      </c>
      <c r="O12" s="67"/>
      <c r="P12" s="70">
        <f>P9+P10-P11</f>
        <v>1609146</v>
      </c>
    </row>
    <row r="14" spans="1:17" x14ac:dyDescent="0.2">
      <c r="A14" s="11"/>
      <c r="H14" s="63"/>
      <c r="P14" s="71"/>
    </row>
    <row r="15" spans="1:17" x14ac:dyDescent="0.2">
      <c r="A15" s="11"/>
      <c r="H15" s="63"/>
      <c r="O15" s="58"/>
      <c r="P15" s="71"/>
    </row>
    <row r="16" spans="1:17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</sheetData>
  <mergeCells count="3">
    <mergeCell ref="A7:L7"/>
    <mergeCell ref="O7:P7"/>
    <mergeCell ref="Q3:Q6"/>
  </mergeCells>
  <conditionalFormatting sqref="B3:B5">
    <cfRule type="duplicateValues" dxfId="16" priority="2"/>
  </conditionalFormatting>
  <conditionalFormatting sqref="B6">
    <cfRule type="duplicateValues" dxfId="15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Sicepat_Ternate Feb 22</vt:lpstr>
      <vt:lpstr>ALL</vt:lpstr>
      <vt:lpstr>403392</vt:lpstr>
      <vt:lpstr>403311</vt:lpstr>
      <vt:lpstr>403326</vt:lpstr>
      <vt:lpstr>403162</vt:lpstr>
      <vt:lpstr>404663</vt:lpstr>
      <vt:lpstr>'403162'!Print_Titles</vt:lpstr>
      <vt:lpstr>'403311'!Print_Titles</vt:lpstr>
      <vt:lpstr>'403326'!Print_Titles</vt:lpstr>
      <vt:lpstr>'403392'!Print_Titles</vt:lpstr>
      <vt:lpstr>'404663'!Print_Titles</vt:lpstr>
      <vt:lpstr>ALL!Print_Titles</vt:lpstr>
      <vt:lpstr>'Sicepat_Ternate Feb 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2022-03-23T07:48:21Z</cp:lastPrinted>
  <dcterms:created xsi:type="dcterms:W3CDTF">2021-07-02T11:08:00Z</dcterms:created>
  <dcterms:modified xsi:type="dcterms:W3CDTF">2022-03-23T07:48:52Z</dcterms:modified>
</cp:coreProperties>
</file>