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2\sicepat\"/>
    </mc:Choice>
  </mc:AlternateContent>
  <bookViews>
    <workbookView xWindow="-120" yWindow="-120" windowWidth="20730" windowHeight="11160" tabRatio="842"/>
  </bookViews>
  <sheets>
    <sheet name="Sicepat_Ambon_Jan 22" sheetId="2" r:id="rId1"/>
    <sheet name="ALL" sheetId="98" r:id="rId2"/>
    <sheet name="402776" sheetId="58" r:id="rId3"/>
    <sheet name="402796" sheetId="59" r:id="rId4"/>
    <sheet name="402917" sheetId="60" r:id="rId5"/>
    <sheet name="402920" sheetId="62" r:id="rId6"/>
    <sheet name="402947" sheetId="93" r:id="rId7"/>
    <sheet name="403474" sheetId="94" r:id="rId8"/>
    <sheet name="403367" sheetId="95" r:id="rId9"/>
  </sheets>
  <definedNames>
    <definedName name="_xlnm.Print_Titles" localSheetId="2">'402776'!$2:$2</definedName>
    <definedName name="_xlnm.Print_Titles" localSheetId="3">'402796'!$2:$2</definedName>
    <definedName name="_xlnm.Print_Titles" localSheetId="4">'402917'!$2:$2</definedName>
    <definedName name="_xlnm.Print_Titles" localSheetId="5">'402920'!$2:$2</definedName>
    <definedName name="_xlnm.Print_Titles" localSheetId="6">'402947'!$2:$2</definedName>
    <definedName name="_xlnm.Print_Titles" localSheetId="8">'403367'!$2:$2</definedName>
    <definedName name="_xlnm.Print_Titles" localSheetId="7">'403474'!$2:$2</definedName>
    <definedName name="_xlnm.Print_Titles" localSheetId="1">ALL!$2:$2</definedName>
    <definedName name="_xlnm.Print_Titles" localSheetId="0">'Sicepat_Ambon_Jan 22'!$2:$17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60" l="1"/>
  <c r="J25" i="2"/>
  <c r="B24" i="2"/>
  <c r="B23" i="2"/>
  <c r="B22" i="2"/>
  <c r="B21" i="2"/>
  <c r="B20" i="2"/>
  <c r="B19" i="2"/>
  <c r="B18" i="2"/>
  <c r="M22" i="98"/>
  <c r="N22" i="98"/>
  <c r="P20" i="98"/>
  <c r="P19" i="98"/>
  <c r="P18" i="98"/>
  <c r="P17" i="98"/>
  <c r="P16" i="98"/>
  <c r="P15" i="98"/>
  <c r="P14" i="98"/>
  <c r="P13" i="98"/>
  <c r="P12" i="98"/>
  <c r="P11" i="98"/>
  <c r="P10" i="98"/>
  <c r="P9" i="98"/>
  <c r="P8" i="98"/>
  <c r="P7" i="98"/>
  <c r="P6" i="98"/>
  <c r="P5" i="98"/>
  <c r="P4" i="98"/>
  <c r="O22" i="98" s="1"/>
  <c r="P3" i="98"/>
  <c r="P21" i="98"/>
  <c r="Q22" i="98"/>
  <c r="G24" i="2"/>
  <c r="N11" i="95"/>
  <c r="P3" i="60"/>
  <c r="P4" i="60"/>
  <c r="P23" i="98" l="1"/>
  <c r="P24" i="98" s="1"/>
  <c r="M11" i="95"/>
  <c r="P26" i="98" l="1"/>
  <c r="P25" i="98"/>
  <c r="J24" i="2"/>
  <c r="C24" i="2"/>
  <c r="J23" i="2"/>
  <c r="C23" i="2"/>
  <c r="J22" i="2"/>
  <c r="C22" i="2"/>
  <c r="P10" i="95"/>
  <c r="P9" i="95"/>
  <c r="P8" i="95"/>
  <c r="P7" i="95"/>
  <c r="P6" i="95"/>
  <c r="P5" i="95"/>
  <c r="P4" i="95"/>
  <c r="P3" i="95"/>
  <c r="N4" i="94"/>
  <c r="M4" i="94"/>
  <c r="P3" i="94"/>
  <c r="O4" i="94" s="1"/>
  <c r="N4" i="93"/>
  <c r="M4" i="93"/>
  <c r="P3" i="93"/>
  <c r="O4" i="93" s="1"/>
  <c r="N8" i="59"/>
  <c r="P7" i="59"/>
  <c r="P6" i="59"/>
  <c r="P5" i="59"/>
  <c r="P4" i="59"/>
  <c r="P27" i="98" l="1"/>
  <c r="O11" i="95"/>
  <c r="P12" i="95"/>
  <c r="P13" i="95" s="1"/>
  <c r="P5" i="94"/>
  <c r="P6" i="94" s="1"/>
  <c r="P5" i="93"/>
  <c r="P6" i="93" s="1"/>
  <c r="N4" i="62"/>
  <c r="P15" i="95" l="1"/>
  <c r="P14" i="95"/>
  <c r="P8" i="94"/>
  <c r="P7" i="94"/>
  <c r="P8" i="93"/>
  <c r="P7" i="93"/>
  <c r="P9" i="93" s="1"/>
  <c r="P3" i="62"/>
  <c r="P16" i="95" l="1"/>
  <c r="P9" i="94"/>
  <c r="C21" i="2"/>
  <c r="C20" i="2"/>
  <c r="C19" i="2"/>
  <c r="C18" i="2"/>
  <c r="M4" i="62" l="1"/>
  <c r="O4" i="62"/>
  <c r="M5" i="60"/>
  <c r="O5" i="60"/>
  <c r="M8" i="59"/>
  <c r="P3" i="59"/>
  <c r="N4" i="58"/>
  <c r="M4" i="58"/>
  <c r="P3" i="58"/>
  <c r="P5" i="62" l="1"/>
  <c r="P6" i="62" s="1"/>
  <c r="P8" i="62" s="1"/>
  <c r="P6" i="60"/>
  <c r="P7" i="60" s="1"/>
  <c r="O4" i="58"/>
  <c r="O8" i="59"/>
  <c r="P7" i="62" l="1"/>
  <c r="P9" i="62" s="1"/>
  <c r="P9" i="60"/>
  <c r="P8" i="60"/>
  <c r="P9" i="59"/>
  <c r="P10" i="59" s="1"/>
  <c r="P5" i="58"/>
  <c r="P6" i="58" s="1"/>
  <c r="I30" i="2"/>
  <c r="I29" i="2"/>
  <c r="I31" i="2" s="1"/>
  <c r="P10" i="60" l="1"/>
  <c r="P11" i="59"/>
  <c r="P12" i="59"/>
  <c r="P8" i="58"/>
  <c r="P7" i="58"/>
  <c r="P13" i="59" l="1"/>
  <c r="P9" i="58"/>
  <c r="A19" i="2"/>
  <c r="A20" i="2" s="1"/>
  <c r="A21" i="2" s="1"/>
  <c r="A22" i="2" s="1"/>
  <c r="A23" i="2" s="1"/>
  <c r="A24" i="2" s="1"/>
  <c r="J21" i="2"/>
  <c r="J20" i="2"/>
  <c r="J19" i="2"/>
  <c r="I42" i="2" l="1"/>
  <c r="J18" i="2"/>
  <c r="J27" i="2" l="1"/>
  <c r="J28" i="2" s="1"/>
  <c r="J30" i="2" l="1"/>
  <c r="J29" i="2"/>
  <c r="J31" i="2" l="1"/>
</calcChain>
</file>

<file path=xl/sharedStrings.xml><?xml version="1.0" encoding="utf-8"?>
<sst xmlns="http://schemas.openxmlformats.org/spreadsheetml/2006/main" count="425" uniqueCount="97">
  <si>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</si>
  <si>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</si>
  <si>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</si>
  <si>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</si>
  <si>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</si>
  <si>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</si>
  <si>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</si>
  <si>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</si>
  <si>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</si>
  <si>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</si>
  <si>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</si>
  <si>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</si>
  <si>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</si>
  <si>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</si>
  <si>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</si>
  <si>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</si>
  <si>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</si>
  <si>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</si>
  <si>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</si>
  <si>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</si>
  <si>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</si>
  <si>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</si>
  <si>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</si>
  <si>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</si>
  <si>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</si>
  <si>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</si>
  <si>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</si>
  <si>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</si>
  <si>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</si>
  <si>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</si>
  <si>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</si>
  <si>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</si>
  <si>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</si>
  <si>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</si>
  <si>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</si>
  <si>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</si>
  <si>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</si>
  <si>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</si>
  <si>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</si>
  <si>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</si>
  <si>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</si>
  <si>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</si>
  <si>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</si>
  <si>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</si>
  <si>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</si>
  <si>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</si>
  <si>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</si>
  <si>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</si>
  <si>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</si>
  <si>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</si>
  <si>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</si>
  <si>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</si>
  <si>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</si>
  <si>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</si>
  <si>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</si>
  <si>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</si>
  <si>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 xml:space="preserve"> JANUARI 2022</t>
  </si>
  <si>
    <t xml:space="preserve"> 04 Maret 2022</t>
  </si>
  <si>
    <t xml:space="preserve"> AMBON</t>
  </si>
  <si>
    <t>PENGIRIMAN BARANG TUJUAN AMBON</t>
  </si>
  <si>
    <t>AMBON</t>
  </si>
  <si>
    <t>DMD/2201/02/OLTM9186</t>
  </si>
  <si>
    <t>GSK220101XQT357</t>
  </si>
  <si>
    <t>DMP AMQ (AMBON)</t>
  </si>
  <si>
    <t>KM DOROLONDA</t>
  </si>
  <si>
    <t>01/24/2022 ALWI</t>
  </si>
  <si>
    <t>DMD/2201/07/WKXL3169</t>
  </si>
  <si>
    <t>GSK220107CTK298</t>
  </si>
  <si>
    <t>GSK220107ENA629</t>
  </si>
  <si>
    <t>GSK220107BWH385</t>
  </si>
  <si>
    <t>DMD/2201/07/FENU2139</t>
  </si>
  <si>
    <t>GSK220107THZ307</t>
  </si>
  <si>
    <t>GSK220107ZIR865</t>
  </si>
  <si>
    <t>DMD/2201/08/JLHO3071</t>
  </si>
  <si>
    <t>GSK220108NPU807</t>
  </si>
  <si>
    <t>GSK220108NHP720</t>
  </si>
  <si>
    <t>DMD/2201/08/PGVX6078</t>
  </si>
  <si>
    <t>GSK220108BEY028</t>
  </si>
  <si>
    <t>DMD/2201/17/PYNZ5431</t>
  </si>
  <si>
    <t>GSK220117KHM390</t>
  </si>
  <si>
    <t>KM TANTO PERMAI</t>
  </si>
  <si>
    <t>02/19/2022 ALWI</t>
  </si>
  <si>
    <t>DMD/2201/22/DPHR9143</t>
  </si>
  <si>
    <t>GSK220121NKT391</t>
  </si>
  <si>
    <t>KM TANTO PER,MAI</t>
  </si>
  <si>
    <t>DMD/2201/30/YASE7132</t>
  </si>
  <si>
    <t>GSK220130JDS653</t>
  </si>
  <si>
    <t>GSK220130AWS869</t>
  </si>
  <si>
    <t>GSK220130JWY839</t>
  </si>
  <si>
    <t>GSK220130JYT453</t>
  </si>
  <si>
    <t>GSK220130SFJ968</t>
  </si>
  <si>
    <t>GSK220127IOZ840</t>
  </si>
  <si>
    <t>GSK220130AFR963</t>
  </si>
  <si>
    <t>GSK220130LXZ027</t>
  </si>
  <si>
    <t>KM ORIENTAL</t>
  </si>
  <si>
    <t>02/26/2022 ALWI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</si>
  <si>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Sebelas Juta Enam Ratus Dua Puluh Tiga Ribu Delapan Ratus Sembilan Belas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</si>
</sst>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2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3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" fontId="9" fillId="4" borderId="4" xfId="3" applyNumberFormat="1" applyFont="1" applyFill="1" applyBorder="1" applyAlignment="1">
      <alignment horizontal="center" vertical="center" wrapText="1"/>
    </xf>
    <xf numFmtId="1" fontId="9" fillId="4" borderId="1" xfId="3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8" fillId="0" borderId="1" xfId="0" applyFont="1" applyFill="1" applyBorder="1" applyAlignment="1">
      <alignment vertical="center"/>
    </xf>
    <xf numFmtId="166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166" fontId="18" fillId="0" borderId="1" xfId="0" applyNumberFormat="1" applyFont="1" applyFill="1" applyBorder="1" applyAlignment="1">
      <alignment vertical="center" wrapText="1"/>
    </xf>
    <xf numFmtId="0" fontId="18" fillId="0" borderId="1" xfId="0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1" fontId="19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167" fontId="0" fillId="0" borderId="1" xfId="1" applyNumberFormat="1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138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id="8" name="Table224578910112349" displayName="Table224578910112349" ref="C2:N3" totalsRowShown="0" headerRowDxfId="128" dataDxfId="126" headerRowBorderDxfId="127">
  <tableColumns count="12">
    <tableColumn id="1" name="NOMOR" dataDxfId="125" dataCellStyle="Normal"/>
    <tableColumn id="3" name="TUJUAN" dataDxfId="124" dataCellStyle="Normal"/>
    <tableColumn id="16" name="Pick Up" dataDxfId="123"/>
    <tableColumn id="14" name="KAPAL" dataDxfId="122"/>
    <tableColumn id="15" name="ETD Kapal" dataDxfId="121"/>
    <tableColumn id="10" name="KETERANGAN" dataDxfId="120" dataCellStyle="Normal"/>
    <tableColumn id="5" name="P" dataDxfId="119" dataCellStyle="Normal"/>
    <tableColumn id="6" name="L" dataDxfId="118" dataCellStyle="Normal"/>
    <tableColumn id="7" name="T" dataDxfId="117" dataCellStyle="Normal"/>
    <tableColumn id="4" name="ACT KG" dataDxfId="116" dataCellStyle="Normal"/>
    <tableColumn id="8" name="KG VOLUME" dataDxfId="115" dataCellStyle="Normal"/>
    <tableColumn id="19" name="PEMBULATAN" dataDxfId="114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3" name="Table22457891011234" displayName="Table22457891011234" ref="C2:N3" totalsRowShown="0" headerRowDxfId="112" dataDxfId="110" headerRowBorderDxfId="111">
  <tableColumns count="12">
    <tableColumn id="1" name="NOMOR" dataDxfId="109" dataCellStyle="Normal"/>
    <tableColumn id="3" name="TUJUAN" dataDxfId="108" dataCellStyle="Normal"/>
    <tableColumn id="16" name="Pick Up" dataDxfId="107"/>
    <tableColumn id="14" name="KAPAL" dataDxfId="106"/>
    <tableColumn id="15" name="ETD Kapal" dataDxfId="105"/>
    <tableColumn id="10" name="KETERANGAN" dataDxfId="104" dataCellStyle="Normal"/>
    <tableColumn id="5" name="P" dataDxfId="103" dataCellStyle="Normal"/>
    <tableColumn id="6" name="L" dataDxfId="102" dataCellStyle="Normal"/>
    <tableColumn id="7" name="T" dataDxfId="101" dataCellStyle="Normal"/>
    <tableColumn id="4" name="ACT KG" dataDxfId="100" dataCellStyle="Normal"/>
    <tableColumn id="8" name="KG VOLUME" dataDxfId="99" dataCellStyle="Normal"/>
    <tableColumn id="19" name="PEMBULATAN" dataDxfId="98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4" name="Table224578910112345" displayName="Table224578910112345" ref="C2:N7" totalsRowShown="0" headerRowDxfId="95" dataDxfId="93" headerRowBorderDxfId="94">
  <tableColumns count="12">
    <tableColumn id="1" name="NOMOR" dataDxfId="92" dataCellStyle="Normal"/>
    <tableColumn id="3" name="TUJUAN" dataDxfId="91" dataCellStyle="Normal"/>
    <tableColumn id="16" name="Pick Up" dataDxfId="90"/>
    <tableColumn id="14" name="KAPAL" dataDxfId="89"/>
    <tableColumn id="15" name="ETD Kapal" dataDxfId="88"/>
    <tableColumn id="10" name="KETERANGAN" dataDxfId="87" dataCellStyle="Normal"/>
    <tableColumn id="5" name="P" dataDxfId="86" dataCellStyle="Normal"/>
    <tableColumn id="6" name="L" dataDxfId="85" dataCellStyle="Normal"/>
    <tableColumn id="7" name="T" dataDxfId="84" dataCellStyle="Normal"/>
    <tableColumn id="4" name="ACT KG" dataDxfId="83" dataCellStyle="Normal"/>
    <tableColumn id="8" name="KG VOLUME" dataDxfId="82" dataCellStyle="Normal"/>
    <tableColumn id="19" name="PEMBULATAN" dataDxfId="81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5" name="Table2245789101123456" displayName="Table2245789101123456" ref="C2:N3" totalsRowShown="0" headerRowDxfId="78" dataDxfId="76" headerRowBorderDxfId="77">
  <tableColumns count="12">
    <tableColumn id="1" name="NOMOR" dataDxfId="75" dataCellStyle="Normal"/>
    <tableColumn id="3" name="TUJUAN" dataDxfId="74" dataCellStyle="Normal"/>
    <tableColumn id="16" name="Pick Up" dataDxfId="73"/>
    <tableColumn id="14" name="KAPAL" dataDxfId="72"/>
    <tableColumn id="15" name="ETD Kapal" dataDxfId="71"/>
    <tableColumn id="10" name="KETERANGAN" dataDxfId="70" dataCellStyle="Normal"/>
    <tableColumn id="5" name="P" dataDxfId="69" dataCellStyle="Normal"/>
    <tableColumn id="6" name="L" dataDxfId="68" dataCellStyle="Normal"/>
    <tableColumn id="7" name="T" dataDxfId="67" dataCellStyle="Normal"/>
    <tableColumn id="4" name="ACT KG" dataDxfId="66" dataCellStyle="Normal"/>
    <tableColumn id="8" name="KG VOLUME" dataDxfId="65" dataCellStyle="Normal"/>
    <tableColumn id="19" name="PEMBULATAN" dataDxfId="64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7" name="Table224578910112345678" displayName="Table224578910112345678" ref="C2:N3" totalsRowShown="0" headerRowDxfId="62" dataDxfId="60" headerRowBorderDxfId="61">
  <tableColumns count="12">
    <tableColumn id="1" name="NOMOR" dataDxfId="59" dataCellStyle="Normal"/>
    <tableColumn id="3" name="TUJUAN" dataDxfId="58" dataCellStyle="Normal"/>
    <tableColumn id="16" name="Pick Up" dataDxfId="57"/>
    <tableColumn id="14" name="KAPAL" dataDxfId="56"/>
    <tableColumn id="15" name="ETD Kapal" dataDxfId="55"/>
    <tableColumn id="10" name="KETERANGAN" dataDxfId="54" dataCellStyle="Normal"/>
    <tableColumn id="5" name="P" dataDxfId="53" dataCellStyle="Normal"/>
    <tableColumn id="6" name="L" dataDxfId="52" dataCellStyle="Normal"/>
    <tableColumn id="7" name="T" dataDxfId="51" dataCellStyle="Normal"/>
    <tableColumn id="4" name="ACT KG" dataDxfId="50" dataCellStyle="Normal"/>
    <tableColumn id="8" name="KG VOLUME" dataDxfId="49" dataCellStyle="Normal"/>
    <tableColumn id="19" name="PEMBULATAN" dataDxfId="48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1" name="Table2245789101123456782" displayName="Table2245789101123456782" ref="C2:N3" totalsRowShown="0" headerRowDxfId="46" dataDxfId="44" headerRowBorderDxfId="45">
  <tableColumns count="12">
    <tableColumn id="1" name="NOMOR" dataDxfId="43" dataCellStyle="Normal"/>
    <tableColumn id="3" name="TUJUAN" dataDxfId="42" dataCellStyle="Normal"/>
    <tableColumn id="16" name="Pick Up" dataDxfId="41"/>
    <tableColumn id="14" name="KAPAL" dataDxfId="40"/>
    <tableColumn id="15" name="ETD Kapal" dataDxfId="39"/>
    <tableColumn id="10" name="KETERANGAN" dataDxfId="38" dataCellStyle="Normal"/>
    <tableColumn id="5" name="P" dataDxfId="37" dataCellStyle="Normal"/>
    <tableColumn id="6" name="L" dataDxfId="36" dataCellStyle="Normal"/>
    <tableColumn id="7" name="T" dataDxfId="35" dataCellStyle="Normal"/>
    <tableColumn id="4" name="ACT KG" dataDxfId="34" dataCellStyle="Normal"/>
    <tableColumn id="8" name="KG VOLUME" dataDxfId="33" dataCellStyle="Normal"/>
    <tableColumn id="19" name="PEMBULATAN" dataDxfId="32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id="2" name="Table22457891011234567823" displayName="Table22457891011234567823" ref="C2:N3" totalsRowShown="0" headerRowDxfId="30" dataDxfId="28" headerRowBorderDxfId="29">
  <tableColumns count="12">
    <tableColumn id="1" name="NOMOR" dataDxfId="27" dataCellStyle="Normal"/>
    <tableColumn id="3" name="TUJUAN" dataDxfId="26" dataCellStyle="Normal"/>
    <tableColumn id="16" name="Pick Up" dataDxfId="25"/>
    <tableColumn id="14" name="KAPAL" dataDxfId="24"/>
    <tableColumn id="15" name="ETD Kapal" dataDxfId="23"/>
    <tableColumn id="10" name="KETERANGAN" dataDxfId="22" dataCellStyle="Normal"/>
    <tableColumn id="5" name="P" dataDxfId="21" dataCellStyle="Normal"/>
    <tableColumn id="6" name="L" dataDxfId="20" dataCellStyle="Normal"/>
    <tableColumn id="7" name="T" dataDxfId="19" dataCellStyle="Normal"/>
    <tableColumn id="4" name="ACT KG" dataDxfId="18" dataCellStyle="Normal"/>
    <tableColumn id="8" name="KG VOLUME" dataDxfId="17" dataCellStyle="Normal"/>
    <tableColumn id="19" name="PEMBULATAN" dataDxfId="16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6" name="Table224578910112345678237" displayName="Table224578910112345678237" ref="C2:N3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49"/>
  <sheetViews>
    <sheetView tabSelected="1" topLeftCell="A19" workbookViewId="0">
      <selection activeCell="M24" sqref="M24"/>
    </sheetView>
  </sheetViews>
  <sheetFormatPr defaultRowHeight="15.75" x14ac:dyDescent="0.25"/>
  <cols>
    <col min="1" max="1" width="6.42578125" style="15" customWidth="1"/>
    <col min="2" max="2" width="11.5703125" style="15" customWidth="1"/>
    <col min="3" max="3" width="10" style="15" customWidth="1"/>
    <col min="4" max="4" width="26.42578125" style="15" customWidth="1"/>
    <col min="5" max="5" width="13.85546875" style="15" customWidth="1"/>
    <col min="6" max="6" width="6.85546875" style="15" bestFit="1" customWidth="1"/>
    <col min="7" max="7" width="6.42578125" style="15" customWidth="1"/>
    <col min="8" max="8" width="14.140625" style="16" bestFit="1" customWidth="1"/>
    <col min="9" max="9" width="1.5703125" style="16" customWidth="1"/>
    <col min="10" max="10" width="19.5703125" style="15" customWidth="1"/>
    <col min="11" max="11" width="9.140625" style="15"/>
    <col min="12" max="12" width="15.7109375" style="15" bestFit="1" customWidth="1"/>
    <col min="13" max="16384" width="9.140625" style="15"/>
  </cols>
  <sheetData>
    <row r="2" spans="1:10" x14ac:dyDescent="0.25">
      <c r="A2" s="14" t="s">
        <v>8</v>
      </c>
    </row>
    <row r="3" spans="1:10" x14ac:dyDescent="0.25">
      <c r="A3" s="17" t="s">
        <v>9</v>
      </c>
    </row>
    <row r="4" spans="1:10" x14ac:dyDescent="0.25">
      <c r="A4" s="17" t="s">
        <v>10</v>
      </c>
    </row>
    <row r="5" spans="1:10" x14ac:dyDescent="0.25">
      <c r="A5" s="17" t="s">
        <v>11</v>
      </c>
    </row>
    <row r="6" spans="1:10" x14ac:dyDescent="0.25">
      <c r="A6" s="17" t="s">
        <v>12</v>
      </c>
    </row>
    <row r="7" spans="1:10" x14ac:dyDescent="0.25">
      <c r="A7" s="17" t="s">
        <v>13</v>
      </c>
    </row>
    <row r="9" spans="1:10" ht="16.5" thickBot="1" x14ac:dyDescent="0.3">
      <c r="A9" s="18"/>
      <c r="B9" s="18"/>
      <c r="C9" s="18"/>
      <c r="D9" s="18"/>
      <c r="E9" s="18"/>
      <c r="F9" s="18"/>
      <c r="G9" s="18"/>
      <c r="H9" s="19"/>
      <c r="I9" s="19"/>
      <c r="J9" s="18"/>
    </row>
    <row r="10" spans="1:10" ht="23.25" customHeight="1" thickBot="1" x14ac:dyDescent="0.3">
      <c r="A10" s="110" t="s">
        <v>14</v>
      </c>
      <c r="B10" s="111"/>
      <c r="C10" s="111"/>
      <c r="D10" s="111"/>
      <c r="E10" s="111"/>
      <c r="F10" s="111"/>
      <c r="G10" s="111"/>
      <c r="H10" s="111"/>
      <c r="I10" s="111"/>
      <c r="J10" s="112"/>
    </row>
    <row r="12" spans="1:10" x14ac:dyDescent="0.25">
      <c r="A12" s="15" t="s">
        <v>15</v>
      </c>
      <c r="B12" s="15" t="s">
        <v>16</v>
      </c>
      <c r="G12" s="107" t="s">
        <v>49</v>
      </c>
      <c r="H12" s="107"/>
      <c r="I12" s="20" t="s">
        <v>17</v>
      </c>
      <c r="J12" s="21"/>
    </row>
    <row r="13" spans="1:10" x14ac:dyDescent="0.25">
      <c r="G13" s="107" t="s">
        <v>18</v>
      </c>
      <c r="H13" s="107"/>
      <c r="I13" s="20" t="s">
        <v>17</v>
      </c>
      <c r="J13" s="22" t="s">
        <v>57</v>
      </c>
    </row>
    <row r="14" spans="1:10" x14ac:dyDescent="0.25">
      <c r="G14" s="107" t="s">
        <v>50</v>
      </c>
      <c r="H14" s="107"/>
      <c r="I14" s="20" t="s">
        <v>17</v>
      </c>
      <c r="J14" s="15" t="s">
        <v>58</v>
      </c>
    </row>
    <row r="15" spans="1:10" x14ac:dyDescent="0.25">
      <c r="A15" s="15" t="s">
        <v>19</v>
      </c>
      <c r="B15" s="21" t="s">
        <v>20</v>
      </c>
      <c r="C15" s="21"/>
      <c r="I15" s="20"/>
      <c r="J15" s="15" t="s">
        <v>56</v>
      </c>
    </row>
    <row r="16" spans="1:10" ht="16.5" thickBot="1" x14ac:dyDescent="0.3"/>
    <row r="17" spans="1:12" ht="26.25" customHeight="1" x14ac:dyDescent="0.25">
      <c r="A17" s="23" t="s">
        <v>21</v>
      </c>
      <c r="B17" s="24" t="s">
        <v>22</v>
      </c>
      <c r="C17" s="24" t="s">
        <v>23</v>
      </c>
      <c r="D17" s="24" t="s">
        <v>24</v>
      </c>
      <c r="E17" s="24" t="s">
        <v>25</v>
      </c>
      <c r="F17" s="25" t="s">
        <v>26</v>
      </c>
      <c r="G17" s="25" t="s">
        <v>27</v>
      </c>
      <c r="H17" s="113" t="s">
        <v>28</v>
      </c>
      <c r="I17" s="114"/>
      <c r="J17" s="26" t="s">
        <v>29</v>
      </c>
    </row>
    <row r="18" spans="1:12" ht="48" customHeight="1" x14ac:dyDescent="0.25">
      <c r="A18" s="27">
        <v>1</v>
      </c>
      <c r="B18" s="28">
        <f>Table22457891011234[Pick Up]</f>
        <v>44563</v>
      </c>
      <c r="C18" s="75">
        <f>'402776'!A3</f>
        <v>402776</v>
      </c>
      <c r="D18" s="29" t="s">
        <v>59</v>
      </c>
      <c r="E18" s="29" t="s">
        <v>60</v>
      </c>
      <c r="F18" s="30">
        <v>1</v>
      </c>
      <c r="G18" s="92">
        <v>100</v>
      </c>
      <c r="H18" s="108">
        <v>14000</v>
      </c>
      <c r="I18" s="109"/>
      <c r="J18" s="31">
        <f>G18*H18</f>
        <v>1400000</v>
      </c>
      <c r="L18"/>
    </row>
    <row r="19" spans="1:12" ht="48" customHeight="1" x14ac:dyDescent="0.25">
      <c r="A19" s="27">
        <f>A18+1</f>
        <v>2</v>
      </c>
      <c r="B19" s="28">
        <f>'402796'!E3</f>
        <v>44568</v>
      </c>
      <c r="C19" s="75">
        <f>'402796'!A3</f>
        <v>402796</v>
      </c>
      <c r="D19" s="29" t="s">
        <v>59</v>
      </c>
      <c r="E19" s="29" t="s">
        <v>60</v>
      </c>
      <c r="F19" s="30">
        <v>5</v>
      </c>
      <c r="G19" s="91">
        <v>100</v>
      </c>
      <c r="H19" s="108">
        <v>14000</v>
      </c>
      <c r="I19" s="109"/>
      <c r="J19" s="31">
        <f t="shared" ref="J19:J20" si="0">G19*H19</f>
        <v>1400000</v>
      </c>
      <c r="L19"/>
    </row>
    <row r="20" spans="1:12" ht="48" customHeight="1" x14ac:dyDescent="0.25">
      <c r="A20" s="27">
        <f t="shared" ref="A20:A24" si="1">A19+1</f>
        <v>3</v>
      </c>
      <c r="B20" s="28">
        <f>Table2245789101123456[Pick Up]</f>
        <v>44569</v>
      </c>
      <c r="C20" s="75">
        <f>'402917'!A3</f>
        <v>402917</v>
      </c>
      <c r="D20" s="29" t="s">
        <v>59</v>
      </c>
      <c r="E20" s="29" t="s">
        <v>60</v>
      </c>
      <c r="F20" s="30">
        <v>2</v>
      </c>
      <c r="G20" s="91">
        <v>100</v>
      </c>
      <c r="H20" s="108">
        <v>14000</v>
      </c>
      <c r="I20" s="109"/>
      <c r="J20" s="31">
        <f t="shared" si="0"/>
        <v>1400000</v>
      </c>
      <c r="L20"/>
    </row>
    <row r="21" spans="1:12" ht="48" customHeight="1" x14ac:dyDescent="0.25">
      <c r="A21" s="27">
        <f t="shared" si="1"/>
        <v>4</v>
      </c>
      <c r="B21" s="28">
        <f>Table224578910112345678[Pick Up]</f>
        <v>44569</v>
      </c>
      <c r="C21" s="75">
        <f>'402920'!A3</f>
        <v>402920</v>
      </c>
      <c r="D21" s="29" t="s">
        <v>59</v>
      </c>
      <c r="E21" s="29" t="s">
        <v>60</v>
      </c>
      <c r="F21" s="30">
        <v>1</v>
      </c>
      <c r="G21" s="91">
        <v>100</v>
      </c>
      <c r="H21" s="108">
        <v>14000</v>
      </c>
      <c r="I21" s="109"/>
      <c r="J21" s="31">
        <f>G21*H21</f>
        <v>1400000</v>
      </c>
      <c r="L21"/>
    </row>
    <row r="22" spans="1:12" ht="48" customHeight="1" x14ac:dyDescent="0.25">
      <c r="A22" s="27">
        <f t="shared" si="1"/>
        <v>5</v>
      </c>
      <c r="B22" s="28">
        <f>Table2245789101123456782[Pick Up]</f>
        <v>44578</v>
      </c>
      <c r="C22" s="75">
        <f>'402947'!A3</f>
        <v>402947</v>
      </c>
      <c r="D22" s="29" t="s">
        <v>59</v>
      </c>
      <c r="E22" s="29" t="s">
        <v>60</v>
      </c>
      <c r="F22" s="30">
        <v>1</v>
      </c>
      <c r="G22" s="91">
        <v>100</v>
      </c>
      <c r="H22" s="108">
        <v>14000</v>
      </c>
      <c r="I22" s="109"/>
      <c r="J22" s="31">
        <f t="shared" ref="J22:J24" si="2">G22*H22</f>
        <v>1400000</v>
      </c>
      <c r="L22"/>
    </row>
    <row r="23" spans="1:12" ht="48" customHeight="1" x14ac:dyDescent="0.25">
      <c r="A23" s="27">
        <f t="shared" si="1"/>
        <v>6</v>
      </c>
      <c r="B23" s="28">
        <f>Table22457891011234567823[Pick Up]</f>
        <v>44583</v>
      </c>
      <c r="C23" s="75">
        <f>'403474'!A3</f>
        <v>403474</v>
      </c>
      <c r="D23" s="29" t="s">
        <v>59</v>
      </c>
      <c r="E23" s="29" t="s">
        <v>60</v>
      </c>
      <c r="F23" s="30">
        <v>1</v>
      </c>
      <c r="G23" s="91">
        <v>100</v>
      </c>
      <c r="H23" s="108">
        <v>14000</v>
      </c>
      <c r="I23" s="109"/>
      <c r="J23" s="31">
        <f t="shared" si="2"/>
        <v>1400000</v>
      </c>
      <c r="L23"/>
    </row>
    <row r="24" spans="1:12" ht="48" customHeight="1" x14ac:dyDescent="0.25">
      <c r="A24" s="27">
        <f t="shared" si="1"/>
        <v>7</v>
      </c>
      <c r="B24" s="28">
        <f>Table224578910112345678237[Pick Up]</f>
        <v>44591</v>
      </c>
      <c r="C24" s="75">
        <f>'403367'!A3</f>
        <v>403367</v>
      </c>
      <c r="D24" s="29" t="s">
        <v>59</v>
      </c>
      <c r="E24" s="29" t="s">
        <v>60</v>
      </c>
      <c r="F24" s="30">
        <v>8</v>
      </c>
      <c r="G24" s="91">
        <f>'403367'!N11</f>
        <v>331.84375</v>
      </c>
      <c r="H24" s="108">
        <v>14000</v>
      </c>
      <c r="I24" s="109"/>
      <c r="J24" s="31">
        <f t="shared" si="2"/>
        <v>4645812.5</v>
      </c>
      <c r="L24"/>
    </row>
    <row r="25" spans="1:12" ht="32.25" customHeight="1" thickBot="1" x14ac:dyDescent="0.3">
      <c r="A25" s="115" t="s">
        <v>30</v>
      </c>
      <c r="B25" s="116"/>
      <c r="C25" s="116"/>
      <c r="D25" s="116"/>
      <c r="E25" s="116"/>
      <c r="F25" s="116"/>
      <c r="G25" s="116"/>
      <c r="H25" s="116"/>
      <c r="I25" s="117"/>
      <c r="J25" s="32">
        <f>SUM(J18:J24)</f>
        <v>13045812.5</v>
      </c>
      <c r="L25" s="73"/>
    </row>
    <row r="26" spans="1:12" x14ac:dyDescent="0.25">
      <c r="A26" s="118"/>
      <c r="B26" s="118"/>
      <c r="C26" s="33"/>
      <c r="D26" s="33"/>
      <c r="E26" s="33"/>
      <c r="F26" s="33"/>
      <c r="G26" s="33"/>
      <c r="H26" s="34"/>
      <c r="I26" s="34"/>
      <c r="J26" s="35"/>
    </row>
    <row r="27" spans="1:12" x14ac:dyDescent="0.25">
      <c r="A27" s="76"/>
      <c r="B27" s="76"/>
      <c r="C27" s="76"/>
      <c r="D27" s="76"/>
      <c r="E27" s="76"/>
      <c r="F27" s="76"/>
      <c r="G27" s="36" t="s">
        <v>51</v>
      </c>
      <c r="H27" s="36"/>
      <c r="I27" s="34"/>
      <c r="J27" s="35">
        <f>J25*10%</f>
        <v>1304581.25</v>
      </c>
      <c r="L27" s="37"/>
    </row>
    <row r="28" spans="1:12" x14ac:dyDescent="0.25">
      <c r="A28" s="76"/>
      <c r="B28" s="76"/>
      <c r="C28" s="76"/>
      <c r="D28" s="76"/>
      <c r="E28" s="76"/>
      <c r="F28" s="76"/>
      <c r="G28" s="83" t="s">
        <v>52</v>
      </c>
      <c r="H28" s="83"/>
      <c r="I28" s="84"/>
      <c r="J28" s="86">
        <f>J25-J27</f>
        <v>11741231.25</v>
      </c>
      <c r="L28" s="37"/>
    </row>
    <row r="29" spans="1:12" x14ac:dyDescent="0.25">
      <c r="A29" s="76"/>
      <c r="B29" s="76"/>
      <c r="C29" s="76"/>
      <c r="D29" s="76"/>
      <c r="E29" s="76"/>
      <c r="F29" s="76"/>
      <c r="G29" s="36" t="s">
        <v>31</v>
      </c>
      <c r="H29" s="36"/>
      <c r="I29" s="37" t="e">
        <f>#REF!*1%</f>
        <v>#REF!</v>
      </c>
      <c r="J29" s="35">
        <f>J28*1%</f>
        <v>117412.3125</v>
      </c>
    </row>
    <row r="30" spans="1:12" ht="16.5" thickBot="1" x14ac:dyDescent="0.3">
      <c r="A30" s="76"/>
      <c r="B30" s="76"/>
      <c r="C30" s="76"/>
      <c r="D30" s="76"/>
      <c r="E30" s="76"/>
      <c r="F30" s="76"/>
      <c r="G30" s="85" t="s">
        <v>54</v>
      </c>
      <c r="H30" s="85"/>
      <c r="I30" s="38">
        <f>I26*10%</f>
        <v>0</v>
      </c>
      <c r="J30" s="38">
        <f>J28*2%</f>
        <v>234824.625</v>
      </c>
    </row>
    <row r="31" spans="1:12" x14ac:dyDescent="0.25">
      <c r="E31" s="14"/>
      <c r="F31" s="14"/>
      <c r="G31" s="39" t="s">
        <v>55</v>
      </c>
      <c r="H31" s="39"/>
      <c r="I31" s="40" t="e">
        <f>I25+I29</f>
        <v>#REF!</v>
      </c>
      <c r="J31" s="40">
        <f>J28+J29-J30</f>
        <v>11623818.9375</v>
      </c>
    </row>
    <row r="32" spans="1:12" x14ac:dyDescent="0.25">
      <c r="E32" s="14"/>
      <c r="F32" s="14"/>
      <c r="G32" s="39"/>
      <c r="H32" s="39"/>
      <c r="I32" s="40"/>
      <c r="J32" s="40"/>
    </row>
    <row r="33" spans="1:10" x14ac:dyDescent="0.25">
      <c r="A33" s="14" t="s">
        <v>96</v>
      </c>
      <c r="D33" s="14"/>
      <c r="E33" s="14"/>
      <c r="F33" s="14"/>
      <c r="G33" s="14"/>
      <c r="H33" s="39"/>
      <c r="I33" s="39"/>
      <c r="J33" s="40"/>
    </row>
    <row r="34" spans="1:10" x14ac:dyDescent="0.25">
      <c r="A34" s="41"/>
      <c r="D34" s="14"/>
      <c r="E34" s="14"/>
      <c r="F34" s="14"/>
      <c r="G34" s="14"/>
      <c r="H34" s="39"/>
      <c r="I34" s="39"/>
      <c r="J34" s="40"/>
    </row>
    <row r="35" spans="1:10" x14ac:dyDescent="0.25">
      <c r="D35" s="14"/>
      <c r="E35" s="14"/>
      <c r="F35" s="14"/>
      <c r="G35" s="14"/>
      <c r="H35" s="39"/>
      <c r="I35" s="39"/>
      <c r="J35" s="40"/>
    </row>
    <row r="36" spans="1:10" x14ac:dyDescent="0.25">
      <c r="A36" s="42" t="s">
        <v>33</v>
      </c>
    </row>
    <row r="37" spans="1:10" x14ac:dyDescent="0.25">
      <c r="A37" s="43" t="s">
        <v>34</v>
      </c>
      <c r="B37" s="44"/>
      <c r="C37" s="44"/>
      <c r="D37" s="45"/>
      <c r="E37" s="45"/>
      <c r="F37" s="45"/>
      <c r="G37" s="45"/>
    </row>
    <row r="38" spans="1:10" x14ac:dyDescent="0.25">
      <c r="A38" s="43" t="s">
        <v>35</v>
      </c>
      <c r="B38" s="44"/>
      <c r="C38" s="44"/>
      <c r="D38" s="45"/>
      <c r="E38" s="45"/>
      <c r="F38" s="45"/>
      <c r="G38" s="45"/>
    </row>
    <row r="39" spans="1:10" x14ac:dyDescent="0.25">
      <c r="A39" s="46" t="s">
        <v>36</v>
      </c>
      <c r="B39" s="47"/>
      <c r="C39" s="47"/>
      <c r="D39" s="45"/>
      <c r="E39" s="45"/>
      <c r="F39" s="45"/>
      <c r="G39" s="45"/>
    </row>
    <row r="40" spans="1:10" x14ac:dyDescent="0.25">
      <c r="A40" s="48" t="s">
        <v>8</v>
      </c>
      <c r="B40" s="49"/>
      <c r="C40" s="49"/>
      <c r="D40" s="45"/>
      <c r="E40" s="45"/>
      <c r="F40" s="45"/>
      <c r="G40" s="45"/>
    </row>
    <row r="41" spans="1:10" x14ac:dyDescent="0.25">
      <c r="A41" s="50"/>
      <c r="B41" s="50"/>
      <c r="C41" s="50"/>
    </row>
    <row r="42" spans="1:10" x14ac:dyDescent="0.25">
      <c r="H42" s="51" t="s">
        <v>37</v>
      </c>
      <c r="I42" s="104" t="str">
        <f>+J13</f>
        <v xml:space="preserve"> 04 Maret 2022</v>
      </c>
      <c r="J42" s="105"/>
    </row>
    <row r="46" spans="1:10" ht="18" customHeight="1" x14ac:dyDescent="0.25"/>
    <row r="47" spans="1:10" ht="17.25" customHeight="1" x14ac:dyDescent="0.25"/>
    <row r="49" spans="8:10" x14ac:dyDescent="0.25">
      <c r="H49" s="106" t="s">
        <v>38</v>
      </c>
      <c r="I49" s="106"/>
      <c r="J49" s="106"/>
    </row>
  </sheetData>
  <mergeCells count="16">
    <mergeCell ref="A10:J10"/>
    <mergeCell ref="H17:I17"/>
    <mergeCell ref="H18:I18"/>
    <mergeCell ref="A25:I25"/>
    <mergeCell ref="A26:B26"/>
    <mergeCell ref="H19:I19"/>
    <mergeCell ref="H20:I20"/>
    <mergeCell ref="H21:I21"/>
    <mergeCell ref="I42:J42"/>
    <mergeCell ref="H49:J49"/>
    <mergeCell ref="G14:H14"/>
    <mergeCell ref="G13:H13"/>
    <mergeCell ref="G12:H12"/>
    <mergeCell ref="H22:I22"/>
    <mergeCell ref="H23:I23"/>
    <mergeCell ref="H24:I24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42"/>
  <sheetViews>
    <sheetView zoomScale="112" zoomScaleNormal="112" workbookViewId="0">
      <pane xSplit="3" ySplit="2" topLeftCell="F19" activePane="bottomRight" state="frozen"/>
      <selection activeCell="D15" sqref="D15"/>
      <selection pane="topRight" activeCell="D15" sqref="D15"/>
      <selection pane="bottomLeft" activeCell="D15" sqref="D15"/>
      <selection pane="bottomRight" activeCell="F20" sqref="F20:F21"/>
    </sheetView>
  </sheetViews>
  <sheetFormatPr defaultRowHeight="15" x14ac:dyDescent="0.2"/>
  <cols>
    <col min="1" max="1" width="7" style="4" customWidth="1"/>
    <col min="2" max="2" width="19.28515625" style="2" customWidth="1"/>
    <col min="3" max="3" width="15.28515625" style="2" customWidth="1"/>
    <col min="4" max="4" width="11.5703125" style="3" customWidth="1"/>
    <col min="5" max="5" width="7.7109375" style="10" customWidth="1"/>
    <col min="6" max="6" width="10.28515625" style="3" customWidth="1"/>
    <col min="7" max="7" width="10.140625" style="3" customWidth="1"/>
    <col min="8" max="8" width="19.140625" style="6" customWidth="1"/>
    <col min="9" max="10" width="3.5703125" style="3" customWidth="1"/>
    <col min="11" max="11" width="3.7109375" style="3" customWidth="1"/>
    <col min="12" max="12" width="4.28515625" style="3" customWidth="1"/>
    <col min="13" max="13" width="7.85546875" style="3" customWidth="1"/>
    <col min="14" max="14" width="12.140625" style="13" customWidth="1"/>
    <col min="15" max="15" width="8.140625" style="13" customWidth="1"/>
    <col min="16" max="16" width="10.85546875" style="13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87" t="s">
        <v>44</v>
      </c>
      <c r="B2" s="56" t="s">
        <v>7</v>
      </c>
      <c r="C2" s="56" t="s">
        <v>0</v>
      </c>
      <c r="D2" s="56" t="s">
        <v>1</v>
      </c>
      <c r="E2" s="89" t="s">
        <v>4</v>
      </c>
      <c r="F2" s="56" t="s">
        <v>3</v>
      </c>
      <c r="G2" s="56" t="s">
        <v>5</v>
      </c>
      <c r="H2" s="89" t="s">
        <v>2</v>
      </c>
      <c r="I2" s="56" t="s">
        <v>39</v>
      </c>
      <c r="J2" s="56" t="s">
        <v>40</v>
      </c>
      <c r="K2" s="56" t="s">
        <v>41</v>
      </c>
      <c r="L2" s="56" t="s">
        <v>45</v>
      </c>
      <c r="M2" s="56" t="s">
        <v>46</v>
      </c>
      <c r="N2" s="56" t="s">
        <v>6</v>
      </c>
      <c r="O2" s="56" t="s">
        <v>47</v>
      </c>
      <c r="P2" s="56" t="s">
        <v>48</v>
      </c>
      <c r="Q2" s="56" t="s">
        <v>26</v>
      </c>
    </row>
    <row r="3" spans="1:17" ht="26.25" customHeight="1" x14ac:dyDescent="0.2">
      <c r="A3" s="74">
        <v>402776</v>
      </c>
      <c r="B3" s="93" t="s">
        <v>61</v>
      </c>
      <c r="C3" s="7" t="s">
        <v>62</v>
      </c>
      <c r="D3" s="70" t="s">
        <v>63</v>
      </c>
      <c r="E3" s="11">
        <v>44563</v>
      </c>
      <c r="F3" s="69" t="s">
        <v>64</v>
      </c>
      <c r="G3" s="11">
        <v>44584</v>
      </c>
      <c r="H3" s="8" t="s">
        <v>65</v>
      </c>
      <c r="I3" s="1">
        <v>53</v>
      </c>
      <c r="J3" s="1">
        <v>45</v>
      </c>
      <c r="K3" s="1">
        <v>13</v>
      </c>
      <c r="L3" s="1">
        <v>10</v>
      </c>
      <c r="M3" s="72">
        <v>7.7512499999999998</v>
      </c>
      <c r="N3" s="88">
        <v>10</v>
      </c>
      <c r="O3" s="59">
        <v>14000</v>
      </c>
      <c r="P3" s="60">
        <f t="shared" ref="P3:P20" si="0">N3*O3</f>
        <v>140000</v>
      </c>
      <c r="Q3" s="90">
        <v>1</v>
      </c>
    </row>
    <row r="4" spans="1:17" ht="26.25" customHeight="1" x14ac:dyDescent="0.2">
      <c r="A4" s="74">
        <v>402796</v>
      </c>
      <c r="B4" s="67" t="s">
        <v>66</v>
      </c>
      <c r="C4" s="7" t="s">
        <v>67</v>
      </c>
      <c r="D4" s="70" t="s">
        <v>63</v>
      </c>
      <c r="E4" s="11">
        <v>44568</v>
      </c>
      <c r="F4" s="69" t="s">
        <v>64</v>
      </c>
      <c r="G4" s="11">
        <v>44584</v>
      </c>
      <c r="H4" s="8" t="s">
        <v>65</v>
      </c>
      <c r="I4" s="1">
        <v>54</v>
      </c>
      <c r="J4" s="1">
        <v>48</v>
      </c>
      <c r="K4" s="1">
        <v>15</v>
      </c>
      <c r="L4" s="1">
        <v>8</v>
      </c>
      <c r="M4" s="72">
        <v>9.7200000000000006</v>
      </c>
      <c r="N4" s="88">
        <v>9.7200000000000006</v>
      </c>
      <c r="O4" s="59">
        <v>14000</v>
      </c>
      <c r="P4" s="60">
        <f t="shared" si="0"/>
        <v>136080</v>
      </c>
      <c r="Q4" s="124">
        <v>5</v>
      </c>
    </row>
    <row r="5" spans="1:17" ht="26.25" customHeight="1" x14ac:dyDescent="0.2">
      <c r="A5" s="12"/>
      <c r="B5" s="68"/>
      <c r="C5" s="7" t="s">
        <v>68</v>
      </c>
      <c r="D5" s="70" t="s">
        <v>63</v>
      </c>
      <c r="E5" s="11">
        <v>44568</v>
      </c>
      <c r="F5" s="69" t="s">
        <v>64</v>
      </c>
      <c r="G5" s="11">
        <v>44584</v>
      </c>
      <c r="H5" s="8" t="s">
        <v>65</v>
      </c>
      <c r="I5" s="1">
        <v>54</v>
      </c>
      <c r="J5" s="1">
        <v>48</v>
      </c>
      <c r="K5" s="1">
        <v>15</v>
      </c>
      <c r="L5" s="1">
        <v>8</v>
      </c>
      <c r="M5" s="72">
        <v>9.7200000000000006</v>
      </c>
      <c r="N5" s="88">
        <v>9.7200000000000006</v>
      </c>
      <c r="O5" s="59">
        <v>14000</v>
      </c>
      <c r="P5" s="60">
        <f t="shared" si="0"/>
        <v>136080</v>
      </c>
      <c r="Q5" s="125"/>
    </row>
    <row r="6" spans="1:17" ht="26.25" customHeight="1" x14ac:dyDescent="0.2">
      <c r="A6" s="12"/>
      <c r="B6" s="101"/>
      <c r="C6" s="94" t="s">
        <v>69</v>
      </c>
      <c r="D6" s="70" t="s">
        <v>63</v>
      </c>
      <c r="E6" s="95">
        <v>44568</v>
      </c>
      <c r="F6" s="96" t="s">
        <v>64</v>
      </c>
      <c r="G6" s="95">
        <v>44584</v>
      </c>
      <c r="H6" s="97" t="s">
        <v>65</v>
      </c>
      <c r="I6" s="98">
        <v>54</v>
      </c>
      <c r="J6" s="98">
        <v>48</v>
      </c>
      <c r="K6" s="98">
        <v>15</v>
      </c>
      <c r="L6" s="98">
        <v>8</v>
      </c>
      <c r="M6" s="99">
        <v>9.7200000000000006</v>
      </c>
      <c r="N6" s="100">
        <v>9.7200000000000006</v>
      </c>
      <c r="O6" s="59">
        <v>14000</v>
      </c>
      <c r="P6" s="60">
        <f t="shared" si="0"/>
        <v>136080</v>
      </c>
      <c r="Q6" s="125"/>
    </row>
    <row r="7" spans="1:17" ht="26.25" customHeight="1" x14ac:dyDescent="0.2">
      <c r="A7" s="12"/>
      <c r="B7" s="68" t="s">
        <v>70</v>
      </c>
      <c r="C7" s="94" t="s">
        <v>71</v>
      </c>
      <c r="D7" s="70" t="s">
        <v>63</v>
      </c>
      <c r="E7" s="95">
        <v>44568</v>
      </c>
      <c r="F7" s="96" t="s">
        <v>64</v>
      </c>
      <c r="G7" s="95">
        <v>44584</v>
      </c>
      <c r="H7" s="97" t="s">
        <v>65</v>
      </c>
      <c r="I7" s="98">
        <v>35</v>
      </c>
      <c r="J7" s="98">
        <v>22</v>
      </c>
      <c r="K7" s="98">
        <v>12</v>
      </c>
      <c r="L7" s="98">
        <v>7</v>
      </c>
      <c r="M7" s="99">
        <v>2.31</v>
      </c>
      <c r="N7" s="100">
        <v>7</v>
      </c>
      <c r="O7" s="59">
        <v>14000</v>
      </c>
      <c r="P7" s="60">
        <f t="shared" si="0"/>
        <v>98000</v>
      </c>
      <c r="Q7" s="125"/>
    </row>
    <row r="8" spans="1:17" ht="26.25" customHeight="1" x14ac:dyDescent="0.2">
      <c r="A8" s="12"/>
      <c r="B8" s="68"/>
      <c r="C8" s="94" t="s">
        <v>72</v>
      </c>
      <c r="D8" s="70" t="s">
        <v>63</v>
      </c>
      <c r="E8" s="95">
        <v>44568</v>
      </c>
      <c r="F8" s="96" t="s">
        <v>64</v>
      </c>
      <c r="G8" s="95">
        <v>44584</v>
      </c>
      <c r="H8" s="97" t="s">
        <v>65</v>
      </c>
      <c r="I8" s="98">
        <v>65</v>
      </c>
      <c r="J8" s="98">
        <v>43</v>
      </c>
      <c r="K8" s="98">
        <v>76</v>
      </c>
      <c r="L8" s="98">
        <v>31</v>
      </c>
      <c r="M8" s="99">
        <v>53.104999999999997</v>
      </c>
      <c r="N8" s="100">
        <v>53.104999999999997</v>
      </c>
      <c r="O8" s="59">
        <v>14000</v>
      </c>
      <c r="P8" s="60">
        <f t="shared" si="0"/>
        <v>743470</v>
      </c>
      <c r="Q8" s="126"/>
    </row>
    <row r="9" spans="1:17" ht="26.25" customHeight="1" x14ac:dyDescent="0.2">
      <c r="A9" s="74">
        <v>402917</v>
      </c>
      <c r="B9" s="67" t="s">
        <v>73</v>
      </c>
      <c r="C9" s="7" t="s">
        <v>74</v>
      </c>
      <c r="D9" s="70" t="s">
        <v>63</v>
      </c>
      <c r="E9" s="11">
        <v>44569</v>
      </c>
      <c r="F9" s="69" t="s">
        <v>64</v>
      </c>
      <c r="G9" s="11">
        <v>44584</v>
      </c>
      <c r="H9" s="8" t="s">
        <v>65</v>
      </c>
      <c r="I9" s="1">
        <v>62</v>
      </c>
      <c r="J9" s="1">
        <v>42</v>
      </c>
      <c r="K9" s="1">
        <v>75</v>
      </c>
      <c r="L9" s="1">
        <v>31</v>
      </c>
      <c r="M9" s="72">
        <v>48.825000000000003</v>
      </c>
      <c r="N9" s="88">
        <v>48.825000000000003</v>
      </c>
      <c r="O9" s="59">
        <v>14000</v>
      </c>
      <c r="P9" s="60">
        <f t="shared" si="0"/>
        <v>683550</v>
      </c>
      <c r="Q9" s="127">
        <v>2</v>
      </c>
    </row>
    <row r="10" spans="1:17" ht="26.25" customHeight="1" x14ac:dyDescent="0.2">
      <c r="A10" s="12"/>
      <c r="B10" s="68"/>
      <c r="C10" s="7" t="s">
        <v>75</v>
      </c>
      <c r="D10" s="70" t="s">
        <v>63</v>
      </c>
      <c r="E10" s="11">
        <v>44569</v>
      </c>
      <c r="F10" s="69" t="s">
        <v>64</v>
      </c>
      <c r="G10" s="11">
        <v>44584</v>
      </c>
      <c r="H10" s="8" t="s">
        <v>65</v>
      </c>
      <c r="I10" s="1">
        <v>97</v>
      </c>
      <c r="J10" s="1">
        <v>68</v>
      </c>
      <c r="K10" s="1">
        <v>11</v>
      </c>
      <c r="L10" s="1">
        <v>10</v>
      </c>
      <c r="M10" s="72">
        <v>18.138999999999999</v>
      </c>
      <c r="N10" s="88">
        <v>18.138999999999999</v>
      </c>
      <c r="O10" s="59">
        <v>14000</v>
      </c>
      <c r="P10" s="60">
        <f t="shared" si="0"/>
        <v>253946</v>
      </c>
      <c r="Q10" s="128"/>
    </row>
    <row r="11" spans="1:17" ht="26.25" customHeight="1" x14ac:dyDescent="0.2">
      <c r="A11" s="74">
        <v>402920</v>
      </c>
      <c r="B11" s="67" t="s">
        <v>76</v>
      </c>
      <c r="C11" s="7" t="s">
        <v>77</v>
      </c>
      <c r="D11" s="69" t="s">
        <v>63</v>
      </c>
      <c r="E11" s="11">
        <v>44569</v>
      </c>
      <c r="F11" s="69" t="s">
        <v>64</v>
      </c>
      <c r="G11" s="11">
        <v>44584</v>
      </c>
      <c r="H11" s="8" t="s">
        <v>65</v>
      </c>
      <c r="I11" s="1">
        <v>27</v>
      </c>
      <c r="J11" s="1">
        <v>18</v>
      </c>
      <c r="K11" s="1">
        <v>11</v>
      </c>
      <c r="L11" s="1">
        <v>1</v>
      </c>
      <c r="M11" s="72">
        <v>1.3365</v>
      </c>
      <c r="N11" s="88">
        <v>2</v>
      </c>
      <c r="O11" s="59">
        <v>14000</v>
      </c>
      <c r="P11" s="60">
        <f t="shared" si="0"/>
        <v>28000</v>
      </c>
      <c r="Q11" s="90">
        <v>1</v>
      </c>
    </row>
    <row r="12" spans="1:17" ht="26.25" customHeight="1" x14ac:dyDescent="0.2">
      <c r="A12" s="74">
        <v>402941</v>
      </c>
      <c r="B12" s="67" t="s">
        <v>78</v>
      </c>
      <c r="C12" s="7" t="s">
        <v>79</v>
      </c>
      <c r="D12" s="69" t="s">
        <v>63</v>
      </c>
      <c r="E12" s="11">
        <v>44578</v>
      </c>
      <c r="F12" s="69" t="s">
        <v>80</v>
      </c>
      <c r="G12" s="11">
        <v>44615</v>
      </c>
      <c r="H12" s="8" t="s">
        <v>81</v>
      </c>
      <c r="I12" s="1">
        <v>40</v>
      </c>
      <c r="J12" s="1">
        <v>36</v>
      </c>
      <c r="K12" s="1">
        <v>10</v>
      </c>
      <c r="L12" s="1">
        <v>10</v>
      </c>
      <c r="M12" s="72">
        <v>3.6</v>
      </c>
      <c r="N12" s="88">
        <v>10</v>
      </c>
      <c r="O12" s="59">
        <v>14000</v>
      </c>
      <c r="P12" s="60">
        <f t="shared" si="0"/>
        <v>140000</v>
      </c>
      <c r="Q12" s="90">
        <v>1</v>
      </c>
    </row>
    <row r="13" spans="1:17" ht="26.25" customHeight="1" x14ac:dyDescent="0.2">
      <c r="A13" s="74">
        <v>403474</v>
      </c>
      <c r="B13" s="67" t="s">
        <v>82</v>
      </c>
      <c r="C13" s="7" t="s">
        <v>83</v>
      </c>
      <c r="D13" s="69" t="s">
        <v>63</v>
      </c>
      <c r="E13" s="11">
        <v>44583</v>
      </c>
      <c r="F13" s="69" t="s">
        <v>84</v>
      </c>
      <c r="G13" s="11">
        <v>44615</v>
      </c>
      <c r="H13" s="8" t="s">
        <v>81</v>
      </c>
      <c r="I13" s="1">
        <v>70</v>
      </c>
      <c r="J13" s="1">
        <v>56</v>
      </c>
      <c r="K13" s="1">
        <v>56</v>
      </c>
      <c r="L13" s="1">
        <v>14</v>
      </c>
      <c r="M13" s="72">
        <v>54.88</v>
      </c>
      <c r="N13" s="88">
        <v>54.88</v>
      </c>
      <c r="O13" s="59">
        <v>14000</v>
      </c>
      <c r="P13" s="60">
        <f t="shared" si="0"/>
        <v>768320</v>
      </c>
      <c r="Q13" s="90">
        <v>1</v>
      </c>
    </row>
    <row r="14" spans="1:17" ht="26.25" customHeight="1" x14ac:dyDescent="0.2">
      <c r="A14" s="74">
        <v>403367</v>
      </c>
      <c r="B14" s="67" t="s">
        <v>85</v>
      </c>
      <c r="C14" s="7" t="s">
        <v>86</v>
      </c>
      <c r="D14" s="69" t="s">
        <v>63</v>
      </c>
      <c r="E14" s="11">
        <v>44591</v>
      </c>
      <c r="F14" s="69" t="s">
        <v>94</v>
      </c>
      <c r="G14" s="11">
        <v>44618</v>
      </c>
      <c r="H14" s="8" t="s">
        <v>95</v>
      </c>
      <c r="I14" s="1">
        <v>60</v>
      </c>
      <c r="J14" s="1">
        <v>39</v>
      </c>
      <c r="K14" s="1">
        <v>76</v>
      </c>
      <c r="L14" s="1">
        <v>31</v>
      </c>
      <c r="M14" s="72">
        <v>44.46</v>
      </c>
      <c r="N14" s="88">
        <v>45</v>
      </c>
      <c r="O14" s="59">
        <v>14000</v>
      </c>
      <c r="P14" s="60">
        <f t="shared" si="0"/>
        <v>630000</v>
      </c>
      <c r="Q14" s="127">
        <v>8</v>
      </c>
    </row>
    <row r="15" spans="1:17" ht="26.25" customHeight="1" x14ac:dyDescent="0.2">
      <c r="A15" s="12"/>
      <c r="B15" s="68"/>
      <c r="C15" s="7" t="s">
        <v>87</v>
      </c>
      <c r="D15" s="69" t="s">
        <v>63</v>
      </c>
      <c r="E15" s="11">
        <v>44591</v>
      </c>
      <c r="F15" s="69" t="s">
        <v>94</v>
      </c>
      <c r="G15" s="11">
        <v>44618</v>
      </c>
      <c r="H15" s="8" t="s">
        <v>95</v>
      </c>
      <c r="I15" s="1">
        <v>60</v>
      </c>
      <c r="J15" s="1">
        <v>39</v>
      </c>
      <c r="K15" s="1">
        <v>76</v>
      </c>
      <c r="L15" s="1">
        <v>31</v>
      </c>
      <c r="M15" s="72">
        <v>44.46</v>
      </c>
      <c r="N15" s="88">
        <v>45</v>
      </c>
      <c r="O15" s="59">
        <v>14000</v>
      </c>
      <c r="P15" s="60">
        <f t="shared" si="0"/>
        <v>630000</v>
      </c>
      <c r="Q15" s="129"/>
    </row>
    <row r="16" spans="1:17" ht="26.25" customHeight="1" x14ac:dyDescent="0.2">
      <c r="A16" s="12"/>
      <c r="B16" s="68"/>
      <c r="C16" s="7" t="s">
        <v>88</v>
      </c>
      <c r="D16" s="69" t="s">
        <v>63</v>
      </c>
      <c r="E16" s="11">
        <v>44591</v>
      </c>
      <c r="F16" s="69" t="s">
        <v>94</v>
      </c>
      <c r="G16" s="11">
        <v>44618</v>
      </c>
      <c r="H16" s="8" t="s">
        <v>95</v>
      </c>
      <c r="I16" s="1">
        <v>60</v>
      </c>
      <c r="J16" s="1">
        <v>39</v>
      </c>
      <c r="K16" s="1">
        <v>76</v>
      </c>
      <c r="L16" s="1">
        <v>31</v>
      </c>
      <c r="M16" s="72">
        <v>44.46</v>
      </c>
      <c r="N16" s="88">
        <v>45</v>
      </c>
      <c r="O16" s="59">
        <v>14000</v>
      </c>
      <c r="P16" s="60">
        <f t="shared" si="0"/>
        <v>630000</v>
      </c>
      <c r="Q16" s="129"/>
    </row>
    <row r="17" spans="1:17" ht="26.25" customHeight="1" x14ac:dyDescent="0.2">
      <c r="A17" s="12"/>
      <c r="B17" s="68"/>
      <c r="C17" s="7" t="s">
        <v>89</v>
      </c>
      <c r="D17" s="69" t="s">
        <v>63</v>
      </c>
      <c r="E17" s="11">
        <v>44591</v>
      </c>
      <c r="F17" s="69" t="s">
        <v>94</v>
      </c>
      <c r="G17" s="11">
        <v>44618</v>
      </c>
      <c r="H17" s="8" t="s">
        <v>95</v>
      </c>
      <c r="I17" s="1">
        <v>60</v>
      </c>
      <c r="J17" s="1">
        <v>39</v>
      </c>
      <c r="K17" s="1">
        <v>76</v>
      </c>
      <c r="L17" s="1">
        <v>31</v>
      </c>
      <c r="M17" s="72">
        <v>44.46</v>
      </c>
      <c r="N17" s="88">
        <v>45</v>
      </c>
      <c r="O17" s="59">
        <v>14000</v>
      </c>
      <c r="P17" s="60">
        <f t="shared" si="0"/>
        <v>630000</v>
      </c>
      <c r="Q17" s="129"/>
    </row>
    <row r="18" spans="1:17" ht="26.25" customHeight="1" x14ac:dyDescent="0.2">
      <c r="A18" s="12"/>
      <c r="B18" s="68"/>
      <c r="C18" s="7" t="s">
        <v>90</v>
      </c>
      <c r="D18" s="69" t="s">
        <v>63</v>
      </c>
      <c r="E18" s="11">
        <v>44591</v>
      </c>
      <c r="F18" s="69" t="s">
        <v>94</v>
      </c>
      <c r="G18" s="11">
        <v>44618</v>
      </c>
      <c r="H18" s="8" t="s">
        <v>95</v>
      </c>
      <c r="I18" s="1">
        <v>60</v>
      </c>
      <c r="J18" s="1">
        <v>39</v>
      </c>
      <c r="K18" s="1">
        <v>76</v>
      </c>
      <c r="L18" s="1">
        <v>31</v>
      </c>
      <c r="M18" s="72">
        <v>44.46</v>
      </c>
      <c r="N18" s="88">
        <v>45</v>
      </c>
      <c r="O18" s="59">
        <v>14000</v>
      </c>
      <c r="P18" s="60">
        <f t="shared" si="0"/>
        <v>630000</v>
      </c>
      <c r="Q18" s="129"/>
    </row>
    <row r="19" spans="1:17" ht="26.25" customHeight="1" x14ac:dyDescent="0.2">
      <c r="A19" s="12"/>
      <c r="B19" s="68"/>
      <c r="C19" s="7" t="s">
        <v>91</v>
      </c>
      <c r="D19" s="69" t="s">
        <v>63</v>
      </c>
      <c r="E19" s="11">
        <v>44591</v>
      </c>
      <c r="F19" s="69" t="s">
        <v>94</v>
      </c>
      <c r="G19" s="11">
        <v>44618</v>
      </c>
      <c r="H19" s="8" t="s">
        <v>95</v>
      </c>
      <c r="I19" s="1">
        <v>35</v>
      </c>
      <c r="J19" s="1">
        <v>35</v>
      </c>
      <c r="K19" s="1">
        <v>55</v>
      </c>
      <c r="L19" s="1">
        <v>13</v>
      </c>
      <c r="M19" s="72">
        <v>16.84375</v>
      </c>
      <c r="N19" s="88">
        <v>16.84375</v>
      </c>
      <c r="O19" s="59">
        <v>14000</v>
      </c>
      <c r="P19" s="60">
        <f t="shared" si="0"/>
        <v>235812.5</v>
      </c>
      <c r="Q19" s="129"/>
    </row>
    <row r="20" spans="1:17" ht="26.25" customHeight="1" x14ac:dyDescent="0.2">
      <c r="A20" s="12"/>
      <c r="B20" s="68"/>
      <c r="C20" s="7" t="s">
        <v>92</v>
      </c>
      <c r="D20" s="69" t="s">
        <v>63</v>
      </c>
      <c r="E20" s="11">
        <v>44591</v>
      </c>
      <c r="F20" s="69" t="s">
        <v>94</v>
      </c>
      <c r="G20" s="11">
        <v>44618</v>
      </c>
      <c r="H20" s="8" t="s">
        <v>95</v>
      </c>
      <c r="I20" s="1">
        <v>60</v>
      </c>
      <c r="J20" s="1">
        <v>39</v>
      </c>
      <c r="K20" s="1">
        <v>76</v>
      </c>
      <c r="L20" s="1">
        <v>31</v>
      </c>
      <c r="M20" s="72">
        <v>44.46</v>
      </c>
      <c r="N20" s="88">
        <v>45</v>
      </c>
      <c r="O20" s="59">
        <v>14000</v>
      </c>
      <c r="P20" s="60">
        <f t="shared" si="0"/>
        <v>630000</v>
      </c>
      <c r="Q20" s="129"/>
    </row>
    <row r="21" spans="1:17" ht="26.25" customHeight="1" x14ac:dyDescent="0.2">
      <c r="A21" s="12"/>
      <c r="B21" s="68"/>
      <c r="C21" s="7" t="s">
        <v>93</v>
      </c>
      <c r="D21" s="69" t="s">
        <v>63</v>
      </c>
      <c r="E21" s="11">
        <v>44591</v>
      </c>
      <c r="F21" s="69" t="s">
        <v>94</v>
      </c>
      <c r="G21" s="11">
        <v>44618</v>
      </c>
      <c r="H21" s="8" t="s">
        <v>95</v>
      </c>
      <c r="I21" s="1">
        <v>60</v>
      </c>
      <c r="J21" s="1">
        <v>39</v>
      </c>
      <c r="K21" s="1">
        <v>76</v>
      </c>
      <c r="L21" s="1">
        <v>31</v>
      </c>
      <c r="M21" s="72">
        <v>44.46</v>
      </c>
      <c r="N21" s="88">
        <v>45</v>
      </c>
      <c r="O21" s="59">
        <v>14000</v>
      </c>
      <c r="P21" s="60">
        <f>N21*O21</f>
        <v>630000</v>
      </c>
      <c r="Q21" s="128"/>
    </row>
    <row r="22" spans="1:17" ht="22.5" customHeight="1" x14ac:dyDescent="0.2">
      <c r="A22" s="119" t="s">
        <v>30</v>
      </c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1"/>
      <c r="M22" s="71">
        <f>SUM(M3:M21)</f>
        <v>547.17049999999995</v>
      </c>
      <c r="N22" s="63">
        <f>SUM(N3:N21)</f>
        <v>564.95274999999992</v>
      </c>
      <c r="O22" s="122">
        <f>SUM(P3:P21)</f>
        <v>7909338.5</v>
      </c>
      <c r="P22" s="123"/>
      <c r="Q22" s="103">
        <f>SUM(Q3:Q21)</f>
        <v>19</v>
      </c>
    </row>
    <row r="23" spans="1:17" ht="18" customHeight="1" x14ac:dyDescent="0.2">
      <c r="A23" s="77"/>
      <c r="B23" s="53" t="s">
        <v>42</v>
      </c>
      <c r="C23" s="52"/>
      <c r="D23" s="54" t="s">
        <v>43</v>
      </c>
      <c r="E23" s="77"/>
      <c r="F23" s="77"/>
      <c r="G23" s="77"/>
      <c r="H23" s="77"/>
      <c r="I23" s="77"/>
      <c r="J23" s="77"/>
      <c r="K23" s="77"/>
      <c r="L23" s="77"/>
      <c r="M23" s="78"/>
      <c r="N23" s="79" t="s">
        <v>51</v>
      </c>
      <c r="O23" s="80"/>
      <c r="P23" s="80">
        <f>O22*10%</f>
        <v>790933.85000000009</v>
      </c>
    </row>
    <row r="24" spans="1:17" ht="18" customHeight="1" thickBot="1" x14ac:dyDescent="0.25">
      <c r="A24" s="77"/>
      <c r="B24" s="53"/>
      <c r="C24" s="52"/>
      <c r="D24" s="54"/>
      <c r="E24" s="77"/>
      <c r="F24" s="77"/>
      <c r="G24" s="77"/>
      <c r="H24" s="77"/>
      <c r="I24" s="77"/>
      <c r="J24" s="77"/>
      <c r="K24" s="77"/>
      <c r="L24" s="77"/>
      <c r="M24" s="78"/>
      <c r="N24" s="81" t="s">
        <v>52</v>
      </c>
      <c r="O24" s="82"/>
      <c r="P24" s="82">
        <f>O22-P23</f>
        <v>7118404.6500000004</v>
      </c>
    </row>
    <row r="25" spans="1:17" ht="18" customHeight="1" x14ac:dyDescent="0.2">
      <c r="A25" s="9"/>
      <c r="H25" s="58"/>
      <c r="N25" s="57" t="s">
        <v>31</v>
      </c>
      <c r="P25" s="64">
        <f>P24*1%</f>
        <v>71184.046500000011</v>
      </c>
    </row>
    <row r="26" spans="1:17" ht="18" customHeight="1" thickBot="1" x14ac:dyDescent="0.25">
      <c r="A26" s="9"/>
      <c r="H26" s="58"/>
      <c r="N26" s="57" t="s">
        <v>53</v>
      </c>
      <c r="P26" s="66">
        <f>P24*2%</f>
        <v>142368.09300000002</v>
      </c>
    </row>
    <row r="27" spans="1:17" ht="18" customHeight="1" x14ac:dyDescent="0.2">
      <c r="A27" s="9"/>
      <c r="H27" s="58"/>
      <c r="N27" s="61" t="s">
        <v>32</v>
      </c>
      <c r="O27" s="62"/>
      <c r="P27" s="65">
        <f>P24+P25-P26</f>
        <v>7047220.6035000002</v>
      </c>
    </row>
    <row r="29" spans="1:17" x14ac:dyDescent="0.2">
      <c r="A29" s="9"/>
      <c r="H29" s="58"/>
      <c r="P29" s="66"/>
    </row>
    <row r="30" spans="1:17" x14ac:dyDescent="0.2">
      <c r="A30" s="9"/>
      <c r="H30" s="58"/>
      <c r="O30" s="55"/>
      <c r="P30" s="66"/>
    </row>
    <row r="31" spans="1:17" s="3" customFormat="1" x14ac:dyDescent="0.25">
      <c r="A31" s="9"/>
      <c r="B31" s="2"/>
      <c r="C31" s="2"/>
      <c r="E31" s="10"/>
      <c r="H31" s="58"/>
      <c r="N31" s="13"/>
      <c r="O31" s="13"/>
      <c r="P31" s="13"/>
    </row>
    <row r="32" spans="1:17" s="3" customFormat="1" x14ac:dyDescent="0.25">
      <c r="A32" s="9"/>
      <c r="B32" s="2"/>
      <c r="C32" s="2"/>
      <c r="E32" s="10"/>
      <c r="H32" s="58"/>
      <c r="N32" s="13"/>
      <c r="O32" s="13"/>
      <c r="P32" s="13"/>
    </row>
    <row r="33" spans="1:16" s="3" customFormat="1" x14ac:dyDescent="0.25">
      <c r="A33" s="9"/>
      <c r="B33" s="2"/>
      <c r="C33" s="2"/>
      <c r="E33" s="10"/>
      <c r="H33" s="58"/>
      <c r="N33" s="13"/>
      <c r="O33" s="13"/>
      <c r="P33" s="13"/>
    </row>
    <row r="34" spans="1:16" s="3" customFormat="1" x14ac:dyDescent="0.25">
      <c r="A34" s="9"/>
      <c r="B34" s="2"/>
      <c r="C34" s="2"/>
      <c r="E34" s="10"/>
      <c r="H34" s="58"/>
      <c r="N34" s="13"/>
      <c r="O34" s="13"/>
      <c r="P34" s="13"/>
    </row>
    <row r="35" spans="1:16" s="3" customFormat="1" x14ac:dyDescent="0.25">
      <c r="A35" s="9"/>
      <c r="B35" s="2"/>
      <c r="C35" s="2"/>
      <c r="E35" s="10"/>
      <c r="H35" s="58"/>
      <c r="N35" s="13"/>
      <c r="O35" s="13"/>
      <c r="P35" s="13"/>
    </row>
    <row r="36" spans="1:16" s="3" customFormat="1" x14ac:dyDescent="0.25">
      <c r="A36" s="9"/>
      <c r="B36" s="2"/>
      <c r="C36" s="2"/>
      <c r="E36" s="10"/>
      <c r="H36" s="58"/>
      <c r="N36" s="13"/>
      <c r="O36" s="13"/>
      <c r="P36" s="13"/>
    </row>
    <row r="37" spans="1:16" s="3" customFormat="1" x14ac:dyDescent="0.25">
      <c r="A37" s="9"/>
      <c r="B37" s="2"/>
      <c r="C37" s="2"/>
      <c r="E37" s="10"/>
      <c r="H37" s="58"/>
      <c r="N37" s="13"/>
      <c r="O37" s="13"/>
      <c r="P37" s="13"/>
    </row>
    <row r="38" spans="1:16" s="3" customFormat="1" x14ac:dyDescent="0.25">
      <c r="A38" s="9"/>
      <c r="B38" s="2"/>
      <c r="C38" s="2"/>
      <c r="E38" s="10"/>
      <c r="H38" s="58"/>
      <c r="N38" s="13"/>
      <c r="O38" s="13"/>
      <c r="P38" s="13"/>
    </row>
    <row r="39" spans="1:16" s="3" customFormat="1" x14ac:dyDescent="0.25">
      <c r="A39" s="9"/>
      <c r="B39" s="2"/>
      <c r="C39" s="2"/>
      <c r="E39" s="10"/>
      <c r="H39" s="58"/>
      <c r="N39" s="13"/>
      <c r="O39" s="13"/>
      <c r="P39" s="13"/>
    </row>
    <row r="40" spans="1:16" s="3" customFormat="1" x14ac:dyDescent="0.25">
      <c r="A40" s="9"/>
      <c r="B40" s="2"/>
      <c r="C40" s="2"/>
      <c r="E40" s="10"/>
      <c r="H40" s="58"/>
      <c r="N40" s="13"/>
      <c r="O40" s="13"/>
      <c r="P40" s="13"/>
    </row>
    <row r="41" spans="1:16" s="3" customFormat="1" x14ac:dyDescent="0.25">
      <c r="A41" s="9"/>
      <c r="B41" s="2"/>
      <c r="C41" s="2"/>
      <c r="E41" s="10"/>
      <c r="H41" s="58"/>
      <c r="N41" s="13"/>
      <c r="O41" s="13"/>
      <c r="P41" s="13"/>
    </row>
    <row r="42" spans="1:16" s="3" customFormat="1" x14ac:dyDescent="0.25">
      <c r="A42" s="9"/>
      <c r="B42" s="2"/>
      <c r="C42" s="2"/>
      <c r="E42" s="10"/>
      <c r="H42" s="58"/>
      <c r="N42" s="13"/>
      <c r="O42" s="13"/>
      <c r="P42" s="13"/>
    </row>
  </sheetData>
  <mergeCells count="5">
    <mergeCell ref="A22:L22"/>
    <mergeCell ref="O22:P22"/>
    <mergeCell ref="Q4:Q8"/>
    <mergeCell ref="Q9:Q10"/>
    <mergeCell ref="Q14:Q21"/>
  </mergeCells>
  <conditionalFormatting sqref="B3">
    <cfRule type="duplicateValues" dxfId="137" priority="9"/>
  </conditionalFormatting>
  <conditionalFormatting sqref="B4">
    <cfRule type="duplicateValues" dxfId="136" priority="7"/>
  </conditionalFormatting>
  <conditionalFormatting sqref="B5:B8">
    <cfRule type="duplicateValues" dxfId="135" priority="8"/>
  </conditionalFormatting>
  <conditionalFormatting sqref="B9">
    <cfRule type="duplicateValues" dxfId="134" priority="6"/>
  </conditionalFormatting>
  <conditionalFormatting sqref="B10">
    <cfRule type="duplicateValues" dxfId="133" priority="5"/>
  </conditionalFormatting>
  <conditionalFormatting sqref="B11">
    <cfRule type="duplicateValues" dxfId="132" priority="4"/>
  </conditionalFormatting>
  <conditionalFormatting sqref="B12">
    <cfRule type="duplicateValues" dxfId="131" priority="3"/>
  </conditionalFormatting>
  <conditionalFormatting sqref="B13">
    <cfRule type="duplicateValues" dxfId="130" priority="2"/>
  </conditionalFormatting>
  <conditionalFormatting sqref="B14:B21">
    <cfRule type="duplicateValues" dxfId="129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4"/>
  <sheetViews>
    <sheetView zoomScale="112" zoomScaleNormal="112" workbookViewId="0">
      <pane xSplit="3" ySplit="2" topLeftCell="D3" activePane="bottomRight" state="frozen"/>
      <selection activeCell="D15" sqref="D15"/>
      <selection pane="topRight" activeCell="D15" sqref="D15"/>
      <selection pane="bottomLeft" activeCell="D15" sqref="D15"/>
      <selection pane="bottomRight" activeCell="E11" sqref="E11"/>
    </sheetView>
  </sheetViews>
  <sheetFormatPr defaultRowHeight="15" x14ac:dyDescent="0.2"/>
  <cols>
    <col min="1" max="1" width="7" style="4" customWidth="1"/>
    <col min="2" max="2" width="19.28515625" style="2" customWidth="1"/>
    <col min="3" max="3" width="14.85546875" style="2" customWidth="1"/>
    <col min="4" max="4" width="11.5703125" style="3" customWidth="1"/>
    <col min="5" max="5" width="7.7109375" style="10" customWidth="1"/>
    <col min="6" max="6" width="13.140625" style="3" customWidth="1"/>
    <col min="7" max="7" width="10.140625" style="3" customWidth="1"/>
    <col min="8" max="8" width="19.140625" style="6" customWidth="1"/>
    <col min="9" max="10" width="3.5703125" style="3" customWidth="1"/>
    <col min="11" max="11" width="3.7109375" style="3" customWidth="1"/>
    <col min="12" max="12" width="4.28515625" style="3" customWidth="1"/>
    <col min="13" max="13" width="7.85546875" style="3" customWidth="1"/>
    <col min="14" max="14" width="12.140625" style="13" customWidth="1"/>
    <col min="15" max="15" width="8.140625" style="13" customWidth="1"/>
    <col min="16" max="16" width="9.28515625" style="13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87" t="s">
        <v>44</v>
      </c>
      <c r="B2" s="56" t="s">
        <v>7</v>
      </c>
      <c r="C2" s="56" t="s">
        <v>0</v>
      </c>
      <c r="D2" s="56" t="s">
        <v>1</v>
      </c>
      <c r="E2" s="89" t="s">
        <v>4</v>
      </c>
      <c r="F2" s="56" t="s">
        <v>3</v>
      </c>
      <c r="G2" s="56" t="s">
        <v>5</v>
      </c>
      <c r="H2" s="89" t="s">
        <v>2</v>
      </c>
      <c r="I2" s="56" t="s">
        <v>39</v>
      </c>
      <c r="J2" s="56" t="s">
        <v>40</v>
      </c>
      <c r="K2" s="56" t="s">
        <v>41</v>
      </c>
      <c r="L2" s="56" t="s">
        <v>45</v>
      </c>
      <c r="M2" s="56" t="s">
        <v>46</v>
      </c>
      <c r="N2" s="56" t="s">
        <v>6</v>
      </c>
      <c r="O2" s="56" t="s">
        <v>47</v>
      </c>
      <c r="P2" s="56" t="s">
        <v>48</v>
      </c>
      <c r="Q2" s="56" t="s">
        <v>26</v>
      </c>
    </row>
    <row r="3" spans="1:17" ht="26.25" customHeight="1" x14ac:dyDescent="0.2">
      <c r="A3" s="74">
        <v>402776</v>
      </c>
      <c r="B3" s="93" t="s">
        <v>61</v>
      </c>
      <c r="C3" s="7" t="s">
        <v>62</v>
      </c>
      <c r="D3" s="70" t="s">
        <v>63</v>
      </c>
      <c r="E3" s="11">
        <v>44563</v>
      </c>
      <c r="F3" s="69" t="s">
        <v>64</v>
      </c>
      <c r="G3" s="11">
        <v>44584</v>
      </c>
      <c r="H3" s="8" t="s">
        <v>65</v>
      </c>
      <c r="I3" s="1">
        <v>53</v>
      </c>
      <c r="J3" s="1">
        <v>45</v>
      </c>
      <c r="K3" s="1">
        <v>13</v>
      </c>
      <c r="L3" s="1">
        <v>10</v>
      </c>
      <c r="M3" s="72">
        <v>7.7512499999999998</v>
      </c>
      <c r="N3" s="88">
        <v>10</v>
      </c>
      <c r="O3" s="59">
        <v>14000</v>
      </c>
      <c r="P3" s="60">
        <f>Table22457891011234[[#This Row],[PEMBULATAN]]*O3</f>
        <v>140000</v>
      </c>
      <c r="Q3" s="90">
        <v>1</v>
      </c>
    </row>
    <row r="4" spans="1:17" ht="22.5" customHeight="1" x14ac:dyDescent="0.2">
      <c r="A4" s="119" t="s">
        <v>30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1"/>
      <c r="M4" s="71">
        <f>SUBTOTAL(109,Table22457891011234[KG VOLUME])</f>
        <v>7.7512499999999998</v>
      </c>
      <c r="N4" s="63">
        <f>SUM(N3:N3)</f>
        <v>10</v>
      </c>
      <c r="O4" s="122">
        <f>SUM(P3:P3)</f>
        <v>140000</v>
      </c>
      <c r="P4" s="123"/>
    </row>
    <row r="5" spans="1:17" ht="18" customHeight="1" x14ac:dyDescent="0.2">
      <c r="A5" s="77"/>
      <c r="B5" s="53" t="s">
        <v>42</v>
      </c>
      <c r="C5" s="52"/>
      <c r="D5" s="54" t="s">
        <v>43</v>
      </c>
      <c r="E5" s="77"/>
      <c r="F5" s="77"/>
      <c r="G5" s="77"/>
      <c r="H5" s="77"/>
      <c r="I5" s="77"/>
      <c r="J5" s="77"/>
      <c r="K5" s="77"/>
      <c r="L5" s="77"/>
      <c r="M5" s="78"/>
      <c r="N5" s="79" t="s">
        <v>51</v>
      </c>
      <c r="O5" s="80"/>
      <c r="P5" s="80">
        <f>O4*10%</f>
        <v>14000</v>
      </c>
    </row>
    <row r="6" spans="1:17" ht="18" customHeight="1" thickBot="1" x14ac:dyDescent="0.25">
      <c r="A6" s="77"/>
      <c r="B6" s="53"/>
      <c r="C6" s="52"/>
      <c r="D6" s="54"/>
      <c r="E6" s="77"/>
      <c r="F6" s="77"/>
      <c r="G6" s="77"/>
      <c r="H6" s="77"/>
      <c r="I6" s="77"/>
      <c r="J6" s="77"/>
      <c r="K6" s="77"/>
      <c r="L6" s="77"/>
      <c r="M6" s="78"/>
      <c r="N6" s="81" t="s">
        <v>52</v>
      </c>
      <c r="O6" s="82"/>
      <c r="P6" s="82">
        <f>O4-P5</f>
        <v>126000</v>
      </c>
    </row>
    <row r="7" spans="1:17" ht="18" customHeight="1" x14ac:dyDescent="0.2">
      <c r="A7" s="9"/>
      <c r="H7" s="58"/>
      <c r="N7" s="57" t="s">
        <v>31</v>
      </c>
      <c r="P7" s="64">
        <f>P6*1%</f>
        <v>1260</v>
      </c>
    </row>
    <row r="8" spans="1:17" ht="18" customHeight="1" thickBot="1" x14ac:dyDescent="0.25">
      <c r="A8" s="9"/>
      <c r="H8" s="58"/>
      <c r="N8" s="57" t="s">
        <v>53</v>
      </c>
      <c r="P8" s="66">
        <f>P6*2%</f>
        <v>2520</v>
      </c>
    </row>
    <row r="9" spans="1:17" ht="18" customHeight="1" x14ac:dyDescent="0.2">
      <c r="A9" s="9"/>
      <c r="H9" s="58"/>
      <c r="N9" s="61" t="s">
        <v>32</v>
      </c>
      <c r="O9" s="62"/>
      <c r="P9" s="65">
        <f>P6+P7-P8</f>
        <v>124740</v>
      </c>
    </row>
    <row r="11" spans="1:17" x14ac:dyDescent="0.2">
      <c r="A11" s="9"/>
      <c r="H11" s="58"/>
      <c r="P11" s="66"/>
    </row>
    <row r="12" spans="1:17" x14ac:dyDescent="0.2">
      <c r="A12" s="9"/>
      <c r="H12" s="58"/>
      <c r="O12" s="55"/>
      <c r="P12" s="66"/>
    </row>
    <row r="13" spans="1:17" s="3" customFormat="1" x14ac:dyDescent="0.25">
      <c r="A13" s="9"/>
      <c r="B13" s="2"/>
      <c r="C13" s="2"/>
      <c r="E13" s="10"/>
      <c r="H13" s="58"/>
      <c r="N13" s="13"/>
      <c r="O13" s="13"/>
      <c r="P13" s="13"/>
    </row>
    <row r="14" spans="1:17" s="3" customFormat="1" x14ac:dyDescent="0.25">
      <c r="A14" s="9"/>
      <c r="B14" s="2"/>
      <c r="C14" s="2"/>
      <c r="E14" s="10"/>
      <c r="H14" s="58"/>
      <c r="N14" s="13"/>
      <c r="O14" s="13"/>
      <c r="P14" s="13"/>
    </row>
    <row r="15" spans="1:17" s="3" customFormat="1" x14ac:dyDescent="0.25">
      <c r="A15" s="9"/>
      <c r="B15" s="2"/>
      <c r="C15" s="2"/>
      <c r="E15" s="10"/>
      <c r="H15" s="58"/>
      <c r="N15" s="13"/>
      <c r="O15" s="13"/>
      <c r="P15" s="13"/>
    </row>
    <row r="16" spans="1:17" s="3" customFormat="1" x14ac:dyDescent="0.25">
      <c r="A16" s="9"/>
      <c r="B16" s="2"/>
      <c r="C16" s="2"/>
      <c r="E16" s="10"/>
      <c r="H16" s="58"/>
      <c r="N16" s="13"/>
      <c r="O16" s="13"/>
      <c r="P16" s="13"/>
    </row>
    <row r="17" spans="1:16" s="3" customFormat="1" x14ac:dyDescent="0.25">
      <c r="A17" s="9"/>
      <c r="B17" s="2"/>
      <c r="C17" s="2"/>
      <c r="E17" s="10"/>
      <c r="H17" s="58"/>
      <c r="N17" s="13"/>
      <c r="O17" s="13"/>
      <c r="P17" s="13"/>
    </row>
    <row r="18" spans="1:16" s="3" customFormat="1" x14ac:dyDescent="0.25">
      <c r="A18" s="9"/>
      <c r="B18" s="2"/>
      <c r="C18" s="2"/>
      <c r="E18" s="10"/>
      <c r="H18" s="58"/>
      <c r="N18" s="13"/>
      <c r="O18" s="13"/>
      <c r="P18" s="13"/>
    </row>
    <row r="19" spans="1:16" s="3" customFormat="1" x14ac:dyDescent="0.25">
      <c r="A19" s="9"/>
      <c r="B19" s="2"/>
      <c r="C19" s="2"/>
      <c r="E19" s="10"/>
      <c r="H19" s="58"/>
      <c r="N19" s="13"/>
      <c r="O19" s="13"/>
      <c r="P19" s="13"/>
    </row>
    <row r="20" spans="1:16" s="3" customFormat="1" x14ac:dyDescent="0.25">
      <c r="A20" s="9"/>
      <c r="B20" s="2"/>
      <c r="C20" s="2"/>
      <c r="E20" s="10"/>
      <c r="H20" s="58"/>
      <c r="N20" s="13"/>
      <c r="O20" s="13"/>
      <c r="P20" s="13"/>
    </row>
    <row r="21" spans="1:16" s="3" customFormat="1" x14ac:dyDescent="0.25">
      <c r="A21" s="9"/>
      <c r="B21" s="2"/>
      <c r="C21" s="2"/>
      <c r="E21" s="10"/>
      <c r="H21" s="58"/>
      <c r="N21" s="13"/>
      <c r="O21" s="13"/>
      <c r="P21" s="13"/>
    </row>
    <row r="22" spans="1:16" s="3" customFormat="1" x14ac:dyDescent="0.25">
      <c r="A22" s="9"/>
      <c r="B22" s="2"/>
      <c r="C22" s="2"/>
      <c r="E22" s="10"/>
      <c r="H22" s="58"/>
      <c r="N22" s="13"/>
      <c r="O22" s="13"/>
      <c r="P22" s="13"/>
    </row>
    <row r="23" spans="1:16" s="3" customFormat="1" x14ac:dyDescent="0.25">
      <c r="A23" s="9"/>
      <c r="B23" s="2"/>
      <c r="C23" s="2"/>
      <c r="E23" s="10"/>
      <c r="H23" s="58"/>
      <c r="N23" s="13"/>
      <c r="O23" s="13"/>
      <c r="P23" s="13"/>
    </row>
    <row r="24" spans="1:16" s="3" customFormat="1" x14ac:dyDescent="0.25">
      <c r="A24" s="9"/>
      <c r="B24" s="2"/>
      <c r="C24" s="2"/>
      <c r="E24" s="10"/>
      <c r="H24" s="58"/>
      <c r="N24" s="13"/>
      <c r="O24" s="13"/>
      <c r="P24" s="13"/>
    </row>
  </sheetData>
  <mergeCells count="2">
    <mergeCell ref="A4:L4"/>
    <mergeCell ref="O4:P4"/>
  </mergeCells>
  <conditionalFormatting sqref="B3">
    <cfRule type="duplicateValues" dxfId="113" priority="1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8"/>
  <sheetViews>
    <sheetView zoomScale="112" zoomScaleNormal="112" workbookViewId="0">
      <pane xSplit="3" ySplit="2" topLeftCell="D3" activePane="bottomRight" state="frozen"/>
      <selection activeCell="D15" sqref="D15"/>
      <selection pane="topRight" activeCell="D15" sqref="D15"/>
      <selection pane="bottomLeft" activeCell="D15" sqref="D15"/>
      <selection pane="bottomRight" activeCell="E12" sqref="E12"/>
    </sheetView>
  </sheetViews>
  <sheetFormatPr defaultRowHeight="15" x14ac:dyDescent="0.2"/>
  <cols>
    <col min="1" max="1" width="7.140625" style="4" customWidth="1"/>
    <col min="2" max="2" width="19" style="2" customWidth="1"/>
    <col min="3" max="3" width="14.5703125" style="2" customWidth="1"/>
    <col min="4" max="4" width="11.140625" style="3" customWidth="1"/>
    <col min="5" max="5" width="8.140625" style="10" customWidth="1"/>
    <col min="6" max="6" width="12.85546875" style="3" customWidth="1"/>
    <col min="7" max="7" width="9.85546875" style="3" customWidth="1"/>
    <col min="8" max="8" width="18.28515625" style="6" customWidth="1"/>
    <col min="9" max="9" width="3.5703125" style="3" customWidth="1"/>
    <col min="10" max="10" width="3.28515625" style="3" customWidth="1"/>
    <col min="11" max="11" width="3.42578125" style="3" customWidth="1"/>
    <col min="12" max="12" width="4.5703125" style="3" customWidth="1"/>
    <col min="13" max="13" width="7.85546875" style="3" customWidth="1"/>
    <col min="14" max="14" width="12.28515625" style="13" customWidth="1"/>
    <col min="15" max="15" width="8.140625" style="13" customWidth="1"/>
    <col min="16" max="16" width="11.140625" style="13" customWidth="1"/>
    <col min="17" max="17" width="6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87" t="s">
        <v>44</v>
      </c>
      <c r="B2" s="56" t="s">
        <v>7</v>
      </c>
      <c r="C2" s="56" t="s">
        <v>0</v>
      </c>
      <c r="D2" s="56" t="s">
        <v>1</v>
      </c>
      <c r="E2" s="89" t="s">
        <v>4</v>
      </c>
      <c r="F2" s="56" t="s">
        <v>3</v>
      </c>
      <c r="G2" s="56" t="s">
        <v>5</v>
      </c>
      <c r="H2" s="89" t="s">
        <v>2</v>
      </c>
      <c r="I2" s="56" t="s">
        <v>39</v>
      </c>
      <c r="J2" s="56" t="s">
        <v>40</v>
      </c>
      <c r="K2" s="56" t="s">
        <v>41</v>
      </c>
      <c r="L2" s="56" t="s">
        <v>45</v>
      </c>
      <c r="M2" s="56" t="s">
        <v>46</v>
      </c>
      <c r="N2" s="56" t="s">
        <v>6</v>
      </c>
      <c r="O2" s="56" t="s">
        <v>47</v>
      </c>
      <c r="P2" s="56" t="s">
        <v>48</v>
      </c>
      <c r="Q2" s="56" t="s">
        <v>26</v>
      </c>
    </row>
    <row r="3" spans="1:17" ht="26.25" customHeight="1" x14ac:dyDescent="0.2">
      <c r="A3" s="74">
        <v>402796</v>
      </c>
      <c r="B3" s="67" t="s">
        <v>66</v>
      </c>
      <c r="C3" s="7" t="s">
        <v>67</v>
      </c>
      <c r="D3" s="70" t="s">
        <v>63</v>
      </c>
      <c r="E3" s="11">
        <v>44568</v>
      </c>
      <c r="F3" s="69" t="s">
        <v>64</v>
      </c>
      <c r="G3" s="11">
        <v>44584</v>
      </c>
      <c r="H3" s="8" t="s">
        <v>65</v>
      </c>
      <c r="I3" s="1">
        <v>54</v>
      </c>
      <c r="J3" s="1">
        <v>48</v>
      </c>
      <c r="K3" s="1">
        <v>15</v>
      </c>
      <c r="L3" s="1">
        <v>8</v>
      </c>
      <c r="M3" s="72">
        <v>9.7200000000000006</v>
      </c>
      <c r="N3" s="88">
        <v>9.7200000000000006</v>
      </c>
      <c r="O3" s="59">
        <v>14000</v>
      </c>
      <c r="P3" s="60">
        <f>Table224578910112345[[#This Row],[PEMBULATAN]]*O3</f>
        <v>136080</v>
      </c>
      <c r="Q3" s="124">
        <v>5</v>
      </c>
    </row>
    <row r="4" spans="1:17" ht="26.25" customHeight="1" x14ac:dyDescent="0.2">
      <c r="A4" s="12"/>
      <c r="B4" s="68"/>
      <c r="C4" s="7" t="s">
        <v>68</v>
      </c>
      <c r="D4" s="70" t="s">
        <v>63</v>
      </c>
      <c r="E4" s="11">
        <v>44568</v>
      </c>
      <c r="F4" s="69" t="s">
        <v>64</v>
      </c>
      <c r="G4" s="11">
        <v>44584</v>
      </c>
      <c r="H4" s="8" t="s">
        <v>65</v>
      </c>
      <c r="I4" s="1">
        <v>54</v>
      </c>
      <c r="J4" s="1">
        <v>48</v>
      </c>
      <c r="K4" s="1">
        <v>15</v>
      </c>
      <c r="L4" s="1">
        <v>8</v>
      </c>
      <c r="M4" s="72">
        <v>9.7200000000000006</v>
      </c>
      <c r="N4" s="88">
        <v>9.7200000000000006</v>
      </c>
      <c r="O4" s="59">
        <v>14000</v>
      </c>
      <c r="P4" s="60">
        <f>Table224578910112345[[#This Row],[PEMBULATAN]]*O4</f>
        <v>136080</v>
      </c>
      <c r="Q4" s="125"/>
    </row>
    <row r="5" spans="1:17" ht="26.25" customHeight="1" x14ac:dyDescent="0.2">
      <c r="A5" s="12"/>
      <c r="B5" s="101"/>
      <c r="C5" s="94" t="s">
        <v>69</v>
      </c>
      <c r="D5" s="70" t="s">
        <v>63</v>
      </c>
      <c r="E5" s="95">
        <v>44568</v>
      </c>
      <c r="F5" s="96" t="s">
        <v>64</v>
      </c>
      <c r="G5" s="95">
        <v>44584</v>
      </c>
      <c r="H5" s="97" t="s">
        <v>65</v>
      </c>
      <c r="I5" s="98">
        <v>54</v>
      </c>
      <c r="J5" s="98">
        <v>48</v>
      </c>
      <c r="K5" s="98">
        <v>15</v>
      </c>
      <c r="L5" s="98">
        <v>8</v>
      </c>
      <c r="M5" s="99">
        <v>9.7200000000000006</v>
      </c>
      <c r="N5" s="100">
        <v>9.7200000000000006</v>
      </c>
      <c r="O5" s="59">
        <v>14000</v>
      </c>
      <c r="P5" s="60">
        <f>Table224578910112345[[#This Row],[PEMBULATAN]]*O5</f>
        <v>136080</v>
      </c>
      <c r="Q5" s="125"/>
    </row>
    <row r="6" spans="1:17" ht="26.25" customHeight="1" x14ac:dyDescent="0.2">
      <c r="A6" s="12"/>
      <c r="B6" s="68" t="s">
        <v>70</v>
      </c>
      <c r="C6" s="94" t="s">
        <v>71</v>
      </c>
      <c r="D6" s="70" t="s">
        <v>63</v>
      </c>
      <c r="E6" s="95">
        <v>44568</v>
      </c>
      <c r="F6" s="96" t="s">
        <v>64</v>
      </c>
      <c r="G6" s="95">
        <v>44584</v>
      </c>
      <c r="H6" s="97" t="s">
        <v>65</v>
      </c>
      <c r="I6" s="98">
        <v>35</v>
      </c>
      <c r="J6" s="98">
        <v>22</v>
      </c>
      <c r="K6" s="98">
        <v>12</v>
      </c>
      <c r="L6" s="98">
        <v>7</v>
      </c>
      <c r="M6" s="99">
        <v>2.31</v>
      </c>
      <c r="N6" s="100">
        <v>7</v>
      </c>
      <c r="O6" s="59">
        <v>14000</v>
      </c>
      <c r="P6" s="60">
        <f>Table224578910112345[[#This Row],[PEMBULATAN]]*O6</f>
        <v>98000</v>
      </c>
      <c r="Q6" s="125"/>
    </row>
    <row r="7" spans="1:17" ht="26.25" customHeight="1" x14ac:dyDescent="0.2">
      <c r="A7" s="12"/>
      <c r="B7" s="68"/>
      <c r="C7" s="94" t="s">
        <v>72</v>
      </c>
      <c r="D7" s="70" t="s">
        <v>63</v>
      </c>
      <c r="E7" s="95">
        <v>44568</v>
      </c>
      <c r="F7" s="96" t="s">
        <v>64</v>
      </c>
      <c r="G7" s="95">
        <v>44584</v>
      </c>
      <c r="H7" s="97" t="s">
        <v>65</v>
      </c>
      <c r="I7" s="98">
        <v>65</v>
      </c>
      <c r="J7" s="98">
        <v>43</v>
      </c>
      <c r="K7" s="98">
        <v>76</v>
      </c>
      <c r="L7" s="98">
        <v>31</v>
      </c>
      <c r="M7" s="99">
        <v>53.104999999999997</v>
      </c>
      <c r="N7" s="100">
        <v>53.104999999999997</v>
      </c>
      <c r="O7" s="59">
        <v>14000</v>
      </c>
      <c r="P7" s="60">
        <f>Table224578910112345[[#This Row],[PEMBULATAN]]*O7</f>
        <v>743470</v>
      </c>
      <c r="Q7" s="126"/>
    </row>
    <row r="8" spans="1:17" ht="22.5" customHeight="1" x14ac:dyDescent="0.2">
      <c r="A8" s="119" t="s">
        <v>30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1"/>
      <c r="M8" s="71">
        <f>SUBTOTAL(109,Table224578910112345[KG VOLUME])</f>
        <v>84.575000000000003</v>
      </c>
      <c r="N8" s="63">
        <f>SUM(N3:N7)</f>
        <v>89.265000000000001</v>
      </c>
      <c r="O8" s="122">
        <f>SUM(P3:P7)</f>
        <v>1249710</v>
      </c>
      <c r="P8" s="123"/>
    </row>
    <row r="9" spans="1:17" ht="18" customHeight="1" x14ac:dyDescent="0.2">
      <c r="A9" s="77"/>
      <c r="B9" s="53" t="s">
        <v>42</v>
      </c>
      <c r="C9" s="52"/>
      <c r="D9" s="54" t="s">
        <v>43</v>
      </c>
      <c r="E9" s="77"/>
      <c r="F9" s="77"/>
      <c r="G9" s="77"/>
      <c r="H9" s="77"/>
      <c r="I9" s="77"/>
      <c r="J9" s="77"/>
      <c r="K9" s="77"/>
      <c r="L9" s="77"/>
      <c r="M9" s="78"/>
      <c r="N9" s="79" t="s">
        <v>51</v>
      </c>
      <c r="O9" s="80"/>
      <c r="P9" s="80">
        <f>O8*10%</f>
        <v>124971</v>
      </c>
    </row>
    <row r="10" spans="1:17" ht="18" customHeight="1" thickBot="1" x14ac:dyDescent="0.25">
      <c r="A10" s="77"/>
      <c r="B10" s="53"/>
      <c r="C10" s="52"/>
      <c r="D10" s="54"/>
      <c r="E10" s="77"/>
      <c r="F10" s="77"/>
      <c r="G10" s="77"/>
      <c r="H10" s="77"/>
      <c r="I10" s="77"/>
      <c r="J10" s="77"/>
      <c r="K10" s="77"/>
      <c r="L10" s="77"/>
      <c r="M10" s="78"/>
      <c r="N10" s="81" t="s">
        <v>52</v>
      </c>
      <c r="O10" s="82"/>
      <c r="P10" s="82">
        <f>O8-P9</f>
        <v>1124739</v>
      </c>
    </row>
    <row r="11" spans="1:17" ht="18" customHeight="1" x14ac:dyDescent="0.2">
      <c r="A11" s="9"/>
      <c r="H11" s="58"/>
      <c r="N11" s="57" t="s">
        <v>31</v>
      </c>
      <c r="P11" s="64">
        <f>P10*1%</f>
        <v>11247.39</v>
      </c>
    </row>
    <row r="12" spans="1:17" ht="18" customHeight="1" thickBot="1" x14ac:dyDescent="0.25">
      <c r="A12" s="9"/>
      <c r="H12" s="58"/>
      <c r="N12" s="57" t="s">
        <v>53</v>
      </c>
      <c r="P12" s="66">
        <f>P10*2%</f>
        <v>22494.78</v>
      </c>
    </row>
    <row r="13" spans="1:17" ht="18" customHeight="1" x14ac:dyDescent="0.2">
      <c r="A13" s="9"/>
      <c r="H13" s="58"/>
      <c r="N13" s="61" t="s">
        <v>32</v>
      </c>
      <c r="O13" s="62"/>
      <c r="P13" s="65">
        <f>P10+P11-P12</f>
        <v>1113491.6099999999</v>
      </c>
    </row>
    <row r="15" spans="1:17" x14ac:dyDescent="0.2">
      <c r="A15" s="9"/>
      <c r="H15" s="58"/>
      <c r="P15" s="66"/>
    </row>
    <row r="16" spans="1:17" x14ac:dyDescent="0.2">
      <c r="A16" s="9"/>
      <c r="H16" s="58"/>
      <c r="O16" s="55"/>
      <c r="P16" s="66"/>
    </row>
    <row r="17" spans="1:16" s="3" customFormat="1" x14ac:dyDescent="0.25">
      <c r="A17" s="9"/>
      <c r="B17" s="2"/>
      <c r="C17" s="2"/>
      <c r="E17" s="10"/>
      <c r="H17" s="58"/>
      <c r="N17" s="13"/>
      <c r="O17" s="13"/>
      <c r="P17" s="13"/>
    </row>
    <row r="18" spans="1:16" s="3" customFormat="1" x14ac:dyDescent="0.25">
      <c r="A18" s="9"/>
      <c r="B18" s="2"/>
      <c r="C18" s="2"/>
      <c r="E18" s="10"/>
      <c r="H18" s="58"/>
      <c r="N18" s="13"/>
      <c r="O18" s="13"/>
      <c r="P18" s="13"/>
    </row>
    <row r="19" spans="1:16" s="3" customFormat="1" x14ac:dyDescent="0.25">
      <c r="A19" s="9"/>
      <c r="B19" s="2"/>
      <c r="C19" s="2"/>
      <c r="E19" s="10"/>
      <c r="H19" s="58"/>
      <c r="N19" s="13"/>
      <c r="O19" s="13"/>
      <c r="P19" s="13"/>
    </row>
    <row r="20" spans="1:16" s="3" customFormat="1" x14ac:dyDescent="0.25">
      <c r="A20" s="9"/>
      <c r="B20" s="2"/>
      <c r="C20" s="2"/>
      <c r="E20" s="10"/>
      <c r="H20" s="58"/>
      <c r="N20" s="13"/>
      <c r="O20" s="13"/>
      <c r="P20" s="13"/>
    </row>
    <row r="21" spans="1:16" s="3" customFormat="1" x14ac:dyDescent="0.25">
      <c r="A21" s="9"/>
      <c r="B21" s="2"/>
      <c r="C21" s="2"/>
      <c r="E21" s="10"/>
      <c r="H21" s="58"/>
      <c r="N21" s="13"/>
      <c r="O21" s="13"/>
      <c r="P21" s="13"/>
    </row>
    <row r="22" spans="1:16" s="3" customFormat="1" x14ac:dyDescent="0.25">
      <c r="A22" s="9"/>
      <c r="B22" s="2"/>
      <c r="C22" s="2"/>
      <c r="E22" s="10"/>
      <c r="H22" s="58"/>
      <c r="N22" s="13"/>
      <c r="O22" s="13"/>
      <c r="P22" s="13"/>
    </row>
    <row r="23" spans="1:16" s="3" customFormat="1" x14ac:dyDescent="0.25">
      <c r="A23" s="9"/>
      <c r="B23" s="2"/>
      <c r="C23" s="2"/>
      <c r="E23" s="10"/>
      <c r="H23" s="58"/>
      <c r="N23" s="13"/>
      <c r="O23" s="13"/>
      <c r="P23" s="13"/>
    </row>
    <row r="24" spans="1:16" s="3" customFormat="1" x14ac:dyDescent="0.25">
      <c r="A24" s="9"/>
      <c r="B24" s="2"/>
      <c r="C24" s="2"/>
      <c r="E24" s="10"/>
      <c r="H24" s="58"/>
      <c r="N24" s="13"/>
      <c r="O24" s="13"/>
      <c r="P24" s="13"/>
    </row>
    <row r="25" spans="1:16" s="3" customFormat="1" x14ac:dyDescent="0.25">
      <c r="A25" s="9"/>
      <c r="B25" s="2"/>
      <c r="C25" s="2"/>
      <c r="E25" s="10"/>
      <c r="H25" s="58"/>
      <c r="N25" s="13"/>
      <c r="O25" s="13"/>
      <c r="P25" s="13"/>
    </row>
    <row r="26" spans="1:16" s="3" customFormat="1" x14ac:dyDescent="0.25">
      <c r="A26" s="9"/>
      <c r="B26" s="2"/>
      <c r="C26" s="2"/>
      <c r="E26" s="10"/>
      <c r="H26" s="58"/>
      <c r="N26" s="13"/>
      <c r="O26" s="13"/>
      <c r="P26" s="13"/>
    </row>
    <row r="27" spans="1:16" s="3" customFormat="1" x14ac:dyDescent="0.25">
      <c r="A27" s="9"/>
      <c r="B27" s="2"/>
      <c r="C27" s="2"/>
      <c r="E27" s="10"/>
      <c r="H27" s="58"/>
      <c r="N27" s="13"/>
      <c r="O27" s="13"/>
      <c r="P27" s="13"/>
    </row>
    <row r="28" spans="1:16" s="3" customFormat="1" x14ac:dyDescent="0.25">
      <c r="A28" s="9"/>
      <c r="B28" s="2"/>
      <c r="C28" s="2"/>
      <c r="E28" s="10"/>
      <c r="H28" s="58"/>
      <c r="N28" s="13"/>
      <c r="O28" s="13"/>
      <c r="P28" s="13"/>
    </row>
  </sheetData>
  <mergeCells count="3">
    <mergeCell ref="A8:L8"/>
    <mergeCell ref="O8:P8"/>
    <mergeCell ref="Q3:Q7"/>
  </mergeCells>
  <conditionalFormatting sqref="B3">
    <cfRule type="duplicateValues" dxfId="97" priority="2"/>
  </conditionalFormatting>
  <conditionalFormatting sqref="B4:B7">
    <cfRule type="duplicateValues" dxfId="96" priority="2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5"/>
  <sheetViews>
    <sheetView zoomScaleNormal="100" workbookViewId="0">
      <pane xSplit="3" ySplit="2" topLeftCell="D3" activePane="bottomRight" state="frozen"/>
      <selection activeCell="D15" sqref="D15"/>
      <selection pane="topRight" activeCell="D15" sqref="D15"/>
      <selection pane="bottomLeft" activeCell="D15" sqref="D15"/>
      <selection pane="bottomRight" activeCell="F10" sqref="F10"/>
    </sheetView>
  </sheetViews>
  <sheetFormatPr defaultRowHeight="15" x14ac:dyDescent="0.2"/>
  <cols>
    <col min="1" max="1" width="7" style="4" customWidth="1"/>
    <col min="2" max="2" width="20" style="2" customWidth="1"/>
    <col min="3" max="3" width="15.42578125" style="2" customWidth="1"/>
    <col min="4" max="4" width="11.85546875" style="3" customWidth="1"/>
    <col min="5" max="5" width="7.7109375" style="10" customWidth="1"/>
    <col min="6" max="6" width="15" style="3" customWidth="1"/>
    <col min="7" max="7" width="9.5703125" style="3" customWidth="1"/>
    <col min="8" max="8" width="19.42578125" style="6" customWidth="1"/>
    <col min="9" max="10" width="3.85546875" style="3" customWidth="1"/>
    <col min="11" max="11" width="3.7109375" style="3" customWidth="1"/>
    <col min="12" max="12" width="4.28515625" style="3" customWidth="1"/>
    <col min="13" max="13" width="7.85546875" style="3" customWidth="1"/>
    <col min="14" max="14" width="11.85546875" style="13" customWidth="1"/>
    <col min="15" max="15" width="8.140625" style="13" customWidth="1"/>
    <col min="16" max="16" width="10.42578125" style="13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87" t="s">
        <v>44</v>
      </c>
      <c r="B2" s="56" t="s">
        <v>7</v>
      </c>
      <c r="C2" s="56" t="s">
        <v>0</v>
      </c>
      <c r="D2" s="56" t="s">
        <v>1</v>
      </c>
      <c r="E2" s="89" t="s">
        <v>4</v>
      </c>
      <c r="F2" s="56" t="s">
        <v>3</v>
      </c>
      <c r="G2" s="56" t="s">
        <v>5</v>
      </c>
      <c r="H2" s="89" t="s">
        <v>2</v>
      </c>
      <c r="I2" s="56" t="s">
        <v>39</v>
      </c>
      <c r="J2" s="56" t="s">
        <v>40</v>
      </c>
      <c r="K2" s="56" t="s">
        <v>41</v>
      </c>
      <c r="L2" s="56" t="s">
        <v>45</v>
      </c>
      <c r="M2" s="56" t="s">
        <v>46</v>
      </c>
      <c r="N2" s="56" t="s">
        <v>6</v>
      </c>
      <c r="O2" s="56" t="s">
        <v>47</v>
      </c>
      <c r="P2" s="56" t="s">
        <v>48</v>
      </c>
      <c r="Q2" s="56" t="s">
        <v>26</v>
      </c>
    </row>
    <row r="3" spans="1:17" ht="26.25" customHeight="1" x14ac:dyDescent="0.2">
      <c r="A3" s="74">
        <v>402917</v>
      </c>
      <c r="B3" s="67" t="s">
        <v>73</v>
      </c>
      <c r="C3" s="7" t="s">
        <v>74</v>
      </c>
      <c r="D3" s="70" t="s">
        <v>63</v>
      </c>
      <c r="E3" s="11">
        <v>44569</v>
      </c>
      <c r="F3" s="69" t="s">
        <v>64</v>
      </c>
      <c r="G3" s="11">
        <v>44584</v>
      </c>
      <c r="H3" s="8" t="s">
        <v>65</v>
      </c>
      <c r="I3" s="1">
        <v>62</v>
      </c>
      <c r="J3" s="1">
        <v>42</v>
      </c>
      <c r="K3" s="1">
        <v>75</v>
      </c>
      <c r="L3" s="1">
        <v>31</v>
      </c>
      <c r="M3" s="72">
        <v>48.825000000000003</v>
      </c>
      <c r="N3" s="88">
        <v>48.825000000000003</v>
      </c>
      <c r="O3" s="59">
        <v>14000</v>
      </c>
      <c r="P3" s="60">
        <f t="shared" ref="P3" si="0">N3*O3</f>
        <v>683550</v>
      </c>
      <c r="Q3" s="127">
        <v>2</v>
      </c>
    </row>
    <row r="4" spans="1:17" ht="26.25" customHeight="1" x14ac:dyDescent="0.2">
      <c r="A4" s="12"/>
      <c r="B4" s="68"/>
      <c r="C4" s="7" t="s">
        <v>75</v>
      </c>
      <c r="D4" s="70" t="s">
        <v>63</v>
      </c>
      <c r="E4" s="11">
        <v>44569</v>
      </c>
      <c r="F4" s="69" t="s">
        <v>64</v>
      </c>
      <c r="G4" s="11">
        <v>44584</v>
      </c>
      <c r="H4" s="8" t="s">
        <v>65</v>
      </c>
      <c r="I4" s="1">
        <v>97</v>
      </c>
      <c r="J4" s="1">
        <v>68</v>
      </c>
      <c r="K4" s="1">
        <v>11</v>
      </c>
      <c r="L4" s="1">
        <v>10</v>
      </c>
      <c r="M4" s="72">
        <v>18.138999999999999</v>
      </c>
      <c r="N4" s="88">
        <v>18.138999999999999</v>
      </c>
      <c r="O4" s="59">
        <v>14000</v>
      </c>
      <c r="P4" s="60">
        <f>N4*O4</f>
        <v>253946</v>
      </c>
      <c r="Q4" s="128"/>
    </row>
    <row r="5" spans="1:17" ht="22.5" customHeight="1" x14ac:dyDescent="0.2">
      <c r="A5" s="119" t="s">
        <v>30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1"/>
      <c r="M5" s="71">
        <f>SUBTOTAL(109,Table2245789101123456[KG VOLUME])</f>
        <v>48.825000000000003</v>
      </c>
      <c r="N5" s="102">
        <f>SUM(N3:N4)</f>
        <v>66.963999999999999</v>
      </c>
      <c r="O5" s="122">
        <f>SUM(P3:P3)</f>
        <v>683550</v>
      </c>
      <c r="P5" s="123"/>
    </row>
    <row r="6" spans="1:17" ht="18" customHeight="1" x14ac:dyDescent="0.2">
      <c r="A6" s="77"/>
      <c r="B6" s="53" t="s">
        <v>42</v>
      </c>
      <c r="C6" s="52"/>
      <c r="D6" s="54" t="s">
        <v>43</v>
      </c>
      <c r="E6" s="77"/>
      <c r="F6" s="77"/>
      <c r="G6" s="77"/>
      <c r="H6" s="77"/>
      <c r="I6" s="77"/>
      <c r="J6" s="77"/>
      <c r="K6" s="77"/>
      <c r="L6" s="77"/>
      <c r="M6" s="78"/>
      <c r="N6" s="79" t="s">
        <v>51</v>
      </c>
      <c r="O6" s="80"/>
      <c r="P6" s="80">
        <f>O5*10%</f>
        <v>68355</v>
      </c>
    </row>
    <row r="7" spans="1:17" ht="18" customHeight="1" thickBot="1" x14ac:dyDescent="0.25">
      <c r="A7" s="77"/>
      <c r="B7" s="53"/>
      <c r="C7" s="52"/>
      <c r="D7" s="54"/>
      <c r="E7" s="77"/>
      <c r="F7" s="77"/>
      <c r="G7" s="77"/>
      <c r="H7" s="77"/>
      <c r="I7" s="77"/>
      <c r="J7" s="77"/>
      <c r="K7" s="77"/>
      <c r="L7" s="77"/>
      <c r="M7" s="78"/>
      <c r="N7" s="81" t="s">
        <v>52</v>
      </c>
      <c r="O7" s="82"/>
      <c r="P7" s="82">
        <f>O5-P6</f>
        <v>615195</v>
      </c>
    </row>
    <row r="8" spans="1:17" ht="18" customHeight="1" x14ac:dyDescent="0.2">
      <c r="A8" s="9"/>
      <c r="H8" s="58"/>
      <c r="N8" s="57" t="s">
        <v>31</v>
      </c>
      <c r="P8" s="64">
        <f>P7*1%</f>
        <v>6151.95</v>
      </c>
    </row>
    <row r="9" spans="1:17" ht="18" customHeight="1" thickBot="1" x14ac:dyDescent="0.25">
      <c r="A9" s="9"/>
      <c r="H9" s="58"/>
      <c r="N9" s="57" t="s">
        <v>53</v>
      </c>
      <c r="P9" s="66">
        <f>P7*2%</f>
        <v>12303.9</v>
      </c>
    </row>
    <row r="10" spans="1:17" ht="18" customHeight="1" x14ac:dyDescent="0.2">
      <c r="A10" s="9"/>
      <c r="H10" s="58"/>
      <c r="N10" s="61" t="s">
        <v>32</v>
      </c>
      <c r="O10" s="62"/>
      <c r="P10" s="65">
        <f>P7+P8-P9</f>
        <v>609043.04999999993</v>
      </c>
    </row>
    <row r="12" spans="1:17" x14ac:dyDescent="0.2">
      <c r="A12" s="9"/>
      <c r="H12" s="58"/>
      <c r="P12" s="66"/>
    </row>
    <row r="13" spans="1:17" x14ac:dyDescent="0.2">
      <c r="A13" s="9"/>
      <c r="H13" s="58"/>
      <c r="O13" s="55"/>
      <c r="P13" s="66"/>
    </row>
    <row r="14" spans="1:17" s="3" customFormat="1" x14ac:dyDescent="0.25">
      <c r="A14" s="9"/>
      <c r="B14" s="2"/>
      <c r="C14" s="2"/>
      <c r="E14" s="10"/>
      <c r="H14" s="58"/>
      <c r="N14" s="13"/>
      <c r="O14" s="13"/>
      <c r="P14" s="13"/>
    </row>
    <row r="15" spans="1:17" s="3" customFormat="1" x14ac:dyDescent="0.25">
      <c r="A15" s="9"/>
      <c r="B15" s="2"/>
      <c r="C15" s="2"/>
      <c r="E15" s="10"/>
      <c r="H15" s="58"/>
      <c r="N15" s="13"/>
      <c r="O15" s="13"/>
      <c r="P15" s="13"/>
    </row>
    <row r="16" spans="1:17" s="3" customFormat="1" x14ac:dyDescent="0.25">
      <c r="A16" s="9"/>
      <c r="B16" s="2"/>
      <c r="C16" s="2"/>
      <c r="E16" s="10"/>
      <c r="H16" s="58"/>
      <c r="N16" s="13"/>
      <c r="O16" s="13"/>
      <c r="P16" s="13"/>
    </row>
    <row r="17" spans="1:16" s="3" customFormat="1" x14ac:dyDescent="0.25">
      <c r="A17" s="9"/>
      <c r="B17" s="2"/>
      <c r="C17" s="2"/>
      <c r="E17" s="10"/>
      <c r="H17" s="58"/>
      <c r="N17" s="13"/>
      <c r="O17" s="13"/>
      <c r="P17" s="13"/>
    </row>
    <row r="18" spans="1:16" s="3" customFormat="1" x14ac:dyDescent="0.25">
      <c r="A18" s="9"/>
      <c r="B18" s="2"/>
      <c r="C18" s="2"/>
      <c r="E18" s="10"/>
      <c r="H18" s="58"/>
      <c r="N18" s="13"/>
      <c r="O18" s="13"/>
      <c r="P18" s="13"/>
    </row>
    <row r="19" spans="1:16" s="3" customFormat="1" x14ac:dyDescent="0.25">
      <c r="A19" s="9"/>
      <c r="B19" s="2"/>
      <c r="C19" s="2"/>
      <c r="E19" s="10"/>
      <c r="H19" s="58"/>
      <c r="N19" s="13"/>
      <c r="O19" s="13"/>
      <c r="P19" s="13"/>
    </row>
    <row r="20" spans="1:16" s="3" customFormat="1" x14ac:dyDescent="0.25">
      <c r="A20" s="9"/>
      <c r="B20" s="2"/>
      <c r="C20" s="2"/>
      <c r="E20" s="10"/>
      <c r="H20" s="58"/>
      <c r="N20" s="13"/>
      <c r="O20" s="13"/>
      <c r="P20" s="13"/>
    </row>
    <row r="21" spans="1:16" s="3" customFormat="1" x14ac:dyDescent="0.25">
      <c r="A21" s="9"/>
      <c r="B21" s="2"/>
      <c r="C21" s="2"/>
      <c r="E21" s="10"/>
      <c r="H21" s="58"/>
      <c r="N21" s="13"/>
      <c r="O21" s="13"/>
      <c r="P21" s="13"/>
    </row>
    <row r="22" spans="1:16" s="3" customFormat="1" x14ac:dyDescent="0.25">
      <c r="A22" s="9"/>
      <c r="B22" s="2"/>
      <c r="C22" s="2"/>
      <c r="E22" s="10"/>
      <c r="H22" s="58"/>
      <c r="N22" s="13"/>
      <c r="O22" s="13"/>
      <c r="P22" s="13"/>
    </row>
    <row r="23" spans="1:16" s="3" customFormat="1" x14ac:dyDescent="0.25">
      <c r="A23" s="9"/>
      <c r="B23" s="2"/>
      <c r="C23" s="2"/>
      <c r="E23" s="10"/>
      <c r="H23" s="58"/>
      <c r="N23" s="13"/>
      <c r="O23" s="13"/>
      <c r="P23" s="13"/>
    </row>
    <row r="24" spans="1:16" s="3" customFormat="1" x14ac:dyDescent="0.25">
      <c r="A24" s="9"/>
      <c r="B24" s="2"/>
      <c r="C24" s="2"/>
      <c r="E24" s="10"/>
      <c r="H24" s="58"/>
      <c r="N24" s="13"/>
      <c r="O24" s="13"/>
      <c r="P24" s="13"/>
    </row>
    <row r="25" spans="1:16" s="3" customFormat="1" x14ac:dyDescent="0.25">
      <c r="A25" s="9"/>
      <c r="B25" s="2"/>
      <c r="C25" s="2"/>
      <c r="E25" s="10"/>
      <c r="H25" s="58"/>
      <c r="N25" s="13"/>
      <c r="O25" s="13"/>
      <c r="P25" s="13"/>
    </row>
  </sheetData>
  <mergeCells count="3">
    <mergeCell ref="A5:L5"/>
    <mergeCell ref="O5:P5"/>
    <mergeCell ref="Q3:Q4"/>
  </mergeCells>
  <conditionalFormatting sqref="B3">
    <cfRule type="duplicateValues" dxfId="80" priority="23"/>
  </conditionalFormatting>
  <conditionalFormatting sqref="B4">
    <cfRule type="duplicateValues" dxfId="79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4"/>
  <sheetViews>
    <sheetView zoomScale="110" zoomScaleNormal="110" workbookViewId="0">
      <pane xSplit="3" ySplit="2" topLeftCell="D3" activePane="bottomRight" state="frozen"/>
      <selection activeCell="D15" sqref="D15"/>
      <selection pane="topRight" activeCell="D15" sqref="D15"/>
      <selection pane="bottomLeft" activeCell="D15" sqref="D15"/>
      <selection pane="bottomRight" activeCell="H7" sqref="H7"/>
    </sheetView>
  </sheetViews>
  <sheetFormatPr defaultRowHeight="15" x14ac:dyDescent="0.2"/>
  <cols>
    <col min="1" max="1" width="6.28515625" style="4" customWidth="1"/>
    <col min="2" max="2" width="20.140625" style="2" customWidth="1"/>
    <col min="3" max="3" width="14.28515625" style="2" customWidth="1"/>
    <col min="4" max="4" width="10.5703125" style="3" customWidth="1"/>
    <col min="5" max="5" width="8.85546875" style="10" customWidth="1"/>
    <col min="6" max="6" width="13.28515625" style="3" customWidth="1"/>
    <col min="7" max="7" width="10.28515625" style="3" customWidth="1"/>
    <col min="8" max="8" width="20.42578125" style="6" customWidth="1"/>
    <col min="9" max="11" width="3.7109375" style="3" customWidth="1"/>
    <col min="12" max="12" width="4.5703125" style="3" customWidth="1"/>
    <col min="13" max="13" width="8" style="3" customWidth="1"/>
    <col min="14" max="14" width="12.28515625" style="13" customWidth="1"/>
    <col min="15" max="15" width="8.140625" style="13" customWidth="1"/>
    <col min="16" max="16" width="11" style="13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87" t="s">
        <v>44</v>
      </c>
      <c r="B2" s="56" t="s">
        <v>7</v>
      </c>
      <c r="C2" s="56" t="s">
        <v>0</v>
      </c>
      <c r="D2" s="56" t="s">
        <v>1</v>
      </c>
      <c r="E2" s="89" t="s">
        <v>4</v>
      </c>
      <c r="F2" s="56" t="s">
        <v>3</v>
      </c>
      <c r="G2" s="56" t="s">
        <v>5</v>
      </c>
      <c r="H2" s="89" t="s">
        <v>2</v>
      </c>
      <c r="I2" s="56" t="s">
        <v>39</v>
      </c>
      <c r="J2" s="56" t="s">
        <v>40</v>
      </c>
      <c r="K2" s="56" t="s">
        <v>41</v>
      </c>
      <c r="L2" s="56" t="s">
        <v>45</v>
      </c>
      <c r="M2" s="56" t="s">
        <v>46</v>
      </c>
      <c r="N2" s="56" t="s">
        <v>6</v>
      </c>
      <c r="O2" s="56" t="s">
        <v>47</v>
      </c>
      <c r="P2" s="56" t="s">
        <v>48</v>
      </c>
      <c r="Q2" s="56" t="s">
        <v>26</v>
      </c>
    </row>
    <row r="3" spans="1:17" ht="26.25" customHeight="1" x14ac:dyDescent="0.2">
      <c r="A3" s="74">
        <v>402920</v>
      </c>
      <c r="B3" s="67" t="s">
        <v>76</v>
      </c>
      <c r="C3" s="7" t="s">
        <v>77</v>
      </c>
      <c r="D3" s="69" t="s">
        <v>63</v>
      </c>
      <c r="E3" s="11">
        <v>44569</v>
      </c>
      <c r="F3" s="69" t="s">
        <v>64</v>
      </c>
      <c r="G3" s="11">
        <v>44584</v>
      </c>
      <c r="H3" s="8" t="s">
        <v>65</v>
      </c>
      <c r="I3" s="1">
        <v>27</v>
      </c>
      <c r="J3" s="1">
        <v>18</v>
      </c>
      <c r="K3" s="1">
        <v>11</v>
      </c>
      <c r="L3" s="1">
        <v>1</v>
      </c>
      <c r="M3" s="72">
        <v>1.3365</v>
      </c>
      <c r="N3" s="88">
        <v>2</v>
      </c>
      <c r="O3" s="59">
        <v>14000</v>
      </c>
      <c r="P3" s="60">
        <f t="shared" ref="P3" si="0">N3*O3</f>
        <v>28000</v>
      </c>
      <c r="Q3" s="90">
        <v>1</v>
      </c>
    </row>
    <row r="4" spans="1:17" ht="22.5" customHeight="1" x14ac:dyDescent="0.2">
      <c r="A4" s="119" t="s">
        <v>30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1"/>
      <c r="M4" s="71">
        <f>SUBTOTAL(109,Table224578910112345678[KG VOLUME])</f>
        <v>1.3365</v>
      </c>
      <c r="N4" s="63">
        <f>SUM(N3:N3)</f>
        <v>2</v>
      </c>
      <c r="O4" s="122">
        <f>SUM(P3:P3)</f>
        <v>28000</v>
      </c>
      <c r="P4" s="123"/>
    </row>
    <row r="5" spans="1:17" ht="18" customHeight="1" x14ac:dyDescent="0.2">
      <c r="A5" s="77"/>
      <c r="B5" s="53" t="s">
        <v>42</v>
      </c>
      <c r="C5" s="52"/>
      <c r="D5" s="54" t="s">
        <v>43</v>
      </c>
      <c r="E5" s="77"/>
      <c r="F5" s="77"/>
      <c r="G5" s="77"/>
      <c r="H5" s="77"/>
      <c r="I5" s="77"/>
      <c r="J5" s="77"/>
      <c r="K5" s="77"/>
      <c r="L5" s="77"/>
      <c r="M5" s="78"/>
      <c r="N5" s="79" t="s">
        <v>51</v>
      </c>
      <c r="O5" s="80"/>
      <c r="P5" s="80">
        <f>O4*10%</f>
        <v>2800</v>
      </c>
    </row>
    <row r="6" spans="1:17" ht="18" customHeight="1" thickBot="1" x14ac:dyDescent="0.25">
      <c r="A6" s="77"/>
      <c r="B6" s="53"/>
      <c r="C6" s="52"/>
      <c r="D6" s="54"/>
      <c r="E6" s="77"/>
      <c r="F6" s="77"/>
      <c r="G6" s="77"/>
      <c r="H6" s="77"/>
      <c r="I6" s="77"/>
      <c r="J6" s="77"/>
      <c r="K6" s="77"/>
      <c r="L6" s="77"/>
      <c r="M6" s="78"/>
      <c r="N6" s="81" t="s">
        <v>52</v>
      </c>
      <c r="O6" s="82"/>
      <c r="P6" s="82">
        <f>O4-P5</f>
        <v>25200</v>
      </c>
    </row>
    <row r="7" spans="1:17" ht="18" customHeight="1" x14ac:dyDescent="0.2">
      <c r="A7" s="9"/>
      <c r="H7" s="58"/>
      <c r="N7" s="57" t="s">
        <v>31</v>
      </c>
      <c r="P7" s="64">
        <f>P6*1%</f>
        <v>252</v>
      </c>
    </row>
    <row r="8" spans="1:17" ht="18" customHeight="1" thickBot="1" x14ac:dyDescent="0.25">
      <c r="A8" s="9"/>
      <c r="H8" s="58"/>
      <c r="N8" s="57" t="s">
        <v>53</v>
      </c>
      <c r="P8" s="66">
        <f>P6*2%</f>
        <v>504</v>
      </c>
    </row>
    <row r="9" spans="1:17" ht="18" customHeight="1" x14ac:dyDescent="0.2">
      <c r="A9" s="9"/>
      <c r="H9" s="58"/>
      <c r="N9" s="61" t="s">
        <v>32</v>
      </c>
      <c r="O9" s="62"/>
      <c r="P9" s="65">
        <f>P6+P7-P8</f>
        <v>24948</v>
      </c>
    </row>
    <row r="11" spans="1:17" x14ac:dyDescent="0.2">
      <c r="A11" s="9"/>
      <c r="H11" s="58"/>
      <c r="P11" s="66"/>
    </row>
    <row r="12" spans="1:17" x14ac:dyDescent="0.2">
      <c r="A12" s="9"/>
      <c r="H12" s="58"/>
      <c r="O12" s="55"/>
      <c r="P12" s="66"/>
    </row>
    <row r="13" spans="1:17" s="3" customFormat="1" x14ac:dyDescent="0.25">
      <c r="A13" s="9"/>
      <c r="B13" s="2"/>
      <c r="C13" s="2"/>
      <c r="E13" s="10"/>
      <c r="H13" s="58"/>
      <c r="N13" s="13"/>
      <c r="O13" s="13"/>
      <c r="P13" s="13"/>
    </row>
    <row r="14" spans="1:17" s="3" customFormat="1" x14ac:dyDescent="0.25">
      <c r="A14" s="9"/>
      <c r="B14" s="2"/>
      <c r="C14" s="2"/>
      <c r="E14" s="10"/>
      <c r="H14" s="58"/>
      <c r="N14" s="13"/>
      <c r="O14" s="13"/>
      <c r="P14" s="13"/>
    </row>
    <row r="15" spans="1:17" s="3" customFormat="1" x14ac:dyDescent="0.25">
      <c r="A15" s="9"/>
      <c r="B15" s="2"/>
      <c r="C15" s="2"/>
      <c r="E15" s="10"/>
      <c r="H15" s="58"/>
      <c r="N15" s="13"/>
      <c r="O15" s="13"/>
      <c r="P15" s="13"/>
    </row>
    <row r="16" spans="1:17" s="3" customFormat="1" x14ac:dyDescent="0.25">
      <c r="A16" s="9"/>
      <c r="B16" s="2"/>
      <c r="C16" s="2"/>
      <c r="E16" s="10"/>
      <c r="H16" s="58"/>
      <c r="N16" s="13"/>
      <c r="O16" s="13"/>
      <c r="P16" s="13"/>
    </row>
    <row r="17" spans="1:16" s="3" customFormat="1" x14ac:dyDescent="0.25">
      <c r="A17" s="9"/>
      <c r="B17" s="2"/>
      <c r="C17" s="2"/>
      <c r="E17" s="10"/>
      <c r="H17" s="58"/>
      <c r="N17" s="13"/>
      <c r="O17" s="13"/>
      <c r="P17" s="13"/>
    </row>
    <row r="18" spans="1:16" s="3" customFormat="1" x14ac:dyDescent="0.25">
      <c r="A18" s="9"/>
      <c r="B18" s="2"/>
      <c r="C18" s="2"/>
      <c r="E18" s="10"/>
      <c r="H18" s="58"/>
      <c r="N18" s="13"/>
      <c r="O18" s="13"/>
      <c r="P18" s="13"/>
    </row>
    <row r="19" spans="1:16" s="3" customFormat="1" x14ac:dyDescent="0.25">
      <c r="A19" s="9"/>
      <c r="B19" s="2"/>
      <c r="C19" s="2"/>
      <c r="E19" s="10"/>
      <c r="H19" s="58"/>
      <c r="N19" s="13"/>
      <c r="O19" s="13"/>
      <c r="P19" s="13"/>
    </row>
    <row r="20" spans="1:16" s="3" customFormat="1" x14ac:dyDescent="0.25">
      <c r="A20" s="9"/>
      <c r="B20" s="2"/>
      <c r="C20" s="2"/>
      <c r="E20" s="10"/>
      <c r="H20" s="58"/>
      <c r="N20" s="13"/>
      <c r="O20" s="13"/>
      <c r="P20" s="13"/>
    </row>
    <row r="21" spans="1:16" s="3" customFormat="1" x14ac:dyDescent="0.25">
      <c r="A21" s="9"/>
      <c r="B21" s="2"/>
      <c r="C21" s="2"/>
      <c r="E21" s="10"/>
      <c r="H21" s="58"/>
      <c r="N21" s="13"/>
      <c r="O21" s="13"/>
      <c r="P21" s="13"/>
    </row>
    <row r="22" spans="1:16" s="3" customFormat="1" x14ac:dyDescent="0.25">
      <c r="A22" s="9"/>
      <c r="B22" s="2"/>
      <c r="C22" s="2"/>
      <c r="E22" s="10"/>
      <c r="H22" s="58"/>
      <c r="N22" s="13"/>
      <c r="O22" s="13"/>
      <c r="P22" s="13"/>
    </row>
    <row r="23" spans="1:16" s="3" customFormat="1" x14ac:dyDescent="0.25">
      <c r="A23" s="9"/>
      <c r="B23" s="2"/>
      <c r="C23" s="2"/>
      <c r="E23" s="10"/>
      <c r="H23" s="58"/>
      <c r="N23" s="13"/>
      <c r="O23" s="13"/>
      <c r="P23" s="13"/>
    </row>
    <row r="24" spans="1:16" s="3" customFormat="1" x14ac:dyDescent="0.25">
      <c r="A24" s="9"/>
      <c r="B24" s="2"/>
      <c r="C24" s="2"/>
      <c r="E24" s="10"/>
      <c r="H24" s="58"/>
      <c r="N24" s="13"/>
      <c r="O24" s="13"/>
      <c r="P24" s="13"/>
    </row>
  </sheetData>
  <mergeCells count="2">
    <mergeCell ref="A4:L4"/>
    <mergeCell ref="O4:P4"/>
  </mergeCells>
  <conditionalFormatting sqref="B3">
    <cfRule type="duplicateValues" dxfId="63" priority="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4"/>
  <sheetViews>
    <sheetView zoomScale="110" zoomScaleNormal="110" workbookViewId="0">
      <pane xSplit="3" ySplit="2" topLeftCell="D3" activePane="bottomRight" state="frozen"/>
      <selection activeCell="D15" sqref="D15"/>
      <selection pane="topRight" activeCell="D15" sqref="D15"/>
      <selection pane="bottomLeft" activeCell="D15" sqref="D15"/>
      <selection pane="bottomRight" activeCell="H15" sqref="H15"/>
    </sheetView>
  </sheetViews>
  <sheetFormatPr defaultRowHeight="15" x14ac:dyDescent="0.2"/>
  <cols>
    <col min="1" max="1" width="6.28515625" style="4" customWidth="1"/>
    <col min="2" max="2" width="20.140625" style="2" customWidth="1"/>
    <col min="3" max="3" width="15" style="2" customWidth="1"/>
    <col min="4" max="4" width="10" style="3" customWidth="1"/>
    <col min="5" max="5" width="8.85546875" style="10" customWidth="1"/>
    <col min="6" max="6" width="10" style="3" customWidth="1"/>
    <col min="7" max="7" width="10.28515625" style="3" customWidth="1"/>
    <col min="8" max="8" width="21.140625" style="6" customWidth="1"/>
    <col min="9" max="11" width="3.7109375" style="3" customWidth="1"/>
    <col min="12" max="12" width="4.5703125" style="3" customWidth="1"/>
    <col min="13" max="13" width="8" style="3" customWidth="1"/>
    <col min="14" max="14" width="12.28515625" style="13" customWidth="1"/>
    <col min="15" max="15" width="8.140625" style="13" customWidth="1"/>
    <col min="16" max="16" width="11" style="13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87" t="s">
        <v>44</v>
      </c>
      <c r="B2" s="56" t="s">
        <v>7</v>
      </c>
      <c r="C2" s="56" t="s">
        <v>0</v>
      </c>
      <c r="D2" s="56" t="s">
        <v>1</v>
      </c>
      <c r="E2" s="89" t="s">
        <v>4</v>
      </c>
      <c r="F2" s="56" t="s">
        <v>3</v>
      </c>
      <c r="G2" s="56" t="s">
        <v>5</v>
      </c>
      <c r="H2" s="89" t="s">
        <v>2</v>
      </c>
      <c r="I2" s="56" t="s">
        <v>39</v>
      </c>
      <c r="J2" s="56" t="s">
        <v>40</v>
      </c>
      <c r="K2" s="56" t="s">
        <v>41</v>
      </c>
      <c r="L2" s="56" t="s">
        <v>45</v>
      </c>
      <c r="M2" s="56" t="s">
        <v>46</v>
      </c>
      <c r="N2" s="56" t="s">
        <v>6</v>
      </c>
      <c r="O2" s="56" t="s">
        <v>47</v>
      </c>
      <c r="P2" s="56" t="s">
        <v>48</v>
      </c>
      <c r="Q2" s="56" t="s">
        <v>26</v>
      </c>
    </row>
    <row r="3" spans="1:17" ht="26.25" customHeight="1" x14ac:dyDescent="0.2">
      <c r="A3" s="74">
        <v>402947</v>
      </c>
      <c r="B3" s="67" t="s">
        <v>78</v>
      </c>
      <c r="C3" s="7" t="s">
        <v>79</v>
      </c>
      <c r="D3" s="69" t="s">
        <v>63</v>
      </c>
      <c r="E3" s="11">
        <v>44578</v>
      </c>
      <c r="F3" s="69" t="s">
        <v>80</v>
      </c>
      <c r="G3" s="11">
        <v>44615</v>
      </c>
      <c r="H3" s="8" t="s">
        <v>81</v>
      </c>
      <c r="I3" s="1">
        <v>40</v>
      </c>
      <c r="J3" s="1">
        <v>36</v>
      </c>
      <c r="K3" s="1">
        <v>10</v>
      </c>
      <c r="L3" s="1">
        <v>10</v>
      </c>
      <c r="M3" s="72">
        <v>3.6</v>
      </c>
      <c r="N3" s="88">
        <v>10</v>
      </c>
      <c r="O3" s="59">
        <v>14000</v>
      </c>
      <c r="P3" s="60">
        <f t="shared" ref="P3" si="0">N3*O3</f>
        <v>140000</v>
      </c>
      <c r="Q3" s="90">
        <v>1</v>
      </c>
    </row>
    <row r="4" spans="1:17" ht="22.5" customHeight="1" x14ac:dyDescent="0.2">
      <c r="A4" s="119" t="s">
        <v>30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1"/>
      <c r="M4" s="71">
        <f>SUBTOTAL(109,Table2245789101123456782[KG VOLUME])</f>
        <v>3.6</v>
      </c>
      <c r="N4" s="63">
        <f>SUM(N3:N3)</f>
        <v>10</v>
      </c>
      <c r="O4" s="122">
        <f>SUM(P3:P3)</f>
        <v>140000</v>
      </c>
      <c r="P4" s="123"/>
    </row>
    <row r="5" spans="1:17" ht="18" customHeight="1" x14ac:dyDescent="0.2">
      <c r="A5" s="77"/>
      <c r="B5" s="53" t="s">
        <v>42</v>
      </c>
      <c r="C5" s="52"/>
      <c r="D5" s="54" t="s">
        <v>43</v>
      </c>
      <c r="E5" s="77"/>
      <c r="F5" s="77"/>
      <c r="G5" s="77"/>
      <c r="H5" s="77"/>
      <c r="I5" s="77"/>
      <c r="J5" s="77"/>
      <c r="K5" s="77"/>
      <c r="L5" s="77"/>
      <c r="M5" s="78"/>
      <c r="N5" s="79" t="s">
        <v>51</v>
      </c>
      <c r="O5" s="80"/>
      <c r="P5" s="80">
        <f>O4*10%</f>
        <v>14000</v>
      </c>
    </row>
    <row r="6" spans="1:17" ht="18" customHeight="1" thickBot="1" x14ac:dyDescent="0.25">
      <c r="A6" s="77"/>
      <c r="B6" s="53"/>
      <c r="C6" s="52"/>
      <c r="D6" s="54"/>
      <c r="E6" s="77"/>
      <c r="F6" s="77"/>
      <c r="G6" s="77"/>
      <c r="H6" s="77"/>
      <c r="I6" s="77"/>
      <c r="J6" s="77"/>
      <c r="K6" s="77"/>
      <c r="L6" s="77"/>
      <c r="M6" s="78"/>
      <c r="N6" s="81" t="s">
        <v>52</v>
      </c>
      <c r="O6" s="82"/>
      <c r="P6" s="82">
        <f>O4-P5</f>
        <v>126000</v>
      </c>
    </row>
    <row r="7" spans="1:17" ht="18" customHeight="1" x14ac:dyDescent="0.2">
      <c r="A7" s="9"/>
      <c r="H7" s="58"/>
      <c r="N7" s="57" t="s">
        <v>31</v>
      </c>
      <c r="P7" s="64">
        <f>P6*1%</f>
        <v>1260</v>
      </c>
    </row>
    <row r="8" spans="1:17" ht="18" customHeight="1" thickBot="1" x14ac:dyDescent="0.25">
      <c r="A8" s="9"/>
      <c r="H8" s="58"/>
      <c r="N8" s="57" t="s">
        <v>53</v>
      </c>
      <c r="P8" s="66">
        <f>P6*2%</f>
        <v>2520</v>
      </c>
    </row>
    <row r="9" spans="1:17" ht="18" customHeight="1" x14ac:dyDescent="0.2">
      <c r="A9" s="9"/>
      <c r="H9" s="58"/>
      <c r="N9" s="61" t="s">
        <v>32</v>
      </c>
      <c r="O9" s="62"/>
      <c r="P9" s="65">
        <f>P6+P7-P8</f>
        <v>124740</v>
      </c>
    </row>
    <row r="11" spans="1:17" x14ac:dyDescent="0.2">
      <c r="A11" s="9"/>
      <c r="H11" s="58"/>
      <c r="P11" s="66"/>
    </row>
    <row r="12" spans="1:17" x14ac:dyDescent="0.2">
      <c r="A12" s="9"/>
      <c r="H12" s="58"/>
      <c r="O12" s="55"/>
      <c r="P12" s="66"/>
    </row>
    <row r="13" spans="1:17" s="3" customFormat="1" x14ac:dyDescent="0.25">
      <c r="A13" s="9"/>
      <c r="B13" s="2"/>
      <c r="C13" s="2"/>
      <c r="E13" s="10"/>
      <c r="H13" s="58"/>
      <c r="N13" s="13"/>
      <c r="O13" s="13"/>
      <c r="P13" s="13"/>
    </row>
    <row r="14" spans="1:17" s="3" customFormat="1" x14ac:dyDescent="0.25">
      <c r="A14" s="9"/>
      <c r="B14" s="2"/>
      <c r="C14" s="2"/>
      <c r="E14" s="10"/>
      <c r="H14" s="58"/>
      <c r="N14" s="13"/>
      <c r="O14" s="13"/>
      <c r="P14" s="13"/>
    </row>
    <row r="15" spans="1:17" s="3" customFormat="1" x14ac:dyDescent="0.25">
      <c r="A15" s="9"/>
      <c r="B15" s="2"/>
      <c r="C15" s="2"/>
      <c r="E15" s="10"/>
      <c r="H15" s="58"/>
      <c r="N15" s="13"/>
      <c r="O15" s="13"/>
      <c r="P15" s="13"/>
    </row>
    <row r="16" spans="1:17" s="3" customFormat="1" x14ac:dyDescent="0.25">
      <c r="A16" s="9"/>
      <c r="B16" s="2"/>
      <c r="C16" s="2"/>
      <c r="E16" s="10"/>
      <c r="H16" s="58"/>
      <c r="N16" s="13"/>
      <c r="O16" s="13"/>
      <c r="P16" s="13"/>
    </row>
    <row r="17" spans="1:16" s="3" customFormat="1" x14ac:dyDescent="0.25">
      <c r="A17" s="9"/>
      <c r="B17" s="2"/>
      <c r="C17" s="2"/>
      <c r="E17" s="10"/>
      <c r="H17" s="58"/>
      <c r="N17" s="13"/>
      <c r="O17" s="13"/>
      <c r="P17" s="13"/>
    </row>
    <row r="18" spans="1:16" s="3" customFormat="1" x14ac:dyDescent="0.25">
      <c r="A18" s="9"/>
      <c r="B18" s="2"/>
      <c r="C18" s="2"/>
      <c r="E18" s="10"/>
      <c r="H18" s="58"/>
      <c r="N18" s="13"/>
      <c r="O18" s="13"/>
      <c r="P18" s="13"/>
    </row>
    <row r="19" spans="1:16" s="3" customFormat="1" x14ac:dyDescent="0.25">
      <c r="A19" s="9"/>
      <c r="B19" s="2"/>
      <c r="C19" s="2"/>
      <c r="E19" s="10"/>
      <c r="H19" s="58"/>
      <c r="N19" s="13"/>
      <c r="O19" s="13"/>
      <c r="P19" s="13"/>
    </row>
    <row r="20" spans="1:16" s="3" customFormat="1" x14ac:dyDescent="0.25">
      <c r="A20" s="9"/>
      <c r="B20" s="2"/>
      <c r="C20" s="2"/>
      <c r="E20" s="10"/>
      <c r="H20" s="58"/>
      <c r="N20" s="13"/>
      <c r="O20" s="13"/>
      <c r="P20" s="13"/>
    </row>
    <row r="21" spans="1:16" s="3" customFormat="1" x14ac:dyDescent="0.25">
      <c r="A21" s="9"/>
      <c r="B21" s="2"/>
      <c r="C21" s="2"/>
      <c r="E21" s="10"/>
      <c r="H21" s="58"/>
      <c r="N21" s="13"/>
      <c r="O21" s="13"/>
      <c r="P21" s="13"/>
    </row>
    <row r="22" spans="1:16" s="3" customFormat="1" x14ac:dyDescent="0.25">
      <c r="A22" s="9"/>
      <c r="B22" s="2"/>
      <c r="C22" s="2"/>
      <c r="E22" s="10"/>
      <c r="H22" s="58"/>
      <c r="N22" s="13"/>
      <c r="O22" s="13"/>
      <c r="P22" s="13"/>
    </row>
    <row r="23" spans="1:16" s="3" customFormat="1" x14ac:dyDescent="0.25">
      <c r="A23" s="9"/>
      <c r="B23" s="2"/>
      <c r="C23" s="2"/>
      <c r="E23" s="10"/>
      <c r="H23" s="58"/>
      <c r="N23" s="13"/>
      <c r="O23" s="13"/>
      <c r="P23" s="13"/>
    </row>
    <row r="24" spans="1:16" s="3" customFormat="1" x14ac:dyDescent="0.25">
      <c r="A24" s="9"/>
      <c r="B24" s="2"/>
      <c r="C24" s="2"/>
      <c r="E24" s="10"/>
      <c r="H24" s="58"/>
      <c r="N24" s="13"/>
      <c r="O24" s="13"/>
      <c r="P24" s="13"/>
    </row>
  </sheetData>
  <mergeCells count="2">
    <mergeCell ref="A4:L4"/>
    <mergeCell ref="O4:P4"/>
  </mergeCells>
  <conditionalFormatting sqref="B3">
    <cfRule type="duplicateValues" dxfId="47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4"/>
  <sheetViews>
    <sheetView zoomScale="110" zoomScaleNormal="110" workbookViewId="0">
      <pane xSplit="3" ySplit="2" topLeftCell="D3" activePane="bottomRight" state="frozen"/>
      <selection activeCell="D15" sqref="D15"/>
      <selection pane="topRight" activeCell="D15" sqref="D15"/>
      <selection pane="bottomLeft" activeCell="D15" sqref="D15"/>
      <selection pane="bottomRight" activeCell="H6" sqref="H6"/>
    </sheetView>
  </sheetViews>
  <sheetFormatPr defaultRowHeight="15" x14ac:dyDescent="0.2"/>
  <cols>
    <col min="1" max="1" width="6.28515625" style="4" customWidth="1"/>
    <col min="2" max="2" width="20.140625" style="2" customWidth="1"/>
    <col min="3" max="3" width="15.42578125" style="2" customWidth="1"/>
    <col min="4" max="4" width="11.42578125" style="3" customWidth="1"/>
    <col min="5" max="5" width="8.85546875" style="10" customWidth="1"/>
    <col min="6" max="6" width="10" style="3" customWidth="1"/>
    <col min="7" max="7" width="10.28515625" style="3" customWidth="1"/>
    <col min="8" max="8" width="19.7109375" style="6" customWidth="1"/>
    <col min="9" max="11" width="3.7109375" style="3" customWidth="1"/>
    <col min="12" max="12" width="4.5703125" style="3" customWidth="1"/>
    <col min="13" max="13" width="8" style="3" customWidth="1"/>
    <col min="14" max="14" width="12.28515625" style="13" customWidth="1"/>
    <col min="15" max="15" width="8.140625" style="13" customWidth="1"/>
    <col min="16" max="16" width="11" style="13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87" t="s">
        <v>44</v>
      </c>
      <c r="B2" s="56" t="s">
        <v>7</v>
      </c>
      <c r="C2" s="56" t="s">
        <v>0</v>
      </c>
      <c r="D2" s="56" t="s">
        <v>1</v>
      </c>
      <c r="E2" s="89" t="s">
        <v>4</v>
      </c>
      <c r="F2" s="56" t="s">
        <v>3</v>
      </c>
      <c r="G2" s="56" t="s">
        <v>5</v>
      </c>
      <c r="H2" s="89" t="s">
        <v>2</v>
      </c>
      <c r="I2" s="56" t="s">
        <v>39</v>
      </c>
      <c r="J2" s="56" t="s">
        <v>40</v>
      </c>
      <c r="K2" s="56" t="s">
        <v>41</v>
      </c>
      <c r="L2" s="56" t="s">
        <v>45</v>
      </c>
      <c r="M2" s="56" t="s">
        <v>46</v>
      </c>
      <c r="N2" s="56" t="s">
        <v>6</v>
      </c>
      <c r="O2" s="56" t="s">
        <v>47</v>
      </c>
      <c r="P2" s="56" t="s">
        <v>48</v>
      </c>
      <c r="Q2" s="56" t="s">
        <v>26</v>
      </c>
    </row>
    <row r="3" spans="1:17" ht="26.25" customHeight="1" x14ac:dyDescent="0.2">
      <c r="A3" s="74">
        <v>403474</v>
      </c>
      <c r="B3" s="67" t="s">
        <v>82</v>
      </c>
      <c r="C3" s="7" t="s">
        <v>83</v>
      </c>
      <c r="D3" s="69" t="s">
        <v>63</v>
      </c>
      <c r="E3" s="11">
        <v>44583</v>
      </c>
      <c r="F3" s="69" t="s">
        <v>80</v>
      </c>
      <c r="G3" s="11">
        <v>44615</v>
      </c>
      <c r="H3" s="8" t="s">
        <v>81</v>
      </c>
      <c r="I3" s="1">
        <v>70</v>
      </c>
      <c r="J3" s="1">
        <v>56</v>
      </c>
      <c r="K3" s="1">
        <v>56</v>
      </c>
      <c r="L3" s="1">
        <v>14</v>
      </c>
      <c r="M3" s="72">
        <v>54.88</v>
      </c>
      <c r="N3" s="88">
        <v>54.88</v>
      </c>
      <c r="O3" s="59">
        <v>14000</v>
      </c>
      <c r="P3" s="60">
        <f t="shared" ref="P3" si="0">N3*O3</f>
        <v>768320</v>
      </c>
      <c r="Q3" s="90">
        <v>1</v>
      </c>
    </row>
    <row r="4" spans="1:17" ht="22.5" customHeight="1" x14ac:dyDescent="0.2">
      <c r="A4" s="119" t="s">
        <v>30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1"/>
      <c r="M4" s="71">
        <f>SUBTOTAL(109,Table22457891011234567823[KG VOLUME])</f>
        <v>54.88</v>
      </c>
      <c r="N4" s="63">
        <f>SUM(N3:N3)</f>
        <v>54.88</v>
      </c>
      <c r="O4" s="122">
        <f>SUM(P3:P3)</f>
        <v>768320</v>
      </c>
      <c r="P4" s="123"/>
    </row>
    <row r="5" spans="1:17" ht="18" customHeight="1" x14ac:dyDescent="0.2">
      <c r="A5" s="77"/>
      <c r="B5" s="53" t="s">
        <v>42</v>
      </c>
      <c r="C5" s="52"/>
      <c r="D5" s="54" t="s">
        <v>43</v>
      </c>
      <c r="E5" s="77"/>
      <c r="F5" s="77"/>
      <c r="G5" s="77"/>
      <c r="H5" s="77"/>
      <c r="I5" s="77"/>
      <c r="J5" s="77"/>
      <c r="K5" s="77"/>
      <c r="L5" s="77"/>
      <c r="M5" s="78"/>
      <c r="N5" s="79" t="s">
        <v>51</v>
      </c>
      <c r="O5" s="80"/>
      <c r="P5" s="80">
        <f>O4*10%</f>
        <v>76832</v>
      </c>
    </row>
    <row r="6" spans="1:17" ht="18" customHeight="1" thickBot="1" x14ac:dyDescent="0.25">
      <c r="A6" s="77"/>
      <c r="B6" s="53"/>
      <c r="C6" s="52"/>
      <c r="D6" s="54"/>
      <c r="E6" s="77"/>
      <c r="F6" s="77"/>
      <c r="G6" s="77"/>
      <c r="H6" s="77"/>
      <c r="I6" s="77"/>
      <c r="J6" s="77"/>
      <c r="K6" s="77"/>
      <c r="L6" s="77"/>
      <c r="M6" s="78"/>
      <c r="N6" s="81" t="s">
        <v>52</v>
      </c>
      <c r="O6" s="82"/>
      <c r="P6" s="82">
        <f>O4-P5</f>
        <v>691488</v>
      </c>
    </row>
    <row r="7" spans="1:17" ht="18" customHeight="1" x14ac:dyDescent="0.2">
      <c r="A7" s="9"/>
      <c r="H7" s="58"/>
      <c r="N7" s="57" t="s">
        <v>31</v>
      </c>
      <c r="P7" s="64">
        <f>P6*1%</f>
        <v>6914.88</v>
      </c>
    </row>
    <row r="8" spans="1:17" ht="18" customHeight="1" thickBot="1" x14ac:dyDescent="0.25">
      <c r="A8" s="9"/>
      <c r="H8" s="58"/>
      <c r="N8" s="57" t="s">
        <v>53</v>
      </c>
      <c r="P8" s="66">
        <f>P6*2%</f>
        <v>13829.76</v>
      </c>
    </row>
    <row r="9" spans="1:17" ht="18" customHeight="1" x14ac:dyDescent="0.2">
      <c r="A9" s="9"/>
      <c r="H9" s="58"/>
      <c r="N9" s="61" t="s">
        <v>32</v>
      </c>
      <c r="O9" s="62"/>
      <c r="P9" s="65">
        <f>P6+P7-P8</f>
        <v>684573.12</v>
      </c>
    </row>
    <row r="11" spans="1:17" x14ac:dyDescent="0.2">
      <c r="A11" s="9"/>
      <c r="H11" s="58"/>
      <c r="P11" s="66"/>
    </row>
    <row r="12" spans="1:17" x14ac:dyDescent="0.2">
      <c r="A12" s="9"/>
      <c r="H12" s="58"/>
      <c r="O12" s="55"/>
      <c r="P12" s="66"/>
    </row>
    <row r="13" spans="1:17" s="3" customFormat="1" x14ac:dyDescent="0.25">
      <c r="A13" s="9"/>
      <c r="B13" s="2"/>
      <c r="C13" s="2"/>
      <c r="E13" s="10"/>
      <c r="H13" s="58"/>
      <c r="N13" s="13"/>
      <c r="O13" s="13"/>
      <c r="P13" s="13"/>
    </row>
    <row r="14" spans="1:17" s="3" customFormat="1" x14ac:dyDescent="0.25">
      <c r="A14" s="9"/>
      <c r="B14" s="2"/>
      <c r="C14" s="2"/>
      <c r="E14" s="10"/>
      <c r="H14" s="58"/>
      <c r="N14" s="13"/>
      <c r="O14" s="13"/>
      <c r="P14" s="13"/>
    </row>
    <row r="15" spans="1:17" s="3" customFormat="1" x14ac:dyDescent="0.25">
      <c r="A15" s="9"/>
      <c r="B15" s="2"/>
      <c r="C15" s="2"/>
      <c r="E15" s="10"/>
      <c r="H15" s="58"/>
      <c r="N15" s="13"/>
      <c r="O15" s="13"/>
      <c r="P15" s="13"/>
    </row>
    <row r="16" spans="1:17" s="3" customFormat="1" x14ac:dyDescent="0.25">
      <c r="A16" s="9"/>
      <c r="B16" s="2"/>
      <c r="C16" s="2"/>
      <c r="E16" s="10"/>
      <c r="H16" s="58"/>
      <c r="N16" s="13"/>
      <c r="O16" s="13"/>
      <c r="P16" s="13"/>
    </row>
    <row r="17" spans="1:16" s="3" customFormat="1" x14ac:dyDescent="0.25">
      <c r="A17" s="9"/>
      <c r="B17" s="2"/>
      <c r="C17" s="2"/>
      <c r="E17" s="10"/>
      <c r="H17" s="58"/>
      <c r="N17" s="13"/>
      <c r="O17" s="13"/>
      <c r="P17" s="13"/>
    </row>
    <row r="18" spans="1:16" s="3" customFormat="1" x14ac:dyDescent="0.25">
      <c r="A18" s="9"/>
      <c r="B18" s="2"/>
      <c r="C18" s="2"/>
      <c r="E18" s="10"/>
      <c r="H18" s="58"/>
      <c r="N18" s="13"/>
      <c r="O18" s="13"/>
      <c r="P18" s="13"/>
    </row>
    <row r="19" spans="1:16" s="3" customFormat="1" x14ac:dyDescent="0.25">
      <c r="A19" s="9"/>
      <c r="B19" s="2"/>
      <c r="C19" s="2"/>
      <c r="E19" s="10"/>
      <c r="H19" s="58"/>
      <c r="N19" s="13"/>
      <c r="O19" s="13"/>
      <c r="P19" s="13"/>
    </row>
    <row r="20" spans="1:16" s="3" customFormat="1" x14ac:dyDescent="0.25">
      <c r="A20" s="9"/>
      <c r="B20" s="2"/>
      <c r="C20" s="2"/>
      <c r="E20" s="10"/>
      <c r="H20" s="58"/>
      <c r="N20" s="13"/>
      <c r="O20" s="13"/>
      <c r="P20" s="13"/>
    </row>
    <row r="21" spans="1:16" s="3" customFormat="1" x14ac:dyDescent="0.25">
      <c r="A21" s="9"/>
      <c r="B21" s="2"/>
      <c r="C21" s="2"/>
      <c r="E21" s="10"/>
      <c r="H21" s="58"/>
      <c r="N21" s="13"/>
      <c r="O21" s="13"/>
      <c r="P21" s="13"/>
    </row>
    <row r="22" spans="1:16" s="3" customFormat="1" x14ac:dyDescent="0.25">
      <c r="A22" s="9"/>
      <c r="B22" s="2"/>
      <c r="C22" s="2"/>
      <c r="E22" s="10"/>
      <c r="H22" s="58"/>
      <c r="N22" s="13"/>
      <c r="O22" s="13"/>
      <c r="P22" s="13"/>
    </row>
    <row r="23" spans="1:16" s="3" customFormat="1" x14ac:dyDescent="0.25">
      <c r="A23" s="9"/>
      <c r="B23" s="2"/>
      <c r="C23" s="2"/>
      <c r="E23" s="10"/>
      <c r="H23" s="58"/>
      <c r="N23" s="13"/>
      <c r="O23" s="13"/>
      <c r="P23" s="13"/>
    </row>
    <row r="24" spans="1:16" s="3" customFormat="1" x14ac:dyDescent="0.25">
      <c r="A24" s="9"/>
      <c r="B24" s="2"/>
      <c r="C24" s="2"/>
      <c r="E24" s="10"/>
      <c r="H24" s="58"/>
      <c r="N24" s="13"/>
      <c r="O24" s="13"/>
      <c r="P24" s="13"/>
    </row>
  </sheetData>
  <mergeCells count="2">
    <mergeCell ref="A4:L4"/>
    <mergeCell ref="O4:P4"/>
  </mergeCells>
  <conditionalFormatting sqref="B3">
    <cfRule type="duplicateValues" dxfId="31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1"/>
  <sheetViews>
    <sheetView zoomScale="110" zoomScaleNormal="110" workbookViewId="0">
      <pane xSplit="3" ySplit="2" topLeftCell="D3" activePane="bottomRight" state="frozen"/>
      <selection activeCell="D15" sqref="D15"/>
      <selection pane="topRight" activeCell="D15" sqref="D15"/>
      <selection pane="bottomLeft" activeCell="D15" sqref="D15"/>
      <selection pane="bottomRight" activeCell="N3" sqref="N3:N10"/>
    </sheetView>
  </sheetViews>
  <sheetFormatPr defaultRowHeight="15" x14ac:dyDescent="0.2"/>
  <cols>
    <col min="1" max="1" width="6.28515625" style="4" customWidth="1"/>
    <col min="2" max="2" width="20.140625" style="2" customWidth="1"/>
    <col min="3" max="3" width="15.42578125" style="2" customWidth="1"/>
    <col min="4" max="4" width="11.42578125" style="3" customWidth="1"/>
    <col min="5" max="5" width="8.85546875" style="10" customWidth="1"/>
    <col min="6" max="6" width="11.5703125" style="3" customWidth="1"/>
    <col min="7" max="7" width="10.28515625" style="3" customWidth="1"/>
    <col min="8" max="8" width="21" style="6" customWidth="1"/>
    <col min="9" max="11" width="3.7109375" style="3" customWidth="1"/>
    <col min="12" max="12" width="4.5703125" style="3" customWidth="1"/>
    <col min="13" max="13" width="8" style="3" customWidth="1"/>
    <col min="14" max="14" width="12.28515625" style="13" customWidth="1"/>
    <col min="15" max="15" width="8.140625" style="13" customWidth="1"/>
    <col min="16" max="16" width="11" style="13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87" t="s">
        <v>44</v>
      </c>
      <c r="B2" s="56" t="s">
        <v>7</v>
      </c>
      <c r="C2" s="56" t="s">
        <v>0</v>
      </c>
      <c r="D2" s="56" t="s">
        <v>1</v>
      </c>
      <c r="E2" s="89" t="s">
        <v>4</v>
      </c>
      <c r="F2" s="56" t="s">
        <v>3</v>
      </c>
      <c r="G2" s="56" t="s">
        <v>5</v>
      </c>
      <c r="H2" s="89" t="s">
        <v>2</v>
      </c>
      <c r="I2" s="56" t="s">
        <v>39</v>
      </c>
      <c r="J2" s="56" t="s">
        <v>40</v>
      </c>
      <c r="K2" s="56" t="s">
        <v>41</v>
      </c>
      <c r="L2" s="56" t="s">
        <v>45</v>
      </c>
      <c r="M2" s="56" t="s">
        <v>46</v>
      </c>
      <c r="N2" s="56" t="s">
        <v>6</v>
      </c>
      <c r="O2" s="56" t="s">
        <v>47</v>
      </c>
      <c r="P2" s="56" t="s">
        <v>48</v>
      </c>
      <c r="Q2" s="56" t="s">
        <v>26</v>
      </c>
    </row>
    <row r="3" spans="1:17" ht="26.25" customHeight="1" x14ac:dyDescent="0.2">
      <c r="A3" s="74">
        <v>403367</v>
      </c>
      <c r="B3" s="67" t="s">
        <v>85</v>
      </c>
      <c r="C3" s="7" t="s">
        <v>86</v>
      </c>
      <c r="D3" s="69" t="s">
        <v>63</v>
      </c>
      <c r="E3" s="11">
        <v>44591</v>
      </c>
      <c r="F3" s="69" t="s">
        <v>94</v>
      </c>
      <c r="G3" s="11">
        <v>44618</v>
      </c>
      <c r="H3" s="8" t="s">
        <v>95</v>
      </c>
      <c r="I3" s="1">
        <v>60</v>
      </c>
      <c r="J3" s="1">
        <v>39</v>
      </c>
      <c r="K3" s="1">
        <v>76</v>
      </c>
      <c r="L3" s="1">
        <v>31</v>
      </c>
      <c r="M3" s="72">
        <v>44.46</v>
      </c>
      <c r="N3" s="88">
        <v>45</v>
      </c>
      <c r="O3" s="59">
        <v>14000</v>
      </c>
      <c r="P3" s="60">
        <f t="shared" ref="P3" si="0">N3*O3</f>
        <v>630000</v>
      </c>
      <c r="Q3" s="127">
        <v>8</v>
      </c>
    </row>
    <row r="4" spans="1:17" ht="26.25" customHeight="1" x14ac:dyDescent="0.2">
      <c r="A4" s="12"/>
      <c r="B4" s="68"/>
      <c r="C4" s="7" t="s">
        <v>87</v>
      </c>
      <c r="D4" s="69" t="s">
        <v>63</v>
      </c>
      <c r="E4" s="11">
        <v>44591</v>
      </c>
      <c r="F4" s="69" t="s">
        <v>94</v>
      </c>
      <c r="G4" s="11">
        <v>44618</v>
      </c>
      <c r="H4" s="8" t="s">
        <v>95</v>
      </c>
      <c r="I4" s="1">
        <v>60</v>
      </c>
      <c r="J4" s="1">
        <v>39</v>
      </c>
      <c r="K4" s="1">
        <v>76</v>
      </c>
      <c r="L4" s="1">
        <v>31</v>
      </c>
      <c r="M4" s="72">
        <v>44.46</v>
      </c>
      <c r="N4" s="88">
        <v>45</v>
      </c>
      <c r="O4" s="59">
        <v>14000</v>
      </c>
      <c r="P4" s="60">
        <f t="shared" ref="P4:P10" si="1">N4*O4</f>
        <v>630000</v>
      </c>
      <c r="Q4" s="129"/>
    </row>
    <row r="5" spans="1:17" ht="26.25" customHeight="1" x14ac:dyDescent="0.2">
      <c r="A5" s="12"/>
      <c r="B5" s="68"/>
      <c r="C5" s="7" t="s">
        <v>88</v>
      </c>
      <c r="D5" s="69" t="s">
        <v>63</v>
      </c>
      <c r="E5" s="11">
        <v>44591</v>
      </c>
      <c r="F5" s="69" t="s">
        <v>94</v>
      </c>
      <c r="G5" s="11">
        <v>44618</v>
      </c>
      <c r="H5" s="8" t="s">
        <v>95</v>
      </c>
      <c r="I5" s="1">
        <v>60</v>
      </c>
      <c r="J5" s="1">
        <v>39</v>
      </c>
      <c r="K5" s="1">
        <v>76</v>
      </c>
      <c r="L5" s="1">
        <v>31</v>
      </c>
      <c r="M5" s="72">
        <v>44.46</v>
      </c>
      <c r="N5" s="88">
        <v>45</v>
      </c>
      <c r="O5" s="59">
        <v>14000</v>
      </c>
      <c r="P5" s="60">
        <f t="shared" si="1"/>
        <v>630000</v>
      </c>
      <c r="Q5" s="129"/>
    </row>
    <row r="6" spans="1:17" ht="26.25" customHeight="1" x14ac:dyDescent="0.2">
      <c r="A6" s="12"/>
      <c r="B6" s="68"/>
      <c r="C6" s="7" t="s">
        <v>89</v>
      </c>
      <c r="D6" s="69" t="s">
        <v>63</v>
      </c>
      <c r="E6" s="11">
        <v>44591</v>
      </c>
      <c r="F6" s="69" t="s">
        <v>94</v>
      </c>
      <c r="G6" s="11">
        <v>44618</v>
      </c>
      <c r="H6" s="8" t="s">
        <v>95</v>
      </c>
      <c r="I6" s="1">
        <v>60</v>
      </c>
      <c r="J6" s="1">
        <v>39</v>
      </c>
      <c r="K6" s="1">
        <v>76</v>
      </c>
      <c r="L6" s="1">
        <v>31</v>
      </c>
      <c r="M6" s="72">
        <v>44.46</v>
      </c>
      <c r="N6" s="88">
        <v>45</v>
      </c>
      <c r="O6" s="59">
        <v>14000</v>
      </c>
      <c r="P6" s="60">
        <f t="shared" si="1"/>
        <v>630000</v>
      </c>
      <c r="Q6" s="129"/>
    </row>
    <row r="7" spans="1:17" ht="26.25" customHeight="1" x14ac:dyDescent="0.2">
      <c r="A7" s="12"/>
      <c r="B7" s="68"/>
      <c r="C7" s="7" t="s">
        <v>90</v>
      </c>
      <c r="D7" s="69" t="s">
        <v>63</v>
      </c>
      <c r="E7" s="11">
        <v>44591</v>
      </c>
      <c r="F7" s="69" t="s">
        <v>94</v>
      </c>
      <c r="G7" s="11">
        <v>44618</v>
      </c>
      <c r="H7" s="8" t="s">
        <v>95</v>
      </c>
      <c r="I7" s="1">
        <v>60</v>
      </c>
      <c r="J7" s="1">
        <v>39</v>
      </c>
      <c r="K7" s="1">
        <v>76</v>
      </c>
      <c r="L7" s="1">
        <v>31</v>
      </c>
      <c r="M7" s="72">
        <v>44.46</v>
      </c>
      <c r="N7" s="88">
        <v>45</v>
      </c>
      <c r="O7" s="59">
        <v>14000</v>
      </c>
      <c r="P7" s="60">
        <f t="shared" si="1"/>
        <v>630000</v>
      </c>
      <c r="Q7" s="129"/>
    </row>
    <row r="8" spans="1:17" ht="26.25" customHeight="1" x14ac:dyDescent="0.2">
      <c r="A8" s="12"/>
      <c r="B8" s="68"/>
      <c r="C8" s="7" t="s">
        <v>91</v>
      </c>
      <c r="D8" s="69" t="s">
        <v>63</v>
      </c>
      <c r="E8" s="11">
        <v>44591</v>
      </c>
      <c r="F8" s="69" t="s">
        <v>94</v>
      </c>
      <c r="G8" s="11">
        <v>44618</v>
      </c>
      <c r="H8" s="8" t="s">
        <v>95</v>
      </c>
      <c r="I8" s="1">
        <v>35</v>
      </c>
      <c r="J8" s="1">
        <v>35</v>
      </c>
      <c r="K8" s="1">
        <v>55</v>
      </c>
      <c r="L8" s="1">
        <v>13</v>
      </c>
      <c r="M8" s="72">
        <v>16.84375</v>
      </c>
      <c r="N8" s="88">
        <v>16.84375</v>
      </c>
      <c r="O8" s="59">
        <v>14000</v>
      </c>
      <c r="P8" s="60">
        <f t="shared" si="1"/>
        <v>235812.5</v>
      </c>
      <c r="Q8" s="129"/>
    </row>
    <row r="9" spans="1:17" ht="26.25" customHeight="1" x14ac:dyDescent="0.2">
      <c r="A9" s="12"/>
      <c r="B9" s="68"/>
      <c r="C9" s="7" t="s">
        <v>92</v>
      </c>
      <c r="D9" s="69" t="s">
        <v>63</v>
      </c>
      <c r="E9" s="11">
        <v>44591</v>
      </c>
      <c r="F9" s="69" t="s">
        <v>94</v>
      </c>
      <c r="G9" s="11">
        <v>44618</v>
      </c>
      <c r="H9" s="8" t="s">
        <v>95</v>
      </c>
      <c r="I9" s="1">
        <v>60</v>
      </c>
      <c r="J9" s="1">
        <v>39</v>
      </c>
      <c r="K9" s="1">
        <v>76</v>
      </c>
      <c r="L9" s="1">
        <v>31</v>
      </c>
      <c r="M9" s="72">
        <v>44.46</v>
      </c>
      <c r="N9" s="88">
        <v>45</v>
      </c>
      <c r="O9" s="59">
        <v>14000</v>
      </c>
      <c r="P9" s="60">
        <f t="shared" si="1"/>
        <v>630000</v>
      </c>
      <c r="Q9" s="129"/>
    </row>
    <row r="10" spans="1:17" ht="26.25" customHeight="1" x14ac:dyDescent="0.2">
      <c r="A10" s="12"/>
      <c r="B10" s="68"/>
      <c r="C10" s="7" t="s">
        <v>93</v>
      </c>
      <c r="D10" s="69" t="s">
        <v>63</v>
      </c>
      <c r="E10" s="11">
        <v>44591</v>
      </c>
      <c r="F10" s="69" t="s">
        <v>94</v>
      </c>
      <c r="G10" s="11">
        <v>44618</v>
      </c>
      <c r="H10" s="8" t="s">
        <v>95</v>
      </c>
      <c r="I10" s="1">
        <v>60</v>
      </c>
      <c r="J10" s="1">
        <v>39</v>
      </c>
      <c r="K10" s="1">
        <v>76</v>
      </c>
      <c r="L10" s="1">
        <v>31</v>
      </c>
      <c r="M10" s="72">
        <v>44.46</v>
      </c>
      <c r="N10" s="88">
        <v>45</v>
      </c>
      <c r="O10" s="59">
        <v>14000</v>
      </c>
      <c r="P10" s="60">
        <f t="shared" si="1"/>
        <v>630000</v>
      </c>
      <c r="Q10" s="128"/>
    </row>
    <row r="11" spans="1:17" ht="22.5" customHeight="1" x14ac:dyDescent="0.2">
      <c r="A11" s="119" t="s">
        <v>30</v>
      </c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121"/>
      <c r="M11" s="71">
        <f>SUM(M3:M10)</f>
        <v>328.06374999999997</v>
      </c>
      <c r="N11" s="63">
        <f>SUM(N3:N10)</f>
        <v>331.84375</v>
      </c>
      <c r="O11" s="122">
        <f>SUM(P3:P10)</f>
        <v>4645812.5</v>
      </c>
      <c r="P11" s="123"/>
    </row>
    <row r="12" spans="1:17" ht="18" customHeight="1" x14ac:dyDescent="0.2">
      <c r="A12" s="77"/>
      <c r="B12" s="53" t="s">
        <v>42</v>
      </c>
      <c r="C12" s="52"/>
      <c r="D12" s="54" t="s">
        <v>43</v>
      </c>
      <c r="E12" s="77"/>
      <c r="F12" s="77"/>
      <c r="G12" s="77"/>
      <c r="H12" s="77"/>
      <c r="I12" s="77"/>
      <c r="J12" s="77"/>
      <c r="K12" s="77"/>
      <c r="L12" s="77"/>
      <c r="M12" s="78"/>
      <c r="N12" s="79" t="s">
        <v>51</v>
      </c>
      <c r="O12" s="80"/>
      <c r="P12" s="80">
        <f>O11*10%</f>
        <v>464581.25</v>
      </c>
    </row>
    <row r="13" spans="1:17" ht="18" customHeight="1" thickBot="1" x14ac:dyDescent="0.25">
      <c r="A13" s="77"/>
      <c r="B13" s="53"/>
      <c r="C13" s="52"/>
      <c r="D13" s="54"/>
      <c r="E13" s="77"/>
      <c r="F13" s="77"/>
      <c r="G13" s="77"/>
      <c r="H13" s="77"/>
      <c r="I13" s="77"/>
      <c r="J13" s="77"/>
      <c r="K13" s="77"/>
      <c r="L13" s="77"/>
      <c r="M13" s="78"/>
      <c r="N13" s="81" t="s">
        <v>52</v>
      </c>
      <c r="O13" s="82"/>
      <c r="P13" s="82">
        <f>O11-P12</f>
        <v>4181231.25</v>
      </c>
    </row>
    <row r="14" spans="1:17" ht="18" customHeight="1" x14ac:dyDescent="0.2">
      <c r="A14" s="9"/>
      <c r="H14" s="58"/>
      <c r="N14" s="57" t="s">
        <v>31</v>
      </c>
      <c r="P14" s="64">
        <f>P13*1%</f>
        <v>41812.3125</v>
      </c>
    </row>
    <row r="15" spans="1:17" ht="18" customHeight="1" thickBot="1" x14ac:dyDescent="0.25">
      <c r="A15" s="9"/>
      <c r="H15" s="58"/>
      <c r="N15" s="57" t="s">
        <v>53</v>
      </c>
      <c r="P15" s="66">
        <f>P13*2%</f>
        <v>83624.625</v>
      </c>
    </row>
    <row r="16" spans="1:17" ht="18" customHeight="1" x14ac:dyDescent="0.2">
      <c r="A16" s="9"/>
      <c r="H16" s="58"/>
      <c r="N16" s="61" t="s">
        <v>32</v>
      </c>
      <c r="O16" s="62"/>
      <c r="P16" s="65">
        <f>P13+P14-P15</f>
        <v>4139418.9375</v>
      </c>
    </row>
    <row r="18" spans="1:16" x14ac:dyDescent="0.2">
      <c r="A18" s="9"/>
      <c r="H18" s="58"/>
      <c r="P18" s="66"/>
    </row>
    <row r="19" spans="1:16" x14ac:dyDescent="0.2">
      <c r="A19" s="9"/>
      <c r="H19" s="58"/>
      <c r="O19" s="55"/>
      <c r="P19" s="66"/>
    </row>
    <row r="20" spans="1:16" s="3" customFormat="1" x14ac:dyDescent="0.25">
      <c r="A20" s="9"/>
      <c r="B20" s="2"/>
      <c r="C20" s="2"/>
      <c r="E20" s="10"/>
      <c r="H20" s="58"/>
      <c r="N20" s="13"/>
      <c r="O20" s="13"/>
      <c r="P20" s="13"/>
    </row>
    <row r="21" spans="1:16" s="3" customFormat="1" x14ac:dyDescent="0.25">
      <c r="A21" s="9"/>
      <c r="B21" s="2"/>
      <c r="C21" s="2"/>
      <c r="E21" s="10"/>
      <c r="H21" s="58"/>
      <c r="N21" s="13"/>
      <c r="O21" s="13"/>
      <c r="P21" s="13"/>
    </row>
    <row r="22" spans="1:16" s="3" customFormat="1" x14ac:dyDescent="0.25">
      <c r="A22" s="9"/>
      <c r="B22" s="2"/>
      <c r="C22" s="2"/>
      <c r="E22" s="10"/>
      <c r="H22" s="58"/>
      <c r="N22" s="13"/>
      <c r="O22" s="13"/>
      <c r="P22" s="13"/>
    </row>
    <row r="23" spans="1:16" s="3" customFormat="1" x14ac:dyDescent="0.25">
      <c r="A23" s="9"/>
      <c r="B23" s="2"/>
      <c r="C23" s="2"/>
      <c r="E23" s="10"/>
      <c r="H23" s="58"/>
      <c r="N23" s="13"/>
      <c r="O23" s="13"/>
      <c r="P23" s="13"/>
    </row>
    <row r="24" spans="1:16" s="3" customFormat="1" x14ac:dyDescent="0.25">
      <c r="A24" s="9"/>
      <c r="B24" s="2"/>
      <c r="C24" s="2"/>
      <c r="E24" s="10"/>
      <c r="H24" s="58"/>
      <c r="N24" s="13"/>
      <c r="O24" s="13"/>
      <c r="P24" s="13"/>
    </row>
    <row r="25" spans="1:16" s="3" customFormat="1" x14ac:dyDescent="0.25">
      <c r="A25" s="9"/>
      <c r="B25" s="2"/>
      <c r="C25" s="2"/>
      <c r="E25" s="10"/>
      <c r="H25" s="58"/>
      <c r="N25" s="13"/>
      <c r="O25" s="13"/>
      <c r="P25" s="13"/>
    </row>
    <row r="26" spans="1:16" s="3" customFormat="1" x14ac:dyDescent="0.25">
      <c r="A26" s="9"/>
      <c r="B26" s="2"/>
      <c r="C26" s="2"/>
      <c r="E26" s="10"/>
      <c r="H26" s="58"/>
      <c r="N26" s="13"/>
      <c r="O26" s="13"/>
      <c r="P26" s="13"/>
    </row>
    <row r="27" spans="1:16" s="3" customFormat="1" x14ac:dyDescent="0.25">
      <c r="A27" s="9"/>
      <c r="B27" s="2"/>
      <c r="C27" s="2"/>
      <c r="E27" s="10"/>
      <c r="H27" s="58"/>
      <c r="N27" s="13"/>
      <c r="O27" s="13"/>
      <c r="P27" s="13"/>
    </row>
    <row r="28" spans="1:16" s="3" customFormat="1" x14ac:dyDescent="0.25">
      <c r="A28" s="9"/>
      <c r="B28" s="2"/>
      <c r="C28" s="2"/>
      <c r="E28" s="10"/>
      <c r="H28" s="58"/>
      <c r="N28" s="13"/>
      <c r="O28" s="13"/>
      <c r="P28" s="13"/>
    </row>
    <row r="29" spans="1:16" s="3" customFormat="1" x14ac:dyDescent="0.25">
      <c r="A29" s="9"/>
      <c r="B29" s="2"/>
      <c r="C29" s="2"/>
      <c r="E29" s="10"/>
      <c r="H29" s="58"/>
      <c r="N29" s="13"/>
      <c r="O29" s="13"/>
      <c r="P29" s="13"/>
    </row>
    <row r="30" spans="1:16" s="3" customFormat="1" x14ac:dyDescent="0.25">
      <c r="A30" s="9"/>
      <c r="B30" s="2"/>
      <c r="C30" s="2"/>
      <c r="E30" s="10"/>
      <c r="H30" s="58"/>
      <c r="N30" s="13"/>
      <c r="O30" s="13"/>
      <c r="P30" s="13"/>
    </row>
    <row r="31" spans="1:16" s="3" customFormat="1" x14ac:dyDescent="0.25">
      <c r="A31" s="9"/>
      <c r="B31" s="2"/>
      <c r="C31" s="2"/>
      <c r="E31" s="10"/>
      <c r="H31" s="58"/>
      <c r="N31" s="13"/>
      <c r="O31" s="13"/>
      <c r="P31" s="13"/>
    </row>
  </sheetData>
  <mergeCells count="3">
    <mergeCell ref="Q3:Q10"/>
    <mergeCell ref="A11:L11"/>
    <mergeCell ref="O11:P11"/>
  </mergeCells>
  <conditionalFormatting sqref="B3:B10">
    <cfRule type="duplicateValues" dxfId="15" priority="2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Sicepat_Ambon_Jan 22</vt:lpstr>
      <vt:lpstr>ALL</vt:lpstr>
      <vt:lpstr>402776</vt:lpstr>
      <vt:lpstr>402796</vt:lpstr>
      <vt:lpstr>402917</vt:lpstr>
      <vt:lpstr>402920</vt:lpstr>
      <vt:lpstr>402947</vt:lpstr>
      <vt:lpstr>403474</vt:lpstr>
      <vt:lpstr>403367</vt:lpstr>
      <vt:lpstr>'402776'!Print_Titles</vt:lpstr>
      <vt:lpstr>'402796'!Print_Titles</vt:lpstr>
      <vt:lpstr>'402917'!Print_Titles</vt:lpstr>
      <vt:lpstr>'402920'!Print_Titles</vt:lpstr>
      <vt:lpstr>'402947'!Print_Titles</vt:lpstr>
      <vt:lpstr>'403367'!Print_Titles</vt:lpstr>
      <vt:lpstr>'403474'!Print_Titles</vt:lpstr>
      <vt:lpstr>ALL!Print_Titles</vt:lpstr>
      <vt:lpstr>'Sicepat_Ambon_Jan 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2022-03-04T04:58:41Z</cp:lastPrinted>
  <dcterms:created xsi:type="dcterms:W3CDTF">2021-07-02T11:08:00Z</dcterms:created>
  <dcterms:modified xsi:type="dcterms:W3CDTF">2022-03-10T08:06:56Z</dcterms:modified>
</cp:coreProperties>
</file>