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2\sicepat\"/>
    </mc:Choice>
  </mc:AlternateContent>
  <bookViews>
    <workbookView xWindow="-120" yWindow="-120" windowWidth="20730" windowHeight="11160" tabRatio="842"/>
  </bookViews>
  <sheets>
    <sheet name="Sicepat_Gorontalo Jan 22" sheetId="2" r:id="rId1"/>
    <sheet name="ALL" sheetId="90" r:id="rId2"/>
    <sheet name="402772" sheetId="58" r:id="rId3"/>
    <sheet name="402797" sheetId="59" r:id="rId4"/>
    <sheet name="402918" sheetId="60" r:id="rId5"/>
    <sheet name="404456" sheetId="61" r:id="rId6"/>
    <sheet name="403475" sheetId="62" r:id="rId7"/>
    <sheet name="403482" sheetId="63" r:id="rId8"/>
    <sheet name="403364" sheetId="64" r:id="rId9"/>
  </sheets>
  <definedNames>
    <definedName name="_xlnm.Print_Titles" localSheetId="2">'402772'!$2:$2</definedName>
    <definedName name="_xlnm.Print_Titles" localSheetId="3">'402797'!$2:$2</definedName>
    <definedName name="_xlnm.Print_Titles" localSheetId="4">'402918'!$2:$2</definedName>
    <definedName name="_xlnm.Print_Titles" localSheetId="8">'403364'!$2:$2</definedName>
    <definedName name="_xlnm.Print_Titles" localSheetId="6">'403475'!$2:$2</definedName>
    <definedName name="_xlnm.Print_Titles" localSheetId="7">'403482'!$2:$2</definedName>
    <definedName name="_xlnm.Print_Titles" localSheetId="5">'404456'!$2:$2</definedName>
    <definedName name="_xlnm.Print_Titles" localSheetId="1">ALL!$2:$2</definedName>
    <definedName name="_xlnm.Print_Titles" localSheetId="0">'Sicepat_Gorontalo Jan 22'!$2:$17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2" l="1"/>
  <c r="B20" i="2"/>
  <c r="N12" i="64" l="1"/>
  <c r="O20" i="61"/>
  <c r="N20" i="61"/>
  <c r="O39" i="90" l="1"/>
  <c r="M39" i="90"/>
  <c r="Q39" i="90"/>
  <c r="P38" i="90"/>
  <c r="P37" i="90"/>
  <c r="P36" i="90"/>
  <c r="P35" i="90"/>
  <c r="P34" i="90"/>
  <c r="P33" i="90"/>
  <c r="P32" i="90"/>
  <c r="P31" i="90"/>
  <c r="P30" i="90"/>
  <c r="P29" i="90"/>
  <c r="P28" i="90"/>
  <c r="P27" i="90"/>
  <c r="P26" i="90"/>
  <c r="P25" i="90"/>
  <c r="P24" i="90"/>
  <c r="P23" i="90"/>
  <c r="P22" i="90"/>
  <c r="P21" i="90"/>
  <c r="P20" i="90"/>
  <c r="P19" i="90"/>
  <c r="P18" i="90"/>
  <c r="P17" i="90"/>
  <c r="P16" i="90"/>
  <c r="P15" i="90"/>
  <c r="P14" i="90"/>
  <c r="P13" i="90"/>
  <c r="P12" i="90"/>
  <c r="P10" i="90"/>
  <c r="P9" i="90"/>
  <c r="P8" i="90"/>
  <c r="P7" i="90"/>
  <c r="P6" i="90"/>
  <c r="P5" i="90"/>
  <c r="P4" i="90"/>
  <c r="P3" i="90"/>
  <c r="P11" i="90"/>
  <c r="N39" i="90"/>
  <c r="P40" i="90" l="1"/>
  <c r="P41" i="90" s="1"/>
  <c r="P43" i="90" l="1"/>
  <c r="P42" i="90"/>
  <c r="P44" i="90" l="1"/>
  <c r="B24" i="2" l="1"/>
  <c r="C24" i="2"/>
  <c r="B23" i="2"/>
  <c r="C23" i="2"/>
  <c r="B22" i="2"/>
  <c r="C22" i="2"/>
  <c r="C21" i="2"/>
  <c r="C20" i="2"/>
  <c r="C19" i="2"/>
  <c r="B19" i="2"/>
  <c r="C18" i="2"/>
  <c r="B18" i="2"/>
  <c r="G24" i="2" l="1"/>
  <c r="M12" i="64"/>
  <c r="P11" i="64"/>
  <c r="P10" i="64"/>
  <c r="P9" i="64"/>
  <c r="P8" i="64"/>
  <c r="P7" i="64"/>
  <c r="P6" i="64"/>
  <c r="P5" i="64"/>
  <c r="P4" i="64"/>
  <c r="P3" i="64"/>
  <c r="N4" i="63"/>
  <c r="M4" i="63"/>
  <c r="P3" i="63"/>
  <c r="O4" i="63" s="1"/>
  <c r="N4" i="62"/>
  <c r="M4" i="62"/>
  <c r="P3" i="62"/>
  <c r="O4" i="62" s="1"/>
  <c r="G21" i="2"/>
  <c r="M20" i="61"/>
  <c r="P19" i="61"/>
  <c r="P18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P3" i="61"/>
  <c r="N5" i="60"/>
  <c r="G20" i="2" s="1"/>
  <c r="M5" i="60"/>
  <c r="P4" i="60"/>
  <c r="P3" i="60"/>
  <c r="O5" i="60" s="1"/>
  <c r="N7" i="59"/>
  <c r="M7" i="59"/>
  <c r="P6" i="59"/>
  <c r="P5" i="59"/>
  <c r="P4" i="59"/>
  <c r="P3" i="59"/>
  <c r="N5" i="58"/>
  <c r="M5" i="58"/>
  <c r="P4" i="58"/>
  <c r="P3" i="58"/>
  <c r="P5" i="63" l="1"/>
  <c r="P6" i="63" s="1"/>
  <c r="P5" i="62"/>
  <c r="P6" i="62" s="1"/>
  <c r="P8" i="62" s="1"/>
  <c r="P6" i="60"/>
  <c r="P7" i="60" s="1"/>
  <c r="O5" i="58"/>
  <c r="O12" i="64"/>
  <c r="O7" i="59"/>
  <c r="P13" i="64" l="1"/>
  <c r="P14" i="64" s="1"/>
  <c r="P15" i="64" s="1"/>
  <c r="P8" i="63"/>
  <c r="P7" i="63"/>
  <c r="P7" i="62"/>
  <c r="P21" i="61"/>
  <c r="P22" i="61" s="1"/>
  <c r="P24" i="61" s="1"/>
  <c r="P9" i="60"/>
  <c r="P8" i="60"/>
  <c r="P10" i="60" s="1"/>
  <c r="P8" i="59"/>
  <c r="P9" i="59" s="1"/>
  <c r="P6" i="58"/>
  <c r="P7" i="58" s="1"/>
  <c r="P9" i="62"/>
  <c r="I30" i="2"/>
  <c r="I29" i="2"/>
  <c r="I31" i="2" s="1"/>
  <c r="P16" i="64" l="1"/>
  <c r="P17" i="64" s="1"/>
  <c r="P9" i="63"/>
  <c r="P23" i="61"/>
  <c r="P25" i="61" s="1"/>
  <c r="P10" i="59"/>
  <c r="P11" i="59"/>
  <c r="P9" i="58"/>
  <c r="P8" i="58"/>
  <c r="J24" i="2"/>
  <c r="P12" i="59" l="1"/>
  <c r="P10" i="58"/>
  <c r="A19" i="2"/>
  <c r="A20" i="2" s="1"/>
  <c r="A21" i="2" s="1"/>
  <c r="A22" i="2" s="1"/>
  <c r="A23" i="2" s="1"/>
  <c r="A24" i="2" s="1"/>
  <c r="J23" i="2"/>
  <c r="J21" i="2"/>
  <c r="J22" i="2"/>
  <c r="J20" i="2"/>
  <c r="J19" i="2"/>
  <c r="I42" i="2" l="1"/>
  <c r="J18" i="2"/>
  <c r="J25" i="2" s="1"/>
  <c r="J27" i="2" s="1"/>
  <c r="J28" i="2" l="1"/>
  <c r="J30" i="2" l="1"/>
  <c r="J29" i="2"/>
  <c r="J31" i="2" l="1"/>
</calcChain>
</file>

<file path=xl/sharedStrings.xml><?xml version="1.0" encoding="utf-8"?>
<sst xmlns="http://schemas.openxmlformats.org/spreadsheetml/2006/main" count="561" uniqueCount="116">
  <si>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</si>
  <si>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</si>
  <si>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</si>
  <si>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</si>
  <si>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</si>
  <si>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</si>
  <si>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</si>
  <si>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</si>
  <si>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</si>
  <si>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</si>
  <si>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</si>
  <si>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</si>
  <si>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</si>
  <si>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</si>
  <si>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</si>
  <si>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</si>
  <si>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</si>
  <si>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</si>
  <si>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</si>
  <si>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</si>
  <si>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</si>
  <si>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</si>
  <si>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</si>
  <si>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</si>
  <si>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</si>
  <si>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</si>
  <si>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</si>
  <si>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</si>
  <si>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</si>
  <si>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</si>
  <si>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</si>
  <si>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</si>
  <si>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</si>
  <si>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</si>
  <si>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</si>
  <si>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</si>
  <si>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</si>
  <si>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</si>
  <si>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</si>
  <si>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</si>
  <si>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</si>
  <si>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</si>
  <si>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</si>
  <si>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</si>
  <si>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</si>
  <si>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</si>
  <si>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</si>
  <si>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</si>
  <si>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</si>
  <si>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</si>
  <si>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</si>
  <si>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</si>
  <si>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</si>
  <si>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</si>
  <si>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</si>
  <si>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</si>
  <si>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>DMD/2201/02/OPDZ0592</t>
  </si>
  <si>
    <t>GSK211230MVS736</t>
  </si>
  <si>
    <t>GSK220101PJY761</t>
  </si>
  <si>
    <t>DMP GTO (GORONTALO)</t>
  </si>
  <si>
    <t>KM DUTA II</t>
  </si>
  <si>
    <t>01/15/2022 VENCE</t>
  </si>
  <si>
    <t>DMD/2201/07/VZDO4901</t>
  </si>
  <si>
    <t>GSK220107RZF296</t>
  </si>
  <si>
    <t>GSK220107BAS781</t>
  </si>
  <si>
    <t>DMD/2201/07/XOSR0936</t>
  </si>
  <si>
    <t>GSK220107EQJ178</t>
  </si>
  <si>
    <t>GSK220107LBS301</t>
  </si>
  <si>
    <t>KM OMAR</t>
  </si>
  <si>
    <t>01/24/2022 VENCE</t>
  </si>
  <si>
    <t>DMD/2201/08/LNPM6375</t>
  </si>
  <si>
    <t>GSK220108FTC954</t>
  </si>
  <si>
    <t>GSK220108EAJ835</t>
  </si>
  <si>
    <t>DMD/2201/21/NYGC8192</t>
  </si>
  <si>
    <t>GSK220117HIC605</t>
  </si>
  <si>
    <t>GSK220117XDG689</t>
  </si>
  <si>
    <t>GSK220117XZV716</t>
  </si>
  <si>
    <t>GSK220117GQJ359</t>
  </si>
  <si>
    <t>GSK220117UYS205</t>
  </si>
  <si>
    <t>GSK220117RVB081</t>
  </si>
  <si>
    <t>GSK220117CRB087</t>
  </si>
  <si>
    <t>GSK220117LPQ193</t>
  </si>
  <si>
    <t>GSK220121CZY694</t>
  </si>
  <si>
    <t>GSK220121WNH154</t>
  </si>
  <si>
    <t>GSK220121BOA659</t>
  </si>
  <si>
    <t>GSK220121KWI768</t>
  </si>
  <si>
    <t>GSK220121LRY794</t>
  </si>
  <si>
    <t>GSK220121JXN273</t>
  </si>
  <si>
    <t>GSK220117FHX397</t>
  </si>
  <si>
    <t>GSK220117MYJ830</t>
  </si>
  <si>
    <t>GSK220117MBP657</t>
  </si>
  <si>
    <t>02/04/2022 VENCE</t>
  </si>
  <si>
    <t>DMD/2201/22/NMPZ3492</t>
  </si>
  <si>
    <t>GSK220122BOI605</t>
  </si>
  <si>
    <t>DMD/2201/25/QCYB6834</t>
  </si>
  <si>
    <t>GSK220123IGD365</t>
  </si>
  <si>
    <t>LION AIR</t>
  </si>
  <si>
    <t>01/31/2022 SAMSUDIN</t>
  </si>
  <si>
    <t>DMD/2201/30/ZLHW0518</t>
  </si>
  <si>
    <t>GSK220130KDI860</t>
  </si>
  <si>
    <t>GSK220130NSH736</t>
  </si>
  <si>
    <t>GSK220130UFN054</t>
  </si>
  <si>
    <t>GSK220127KFQ219</t>
  </si>
  <si>
    <t>GSK220130TCR196</t>
  </si>
  <si>
    <t>GSK220130HEI730</t>
  </si>
  <si>
    <t>GSK220130CQE674</t>
  </si>
  <si>
    <t>GSK220129CQF421</t>
  </si>
  <si>
    <t>GSK220130BSF768</t>
  </si>
  <si>
    <t>KM SIMFONI SEJATI</t>
  </si>
  <si>
    <t>02/14/2022 VENCE</t>
  </si>
  <si>
    <t xml:space="preserve"> 01 Maret 2022</t>
  </si>
  <si>
    <t xml:space="preserve"> GORONTALO</t>
  </si>
  <si>
    <t xml:space="preserve"> JANUARI 2022</t>
  </si>
  <si>
    <t>PENGIRIMAN BARANG TUJUAN GORONTALO</t>
  </si>
  <si>
    <t>GORONTALO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</si>
  <si>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Juta Dua Ratus Sembilan Puluh Dua Ribu Lima Ratus Tiga Puluh Sembilan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</si>
</sst>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7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" fontId="9" fillId="4" borderId="4" xfId="3" applyNumberFormat="1" applyFont="1" applyFill="1" applyBorder="1" applyAlignment="1">
      <alignment horizontal="center" vertical="center" wrapText="1"/>
    </xf>
    <xf numFmtId="1" fontId="9" fillId="4" borderId="1" xfId="3" applyNumberFormat="1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166" fontId="2" fillId="0" borderId="24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horizontal="center" vertical="center"/>
    </xf>
    <xf numFmtId="1" fontId="3" fillId="0" borderId="24" xfId="0" applyNumberFormat="1" applyFont="1" applyBorder="1" applyAlignment="1">
      <alignment horizontal="center" vertical="center"/>
    </xf>
    <xf numFmtId="164" fontId="3" fillId="0" borderId="24" xfId="2" applyFont="1" applyBorder="1" applyAlignment="1">
      <alignment horizontal="center" vertical="center"/>
    </xf>
    <xf numFmtId="167" fontId="3" fillId="0" borderId="2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64" fontId="3" fillId="0" borderId="4" xfId="2" applyFont="1" applyBorder="1" applyAlignment="1">
      <alignment horizontal="center" vertical="center"/>
    </xf>
    <xf numFmtId="167" fontId="3" fillId="0" borderId="4" xfId="1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2" fontId="2" fillId="0" borderId="24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166" fontId="2" fillId="0" borderId="25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2" fontId="2" fillId="0" borderId="25" xfId="0" applyNumberFormat="1" applyFont="1" applyBorder="1" applyAlignment="1">
      <alignment horizontal="center" vertical="center"/>
    </xf>
    <xf numFmtId="1" fontId="3" fillId="0" borderId="25" xfId="0" applyNumberFormat="1" applyFont="1" applyBorder="1" applyAlignment="1">
      <alignment horizontal="center" vertical="center"/>
    </xf>
    <xf numFmtId="164" fontId="3" fillId="0" borderId="25" xfId="2" applyFont="1" applyBorder="1" applyAlignment="1">
      <alignment horizontal="center" vertical="center"/>
    </xf>
    <xf numFmtId="167" fontId="3" fillId="0" borderId="25" xfId="1" applyNumberFormat="1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166" fontId="2" fillId="0" borderId="24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166" fontId="2" fillId="0" borderId="24" xfId="0" applyNumberFormat="1" applyFont="1" applyFill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horizontal="center" vertical="center" wrapText="1"/>
    </xf>
    <xf numFmtId="166" fontId="2" fillId="0" borderId="25" xfId="0" applyNumberFormat="1" applyFont="1" applyBorder="1" applyAlignment="1">
      <alignment horizontal="center" vertical="center" wrapText="1"/>
    </xf>
    <xf numFmtId="2" fontId="0" fillId="0" borderId="26" xfId="0" applyNumberFormat="1" applyFont="1" applyBorder="1" applyAlignment="1">
      <alignment vertical="center"/>
    </xf>
    <xf numFmtId="167" fontId="5" fillId="0" borderId="26" xfId="1" applyNumberFormat="1" applyFont="1" applyBorder="1" applyAlignment="1">
      <alignment vertical="center"/>
    </xf>
    <xf numFmtId="0" fontId="5" fillId="0" borderId="28" xfId="0" applyFont="1" applyBorder="1" applyAlignment="1">
      <alignment horizontal="center" vertical="center"/>
    </xf>
    <xf numFmtId="166" fontId="2" fillId="0" borderId="1" xfId="0" applyNumberFormat="1" applyFont="1" applyFill="1" applyBorder="1" applyAlignment="1">
      <alignment horizontal="left" vertical="center" wrapText="1"/>
    </xf>
    <xf numFmtId="166" fontId="2" fillId="0" borderId="24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0" fontId="15" fillId="0" borderId="27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167" fontId="5" fillId="0" borderId="26" xfId="1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15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1" name="Table224578910112342" displayName="Table224578910112342" ref="C2:N4" totalsRowShown="0" headerRowDxfId="134" dataDxfId="132" headerRowBorderDxfId="133">
  <tableColumns count="12">
    <tableColumn id="1" name="NOMOR" dataDxfId="131" dataCellStyle="Normal"/>
    <tableColumn id="3" name="TUJUAN" dataDxfId="130" dataCellStyle="Normal"/>
    <tableColumn id="16" name="Pick Up" dataDxfId="129"/>
    <tableColumn id="14" name="KAPAL" dataDxfId="128"/>
    <tableColumn id="15" name="ETD Kapal" dataDxfId="127"/>
    <tableColumn id="10" name="KETERANGAN" dataDxfId="126" dataCellStyle="Normal"/>
    <tableColumn id="5" name="P" dataDxfId="125" dataCellStyle="Normal"/>
    <tableColumn id="6" name="L" dataDxfId="124" dataCellStyle="Normal"/>
    <tableColumn id="7" name="T" dataDxfId="123" dataCellStyle="Normal"/>
    <tableColumn id="4" name="ACT KG" dataDxfId="122" dataCellStyle="Normal"/>
    <tableColumn id="8" name="KG VOLUME" dataDxfId="121" dataCellStyle="Normal"/>
    <tableColumn id="19" name="PEMBULATAN" dataDxfId="120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3" name="Table22457891011234" displayName="Table22457891011234" ref="C2:N4" totalsRowShown="0" headerRowDxfId="117" dataDxfId="115" headerRowBorderDxfId="116">
  <tableColumns count="12">
    <tableColumn id="1" name="NOMOR" dataDxfId="114" dataCellStyle="Normal"/>
    <tableColumn id="3" name="TUJUAN" dataDxfId="113" dataCellStyle="Normal"/>
    <tableColumn id="16" name="Pick Up" dataDxfId="112"/>
    <tableColumn id="14" name="KAPAL" dataDxfId="111"/>
    <tableColumn id="15" name="ETD Kapal" dataDxfId="110"/>
    <tableColumn id="10" name="KETERANGAN" dataDxfId="109" dataCellStyle="Normal"/>
    <tableColumn id="5" name="P" dataDxfId="108" dataCellStyle="Normal"/>
    <tableColumn id="6" name="L" dataDxfId="107" dataCellStyle="Normal"/>
    <tableColumn id="7" name="T" dataDxfId="106" dataCellStyle="Normal"/>
    <tableColumn id="4" name="ACT KG" dataDxfId="105" dataCellStyle="Normal"/>
    <tableColumn id="8" name="KG VOLUME" dataDxfId="104" dataCellStyle="Normal"/>
    <tableColumn id="19" name="PEMBULATAN" dataDxfId="103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4" name="Table224578910112345" displayName="Table224578910112345" ref="C2:N6" totalsRowShown="0" headerRowDxfId="99" dataDxfId="97" headerRowBorderDxfId="98">
  <tableColumns count="12">
    <tableColumn id="1" name="NOMOR" dataDxfId="96" dataCellStyle="Normal"/>
    <tableColumn id="3" name="TUJUAN" dataDxfId="95" dataCellStyle="Normal"/>
    <tableColumn id="16" name="Pick Up" dataDxfId="94"/>
    <tableColumn id="14" name="KAPAL" dataDxfId="93"/>
    <tableColumn id="15" name="ETD Kapal" dataDxfId="92"/>
    <tableColumn id="10" name="KETERANGAN" dataDxfId="91" dataCellStyle="Normal"/>
    <tableColumn id="5" name="P" dataDxfId="90" dataCellStyle="Normal"/>
    <tableColumn id="6" name="L" dataDxfId="89" dataCellStyle="Normal"/>
    <tableColumn id="7" name="T" dataDxfId="88" dataCellStyle="Normal"/>
    <tableColumn id="4" name="ACT KG" dataDxfId="87" dataCellStyle="Normal"/>
    <tableColumn id="8" name="KG VOLUME" dataDxfId="86" dataCellStyle="Normal"/>
    <tableColumn id="19" name="PEMBULATAN" dataDxfId="85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5" name="Table2245789101123456" displayName="Table2245789101123456" ref="C2:N4" totalsRowShown="0" headerRowDxfId="82" dataDxfId="80" headerRowBorderDxfId="81">
  <tableColumns count="12">
    <tableColumn id="1" name="NOMOR" dataDxfId="79" dataCellStyle="Normal"/>
    <tableColumn id="3" name="TUJUAN" dataDxfId="78" dataCellStyle="Normal"/>
    <tableColumn id="16" name="Pick Up" dataDxfId="77"/>
    <tableColumn id="14" name="KAPAL" dataDxfId="76"/>
    <tableColumn id="15" name="ETD Kapal" dataDxfId="75"/>
    <tableColumn id="10" name="KETERANGAN" dataDxfId="74" dataCellStyle="Normal"/>
    <tableColumn id="5" name="P" dataDxfId="73" dataCellStyle="Normal"/>
    <tableColumn id="6" name="L" dataDxfId="72" dataCellStyle="Normal"/>
    <tableColumn id="7" name="T" dataDxfId="71" dataCellStyle="Normal"/>
    <tableColumn id="4" name="ACT KG" dataDxfId="70" dataCellStyle="Normal"/>
    <tableColumn id="8" name="KG VOLUME" dataDxfId="69" dataCellStyle="Normal"/>
    <tableColumn id="19" name="PEMBULATAN" dataDxfId="68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6" name="Table22457891011234567" displayName="Table22457891011234567" ref="C2:N19" totalsRowShown="0" headerRowDxfId="64" dataDxfId="62" headerRowBorderDxfId="63">
  <tableColumns count="12">
    <tableColumn id="1" name="NOMOR" dataDxfId="61" dataCellStyle="Normal"/>
    <tableColumn id="3" name="TUJUAN" dataDxfId="60" dataCellStyle="Normal"/>
    <tableColumn id="16" name="Pick Up" dataDxfId="59"/>
    <tableColumn id="14" name="KAPAL" dataDxfId="58"/>
    <tableColumn id="15" name="ETD Kapal" dataDxfId="57"/>
    <tableColumn id="10" name="KETERANGAN" dataDxfId="56" dataCellStyle="Normal"/>
    <tableColumn id="5" name="P" dataDxfId="55" dataCellStyle="Normal"/>
    <tableColumn id="6" name="L" dataDxfId="54" dataCellStyle="Normal"/>
    <tableColumn id="7" name="T" dataDxfId="53" dataCellStyle="Normal"/>
    <tableColumn id="4" name="ACT KG" dataDxfId="52" dataCellStyle="Normal"/>
    <tableColumn id="8" name="KG VOLUME" dataDxfId="51" dataCellStyle="Normal"/>
    <tableColumn id="19" name="PEMBULATAN" dataDxfId="50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7" name="Table224578910112345678" displayName="Table224578910112345678" ref="C2:N3" totalsRowShown="0" headerRowDxfId="48" dataDxfId="46" headerRowBorderDxfId="47">
  <tableColumns count="12">
    <tableColumn id="1" name="NOMOR" dataDxfId="45" dataCellStyle="Normal"/>
    <tableColumn id="3" name="TUJUAN" dataDxfId="44" dataCellStyle="Normal"/>
    <tableColumn id="16" name="Pick Up" dataDxfId="43"/>
    <tableColumn id="14" name="KAPAL" dataDxfId="42"/>
    <tableColumn id="15" name="ETD Kapal" dataDxfId="41"/>
    <tableColumn id="10" name="KETERANGAN" dataDxfId="40" dataCellStyle="Normal"/>
    <tableColumn id="5" name="P" dataDxfId="39" dataCellStyle="Normal"/>
    <tableColumn id="6" name="L" dataDxfId="38" dataCellStyle="Normal"/>
    <tableColumn id="7" name="T" dataDxfId="37" dataCellStyle="Normal"/>
    <tableColumn id="4" name="ACT KG" dataDxfId="36" dataCellStyle="Normal"/>
    <tableColumn id="8" name="KG VOLUME" dataDxfId="35" dataCellStyle="Normal"/>
    <tableColumn id="19" name="PEMBULATAN" dataDxfId="34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8" name="Table2245789101123456789" displayName="Table2245789101123456789" ref="C2:N3" totalsRowShown="0" headerRowDxfId="32" dataDxfId="30" headerRowBorderDxfId="31">
  <tableColumns count="12">
    <tableColumn id="1" name="NOMOR" dataDxfId="29" dataCellStyle="Normal"/>
    <tableColumn id="3" name="TUJUAN" dataDxfId="28" dataCellStyle="Normal"/>
    <tableColumn id="16" name="Pick Up" dataDxfId="27"/>
    <tableColumn id="14" name="KAPAL" dataDxfId="26"/>
    <tableColumn id="15" name="ETD Kapal" dataDxfId="25"/>
    <tableColumn id="10" name="KETERANGAN" dataDxfId="24" dataCellStyle="Normal"/>
    <tableColumn id="5" name="P" dataDxfId="23" dataCellStyle="Normal"/>
    <tableColumn id="6" name="L" dataDxfId="22" dataCellStyle="Normal"/>
    <tableColumn id="7" name="T" dataDxfId="21" dataCellStyle="Normal"/>
    <tableColumn id="4" name="ACT KG" dataDxfId="20" dataCellStyle="Normal"/>
    <tableColumn id="8" name="KG VOLUME" dataDxfId="19" dataCellStyle="Normal"/>
    <tableColumn id="19" name="PEMBULATAN" dataDxfId="18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Table224578910112345678910" displayName="Table224578910112345678910" ref="C2:N11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9"/>
  <sheetViews>
    <sheetView tabSelected="1" topLeftCell="A10" workbookViewId="0">
      <selection activeCell="E18" sqref="E18"/>
    </sheetView>
  </sheetViews>
  <sheetFormatPr defaultRowHeight="15.75" x14ac:dyDescent="0.25"/>
  <cols>
    <col min="1" max="1" width="6.42578125" style="17" customWidth="1"/>
    <col min="2" max="2" width="11.5703125" style="17" customWidth="1"/>
    <col min="3" max="3" width="10" style="17" customWidth="1"/>
    <col min="4" max="4" width="26.42578125" style="17" customWidth="1"/>
    <col min="5" max="5" width="13.85546875" style="17" customWidth="1"/>
    <col min="6" max="6" width="6.85546875" style="17" bestFit="1" customWidth="1"/>
    <col min="7" max="7" width="6.42578125" style="17" customWidth="1"/>
    <col min="8" max="8" width="14.140625" style="18" bestFit="1" customWidth="1"/>
    <col min="9" max="9" width="1.5703125" style="18" customWidth="1"/>
    <col min="10" max="10" width="19.5703125" style="17" customWidth="1"/>
    <col min="11" max="11" width="9.140625" style="17"/>
    <col min="12" max="12" width="15.7109375" style="17" bestFit="1" customWidth="1"/>
    <col min="13" max="16384" width="9.140625" style="17"/>
  </cols>
  <sheetData>
    <row r="2" spans="1:10" x14ac:dyDescent="0.25">
      <c r="A2" s="16" t="s">
        <v>8</v>
      </c>
    </row>
    <row r="3" spans="1:10" x14ac:dyDescent="0.25">
      <c r="A3" s="19" t="s">
        <v>9</v>
      </c>
    </row>
    <row r="4" spans="1:10" x14ac:dyDescent="0.25">
      <c r="A4" s="19" t="s">
        <v>10</v>
      </c>
    </row>
    <row r="5" spans="1:10" x14ac:dyDescent="0.25">
      <c r="A5" s="19" t="s">
        <v>11</v>
      </c>
    </row>
    <row r="6" spans="1:10" x14ac:dyDescent="0.25">
      <c r="A6" s="19" t="s">
        <v>12</v>
      </c>
    </row>
    <row r="7" spans="1:10" x14ac:dyDescent="0.25">
      <c r="A7" s="19" t="s">
        <v>13</v>
      </c>
    </row>
    <row r="9" spans="1:10" ht="16.5" thickBot="1" x14ac:dyDescent="0.3">
      <c r="A9" s="20"/>
      <c r="B9" s="20"/>
      <c r="C9" s="20"/>
      <c r="D9" s="20"/>
      <c r="E9" s="20"/>
      <c r="F9" s="20"/>
      <c r="G9" s="20"/>
      <c r="H9" s="21"/>
      <c r="I9" s="21"/>
      <c r="J9" s="20"/>
    </row>
    <row r="10" spans="1:10" ht="23.25" customHeight="1" thickBot="1" x14ac:dyDescent="0.3">
      <c r="A10" s="144" t="s">
        <v>14</v>
      </c>
      <c r="B10" s="145"/>
      <c r="C10" s="145"/>
      <c r="D10" s="145"/>
      <c r="E10" s="145"/>
      <c r="F10" s="145"/>
      <c r="G10" s="145"/>
      <c r="H10" s="145"/>
      <c r="I10" s="145"/>
      <c r="J10" s="146"/>
    </row>
    <row r="12" spans="1:10" x14ac:dyDescent="0.25">
      <c r="A12" s="17" t="s">
        <v>15</v>
      </c>
      <c r="B12" s="17" t="s">
        <v>16</v>
      </c>
      <c r="G12" s="158" t="s">
        <v>49</v>
      </c>
      <c r="H12" s="158"/>
      <c r="I12" s="22" t="s">
        <v>17</v>
      </c>
      <c r="J12" s="23"/>
    </row>
    <row r="13" spans="1:10" x14ac:dyDescent="0.25">
      <c r="G13" s="158" t="s">
        <v>18</v>
      </c>
      <c r="H13" s="158"/>
      <c r="I13" s="22" t="s">
        <v>17</v>
      </c>
      <c r="J13" s="24" t="s">
        <v>110</v>
      </c>
    </row>
    <row r="14" spans="1:10" x14ac:dyDescent="0.25">
      <c r="G14" s="158" t="s">
        <v>50</v>
      </c>
      <c r="H14" s="158"/>
      <c r="I14" s="22" t="s">
        <v>17</v>
      </c>
      <c r="J14" s="17" t="s">
        <v>111</v>
      </c>
    </row>
    <row r="15" spans="1:10" x14ac:dyDescent="0.25">
      <c r="A15" s="17" t="s">
        <v>19</v>
      </c>
      <c r="B15" s="23" t="s">
        <v>20</v>
      </c>
      <c r="C15" s="23"/>
      <c r="I15" s="22"/>
      <c r="J15" s="17" t="s">
        <v>112</v>
      </c>
    </row>
    <row r="16" spans="1:10" ht="16.5" thickBot="1" x14ac:dyDescent="0.3"/>
    <row r="17" spans="1:12" ht="26.25" customHeight="1" x14ac:dyDescent="0.25">
      <c r="A17" s="25" t="s">
        <v>21</v>
      </c>
      <c r="B17" s="26" t="s">
        <v>22</v>
      </c>
      <c r="C17" s="26" t="s">
        <v>23</v>
      </c>
      <c r="D17" s="26" t="s">
        <v>24</v>
      </c>
      <c r="E17" s="26" t="s">
        <v>25</v>
      </c>
      <c r="F17" s="27" t="s">
        <v>26</v>
      </c>
      <c r="G17" s="27" t="s">
        <v>27</v>
      </c>
      <c r="H17" s="147" t="s">
        <v>28</v>
      </c>
      <c r="I17" s="148"/>
      <c r="J17" s="28" t="s">
        <v>29</v>
      </c>
    </row>
    <row r="18" spans="1:12" ht="48" customHeight="1" x14ac:dyDescent="0.25">
      <c r="A18" s="29">
        <v>1</v>
      </c>
      <c r="B18" s="30">
        <f>'402772'!E3</f>
        <v>44563</v>
      </c>
      <c r="C18" s="80">
        <f>'402772'!A3</f>
        <v>402772</v>
      </c>
      <c r="D18" s="31" t="s">
        <v>113</v>
      </c>
      <c r="E18" s="31" t="s">
        <v>114</v>
      </c>
      <c r="F18" s="32">
        <v>2</v>
      </c>
      <c r="G18" s="99">
        <v>100</v>
      </c>
      <c r="H18" s="149">
        <v>6000</v>
      </c>
      <c r="I18" s="150"/>
      <c r="J18" s="33">
        <f>G18*H18</f>
        <v>600000</v>
      </c>
      <c r="L18"/>
    </row>
    <row r="19" spans="1:12" ht="48" customHeight="1" x14ac:dyDescent="0.25">
      <c r="A19" s="29">
        <f>A18+1</f>
        <v>2</v>
      </c>
      <c r="B19" s="30">
        <f>'402797'!E3</f>
        <v>44568</v>
      </c>
      <c r="C19" s="80">
        <f>'402797'!A3</f>
        <v>402797</v>
      </c>
      <c r="D19" s="31" t="s">
        <v>113</v>
      </c>
      <c r="E19" s="31" t="s">
        <v>114</v>
      </c>
      <c r="F19" s="32">
        <v>4</v>
      </c>
      <c r="G19" s="98">
        <v>100</v>
      </c>
      <c r="H19" s="149">
        <v>6000</v>
      </c>
      <c r="I19" s="150"/>
      <c r="J19" s="33">
        <f t="shared" ref="J19:J24" si="0">G19*H19</f>
        <v>600000</v>
      </c>
      <c r="L19"/>
    </row>
    <row r="20" spans="1:12" ht="48" customHeight="1" x14ac:dyDescent="0.25">
      <c r="A20" s="29">
        <f t="shared" ref="A20:A24" si="1">A19+1</f>
        <v>3</v>
      </c>
      <c r="B20" s="30">
        <f>'402918'!E3</f>
        <v>44569</v>
      </c>
      <c r="C20" s="80">
        <f>'402918'!A3</f>
        <v>402918</v>
      </c>
      <c r="D20" s="31" t="s">
        <v>113</v>
      </c>
      <c r="E20" s="31" t="s">
        <v>114</v>
      </c>
      <c r="F20" s="32">
        <v>2</v>
      </c>
      <c r="G20" s="98">
        <f>'402918'!N5</f>
        <v>192</v>
      </c>
      <c r="H20" s="149">
        <v>6000</v>
      </c>
      <c r="I20" s="150"/>
      <c r="J20" s="33">
        <f t="shared" si="0"/>
        <v>1152000</v>
      </c>
      <c r="L20"/>
    </row>
    <row r="21" spans="1:12" ht="48" customHeight="1" x14ac:dyDescent="0.25">
      <c r="A21" s="29">
        <f t="shared" si="1"/>
        <v>4</v>
      </c>
      <c r="B21" s="30">
        <f>'404456'!E3</f>
        <v>44582</v>
      </c>
      <c r="C21" s="80">
        <f>'404456'!A3</f>
        <v>404456</v>
      </c>
      <c r="D21" s="31" t="s">
        <v>113</v>
      </c>
      <c r="E21" s="31" t="s">
        <v>114</v>
      </c>
      <c r="F21" s="32">
        <v>17</v>
      </c>
      <c r="G21" s="98">
        <f>'404456'!N20</f>
        <v>309.32499999999999</v>
      </c>
      <c r="H21" s="149">
        <v>6000</v>
      </c>
      <c r="I21" s="150"/>
      <c r="J21" s="33">
        <f>G21*H21</f>
        <v>1855950</v>
      </c>
      <c r="L21"/>
    </row>
    <row r="22" spans="1:12" ht="48" customHeight="1" x14ac:dyDescent="0.25">
      <c r="A22" s="29">
        <f t="shared" si="1"/>
        <v>5</v>
      </c>
      <c r="B22" s="30">
        <f>Table224578910112345678[Pick Up]</f>
        <v>44583</v>
      </c>
      <c r="C22" s="80">
        <f>'403475'!A3</f>
        <v>403475</v>
      </c>
      <c r="D22" s="31" t="s">
        <v>113</v>
      </c>
      <c r="E22" s="31" t="s">
        <v>114</v>
      </c>
      <c r="F22" s="32">
        <v>1</v>
      </c>
      <c r="G22" s="32">
        <v>100</v>
      </c>
      <c r="H22" s="149">
        <v>6000</v>
      </c>
      <c r="I22" s="150"/>
      <c r="J22" s="33">
        <f>G22*H22</f>
        <v>600000</v>
      </c>
      <c r="L22"/>
    </row>
    <row r="23" spans="1:12" ht="48" customHeight="1" x14ac:dyDescent="0.25">
      <c r="A23" s="29">
        <f t="shared" si="1"/>
        <v>6</v>
      </c>
      <c r="B23" s="30">
        <f>Table2245789101123456789[Pick Up]</f>
        <v>44586</v>
      </c>
      <c r="C23" s="80">
        <f>'403482'!A3</f>
        <v>403482</v>
      </c>
      <c r="D23" s="31" t="s">
        <v>113</v>
      </c>
      <c r="E23" s="31" t="s">
        <v>114</v>
      </c>
      <c r="F23" s="32">
        <v>1</v>
      </c>
      <c r="G23" s="98">
        <v>100</v>
      </c>
      <c r="H23" s="149">
        <v>6000</v>
      </c>
      <c r="I23" s="150"/>
      <c r="J23" s="33">
        <f>G23*H23</f>
        <v>600000</v>
      </c>
      <c r="L23"/>
    </row>
    <row r="24" spans="1:12" ht="48" customHeight="1" x14ac:dyDescent="0.25">
      <c r="A24" s="29">
        <f t="shared" si="1"/>
        <v>7</v>
      </c>
      <c r="B24" s="30">
        <f>'403364'!E3</f>
        <v>44591</v>
      </c>
      <c r="C24" s="80">
        <f>'403364'!A3</f>
        <v>403364</v>
      </c>
      <c r="D24" s="31" t="s">
        <v>113</v>
      </c>
      <c r="E24" s="31" t="s">
        <v>114</v>
      </c>
      <c r="F24" s="32">
        <v>9</v>
      </c>
      <c r="G24" s="98">
        <f>'403364'!N12</f>
        <v>275.73050000000001</v>
      </c>
      <c r="H24" s="149">
        <v>6000</v>
      </c>
      <c r="I24" s="150"/>
      <c r="J24" s="33">
        <f t="shared" si="0"/>
        <v>1654383</v>
      </c>
      <c r="L24"/>
    </row>
    <row r="25" spans="1:12" ht="32.25" customHeight="1" thickBot="1" x14ac:dyDescent="0.3">
      <c r="A25" s="151" t="s">
        <v>30</v>
      </c>
      <c r="B25" s="152"/>
      <c r="C25" s="152"/>
      <c r="D25" s="152"/>
      <c r="E25" s="152"/>
      <c r="F25" s="152"/>
      <c r="G25" s="152"/>
      <c r="H25" s="152"/>
      <c r="I25" s="153"/>
      <c r="J25" s="34">
        <f>SUM(J18:J24)</f>
        <v>7062333</v>
      </c>
      <c r="L25" s="78"/>
    </row>
    <row r="26" spans="1:12" x14ac:dyDescent="0.25">
      <c r="A26" s="154"/>
      <c r="B26" s="154"/>
      <c r="C26" s="35"/>
      <c r="D26" s="35"/>
      <c r="E26" s="35"/>
      <c r="F26" s="35"/>
      <c r="G26" s="35"/>
      <c r="H26" s="36"/>
      <c r="I26" s="36"/>
      <c r="J26" s="37"/>
    </row>
    <row r="27" spans="1:12" x14ac:dyDescent="0.25">
      <c r="A27" s="81"/>
      <c r="B27" s="81"/>
      <c r="C27" s="81"/>
      <c r="D27" s="81"/>
      <c r="E27" s="81"/>
      <c r="F27" s="81"/>
      <c r="G27" s="38" t="s">
        <v>51</v>
      </c>
      <c r="H27" s="38"/>
      <c r="I27" s="36"/>
      <c r="J27" s="37">
        <f>J25*10%</f>
        <v>706233.3</v>
      </c>
      <c r="L27" s="39"/>
    </row>
    <row r="28" spans="1:12" x14ac:dyDescent="0.25">
      <c r="A28" s="81"/>
      <c r="B28" s="81"/>
      <c r="C28" s="81"/>
      <c r="D28" s="81"/>
      <c r="E28" s="81"/>
      <c r="F28" s="81"/>
      <c r="G28" s="88" t="s">
        <v>52</v>
      </c>
      <c r="H28" s="88"/>
      <c r="I28" s="89"/>
      <c r="J28" s="91">
        <f>J25-J27</f>
        <v>6356099.7000000002</v>
      </c>
      <c r="L28" s="39"/>
    </row>
    <row r="29" spans="1:12" x14ac:dyDescent="0.25">
      <c r="A29" s="81"/>
      <c r="B29" s="81"/>
      <c r="C29" s="81"/>
      <c r="D29" s="81"/>
      <c r="E29" s="81"/>
      <c r="F29" s="81"/>
      <c r="G29" s="38" t="s">
        <v>31</v>
      </c>
      <c r="H29" s="38"/>
      <c r="I29" s="39" t="e">
        <f>#REF!*1%</f>
        <v>#REF!</v>
      </c>
      <c r="J29" s="37">
        <f>J28*1%</f>
        <v>63560.997000000003</v>
      </c>
    </row>
    <row r="30" spans="1:12" ht="16.5" thickBot="1" x14ac:dyDescent="0.3">
      <c r="A30" s="81"/>
      <c r="B30" s="81"/>
      <c r="C30" s="81"/>
      <c r="D30" s="81"/>
      <c r="E30" s="81"/>
      <c r="F30" s="81"/>
      <c r="G30" s="90" t="s">
        <v>54</v>
      </c>
      <c r="H30" s="90"/>
      <c r="I30" s="40">
        <f>I26*10%</f>
        <v>0</v>
      </c>
      <c r="J30" s="40">
        <f>J28*2%</f>
        <v>127121.99400000001</v>
      </c>
    </row>
    <row r="31" spans="1:12" x14ac:dyDescent="0.25">
      <c r="E31" s="16"/>
      <c r="F31" s="16"/>
      <c r="G31" s="41" t="s">
        <v>55</v>
      </c>
      <c r="H31" s="41"/>
      <c r="I31" s="42" t="e">
        <f>I25+I29</f>
        <v>#REF!</v>
      </c>
      <c r="J31" s="42">
        <f>J28+J29-J30</f>
        <v>6292538.7030000007</v>
      </c>
    </row>
    <row r="32" spans="1:12" x14ac:dyDescent="0.25">
      <c r="E32" s="16"/>
      <c r="F32" s="16"/>
      <c r="G32" s="41"/>
      <c r="H32" s="41"/>
      <c r="I32" s="42"/>
      <c r="J32" s="42"/>
    </row>
    <row r="33" spans="1:10" x14ac:dyDescent="0.25">
      <c r="A33" s="16" t="s">
        <v>115</v>
      </c>
      <c r="D33" s="16"/>
      <c r="E33" s="16"/>
      <c r="F33" s="16"/>
      <c r="G33" s="16"/>
      <c r="H33" s="41"/>
      <c r="I33" s="41"/>
      <c r="J33" s="42"/>
    </row>
    <row r="34" spans="1:10" x14ac:dyDescent="0.25">
      <c r="A34" s="43"/>
      <c r="D34" s="16"/>
      <c r="E34" s="16"/>
      <c r="F34" s="16"/>
      <c r="G34" s="16"/>
      <c r="H34" s="41"/>
      <c r="I34" s="41"/>
      <c r="J34" s="42"/>
    </row>
    <row r="35" spans="1:10" x14ac:dyDescent="0.25">
      <c r="D35" s="16"/>
      <c r="E35" s="16"/>
      <c r="F35" s="16"/>
      <c r="G35" s="16"/>
      <c r="H35" s="41"/>
      <c r="I35" s="41"/>
      <c r="J35" s="42"/>
    </row>
    <row r="36" spans="1:10" x14ac:dyDescent="0.25">
      <c r="A36" s="44" t="s">
        <v>33</v>
      </c>
    </row>
    <row r="37" spans="1:10" x14ac:dyDescent="0.25">
      <c r="A37" s="45" t="s">
        <v>34</v>
      </c>
      <c r="B37" s="46"/>
      <c r="C37" s="46"/>
      <c r="D37" s="47"/>
      <c r="E37" s="47"/>
      <c r="F37" s="47"/>
      <c r="G37" s="47"/>
    </row>
    <row r="38" spans="1:10" x14ac:dyDescent="0.25">
      <c r="A38" s="45" t="s">
        <v>35</v>
      </c>
      <c r="B38" s="46"/>
      <c r="C38" s="46"/>
      <c r="D38" s="47"/>
      <c r="E38" s="47"/>
      <c r="F38" s="47"/>
      <c r="G38" s="47"/>
    </row>
    <row r="39" spans="1:10" x14ac:dyDescent="0.25">
      <c r="A39" s="48" t="s">
        <v>36</v>
      </c>
      <c r="B39" s="49"/>
      <c r="C39" s="49"/>
      <c r="D39" s="47"/>
      <c r="E39" s="47"/>
      <c r="F39" s="47"/>
      <c r="G39" s="47"/>
    </row>
    <row r="40" spans="1:10" x14ac:dyDescent="0.25">
      <c r="A40" s="50" t="s">
        <v>8</v>
      </c>
      <c r="B40" s="51"/>
      <c r="C40" s="51"/>
      <c r="D40" s="47"/>
      <c r="E40" s="47"/>
      <c r="F40" s="47"/>
      <c r="G40" s="47"/>
    </row>
    <row r="41" spans="1:10" x14ac:dyDescent="0.25">
      <c r="A41" s="52"/>
      <c r="B41" s="52"/>
      <c r="C41" s="52"/>
    </row>
    <row r="42" spans="1:10" x14ac:dyDescent="0.25">
      <c r="H42" s="53" t="s">
        <v>37</v>
      </c>
      <c r="I42" s="155" t="str">
        <f>+J13</f>
        <v xml:space="preserve"> 01 Maret 2022</v>
      </c>
      <c r="J42" s="156"/>
    </row>
    <row r="46" spans="1:10" ht="18" customHeight="1" x14ac:dyDescent="0.25"/>
    <row r="47" spans="1:10" ht="17.25" customHeight="1" x14ac:dyDescent="0.25"/>
    <row r="49" spans="8:10" x14ac:dyDescent="0.25">
      <c r="H49" s="157" t="s">
        <v>38</v>
      </c>
      <c r="I49" s="157"/>
      <c r="J49" s="157"/>
    </row>
  </sheetData>
  <mergeCells count="16">
    <mergeCell ref="I42:J42"/>
    <mergeCell ref="H49:J49"/>
    <mergeCell ref="G14:H14"/>
    <mergeCell ref="G13:H13"/>
    <mergeCell ref="G12:H12"/>
    <mergeCell ref="A10:J10"/>
    <mergeCell ref="H17:I17"/>
    <mergeCell ref="H18:I18"/>
    <mergeCell ref="A25:I25"/>
    <mergeCell ref="A26:B26"/>
    <mergeCell ref="H19:I19"/>
    <mergeCell ref="H20:I20"/>
    <mergeCell ref="H24:I24"/>
    <mergeCell ref="H22:I22"/>
    <mergeCell ref="H21:I21"/>
    <mergeCell ref="H23:I23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59"/>
  <sheetViews>
    <sheetView zoomScale="110" zoomScaleNormal="110" workbookViewId="0">
      <pane xSplit="3" ySplit="2" topLeftCell="D36" activePane="bottomRight" state="frozen"/>
      <selection pane="topRight" activeCell="B1" sqref="B1"/>
      <selection pane="bottomLeft" activeCell="A3" sqref="A3"/>
      <selection pane="bottomRight" activeCell="K44" sqref="K44"/>
    </sheetView>
  </sheetViews>
  <sheetFormatPr defaultRowHeight="15" x14ac:dyDescent="0.2"/>
  <cols>
    <col min="1" max="1" width="7" style="4" customWidth="1"/>
    <col min="2" max="2" width="19.28515625" style="2" customWidth="1"/>
    <col min="3" max="3" width="15.28515625" style="2" customWidth="1"/>
    <col min="4" max="4" width="11.5703125" style="3" customWidth="1"/>
    <col min="5" max="5" width="7.7109375" style="11" customWidth="1"/>
    <col min="6" max="6" width="10.28515625" style="3" customWidth="1"/>
    <col min="7" max="7" width="10.140625" style="3" customWidth="1"/>
    <col min="8" max="8" width="17.42578125" style="6" customWidth="1"/>
    <col min="9" max="10" width="3.5703125" style="3" customWidth="1"/>
    <col min="11" max="11" width="3.7109375" style="3" customWidth="1"/>
    <col min="12" max="12" width="4.2851562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0.5703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2" t="s">
        <v>44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128">
        <v>402772</v>
      </c>
      <c r="B3" s="128" t="s">
        <v>56</v>
      </c>
      <c r="C3" s="1" t="s">
        <v>57</v>
      </c>
      <c r="D3" s="72" t="s">
        <v>59</v>
      </c>
      <c r="E3" s="12">
        <v>44563</v>
      </c>
      <c r="F3" s="72" t="s">
        <v>60</v>
      </c>
      <c r="G3" s="12">
        <v>44579</v>
      </c>
      <c r="H3" s="129" t="s">
        <v>61</v>
      </c>
      <c r="I3" s="1">
        <v>47</v>
      </c>
      <c r="J3" s="1">
        <v>43</v>
      </c>
      <c r="K3" s="1">
        <v>37</v>
      </c>
      <c r="L3" s="1">
        <v>11</v>
      </c>
      <c r="M3" s="76">
        <v>18.69425</v>
      </c>
      <c r="N3" s="93">
        <v>18.69425</v>
      </c>
      <c r="O3" s="61">
        <v>6000</v>
      </c>
      <c r="P3" s="62">
        <f t="shared" ref="P3:P10" si="0">N3*O3</f>
        <v>112165.5</v>
      </c>
      <c r="Q3" s="94">
        <v>2</v>
      </c>
    </row>
    <row r="4" spans="1:17" ht="26.25" customHeight="1" thickBot="1" x14ac:dyDescent="0.25">
      <c r="A4" s="130"/>
      <c r="B4" s="130"/>
      <c r="C4" s="115" t="s">
        <v>58</v>
      </c>
      <c r="D4" s="102" t="s">
        <v>59</v>
      </c>
      <c r="E4" s="101">
        <v>44563</v>
      </c>
      <c r="F4" s="102" t="s">
        <v>60</v>
      </c>
      <c r="G4" s="101">
        <v>44579</v>
      </c>
      <c r="H4" s="131" t="s">
        <v>61</v>
      </c>
      <c r="I4" s="115">
        <v>80</v>
      </c>
      <c r="J4" s="115">
        <v>42</v>
      </c>
      <c r="K4" s="115">
        <v>45</v>
      </c>
      <c r="L4" s="115">
        <v>8</v>
      </c>
      <c r="M4" s="116">
        <v>37.799999999999997</v>
      </c>
      <c r="N4" s="105">
        <v>37.799999999999997</v>
      </c>
      <c r="O4" s="106">
        <v>6000</v>
      </c>
      <c r="P4" s="107">
        <f t="shared" si="0"/>
        <v>226799.99999999997</v>
      </c>
      <c r="Q4" s="124"/>
    </row>
    <row r="5" spans="1:17" ht="26.25" customHeight="1" x14ac:dyDescent="0.2">
      <c r="A5" s="132">
        <v>402797</v>
      </c>
      <c r="B5" s="132" t="s">
        <v>62</v>
      </c>
      <c r="C5" s="110" t="s">
        <v>63</v>
      </c>
      <c r="D5" s="108" t="s">
        <v>59</v>
      </c>
      <c r="E5" s="109">
        <v>44568</v>
      </c>
      <c r="F5" s="108" t="s">
        <v>68</v>
      </c>
      <c r="G5" s="109">
        <v>44583</v>
      </c>
      <c r="H5" s="133" t="s">
        <v>69</v>
      </c>
      <c r="I5" s="110">
        <v>54</v>
      </c>
      <c r="J5" s="110">
        <v>48</v>
      </c>
      <c r="K5" s="110">
        <v>15</v>
      </c>
      <c r="L5" s="110">
        <v>9</v>
      </c>
      <c r="M5" s="111">
        <v>9.7200000000000006</v>
      </c>
      <c r="N5" s="112">
        <v>9.7200000000000006</v>
      </c>
      <c r="O5" s="113">
        <v>6000</v>
      </c>
      <c r="P5" s="114">
        <f t="shared" si="0"/>
        <v>58320.000000000007</v>
      </c>
      <c r="Q5" s="96">
        <v>4</v>
      </c>
    </row>
    <row r="6" spans="1:17" ht="26.25" customHeight="1" x14ac:dyDescent="0.2">
      <c r="A6" s="132"/>
      <c r="B6" s="132"/>
      <c r="C6" s="1" t="s">
        <v>64</v>
      </c>
      <c r="D6" s="72" t="s">
        <v>59</v>
      </c>
      <c r="E6" s="12">
        <v>44568</v>
      </c>
      <c r="F6" s="72" t="s">
        <v>68</v>
      </c>
      <c r="G6" s="12">
        <v>44583</v>
      </c>
      <c r="H6" s="129" t="s">
        <v>69</v>
      </c>
      <c r="I6" s="1">
        <v>54</v>
      </c>
      <c r="J6" s="1">
        <v>48</v>
      </c>
      <c r="K6" s="1">
        <v>15</v>
      </c>
      <c r="L6" s="1">
        <v>9</v>
      </c>
      <c r="M6" s="76">
        <v>9.7200000000000006</v>
      </c>
      <c r="N6" s="93">
        <v>9.7200000000000006</v>
      </c>
      <c r="O6" s="61">
        <v>6000</v>
      </c>
      <c r="P6" s="62">
        <f t="shared" si="0"/>
        <v>58320.000000000007</v>
      </c>
      <c r="Q6" s="96"/>
    </row>
    <row r="7" spans="1:17" ht="26.25" customHeight="1" x14ac:dyDescent="0.2">
      <c r="A7" s="132"/>
      <c r="B7" s="128" t="s">
        <v>65</v>
      </c>
      <c r="C7" s="1" t="s">
        <v>66</v>
      </c>
      <c r="D7" s="72" t="s">
        <v>59</v>
      </c>
      <c r="E7" s="12">
        <v>44568</v>
      </c>
      <c r="F7" s="72" t="s">
        <v>68</v>
      </c>
      <c r="G7" s="12">
        <v>44583</v>
      </c>
      <c r="H7" s="129" t="s">
        <v>69</v>
      </c>
      <c r="I7" s="1">
        <v>54</v>
      </c>
      <c r="J7" s="1">
        <v>48</v>
      </c>
      <c r="K7" s="1">
        <v>15</v>
      </c>
      <c r="L7" s="1">
        <v>9</v>
      </c>
      <c r="M7" s="76">
        <v>9.7200000000000006</v>
      </c>
      <c r="N7" s="93">
        <v>9.7200000000000006</v>
      </c>
      <c r="O7" s="61">
        <v>6000</v>
      </c>
      <c r="P7" s="62">
        <f t="shared" si="0"/>
        <v>58320.000000000007</v>
      </c>
      <c r="Q7" s="96"/>
    </row>
    <row r="8" spans="1:17" ht="26.25" customHeight="1" thickBot="1" x14ac:dyDescent="0.25">
      <c r="A8" s="130"/>
      <c r="B8" s="130"/>
      <c r="C8" s="103" t="s">
        <v>67</v>
      </c>
      <c r="D8" s="100" t="s">
        <v>59</v>
      </c>
      <c r="E8" s="101">
        <v>44568</v>
      </c>
      <c r="F8" s="102" t="s">
        <v>68</v>
      </c>
      <c r="G8" s="101">
        <v>44583</v>
      </c>
      <c r="H8" s="134" t="s">
        <v>69</v>
      </c>
      <c r="I8" s="103">
        <v>35</v>
      </c>
      <c r="J8" s="103">
        <v>35</v>
      </c>
      <c r="K8" s="103">
        <v>47</v>
      </c>
      <c r="L8" s="103">
        <v>4</v>
      </c>
      <c r="M8" s="104">
        <v>14.393750000000001</v>
      </c>
      <c r="N8" s="105">
        <v>15</v>
      </c>
      <c r="O8" s="106">
        <v>6000</v>
      </c>
      <c r="P8" s="107">
        <f t="shared" si="0"/>
        <v>90000</v>
      </c>
      <c r="Q8" s="124"/>
    </row>
    <row r="9" spans="1:17" ht="26.25" customHeight="1" x14ac:dyDescent="0.2">
      <c r="A9" s="132">
        <v>402918</v>
      </c>
      <c r="B9" s="132" t="s">
        <v>70</v>
      </c>
      <c r="C9" s="110" t="s">
        <v>71</v>
      </c>
      <c r="D9" s="108" t="s">
        <v>59</v>
      </c>
      <c r="E9" s="109">
        <v>44569</v>
      </c>
      <c r="F9" s="108" t="s">
        <v>68</v>
      </c>
      <c r="G9" s="109">
        <v>44583</v>
      </c>
      <c r="H9" s="133" t="s">
        <v>69</v>
      </c>
      <c r="I9" s="110">
        <v>100</v>
      </c>
      <c r="J9" s="110">
        <v>57</v>
      </c>
      <c r="K9" s="110">
        <v>67</v>
      </c>
      <c r="L9" s="110">
        <v>12</v>
      </c>
      <c r="M9" s="111">
        <v>95.474999999999994</v>
      </c>
      <c r="N9" s="127">
        <v>96</v>
      </c>
      <c r="O9" s="113">
        <v>6000</v>
      </c>
      <c r="P9" s="114">
        <f t="shared" si="0"/>
        <v>576000</v>
      </c>
      <c r="Q9" s="96">
        <v>2</v>
      </c>
    </row>
    <row r="10" spans="1:17" ht="26.25" customHeight="1" thickBot="1" x14ac:dyDescent="0.25">
      <c r="A10" s="130"/>
      <c r="B10" s="130"/>
      <c r="C10" s="115" t="s">
        <v>72</v>
      </c>
      <c r="D10" s="102" t="s">
        <v>59</v>
      </c>
      <c r="E10" s="101">
        <v>44569</v>
      </c>
      <c r="F10" s="102" t="s">
        <v>68</v>
      </c>
      <c r="G10" s="101">
        <v>44583</v>
      </c>
      <c r="H10" s="131" t="s">
        <v>69</v>
      </c>
      <c r="I10" s="115">
        <v>100</v>
      </c>
      <c r="J10" s="115">
        <v>57</v>
      </c>
      <c r="K10" s="115">
        <v>67</v>
      </c>
      <c r="L10" s="115">
        <v>12</v>
      </c>
      <c r="M10" s="116">
        <v>95.474999999999994</v>
      </c>
      <c r="N10" s="125">
        <v>96</v>
      </c>
      <c r="O10" s="106">
        <v>6000</v>
      </c>
      <c r="P10" s="107">
        <f t="shared" si="0"/>
        <v>576000</v>
      </c>
      <c r="Q10" s="124"/>
    </row>
    <row r="11" spans="1:17" ht="26.25" customHeight="1" x14ac:dyDescent="0.2">
      <c r="A11" s="132">
        <v>404456</v>
      </c>
      <c r="B11" s="132" t="s">
        <v>73</v>
      </c>
      <c r="C11" s="110" t="s">
        <v>74</v>
      </c>
      <c r="D11" s="108" t="s">
        <v>59</v>
      </c>
      <c r="E11" s="109">
        <v>44582</v>
      </c>
      <c r="F11" s="108" t="s">
        <v>60</v>
      </c>
      <c r="G11" s="109">
        <v>44600</v>
      </c>
      <c r="H11" s="133" t="s">
        <v>91</v>
      </c>
      <c r="I11" s="110">
        <v>55</v>
      </c>
      <c r="J11" s="110">
        <v>37</v>
      </c>
      <c r="K11" s="110">
        <v>8</v>
      </c>
      <c r="L11" s="110">
        <v>10</v>
      </c>
      <c r="M11" s="111">
        <v>4.07</v>
      </c>
      <c r="N11" s="112">
        <v>10</v>
      </c>
      <c r="O11" s="113">
        <v>6000</v>
      </c>
      <c r="P11" s="114">
        <f>N11*O11</f>
        <v>60000</v>
      </c>
      <c r="Q11" s="96">
        <v>17</v>
      </c>
    </row>
    <row r="12" spans="1:17" ht="26.25" customHeight="1" x14ac:dyDescent="0.2">
      <c r="A12" s="132"/>
      <c r="B12" s="132"/>
      <c r="C12" s="1" t="s">
        <v>75</v>
      </c>
      <c r="D12" s="72" t="s">
        <v>59</v>
      </c>
      <c r="E12" s="12">
        <v>44582</v>
      </c>
      <c r="F12" s="72" t="s">
        <v>60</v>
      </c>
      <c r="G12" s="12">
        <v>44600</v>
      </c>
      <c r="H12" s="129" t="s">
        <v>91</v>
      </c>
      <c r="I12" s="1">
        <v>55</v>
      </c>
      <c r="J12" s="1">
        <v>37</v>
      </c>
      <c r="K12" s="1">
        <v>8</v>
      </c>
      <c r="L12" s="1">
        <v>10</v>
      </c>
      <c r="M12" s="76">
        <v>4.07</v>
      </c>
      <c r="N12" s="93">
        <v>10</v>
      </c>
      <c r="O12" s="61">
        <v>6000</v>
      </c>
      <c r="P12" s="62">
        <f t="shared" ref="P12:P38" si="1">N12*O12</f>
        <v>60000</v>
      </c>
      <c r="Q12" s="96"/>
    </row>
    <row r="13" spans="1:17" ht="26.25" customHeight="1" x14ac:dyDescent="0.2">
      <c r="A13" s="132"/>
      <c r="B13" s="132"/>
      <c r="C13" s="1" t="s">
        <v>76</v>
      </c>
      <c r="D13" s="72" t="s">
        <v>59</v>
      </c>
      <c r="E13" s="12">
        <v>44582</v>
      </c>
      <c r="F13" s="72" t="s">
        <v>60</v>
      </c>
      <c r="G13" s="12">
        <v>44600</v>
      </c>
      <c r="H13" s="129" t="s">
        <v>91</v>
      </c>
      <c r="I13" s="1">
        <v>55</v>
      </c>
      <c r="J13" s="1">
        <v>37</v>
      </c>
      <c r="K13" s="1">
        <v>8</v>
      </c>
      <c r="L13" s="1">
        <v>10</v>
      </c>
      <c r="M13" s="76">
        <v>4.07</v>
      </c>
      <c r="N13" s="93">
        <v>10</v>
      </c>
      <c r="O13" s="61">
        <v>6000</v>
      </c>
      <c r="P13" s="62">
        <f t="shared" si="1"/>
        <v>60000</v>
      </c>
      <c r="Q13" s="96"/>
    </row>
    <row r="14" spans="1:17" ht="26.25" customHeight="1" x14ac:dyDescent="0.2">
      <c r="A14" s="132"/>
      <c r="B14" s="132"/>
      <c r="C14" s="15" t="s">
        <v>77</v>
      </c>
      <c r="D14" s="74" t="s">
        <v>59</v>
      </c>
      <c r="E14" s="12">
        <v>44582</v>
      </c>
      <c r="F14" s="72" t="s">
        <v>60</v>
      </c>
      <c r="G14" s="12">
        <v>44600</v>
      </c>
      <c r="H14" s="135" t="s">
        <v>91</v>
      </c>
      <c r="I14" s="15">
        <v>55</v>
      </c>
      <c r="J14" s="15">
        <v>37</v>
      </c>
      <c r="K14" s="15">
        <v>8</v>
      </c>
      <c r="L14" s="15">
        <v>10</v>
      </c>
      <c r="M14" s="77">
        <v>4.07</v>
      </c>
      <c r="N14" s="93">
        <v>10</v>
      </c>
      <c r="O14" s="61">
        <v>6000</v>
      </c>
      <c r="P14" s="62">
        <f t="shared" si="1"/>
        <v>60000</v>
      </c>
      <c r="Q14" s="96"/>
    </row>
    <row r="15" spans="1:17" ht="26.25" customHeight="1" x14ac:dyDescent="0.2">
      <c r="A15" s="132"/>
      <c r="B15" s="132"/>
      <c r="C15" s="15" t="s">
        <v>78</v>
      </c>
      <c r="D15" s="74" t="s">
        <v>59</v>
      </c>
      <c r="E15" s="12">
        <v>44582</v>
      </c>
      <c r="F15" s="72" t="s">
        <v>60</v>
      </c>
      <c r="G15" s="12">
        <v>44600</v>
      </c>
      <c r="H15" s="135" t="s">
        <v>91</v>
      </c>
      <c r="I15" s="15">
        <v>55</v>
      </c>
      <c r="J15" s="15">
        <v>37</v>
      </c>
      <c r="K15" s="15">
        <v>8</v>
      </c>
      <c r="L15" s="15">
        <v>10</v>
      </c>
      <c r="M15" s="77">
        <v>4.07</v>
      </c>
      <c r="N15" s="93">
        <v>10</v>
      </c>
      <c r="O15" s="61">
        <v>6000</v>
      </c>
      <c r="P15" s="62">
        <f t="shared" si="1"/>
        <v>60000</v>
      </c>
      <c r="Q15" s="96"/>
    </row>
    <row r="16" spans="1:17" ht="26.25" customHeight="1" x14ac:dyDescent="0.2">
      <c r="A16" s="132"/>
      <c r="B16" s="132"/>
      <c r="C16" s="15" t="s">
        <v>79</v>
      </c>
      <c r="D16" s="74" t="s">
        <v>59</v>
      </c>
      <c r="E16" s="12">
        <v>44582</v>
      </c>
      <c r="F16" s="72" t="s">
        <v>60</v>
      </c>
      <c r="G16" s="12">
        <v>44600</v>
      </c>
      <c r="H16" s="135" t="s">
        <v>91</v>
      </c>
      <c r="I16" s="15">
        <v>55</v>
      </c>
      <c r="J16" s="15">
        <v>37</v>
      </c>
      <c r="K16" s="15">
        <v>8</v>
      </c>
      <c r="L16" s="15">
        <v>10</v>
      </c>
      <c r="M16" s="77">
        <v>4.07</v>
      </c>
      <c r="N16" s="93">
        <v>10</v>
      </c>
      <c r="O16" s="61">
        <v>6000</v>
      </c>
      <c r="P16" s="62">
        <f t="shared" si="1"/>
        <v>60000</v>
      </c>
      <c r="Q16" s="96"/>
    </row>
    <row r="17" spans="1:17" ht="26.25" customHeight="1" x14ac:dyDescent="0.2">
      <c r="A17" s="132"/>
      <c r="B17" s="132"/>
      <c r="C17" s="15" t="s">
        <v>80</v>
      </c>
      <c r="D17" s="74" t="s">
        <v>59</v>
      </c>
      <c r="E17" s="12">
        <v>44582</v>
      </c>
      <c r="F17" s="72" t="s">
        <v>60</v>
      </c>
      <c r="G17" s="12">
        <v>44600</v>
      </c>
      <c r="H17" s="135" t="s">
        <v>91</v>
      </c>
      <c r="I17" s="15">
        <v>55</v>
      </c>
      <c r="J17" s="15">
        <v>37</v>
      </c>
      <c r="K17" s="15">
        <v>8</v>
      </c>
      <c r="L17" s="15">
        <v>10</v>
      </c>
      <c r="M17" s="77">
        <v>4.07</v>
      </c>
      <c r="N17" s="93">
        <v>10</v>
      </c>
      <c r="O17" s="61">
        <v>6000</v>
      </c>
      <c r="P17" s="62">
        <f t="shared" si="1"/>
        <v>60000</v>
      </c>
      <c r="Q17" s="96"/>
    </row>
    <row r="18" spans="1:17" ht="26.25" customHeight="1" x14ac:dyDescent="0.2">
      <c r="A18" s="132"/>
      <c r="B18" s="132"/>
      <c r="C18" s="15" t="s">
        <v>81</v>
      </c>
      <c r="D18" s="74" t="s">
        <v>59</v>
      </c>
      <c r="E18" s="12">
        <v>44582</v>
      </c>
      <c r="F18" s="72" t="s">
        <v>60</v>
      </c>
      <c r="G18" s="12">
        <v>44600</v>
      </c>
      <c r="H18" s="135" t="s">
        <v>91</v>
      </c>
      <c r="I18" s="15">
        <v>55</v>
      </c>
      <c r="J18" s="15">
        <v>37</v>
      </c>
      <c r="K18" s="15">
        <v>8</v>
      </c>
      <c r="L18" s="15">
        <v>10</v>
      </c>
      <c r="M18" s="77">
        <v>4.07</v>
      </c>
      <c r="N18" s="93">
        <v>10</v>
      </c>
      <c r="O18" s="61">
        <v>6000</v>
      </c>
      <c r="P18" s="62">
        <f t="shared" si="1"/>
        <v>60000</v>
      </c>
      <c r="Q18" s="96"/>
    </row>
    <row r="19" spans="1:17" ht="26.25" customHeight="1" x14ac:dyDescent="0.2">
      <c r="A19" s="132"/>
      <c r="B19" s="132"/>
      <c r="C19" s="15" t="s">
        <v>82</v>
      </c>
      <c r="D19" s="74" t="s">
        <v>59</v>
      </c>
      <c r="E19" s="12">
        <v>44582</v>
      </c>
      <c r="F19" s="72" t="s">
        <v>60</v>
      </c>
      <c r="G19" s="12">
        <v>44600</v>
      </c>
      <c r="H19" s="135" t="s">
        <v>91</v>
      </c>
      <c r="I19" s="15">
        <v>23</v>
      </c>
      <c r="J19" s="15">
        <v>24</v>
      </c>
      <c r="K19" s="15">
        <v>14</v>
      </c>
      <c r="L19" s="15">
        <v>4</v>
      </c>
      <c r="M19" s="77">
        <v>1.9319999999999999</v>
      </c>
      <c r="N19" s="93">
        <v>4</v>
      </c>
      <c r="O19" s="61">
        <v>6000</v>
      </c>
      <c r="P19" s="62">
        <f t="shared" si="1"/>
        <v>24000</v>
      </c>
      <c r="Q19" s="96"/>
    </row>
    <row r="20" spans="1:17" ht="26.25" customHeight="1" x14ac:dyDescent="0.2">
      <c r="A20" s="132"/>
      <c r="B20" s="132"/>
      <c r="C20" s="15" t="s">
        <v>83</v>
      </c>
      <c r="D20" s="74" t="s">
        <v>59</v>
      </c>
      <c r="E20" s="12">
        <v>44582</v>
      </c>
      <c r="F20" s="72" t="s">
        <v>60</v>
      </c>
      <c r="G20" s="12">
        <v>44600</v>
      </c>
      <c r="H20" s="135" t="s">
        <v>91</v>
      </c>
      <c r="I20" s="15">
        <v>21</v>
      </c>
      <c r="J20" s="15">
        <v>18</v>
      </c>
      <c r="K20" s="15">
        <v>15</v>
      </c>
      <c r="L20" s="15">
        <v>4</v>
      </c>
      <c r="M20" s="77">
        <v>1.4175</v>
      </c>
      <c r="N20" s="93">
        <v>4</v>
      </c>
      <c r="O20" s="61">
        <v>6000</v>
      </c>
      <c r="P20" s="62">
        <f t="shared" si="1"/>
        <v>24000</v>
      </c>
      <c r="Q20" s="96"/>
    </row>
    <row r="21" spans="1:17" ht="26.25" customHeight="1" x14ac:dyDescent="0.2">
      <c r="A21" s="132"/>
      <c r="B21" s="132"/>
      <c r="C21" s="15" t="s">
        <v>84</v>
      </c>
      <c r="D21" s="74" t="s">
        <v>59</v>
      </c>
      <c r="E21" s="12">
        <v>44582</v>
      </c>
      <c r="F21" s="72" t="s">
        <v>60</v>
      </c>
      <c r="G21" s="12">
        <v>44600</v>
      </c>
      <c r="H21" s="135" t="s">
        <v>91</v>
      </c>
      <c r="I21" s="15">
        <v>21</v>
      </c>
      <c r="J21" s="15">
        <v>18</v>
      </c>
      <c r="K21" s="15">
        <v>15</v>
      </c>
      <c r="L21" s="15">
        <v>4</v>
      </c>
      <c r="M21" s="77">
        <v>1.4175</v>
      </c>
      <c r="N21" s="93">
        <v>4</v>
      </c>
      <c r="O21" s="61">
        <v>6000</v>
      </c>
      <c r="P21" s="62">
        <f t="shared" si="1"/>
        <v>24000</v>
      </c>
      <c r="Q21" s="96"/>
    </row>
    <row r="22" spans="1:17" ht="26.25" customHeight="1" x14ac:dyDescent="0.2">
      <c r="A22" s="132"/>
      <c r="B22" s="132"/>
      <c r="C22" s="15" t="s">
        <v>85</v>
      </c>
      <c r="D22" s="74" t="s">
        <v>59</v>
      </c>
      <c r="E22" s="12">
        <v>44582</v>
      </c>
      <c r="F22" s="72" t="s">
        <v>60</v>
      </c>
      <c r="G22" s="12">
        <v>44600</v>
      </c>
      <c r="H22" s="135" t="s">
        <v>91</v>
      </c>
      <c r="I22" s="15">
        <v>21</v>
      </c>
      <c r="J22" s="15">
        <v>18</v>
      </c>
      <c r="K22" s="15">
        <v>15</v>
      </c>
      <c r="L22" s="15">
        <v>4</v>
      </c>
      <c r="M22" s="77">
        <v>1.4175</v>
      </c>
      <c r="N22" s="93">
        <v>4</v>
      </c>
      <c r="O22" s="61">
        <v>6000</v>
      </c>
      <c r="P22" s="62">
        <f t="shared" si="1"/>
        <v>24000</v>
      </c>
      <c r="Q22" s="96"/>
    </row>
    <row r="23" spans="1:17" ht="26.25" customHeight="1" x14ac:dyDescent="0.2">
      <c r="A23" s="132"/>
      <c r="B23" s="132"/>
      <c r="C23" s="15" t="s">
        <v>86</v>
      </c>
      <c r="D23" s="74" t="s">
        <v>59</v>
      </c>
      <c r="E23" s="12">
        <v>44582</v>
      </c>
      <c r="F23" s="72" t="s">
        <v>60</v>
      </c>
      <c r="G23" s="12">
        <v>44600</v>
      </c>
      <c r="H23" s="135" t="s">
        <v>91</v>
      </c>
      <c r="I23" s="15">
        <v>20</v>
      </c>
      <c r="J23" s="15">
        <v>14</v>
      </c>
      <c r="K23" s="15">
        <v>13</v>
      </c>
      <c r="L23" s="15">
        <v>3</v>
      </c>
      <c r="M23" s="77">
        <v>0.91</v>
      </c>
      <c r="N23" s="93">
        <v>3</v>
      </c>
      <c r="O23" s="61">
        <v>6000</v>
      </c>
      <c r="P23" s="62">
        <f t="shared" si="1"/>
        <v>18000</v>
      </c>
      <c r="Q23" s="96"/>
    </row>
    <row r="24" spans="1:17" ht="26.25" customHeight="1" x14ac:dyDescent="0.2">
      <c r="A24" s="132"/>
      <c r="B24" s="132"/>
      <c r="C24" s="15" t="s">
        <v>87</v>
      </c>
      <c r="D24" s="74" t="s">
        <v>59</v>
      </c>
      <c r="E24" s="12">
        <v>44582</v>
      </c>
      <c r="F24" s="72" t="s">
        <v>60</v>
      </c>
      <c r="G24" s="12">
        <v>44600</v>
      </c>
      <c r="H24" s="135" t="s">
        <v>91</v>
      </c>
      <c r="I24" s="15">
        <v>38</v>
      </c>
      <c r="J24" s="15">
        <v>15</v>
      </c>
      <c r="K24" s="15">
        <v>8</v>
      </c>
      <c r="L24" s="15">
        <v>5</v>
      </c>
      <c r="M24" s="77">
        <v>1.1399999999999999</v>
      </c>
      <c r="N24" s="93">
        <v>5</v>
      </c>
      <c r="O24" s="61">
        <v>6000</v>
      </c>
      <c r="P24" s="62">
        <f t="shared" si="1"/>
        <v>30000</v>
      </c>
      <c r="Q24" s="96"/>
    </row>
    <row r="25" spans="1:17" ht="26.25" customHeight="1" x14ac:dyDescent="0.2">
      <c r="A25" s="132"/>
      <c r="B25" s="132"/>
      <c r="C25" s="15" t="s">
        <v>88</v>
      </c>
      <c r="D25" s="74" t="s">
        <v>59</v>
      </c>
      <c r="E25" s="12">
        <v>44582</v>
      </c>
      <c r="F25" s="72" t="s">
        <v>60</v>
      </c>
      <c r="G25" s="12">
        <v>44600</v>
      </c>
      <c r="H25" s="135" t="s">
        <v>91</v>
      </c>
      <c r="I25" s="15">
        <v>86</v>
      </c>
      <c r="J25" s="15">
        <v>47</v>
      </c>
      <c r="K25" s="15">
        <v>75</v>
      </c>
      <c r="L25" s="15">
        <v>8</v>
      </c>
      <c r="M25" s="77">
        <v>75.787499999999994</v>
      </c>
      <c r="N25" s="93">
        <v>75.787499999999994</v>
      </c>
      <c r="O25" s="61">
        <v>6000</v>
      </c>
      <c r="P25" s="62">
        <f t="shared" si="1"/>
        <v>454724.99999999994</v>
      </c>
      <c r="Q25" s="96"/>
    </row>
    <row r="26" spans="1:17" ht="26.25" customHeight="1" x14ac:dyDescent="0.2">
      <c r="A26" s="132"/>
      <c r="B26" s="132"/>
      <c r="C26" s="15" t="s">
        <v>89</v>
      </c>
      <c r="D26" s="74" t="s">
        <v>59</v>
      </c>
      <c r="E26" s="12">
        <v>44582</v>
      </c>
      <c r="F26" s="72" t="s">
        <v>60</v>
      </c>
      <c r="G26" s="12">
        <v>44600</v>
      </c>
      <c r="H26" s="135" t="s">
        <v>91</v>
      </c>
      <c r="I26" s="15">
        <v>86</v>
      </c>
      <c r="J26" s="15">
        <v>47</v>
      </c>
      <c r="K26" s="15">
        <v>75</v>
      </c>
      <c r="L26" s="15">
        <v>8</v>
      </c>
      <c r="M26" s="77">
        <v>75.787499999999994</v>
      </c>
      <c r="N26" s="93">
        <v>75.787499999999994</v>
      </c>
      <c r="O26" s="61">
        <v>6000</v>
      </c>
      <c r="P26" s="62">
        <f t="shared" si="1"/>
        <v>454724.99999999994</v>
      </c>
      <c r="Q26" s="96"/>
    </row>
    <row r="27" spans="1:17" ht="26.25" customHeight="1" thickBot="1" x14ac:dyDescent="0.25">
      <c r="A27" s="130"/>
      <c r="B27" s="130"/>
      <c r="C27" s="103" t="s">
        <v>90</v>
      </c>
      <c r="D27" s="100" t="s">
        <v>59</v>
      </c>
      <c r="E27" s="101">
        <v>44582</v>
      </c>
      <c r="F27" s="102" t="s">
        <v>60</v>
      </c>
      <c r="G27" s="101">
        <v>44600</v>
      </c>
      <c r="H27" s="134" t="s">
        <v>91</v>
      </c>
      <c r="I27" s="103">
        <v>50</v>
      </c>
      <c r="J27" s="103">
        <v>50</v>
      </c>
      <c r="K27" s="103">
        <v>86</v>
      </c>
      <c r="L27" s="103">
        <v>8</v>
      </c>
      <c r="M27" s="104">
        <v>53.75</v>
      </c>
      <c r="N27" s="105">
        <v>53.75</v>
      </c>
      <c r="O27" s="106">
        <v>6000</v>
      </c>
      <c r="P27" s="107">
        <f t="shared" si="1"/>
        <v>322500</v>
      </c>
      <c r="Q27" s="124"/>
    </row>
    <row r="28" spans="1:17" ht="26.25" customHeight="1" thickBot="1" x14ac:dyDescent="0.25">
      <c r="A28" s="130">
        <v>403475</v>
      </c>
      <c r="B28" s="130" t="s">
        <v>92</v>
      </c>
      <c r="C28" s="119" t="s">
        <v>93</v>
      </c>
      <c r="D28" s="117" t="s">
        <v>59</v>
      </c>
      <c r="E28" s="118">
        <v>44583</v>
      </c>
      <c r="F28" s="117" t="s">
        <v>60</v>
      </c>
      <c r="G28" s="118">
        <v>44600</v>
      </c>
      <c r="H28" s="136" t="s">
        <v>91</v>
      </c>
      <c r="I28" s="119">
        <v>42</v>
      </c>
      <c r="J28" s="119">
        <v>23</v>
      </c>
      <c r="K28" s="119">
        <v>12</v>
      </c>
      <c r="L28" s="119">
        <v>5</v>
      </c>
      <c r="M28" s="120">
        <v>2.8980000000000001</v>
      </c>
      <c r="N28" s="126">
        <v>5</v>
      </c>
      <c r="O28" s="122">
        <v>6000</v>
      </c>
      <c r="P28" s="123">
        <f t="shared" si="1"/>
        <v>30000</v>
      </c>
      <c r="Q28" s="124">
        <v>1</v>
      </c>
    </row>
    <row r="29" spans="1:17" ht="26.25" customHeight="1" thickBot="1" x14ac:dyDescent="0.25">
      <c r="A29" s="130">
        <v>403482</v>
      </c>
      <c r="B29" s="130" t="s">
        <v>94</v>
      </c>
      <c r="C29" s="119" t="s">
        <v>95</v>
      </c>
      <c r="D29" s="117" t="s">
        <v>59</v>
      </c>
      <c r="E29" s="118">
        <v>44586</v>
      </c>
      <c r="F29" s="117" t="s">
        <v>96</v>
      </c>
      <c r="G29" s="118">
        <v>44593</v>
      </c>
      <c r="H29" s="136" t="s">
        <v>97</v>
      </c>
      <c r="I29" s="119">
        <v>41</v>
      </c>
      <c r="J29" s="119">
        <v>28</v>
      </c>
      <c r="K29" s="119">
        <v>39</v>
      </c>
      <c r="L29" s="119">
        <v>10</v>
      </c>
      <c r="M29" s="120">
        <v>11.193</v>
      </c>
      <c r="N29" s="121">
        <v>11.193</v>
      </c>
      <c r="O29" s="122">
        <v>6000</v>
      </c>
      <c r="P29" s="123">
        <f t="shared" si="1"/>
        <v>67158</v>
      </c>
      <c r="Q29" s="124">
        <v>1</v>
      </c>
    </row>
    <row r="30" spans="1:17" ht="26.25" customHeight="1" x14ac:dyDescent="0.2">
      <c r="A30" s="132">
        <v>403364</v>
      </c>
      <c r="B30" s="132" t="s">
        <v>98</v>
      </c>
      <c r="C30" s="110" t="s">
        <v>99</v>
      </c>
      <c r="D30" s="108" t="s">
        <v>59</v>
      </c>
      <c r="E30" s="109">
        <v>44591</v>
      </c>
      <c r="F30" s="108" t="s">
        <v>108</v>
      </c>
      <c r="G30" s="109">
        <v>44608</v>
      </c>
      <c r="H30" s="133" t="s">
        <v>109</v>
      </c>
      <c r="I30" s="110">
        <v>150</v>
      </c>
      <c r="J30" s="110">
        <v>64</v>
      </c>
      <c r="K30" s="110">
        <v>12</v>
      </c>
      <c r="L30" s="110">
        <v>10</v>
      </c>
      <c r="M30" s="111">
        <v>28.8</v>
      </c>
      <c r="N30" s="112">
        <v>28.8</v>
      </c>
      <c r="O30" s="113">
        <v>6000</v>
      </c>
      <c r="P30" s="114">
        <f t="shared" si="1"/>
        <v>172800</v>
      </c>
      <c r="Q30" s="96">
        <v>9</v>
      </c>
    </row>
    <row r="31" spans="1:17" ht="26.25" customHeight="1" x14ac:dyDescent="0.2">
      <c r="A31" s="132"/>
      <c r="B31" s="132"/>
      <c r="C31" s="1" t="s">
        <v>100</v>
      </c>
      <c r="D31" s="72" t="s">
        <v>59</v>
      </c>
      <c r="E31" s="12">
        <v>44591</v>
      </c>
      <c r="F31" s="72" t="s">
        <v>108</v>
      </c>
      <c r="G31" s="12">
        <v>44608</v>
      </c>
      <c r="H31" s="129" t="s">
        <v>109</v>
      </c>
      <c r="I31" s="1">
        <v>150</v>
      </c>
      <c r="J31" s="1">
        <v>64</v>
      </c>
      <c r="K31" s="1">
        <v>12</v>
      </c>
      <c r="L31" s="1">
        <v>10</v>
      </c>
      <c r="M31" s="76">
        <v>28.8</v>
      </c>
      <c r="N31" s="93">
        <v>28.8</v>
      </c>
      <c r="O31" s="61">
        <v>6000</v>
      </c>
      <c r="P31" s="62">
        <f t="shared" si="1"/>
        <v>172800</v>
      </c>
      <c r="Q31" s="96"/>
    </row>
    <row r="32" spans="1:17" ht="26.25" customHeight="1" x14ac:dyDescent="0.2">
      <c r="A32" s="132"/>
      <c r="B32" s="132"/>
      <c r="C32" s="1" t="s">
        <v>101</v>
      </c>
      <c r="D32" s="72" t="s">
        <v>59</v>
      </c>
      <c r="E32" s="12">
        <v>44591</v>
      </c>
      <c r="F32" s="72" t="s">
        <v>108</v>
      </c>
      <c r="G32" s="12">
        <v>44608</v>
      </c>
      <c r="H32" s="129" t="s">
        <v>109</v>
      </c>
      <c r="I32" s="1">
        <v>150</v>
      </c>
      <c r="J32" s="1">
        <v>64</v>
      </c>
      <c r="K32" s="1">
        <v>12</v>
      </c>
      <c r="L32" s="1">
        <v>10</v>
      </c>
      <c r="M32" s="76">
        <v>28.8</v>
      </c>
      <c r="N32" s="93">
        <v>28.8</v>
      </c>
      <c r="O32" s="61">
        <v>6000</v>
      </c>
      <c r="P32" s="62">
        <f t="shared" si="1"/>
        <v>172800</v>
      </c>
      <c r="Q32" s="96"/>
    </row>
    <row r="33" spans="1:17" ht="26.25" customHeight="1" x14ac:dyDescent="0.2">
      <c r="A33" s="132"/>
      <c r="B33" s="132"/>
      <c r="C33" s="15" t="s">
        <v>102</v>
      </c>
      <c r="D33" s="74" t="s">
        <v>59</v>
      </c>
      <c r="E33" s="12">
        <v>44591</v>
      </c>
      <c r="F33" s="72" t="s">
        <v>108</v>
      </c>
      <c r="G33" s="12">
        <v>44608</v>
      </c>
      <c r="H33" s="135" t="s">
        <v>109</v>
      </c>
      <c r="I33" s="15">
        <v>39</v>
      </c>
      <c r="J33" s="15">
        <v>39</v>
      </c>
      <c r="K33" s="15">
        <v>42</v>
      </c>
      <c r="L33" s="15">
        <v>10</v>
      </c>
      <c r="M33" s="77">
        <v>15.970499999999999</v>
      </c>
      <c r="N33" s="93">
        <v>15.970499999999999</v>
      </c>
      <c r="O33" s="61">
        <v>6000</v>
      </c>
      <c r="P33" s="62">
        <f t="shared" si="1"/>
        <v>95823</v>
      </c>
      <c r="Q33" s="96"/>
    </row>
    <row r="34" spans="1:17" ht="26.25" customHeight="1" x14ac:dyDescent="0.2">
      <c r="A34" s="132"/>
      <c r="B34" s="132"/>
      <c r="C34" s="15" t="s">
        <v>103</v>
      </c>
      <c r="D34" s="74" t="s">
        <v>59</v>
      </c>
      <c r="E34" s="12">
        <v>44591</v>
      </c>
      <c r="F34" s="142" t="s">
        <v>108</v>
      </c>
      <c r="G34" s="12">
        <v>44608</v>
      </c>
      <c r="H34" s="140" t="s">
        <v>109</v>
      </c>
      <c r="I34" s="15">
        <v>77</v>
      </c>
      <c r="J34" s="15">
        <v>50</v>
      </c>
      <c r="K34" s="15">
        <v>32</v>
      </c>
      <c r="L34" s="15">
        <v>10</v>
      </c>
      <c r="M34" s="77">
        <v>30.8</v>
      </c>
      <c r="N34" s="93">
        <v>30.8</v>
      </c>
      <c r="O34" s="61">
        <v>6000</v>
      </c>
      <c r="P34" s="62">
        <f t="shared" si="1"/>
        <v>184800</v>
      </c>
      <c r="Q34" s="96"/>
    </row>
    <row r="35" spans="1:17" ht="26.25" customHeight="1" x14ac:dyDescent="0.2">
      <c r="A35" s="132"/>
      <c r="B35" s="132"/>
      <c r="C35" s="15" t="s">
        <v>104</v>
      </c>
      <c r="D35" s="74" t="s">
        <v>59</v>
      </c>
      <c r="E35" s="12">
        <v>44591</v>
      </c>
      <c r="F35" s="142" t="s">
        <v>108</v>
      </c>
      <c r="G35" s="12">
        <v>44608</v>
      </c>
      <c r="H35" s="140" t="s">
        <v>109</v>
      </c>
      <c r="I35" s="15">
        <v>77</v>
      </c>
      <c r="J35" s="15">
        <v>50</v>
      </c>
      <c r="K35" s="15">
        <v>32</v>
      </c>
      <c r="L35" s="15">
        <v>10</v>
      </c>
      <c r="M35" s="77">
        <v>30.8</v>
      </c>
      <c r="N35" s="93">
        <v>30.8</v>
      </c>
      <c r="O35" s="61">
        <v>6000</v>
      </c>
      <c r="P35" s="62">
        <f t="shared" si="1"/>
        <v>184800</v>
      </c>
      <c r="Q35" s="96"/>
    </row>
    <row r="36" spans="1:17" ht="26.25" customHeight="1" x14ac:dyDescent="0.2">
      <c r="A36" s="132"/>
      <c r="B36" s="132"/>
      <c r="C36" s="15" t="s">
        <v>105</v>
      </c>
      <c r="D36" s="74" t="s">
        <v>59</v>
      </c>
      <c r="E36" s="12">
        <v>44591</v>
      </c>
      <c r="F36" s="142" t="s">
        <v>108</v>
      </c>
      <c r="G36" s="12">
        <v>44608</v>
      </c>
      <c r="H36" s="140" t="s">
        <v>109</v>
      </c>
      <c r="I36" s="15">
        <v>77</v>
      </c>
      <c r="J36" s="15">
        <v>50</v>
      </c>
      <c r="K36" s="15">
        <v>32</v>
      </c>
      <c r="L36" s="15">
        <v>10</v>
      </c>
      <c r="M36" s="77">
        <v>30.8</v>
      </c>
      <c r="N36" s="93">
        <v>30.8</v>
      </c>
      <c r="O36" s="61">
        <v>6000</v>
      </c>
      <c r="P36" s="62">
        <f t="shared" si="1"/>
        <v>184800</v>
      </c>
      <c r="Q36" s="96"/>
    </row>
    <row r="37" spans="1:17" ht="26.25" customHeight="1" x14ac:dyDescent="0.2">
      <c r="A37" s="132"/>
      <c r="B37" s="132"/>
      <c r="C37" s="15" t="s">
        <v>106</v>
      </c>
      <c r="D37" s="74" t="s">
        <v>59</v>
      </c>
      <c r="E37" s="12">
        <v>44591</v>
      </c>
      <c r="F37" s="142" t="s">
        <v>108</v>
      </c>
      <c r="G37" s="12">
        <v>44608</v>
      </c>
      <c r="H37" s="140" t="s">
        <v>109</v>
      </c>
      <c r="I37" s="15">
        <v>44</v>
      </c>
      <c r="J37" s="15">
        <v>48</v>
      </c>
      <c r="K37" s="15">
        <v>95</v>
      </c>
      <c r="L37" s="15">
        <v>11</v>
      </c>
      <c r="M37" s="77">
        <v>50.16</v>
      </c>
      <c r="N37" s="93">
        <v>50.16</v>
      </c>
      <c r="O37" s="61">
        <v>6000</v>
      </c>
      <c r="P37" s="62">
        <f t="shared" si="1"/>
        <v>300960</v>
      </c>
      <c r="Q37" s="96"/>
    </row>
    <row r="38" spans="1:17" ht="26.25" customHeight="1" thickBot="1" x14ac:dyDescent="0.25">
      <c r="A38" s="130"/>
      <c r="B38" s="130"/>
      <c r="C38" s="103" t="s">
        <v>107</v>
      </c>
      <c r="D38" s="100" t="s">
        <v>59</v>
      </c>
      <c r="E38" s="101">
        <v>44591</v>
      </c>
      <c r="F38" s="143" t="s">
        <v>108</v>
      </c>
      <c r="G38" s="101">
        <v>44608</v>
      </c>
      <c r="H38" s="141" t="s">
        <v>109</v>
      </c>
      <c r="I38" s="103">
        <v>77</v>
      </c>
      <c r="J38" s="103">
        <v>50</v>
      </c>
      <c r="K38" s="103">
        <v>32</v>
      </c>
      <c r="L38" s="103">
        <v>10</v>
      </c>
      <c r="M38" s="104">
        <v>30.8</v>
      </c>
      <c r="N38" s="105">
        <v>30.8</v>
      </c>
      <c r="O38" s="106">
        <v>6000</v>
      </c>
      <c r="P38" s="107">
        <f t="shared" si="1"/>
        <v>184800</v>
      </c>
      <c r="Q38" s="124"/>
    </row>
    <row r="39" spans="1:17" ht="22.5" customHeight="1" thickBot="1" x14ac:dyDescent="0.25">
      <c r="A39" s="159" t="s">
        <v>30</v>
      </c>
      <c r="B39" s="160"/>
      <c r="C39" s="160"/>
      <c r="D39" s="160"/>
      <c r="E39" s="160"/>
      <c r="F39" s="160"/>
      <c r="G39" s="160"/>
      <c r="H39" s="160"/>
      <c r="I39" s="160"/>
      <c r="J39" s="160"/>
      <c r="K39" s="160"/>
      <c r="L39" s="160"/>
      <c r="M39" s="137">
        <f>SUM(M3:M38)</f>
        <v>826.93899999999962</v>
      </c>
      <c r="N39" s="138">
        <f>SUM(N3:N38)</f>
        <v>893.90274999999963</v>
      </c>
      <c r="O39" s="161">
        <f>SUM(P3:P38)</f>
        <v>5363416.5</v>
      </c>
      <c r="P39" s="161"/>
      <c r="Q39" s="139">
        <f>SUM(Q3:Q38)</f>
        <v>36</v>
      </c>
    </row>
    <row r="40" spans="1:17" ht="18" customHeight="1" x14ac:dyDescent="0.2">
      <c r="A40" s="82"/>
      <c r="B40" s="55" t="s">
        <v>42</v>
      </c>
      <c r="C40" s="54"/>
      <c r="D40" s="56" t="s">
        <v>43</v>
      </c>
      <c r="E40" s="82"/>
      <c r="F40" s="82"/>
      <c r="G40" s="82"/>
      <c r="H40" s="82"/>
      <c r="I40" s="82"/>
      <c r="J40" s="82"/>
      <c r="K40" s="82"/>
      <c r="L40" s="82"/>
      <c r="M40" s="83"/>
      <c r="N40" s="84" t="s">
        <v>51</v>
      </c>
      <c r="O40" s="85"/>
      <c r="P40" s="85">
        <f>O39*10%</f>
        <v>536341.65</v>
      </c>
    </row>
    <row r="41" spans="1:17" ht="18" customHeight="1" thickBot="1" x14ac:dyDescent="0.25">
      <c r="A41" s="82"/>
      <c r="B41" s="55"/>
      <c r="C41" s="54"/>
      <c r="D41" s="56"/>
      <c r="E41" s="82"/>
      <c r="F41" s="82"/>
      <c r="G41" s="82"/>
      <c r="H41" s="82"/>
      <c r="I41" s="82"/>
      <c r="J41" s="82"/>
      <c r="K41" s="82"/>
      <c r="L41" s="82"/>
      <c r="M41" s="83"/>
      <c r="N41" s="86" t="s">
        <v>52</v>
      </c>
      <c r="O41" s="87"/>
      <c r="P41" s="87">
        <f>O39-P40</f>
        <v>4827074.8499999996</v>
      </c>
    </row>
    <row r="42" spans="1:17" ht="18" customHeight="1" x14ac:dyDescent="0.2">
      <c r="A42" s="10"/>
      <c r="H42" s="60"/>
      <c r="N42" s="59" t="s">
        <v>31</v>
      </c>
      <c r="P42" s="66">
        <f>P41*1%</f>
        <v>48270.748499999994</v>
      </c>
    </row>
    <row r="43" spans="1:17" ht="18" customHeight="1" thickBot="1" x14ac:dyDescent="0.25">
      <c r="A43" s="10"/>
      <c r="H43" s="60"/>
      <c r="N43" s="59" t="s">
        <v>53</v>
      </c>
      <c r="P43" s="68">
        <f>P41*2%</f>
        <v>96541.496999999988</v>
      </c>
    </row>
    <row r="44" spans="1:17" ht="18" customHeight="1" x14ac:dyDescent="0.2">
      <c r="A44" s="10"/>
      <c r="H44" s="60"/>
      <c r="N44" s="63" t="s">
        <v>32</v>
      </c>
      <c r="O44" s="64"/>
      <c r="P44" s="67">
        <f>P41+P42-P43</f>
        <v>4778804.1014999989</v>
      </c>
    </row>
    <row r="46" spans="1:17" x14ac:dyDescent="0.2">
      <c r="A46" s="10"/>
      <c r="H46" s="60"/>
      <c r="P46" s="68"/>
    </row>
    <row r="47" spans="1:17" x14ac:dyDescent="0.2">
      <c r="A47" s="10"/>
      <c r="H47" s="60"/>
      <c r="O47" s="57"/>
      <c r="P47" s="68"/>
    </row>
    <row r="48" spans="1:17" s="3" customFormat="1" x14ac:dyDescent="0.25">
      <c r="A48" s="10"/>
      <c r="B48" s="2"/>
      <c r="C48" s="2"/>
      <c r="E48" s="11"/>
      <c r="H48" s="60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60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60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60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60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60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60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60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60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60"/>
      <c r="N57" s="14"/>
      <c r="O57" s="14"/>
      <c r="P57" s="14"/>
    </row>
    <row r="58" spans="1:16" s="3" customFormat="1" x14ac:dyDescent="0.25">
      <c r="A58" s="10"/>
      <c r="B58" s="2"/>
      <c r="C58" s="2"/>
      <c r="E58" s="11"/>
      <c r="H58" s="60"/>
      <c r="N58" s="14"/>
      <c r="O58" s="14"/>
      <c r="P58" s="14"/>
    </row>
    <row r="59" spans="1:16" s="3" customFormat="1" x14ac:dyDescent="0.25">
      <c r="A59" s="10"/>
      <c r="B59" s="2"/>
      <c r="C59" s="2"/>
      <c r="E59" s="11"/>
      <c r="H59" s="60"/>
      <c r="N59" s="14"/>
      <c r="O59" s="14"/>
      <c r="P59" s="14"/>
    </row>
  </sheetData>
  <mergeCells count="2">
    <mergeCell ref="A39:L39"/>
    <mergeCell ref="O39:P39"/>
  </mergeCells>
  <conditionalFormatting sqref="B3">
    <cfRule type="duplicateValues" dxfId="149" priority="15"/>
  </conditionalFormatting>
  <conditionalFormatting sqref="B4">
    <cfRule type="duplicateValues" dxfId="148" priority="14"/>
  </conditionalFormatting>
  <conditionalFormatting sqref="B5">
    <cfRule type="duplicateValues" dxfId="147" priority="12"/>
  </conditionalFormatting>
  <conditionalFormatting sqref="B6">
    <cfRule type="duplicateValues" dxfId="146" priority="11"/>
  </conditionalFormatting>
  <conditionalFormatting sqref="B7:B8">
    <cfRule type="duplicateValues" dxfId="145" priority="13"/>
  </conditionalFormatting>
  <conditionalFormatting sqref="B9">
    <cfRule type="duplicateValues" dxfId="144" priority="10"/>
  </conditionalFormatting>
  <conditionalFormatting sqref="B10">
    <cfRule type="duplicateValues" dxfId="143" priority="9"/>
  </conditionalFormatting>
  <conditionalFormatting sqref="B11">
    <cfRule type="duplicateValues" dxfId="142" priority="7"/>
  </conditionalFormatting>
  <conditionalFormatting sqref="B12">
    <cfRule type="duplicateValues" dxfId="141" priority="6"/>
  </conditionalFormatting>
  <conditionalFormatting sqref="B13:B27">
    <cfRule type="duplicateValues" dxfId="140" priority="8"/>
  </conditionalFormatting>
  <conditionalFormatting sqref="B28">
    <cfRule type="duplicateValues" dxfId="139" priority="5"/>
  </conditionalFormatting>
  <conditionalFormatting sqref="B29">
    <cfRule type="duplicateValues" dxfId="138" priority="4"/>
  </conditionalFormatting>
  <conditionalFormatting sqref="B30">
    <cfRule type="duplicateValues" dxfId="137" priority="2"/>
  </conditionalFormatting>
  <conditionalFormatting sqref="B31">
    <cfRule type="duplicateValues" dxfId="136" priority="1"/>
  </conditionalFormatting>
  <conditionalFormatting sqref="B32:B38">
    <cfRule type="duplicateValues" dxfId="135" priority="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E14" sqref="E14"/>
    </sheetView>
  </sheetViews>
  <sheetFormatPr defaultRowHeight="15" x14ac:dyDescent="0.2"/>
  <cols>
    <col min="1" max="1" width="7" style="4" customWidth="1"/>
    <col min="2" max="2" width="19.28515625" style="2" customWidth="1"/>
    <col min="3" max="3" width="15.28515625" style="2" customWidth="1"/>
    <col min="4" max="4" width="11.5703125" style="3" customWidth="1"/>
    <col min="5" max="5" width="7.7109375" style="11" customWidth="1"/>
    <col min="6" max="6" width="10.28515625" style="3" customWidth="1"/>
    <col min="7" max="7" width="10.140625" style="3" customWidth="1"/>
    <col min="8" max="8" width="19.140625" style="6" customWidth="1"/>
    <col min="9" max="10" width="3.5703125" style="3" customWidth="1"/>
    <col min="11" max="11" width="3.7109375" style="3" customWidth="1"/>
    <col min="12" max="12" width="4.2851562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9.28515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2" t="s">
        <v>44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79">
        <v>402772</v>
      </c>
      <c r="B3" s="70" t="s">
        <v>56</v>
      </c>
      <c r="C3" s="8" t="s">
        <v>57</v>
      </c>
      <c r="D3" s="72" t="s">
        <v>59</v>
      </c>
      <c r="E3" s="12">
        <v>44563</v>
      </c>
      <c r="F3" s="72" t="s">
        <v>60</v>
      </c>
      <c r="G3" s="12">
        <v>44579</v>
      </c>
      <c r="H3" s="9" t="s">
        <v>61</v>
      </c>
      <c r="I3" s="1">
        <v>47</v>
      </c>
      <c r="J3" s="1">
        <v>43</v>
      </c>
      <c r="K3" s="1">
        <v>37</v>
      </c>
      <c r="L3" s="1">
        <v>11</v>
      </c>
      <c r="M3" s="76">
        <v>18.69425</v>
      </c>
      <c r="N3" s="93">
        <v>18.69425</v>
      </c>
      <c r="O3" s="61">
        <v>6000</v>
      </c>
      <c r="P3" s="62">
        <f>Table22457891011234[[#This Row],[PEMBULATAN]]*O3</f>
        <v>112165.5</v>
      </c>
      <c r="Q3" s="167">
        <v>2</v>
      </c>
    </row>
    <row r="4" spans="1:17" ht="26.25" customHeight="1" x14ac:dyDescent="0.2">
      <c r="A4" s="13"/>
      <c r="B4" s="71"/>
      <c r="C4" s="8" t="s">
        <v>58</v>
      </c>
      <c r="D4" s="72" t="s">
        <v>59</v>
      </c>
      <c r="E4" s="12">
        <v>44563</v>
      </c>
      <c r="F4" s="72" t="s">
        <v>60</v>
      </c>
      <c r="G4" s="12">
        <v>44579</v>
      </c>
      <c r="H4" s="9" t="s">
        <v>61</v>
      </c>
      <c r="I4" s="1">
        <v>80</v>
      </c>
      <c r="J4" s="1">
        <v>42</v>
      </c>
      <c r="K4" s="1">
        <v>45</v>
      </c>
      <c r="L4" s="1">
        <v>8</v>
      </c>
      <c r="M4" s="76">
        <v>37.799999999999997</v>
      </c>
      <c r="N4" s="93">
        <v>37.799999999999997</v>
      </c>
      <c r="O4" s="61">
        <v>6000</v>
      </c>
      <c r="P4" s="62">
        <f>Table22457891011234[[#This Row],[PEMBULATAN]]*O4</f>
        <v>226799.99999999997</v>
      </c>
      <c r="Q4" s="168"/>
    </row>
    <row r="5" spans="1:17" ht="22.5" customHeight="1" x14ac:dyDescent="0.2">
      <c r="A5" s="162" t="s">
        <v>30</v>
      </c>
      <c r="B5" s="163"/>
      <c r="C5" s="163"/>
      <c r="D5" s="163"/>
      <c r="E5" s="163"/>
      <c r="F5" s="163"/>
      <c r="G5" s="163"/>
      <c r="H5" s="163"/>
      <c r="I5" s="163"/>
      <c r="J5" s="163"/>
      <c r="K5" s="163"/>
      <c r="L5" s="164"/>
      <c r="M5" s="75">
        <f>SUBTOTAL(109,Table22457891011234[KG VOLUME])</f>
        <v>56.494249999999994</v>
      </c>
      <c r="N5" s="65">
        <f>SUM(N3:N4)</f>
        <v>56.494249999999994</v>
      </c>
      <c r="O5" s="165">
        <f>SUM(P3:P4)</f>
        <v>338965.5</v>
      </c>
      <c r="P5" s="166"/>
    </row>
    <row r="6" spans="1:17" ht="18" customHeight="1" x14ac:dyDescent="0.2">
      <c r="A6" s="82"/>
      <c r="B6" s="55" t="s">
        <v>42</v>
      </c>
      <c r="C6" s="54"/>
      <c r="D6" s="56" t="s">
        <v>43</v>
      </c>
      <c r="E6" s="82"/>
      <c r="F6" s="82"/>
      <c r="G6" s="82"/>
      <c r="H6" s="82"/>
      <c r="I6" s="82"/>
      <c r="J6" s="82"/>
      <c r="K6" s="82"/>
      <c r="L6" s="82"/>
      <c r="M6" s="83"/>
      <c r="N6" s="84" t="s">
        <v>51</v>
      </c>
      <c r="O6" s="85"/>
      <c r="P6" s="85">
        <f>O5*10%</f>
        <v>33896.550000000003</v>
      </c>
    </row>
    <row r="7" spans="1:17" ht="18" customHeight="1" thickBot="1" x14ac:dyDescent="0.25">
      <c r="A7" s="82"/>
      <c r="B7" s="55"/>
      <c r="C7" s="54"/>
      <c r="D7" s="56"/>
      <c r="E7" s="82"/>
      <c r="F7" s="82"/>
      <c r="G7" s="82"/>
      <c r="H7" s="82"/>
      <c r="I7" s="82"/>
      <c r="J7" s="82"/>
      <c r="K7" s="82"/>
      <c r="L7" s="82"/>
      <c r="M7" s="83"/>
      <c r="N7" s="86" t="s">
        <v>52</v>
      </c>
      <c r="O7" s="87"/>
      <c r="P7" s="87">
        <f>O5-P6</f>
        <v>305068.95</v>
      </c>
    </row>
    <row r="8" spans="1:17" ht="18" customHeight="1" x14ac:dyDescent="0.2">
      <c r="A8" s="10"/>
      <c r="H8" s="60"/>
      <c r="N8" s="59" t="s">
        <v>31</v>
      </c>
      <c r="P8" s="66">
        <f>P7*1%</f>
        <v>3050.6895</v>
      </c>
    </row>
    <row r="9" spans="1:17" ht="18" customHeight="1" thickBot="1" x14ac:dyDescent="0.25">
      <c r="A9" s="10"/>
      <c r="H9" s="60"/>
      <c r="N9" s="59" t="s">
        <v>53</v>
      </c>
      <c r="P9" s="68">
        <f>P7*2%</f>
        <v>6101.3789999999999</v>
      </c>
    </row>
    <row r="10" spans="1:17" ht="18" customHeight="1" x14ac:dyDescent="0.2">
      <c r="A10" s="10"/>
      <c r="H10" s="60"/>
      <c r="N10" s="63" t="s">
        <v>32</v>
      </c>
      <c r="O10" s="64"/>
      <c r="P10" s="67">
        <f>P7+P8-P9</f>
        <v>302018.26049999997</v>
      </c>
    </row>
    <row r="12" spans="1:17" x14ac:dyDescent="0.2">
      <c r="A12" s="10"/>
      <c r="H12" s="60"/>
      <c r="P12" s="68"/>
    </row>
    <row r="13" spans="1:17" x14ac:dyDescent="0.2">
      <c r="A13" s="10"/>
      <c r="H13" s="60"/>
      <c r="O13" s="57"/>
      <c r="P13" s="68"/>
    </row>
    <row r="14" spans="1:17" s="3" customFormat="1" x14ac:dyDescent="0.25">
      <c r="A14" s="10"/>
      <c r="B14" s="2"/>
      <c r="C14" s="2"/>
      <c r="E14" s="11"/>
      <c r="H14" s="60"/>
      <c r="N14" s="14"/>
      <c r="O14" s="14"/>
      <c r="P14" s="14"/>
    </row>
    <row r="15" spans="1:17" s="3" customFormat="1" x14ac:dyDescent="0.25">
      <c r="A15" s="10"/>
      <c r="B15" s="2"/>
      <c r="C15" s="2"/>
      <c r="E15" s="11"/>
      <c r="H15" s="60"/>
      <c r="N15" s="14"/>
      <c r="O15" s="14"/>
      <c r="P15" s="14"/>
    </row>
    <row r="16" spans="1:17" s="3" customFormat="1" x14ac:dyDescent="0.25">
      <c r="A16" s="10"/>
      <c r="B16" s="2"/>
      <c r="C16" s="2"/>
      <c r="E16" s="11"/>
      <c r="H16" s="60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60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60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60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</sheetData>
  <mergeCells count="3">
    <mergeCell ref="A5:L5"/>
    <mergeCell ref="O5:P5"/>
    <mergeCell ref="Q3:Q4"/>
  </mergeCells>
  <conditionalFormatting sqref="B3">
    <cfRule type="duplicateValues" dxfId="119" priority="2"/>
  </conditionalFormatting>
  <conditionalFormatting sqref="B4">
    <cfRule type="duplicateValues" dxfId="118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7"/>
  <sheetViews>
    <sheetView zoomScale="98" zoomScaleNormal="98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R6" sqref="R6"/>
    </sheetView>
  </sheetViews>
  <sheetFormatPr defaultRowHeight="15" x14ac:dyDescent="0.2"/>
  <cols>
    <col min="1" max="1" width="7.140625" style="4" customWidth="1"/>
    <col min="2" max="2" width="20.140625" style="2" customWidth="1"/>
    <col min="3" max="3" width="14.5703125" style="2" customWidth="1"/>
    <col min="4" max="4" width="13.42578125" style="3" customWidth="1"/>
    <col min="5" max="5" width="8.140625" style="11" customWidth="1"/>
    <col min="6" max="6" width="10.42578125" style="3" customWidth="1"/>
    <col min="7" max="7" width="9.85546875" style="3" customWidth="1"/>
    <col min="8" max="8" width="18" style="6" customWidth="1"/>
    <col min="9" max="9" width="3.5703125" style="3" customWidth="1"/>
    <col min="10" max="10" width="3.28515625" style="3" customWidth="1"/>
    <col min="11" max="11" width="3.42578125" style="3" customWidth="1"/>
    <col min="12" max="12" width="4.5703125" style="3" customWidth="1"/>
    <col min="13" max="13" width="7.85546875" style="3" customWidth="1"/>
    <col min="14" max="14" width="12.28515625" style="14" customWidth="1"/>
    <col min="15" max="15" width="8.140625" style="14" customWidth="1"/>
    <col min="16" max="16" width="9.5703125" style="14" customWidth="1"/>
    <col min="17" max="17" width="6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2" t="s">
        <v>44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79">
        <v>402797</v>
      </c>
      <c r="B3" s="70" t="s">
        <v>62</v>
      </c>
      <c r="C3" s="8" t="s">
        <v>63</v>
      </c>
      <c r="D3" s="72" t="s">
        <v>59</v>
      </c>
      <c r="E3" s="12">
        <v>44568</v>
      </c>
      <c r="F3" s="72" t="s">
        <v>68</v>
      </c>
      <c r="G3" s="12">
        <v>44583</v>
      </c>
      <c r="H3" s="9" t="s">
        <v>69</v>
      </c>
      <c r="I3" s="1">
        <v>54</v>
      </c>
      <c r="J3" s="1">
        <v>48</v>
      </c>
      <c r="K3" s="1">
        <v>15</v>
      </c>
      <c r="L3" s="1">
        <v>9</v>
      </c>
      <c r="M3" s="76">
        <v>9.7200000000000006</v>
      </c>
      <c r="N3" s="93">
        <v>9.7200000000000006</v>
      </c>
      <c r="O3" s="61">
        <v>6000</v>
      </c>
      <c r="P3" s="62">
        <f>Table224578910112345[[#This Row],[PEMBULATAN]]*O3</f>
        <v>58320.000000000007</v>
      </c>
      <c r="Q3" s="167">
        <v>4</v>
      </c>
    </row>
    <row r="4" spans="1:17" ht="26.25" customHeight="1" x14ac:dyDescent="0.2">
      <c r="A4" s="13"/>
      <c r="B4" s="71"/>
      <c r="C4" s="8" t="s">
        <v>64</v>
      </c>
      <c r="D4" s="72" t="s">
        <v>59</v>
      </c>
      <c r="E4" s="12">
        <v>44568</v>
      </c>
      <c r="F4" s="72" t="s">
        <v>68</v>
      </c>
      <c r="G4" s="12">
        <v>44583</v>
      </c>
      <c r="H4" s="9" t="s">
        <v>69</v>
      </c>
      <c r="I4" s="1">
        <v>54</v>
      </c>
      <c r="J4" s="1">
        <v>48</v>
      </c>
      <c r="K4" s="1">
        <v>15</v>
      </c>
      <c r="L4" s="1">
        <v>9</v>
      </c>
      <c r="M4" s="76">
        <v>9.7200000000000006</v>
      </c>
      <c r="N4" s="93">
        <v>9.7200000000000006</v>
      </c>
      <c r="O4" s="61">
        <v>6000</v>
      </c>
      <c r="P4" s="62">
        <f>Table224578910112345[[#This Row],[PEMBULATAN]]*O4</f>
        <v>58320.000000000007</v>
      </c>
      <c r="Q4" s="169"/>
    </row>
    <row r="5" spans="1:17" ht="26.25" customHeight="1" x14ac:dyDescent="0.2">
      <c r="A5" s="13"/>
      <c r="B5" s="79" t="s">
        <v>65</v>
      </c>
      <c r="C5" s="8" t="s">
        <v>66</v>
      </c>
      <c r="D5" s="72" t="s">
        <v>59</v>
      </c>
      <c r="E5" s="12">
        <v>44568</v>
      </c>
      <c r="F5" s="72" t="s">
        <v>68</v>
      </c>
      <c r="G5" s="12">
        <v>44583</v>
      </c>
      <c r="H5" s="9" t="s">
        <v>69</v>
      </c>
      <c r="I5" s="1">
        <v>54</v>
      </c>
      <c r="J5" s="1">
        <v>48</v>
      </c>
      <c r="K5" s="1">
        <v>15</v>
      </c>
      <c r="L5" s="1">
        <v>9</v>
      </c>
      <c r="M5" s="76">
        <v>9.7200000000000006</v>
      </c>
      <c r="N5" s="93">
        <v>9.7200000000000006</v>
      </c>
      <c r="O5" s="61">
        <v>6000</v>
      </c>
      <c r="P5" s="62">
        <f>Table224578910112345[[#This Row],[PEMBULATAN]]*O5</f>
        <v>58320.000000000007</v>
      </c>
      <c r="Q5" s="169"/>
    </row>
    <row r="6" spans="1:17" ht="26.25" customHeight="1" x14ac:dyDescent="0.2">
      <c r="A6" s="13"/>
      <c r="B6" s="13"/>
      <c r="C6" s="69" t="s">
        <v>67</v>
      </c>
      <c r="D6" s="74" t="s">
        <v>59</v>
      </c>
      <c r="E6" s="12">
        <v>44568</v>
      </c>
      <c r="F6" s="72" t="s">
        <v>68</v>
      </c>
      <c r="G6" s="12">
        <v>44583</v>
      </c>
      <c r="H6" s="73" t="s">
        <v>69</v>
      </c>
      <c r="I6" s="15">
        <v>35</v>
      </c>
      <c r="J6" s="15">
        <v>35</v>
      </c>
      <c r="K6" s="15">
        <v>47</v>
      </c>
      <c r="L6" s="15">
        <v>4</v>
      </c>
      <c r="M6" s="77">
        <v>14.393750000000001</v>
      </c>
      <c r="N6" s="93">
        <v>15</v>
      </c>
      <c r="O6" s="61">
        <v>6000</v>
      </c>
      <c r="P6" s="62">
        <f>Table224578910112345[[#This Row],[PEMBULATAN]]*O6</f>
        <v>90000</v>
      </c>
      <c r="Q6" s="168"/>
    </row>
    <row r="7" spans="1:17" ht="22.5" customHeight="1" x14ac:dyDescent="0.2">
      <c r="A7" s="162" t="s">
        <v>30</v>
      </c>
      <c r="B7" s="163"/>
      <c r="C7" s="163"/>
      <c r="D7" s="163"/>
      <c r="E7" s="163"/>
      <c r="F7" s="163"/>
      <c r="G7" s="163"/>
      <c r="H7" s="163"/>
      <c r="I7" s="163"/>
      <c r="J7" s="163"/>
      <c r="K7" s="163"/>
      <c r="L7" s="164"/>
      <c r="M7" s="75">
        <f>SUBTOTAL(109,Table224578910112345[KG VOLUME])</f>
        <v>43.553750000000008</v>
      </c>
      <c r="N7" s="65">
        <f>SUM(N3:N6)</f>
        <v>44.160000000000004</v>
      </c>
      <c r="O7" s="165">
        <f>SUM(P3:P6)</f>
        <v>264960</v>
      </c>
      <c r="P7" s="166"/>
    </row>
    <row r="8" spans="1:17" ht="18" customHeight="1" x14ac:dyDescent="0.2">
      <c r="A8" s="82"/>
      <c r="B8" s="55" t="s">
        <v>42</v>
      </c>
      <c r="C8" s="54"/>
      <c r="D8" s="56" t="s">
        <v>43</v>
      </c>
      <c r="E8" s="82"/>
      <c r="F8" s="82"/>
      <c r="G8" s="82"/>
      <c r="H8" s="82"/>
      <c r="I8" s="82"/>
      <c r="J8" s="82"/>
      <c r="K8" s="82"/>
      <c r="L8" s="82"/>
      <c r="M8" s="83"/>
      <c r="N8" s="84" t="s">
        <v>51</v>
      </c>
      <c r="O8" s="85"/>
      <c r="P8" s="85">
        <f>O7*10%</f>
        <v>26496</v>
      </c>
    </row>
    <row r="9" spans="1:17" ht="18" customHeight="1" thickBot="1" x14ac:dyDescent="0.25">
      <c r="A9" s="82"/>
      <c r="B9" s="55"/>
      <c r="C9" s="54"/>
      <c r="D9" s="56"/>
      <c r="E9" s="82"/>
      <c r="F9" s="82"/>
      <c r="G9" s="82"/>
      <c r="H9" s="82"/>
      <c r="I9" s="82"/>
      <c r="J9" s="82"/>
      <c r="K9" s="82"/>
      <c r="L9" s="82"/>
      <c r="M9" s="83"/>
      <c r="N9" s="86" t="s">
        <v>52</v>
      </c>
      <c r="O9" s="87"/>
      <c r="P9" s="87">
        <f>O7-P8</f>
        <v>238464</v>
      </c>
    </row>
    <row r="10" spans="1:17" ht="18" customHeight="1" x14ac:dyDescent="0.2">
      <c r="A10" s="10"/>
      <c r="H10" s="60"/>
      <c r="N10" s="59" t="s">
        <v>31</v>
      </c>
      <c r="P10" s="66">
        <f>P9*1%</f>
        <v>2384.64</v>
      </c>
    </row>
    <row r="11" spans="1:17" ht="18" customHeight="1" thickBot="1" x14ac:dyDescent="0.25">
      <c r="A11" s="10"/>
      <c r="H11" s="60"/>
      <c r="N11" s="59" t="s">
        <v>53</v>
      </c>
      <c r="P11" s="68">
        <f>P9*2%</f>
        <v>4769.28</v>
      </c>
    </row>
    <row r="12" spans="1:17" ht="18" customHeight="1" x14ac:dyDescent="0.2">
      <c r="A12" s="10"/>
      <c r="H12" s="60"/>
      <c r="N12" s="63" t="s">
        <v>32</v>
      </c>
      <c r="O12" s="64"/>
      <c r="P12" s="67">
        <f>P9+P10-P11</f>
        <v>236079.36000000002</v>
      </c>
    </row>
    <row r="14" spans="1:17" x14ac:dyDescent="0.2">
      <c r="A14" s="10"/>
      <c r="H14" s="60"/>
      <c r="P14" s="68"/>
    </row>
    <row r="15" spans="1:17" x14ac:dyDescent="0.2">
      <c r="A15" s="10"/>
      <c r="H15" s="60"/>
      <c r="O15" s="57"/>
      <c r="P15" s="68"/>
    </row>
    <row r="16" spans="1:17" s="3" customFormat="1" x14ac:dyDescent="0.25">
      <c r="A16" s="10"/>
      <c r="B16" s="2"/>
      <c r="C16" s="2"/>
      <c r="E16" s="11"/>
      <c r="H16" s="60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60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60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60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60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60"/>
      <c r="N27" s="14"/>
      <c r="O27" s="14"/>
      <c r="P27" s="14"/>
    </row>
  </sheetData>
  <mergeCells count="3">
    <mergeCell ref="A7:L7"/>
    <mergeCell ref="O7:P7"/>
    <mergeCell ref="Q3:Q6"/>
  </mergeCells>
  <conditionalFormatting sqref="B3">
    <cfRule type="duplicateValues" dxfId="102" priority="2"/>
  </conditionalFormatting>
  <conditionalFormatting sqref="B4">
    <cfRule type="duplicateValues" dxfId="101" priority="1"/>
  </conditionalFormatting>
  <conditionalFormatting sqref="B5:B6">
    <cfRule type="duplicateValues" dxfId="100" priority="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5"/>
  <sheetViews>
    <sheetView zoomScaleNormal="10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G17" sqref="G17"/>
    </sheetView>
  </sheetViews>
  <sheetFormatPr defaultRowHeight="15" x14ac:dyDescent="0.2"/>
  <cols>
    <col min="1" max="1" width="6.5703125" style="4" customWidth="1"/>
    <col min="2" max="2" width="19.28515625" style="2" customWidth="1"/>
    <col min="3" max="3" width="14" style="2" customWidth="1"/>
    <col min="4" max="4" width="11.42578125" style="3" customWidth="1"/>
    <col min="5" max="5" width="8.7109375" style="11" customWidth="1"/>
    <col min="6" max="6" width="9.7109375" style="3" customWidth="1"/>
    <col min="7" max="7" width="11.5703125" style="3" customWidth="1"/>
    <col min="8" max="8" width="16" style="6" customWidth="1"/>
    <col min="9" max="10" width="3.85546875" style="3" customWidth="1"/>
    <col min="11" max="11" width="3.7109375" style="3" customWidth="1"/>
    <col min="12" max="12" width="4.28515625" style="3" customWidth="1"/>
    <col min="13" max="13" width="7.85546875" style="3" customWidth="1"/>
    <col min="14" max="14" width="12.28515625" style="14" customWidth="1"/>
    <col min="15" max="15" width="8.140625" style="14" customWidth="1"/>
    <col min="16" max="16" width="10.425781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2" t="s">
        <v>44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79">
        <v>402918</v>
      </c>
      <c r="B3" s="70" t="s">
        <v>70</v>
      </c>
      <c r="C3" s="8" t="s">
        <v>71</v>
      </c>
      <c r="D3" s="72" t="s">
        <v>59</v>
      </c>
      <c r="E3" s="12">
        <v>44569</v>
      </c>
      <c r="F3" s="72" t="s">
        <v>68</v>
      </c>
      <c r="G3" s="12">
        <v>44583</v>
      </c>
      <c r="H3" s="9" t="s">
        <v>69</v>
      </c>
      <c r="I3" s="1">
        <v>100</v>
      </c>
      <c r="J3" s="1">
        <v>57</v>
      </c>
      <c r="K3" s="1">
        <v>67</v>
      </c>
      <c r="L3" s="1">
        <v>12</v>
      </c>
      <c r="M3" s="76">
        <v>95.474999999999994</v>
      </c>
      <c r="N3" s="7">
        <v>96</v>
      </c>
      <c r="O3" s="61">
        <v>6000</v>
      </c>
      <c r="P3" s="62">
        <f>Table2245789101123456[[#This Row],[PEMBULATAN]]*O3</f>
        <v>576000</v>
      </c>
      <c r="Q3" s="167">
        <v>2</v>
      </c>
    </row>
    <row r="4" spans="1:17" ht="26.25" customHeight="1" x14ac:dyDescent="0.2">
      <c r="A4" s="13"/>
      <c r="B4" s="71"/>
      <c r="C4" s="8" t="s">
        <v>72</v>
      </c>
      <c r="D4" s="72" t="s">
        <v>59</v>
      </c>
      <c r="E4" s="12">
        <v>44569</v>
      </c>
      <c r="F4" s="72" t="s">
        <v>68</v>
      </c>
      <c r="G4" s="12">
        <v>44583</v>
      </c>
      <c r="H4" s="9" t="s">
        <v>69</v>
      </c>
      <c r="I4" s="1">
        <v>100</v>
      </c>
      <c r="J4" s="1">
        <v>57</v>
      </c>
      <c r="K4" s="1">
        <v>67</v>
      </c>
      <c r="L4" s="1">
        <v>12</v>
      </c>
      <c r="M4" s="76">
        <v>95.474999999999994</v>
      </c>
      <c r="N4" s="7">
        <v>96</v>
      </c>
      <c r="O4" s="61">
        <v>6000</v>
      </c>
      <c r="P4" s="62">
        <f>Table2245789101123456[[#This Row],[PEMBULATAN]]*O4</f>
        <v>576000</v>
      </c>
      <c r="Q4" s="168"/>
    </row>
    <row r="5" spans="1:17" ht="22.5" customHeight="1" x14ac:dyDescent="0.2">
      <c r="A5" s="162" t="s">
        <v>30</v>
      </c>
      <c r="B5" s="163"/>
      <c r="C5" s="163"/>
      <c r="D5" s="163"/>
      <c r="E5" s="163"/>
      <c r="F5" s="163"/>
      <c r="G5" s="163"/>
      <c r="H5" s="163"/>
      <c r="I5" s="163"/>
      <c r="J5" s="163"/>
      <c r="K5" s="163"/>
      <c r="L5" s="164"/>
      <c r="M5" s="75">
        <f>SUBTOTAL(109,Table2245789101123456[KG VOLUME])</f>
        <v>190.95</v>
      </c>
      <c r="N5" s="65">
        <f>SUM(N3:N4)</f>
        <v>192</v>
      </c>
      <c r="O5" s="165">
        <f>SUM(P3:P4)</f>
        <v>1152000</v>
      </c>
      <c r="P5" s="166"/>
    </row>
    <row r="6" spans="1:17" ht="18" customHeight="1" x14ac:dyDescent="0.2">
      <c r="A6" s="82"/>
      <c r="B6" s="55" t="s">
        <v>42</v>
      </c>
      <c r="C6" s="54"/>
      <c r="D6" s="56" t="s">
        <v>43</v>
      </c>
      <c r="E6" s="82"/>
      <c r="F6" s="82"/>
      <c r="G6" s="82"/>
      <c r="H6" s="82"/>
      <c r="I6" s="82"/>
      <c r="J6" s="82"/>
      <c r="K6" s="82"/>
      <c r="L6" s="82"/>
      <c r="M6" s="83"/>
      <c r="N6" s="84" t="s">
        <v>51</v>
      </c>
      <c r="O6" s="85"/>
      <c r="P6" s="85">
        <f>O5*10%</f>
        <v>115200</v>
      </c>
    </row>
    <row r="7" spans="1:17" ht="18" customHeight="1" thickBot="1" x14ac:dyDescent="0.25">
      <c r="A7" s="82"/>
      <c r="B7" s="55"/>
      <c r="C7" s="54"/>
      <c r="D7" s="56"/>
      <c r="E7" s="82"/>
      <c r="F7" s="82"/>
      <c r="G7" s="82"/>
      <c r="H7" s="82"/>
      <c r="I7" s="82"/>
      <c r="J7" s="82"/>
      <c r="K7" s="82"/>
      <c r="L7" s="82"/>
      <c r="M7" s="83"/>
      <c r="N7" s="86" t="s">
        <v>52</v>
      </c>
      <c r="O7" s="87"/>
      <c r="P7" s="87">
        <f>O5-P6</f>
        <v>1036800</v>
      </c>
    </row>
    <row r="8" spans="1:17" ht="18" customHeight="1" x14ac:dyDescent="0.2">
      <c r="A8" s="10"/>
      <c r="H8" s="60"/>
      <c r="N8" s="59" t="s">
        <v>31</v>
      </c>
      <c r="P8" s="66">
        <f>P7*1%</f>
        <v>10368</v>
      </c>
    </row>
    <row r="9" spans="1:17" ht="18" customHeight="1" thickBot="1" x14ac:dyDescent="0.25">
      <c r="A9" s="10"/>
      <c r="H9" s="60"/>
      <c r="N9" s="59" t="s">
        <v>53</v>
      </c>
      <c r="P9" s="68">
        <f>P7*2%</f>
        <v>20736</v>
      </c>
    </row>
    <row r="10" spans="1:17" ht="18" customHeight="1" x14ac:dyDescent="0.2">
      <c r="A10" s="10"/>
      <c r="H10" s="60"/>
      <c r="N10" s="63" t="s">
        <v>32</v>
      </c>
      <c r="O10" s="64"/>
      <c r="P10" s="67">
        <f>P7+P8-P9</f>
        <v>1026432</v>
      </c>
    </row>
    <row r="12" spans="1:17" x14ac:dyDescent="0.2">
      <c r="A12" s="10"/>
      <c r="H12" s="60"/>
      <c r="P12" s="68"/>
    </row>
    <row r="13" spans="1:17" x14ac:dyDescent="0.2">
      <c r="A13" s="10"/>
      <c r="H13" s="60"/>
      <c r="O13" s="57"/>
      <c r="P13" s="68"/>
    </row>
    <row r="14" spans="1:17" s="3" customFormat="1" x14ac:dyDescent="0.25">
      <c r="A14" s="10"/>
      <c r="B14" s="2"/>
      <c r="C14" s="2"/>
      <c r="E14" s="11"/>
      <c r="H14" s="60"/>
      <c r="N14" s="14"/>
      <c r="O14" s="14"/>
      <c r="P14" s="14"/>
    </row>
    <row r="15" spans="1:17" s="3" customFormat="1" x14ac:dyDescent="0.25">
      <c r="A15" s="10"/>
      <c r="B15" s="2"/>
      <c r="C15" s="2"/>
      <c r="E15" s="11"/>
      <c r="H15" s="60"/>
      <c r="N15" s="14"/>
      <c r="O15" s="14"/>
      <c r="P15" s="14"/>
    </row>
    <row r="16" spans="1:17" s="3" customFormat="1" x14ac:dyDescent="0.25">
      <c r="A16" s="10"/>
      <c r="B16" s="2"/>
      <c r="C16" s="2"/>
      <c r="E16" s="11"/>
      <c r="H16" s="60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60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60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60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</sheetData>
  <mergeCells count="3">
    <mergeCell ref="A5:L5"/>
    <mergeCell ref="O5:P5"/>
    <mergeCell ref="Q3:Q4"/>
  </mergeCells>
  <conditionalFormatting sqref="B3">
    <cfRule type="duplicateValues" dxfId="84" priority="2"/>
  </conditionalFormatting>
  <conditionalFormatting sqref="B4">
    <cfRule type="duplicateValues" dxfId="83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0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L22" sqref="L22"/>
    </sheetView>
  </sheetViews>
  <sheetFormatPr defaultRowHeight="15" x14ac:dyDescent="0.2"/>
  <cols>
    <col min="1" max="1" width="6.5703125" style="4" customWidth="1"/>
    <col min="2" max="2" width="19.28515625" style="2" customWidth="1"/>
    <col min="3" max="3" width="14.5703125" style="2" customWidth="1"/>
    <col min="4" max="4" width="10.5703125" style="3" customWidth="1"/>
    <col min="5" max="5" width="7.5703125" style="11" customWidth="1"/>
    <col min="6" max="6" width="10.140625" style="3" customWidth="1"/>
    <col min="7" max="7" width="10" style="3" customWidth="1"/>
    <col min="8" max="8" width="20" style="6" customWidth="1"/>
    <col min="9" max="9" width="3.7109375" style="3" customWidth="1"/>
    <col min="10" max="10" width="3.85546875" style="3" customWidth="1"/>
    <col min="11" max="11" width="3.7109375" style="3" customWidth="1"/>
    <col min="12" max="12" width="4.42578125" style="3" customWidth="1"/>
    <col min="13" max="13" width="8" style="3" customWidth="1"/>
    <col min="14" max="14" width="12.140625" style="14" customWidth="1"/>
    <col min="15" max="15" width="8.140625" style="14" customWidth="1"/>
    <col min="16" max="16" width="11" style="14" customWidth="1"/>
    <col min="17" max="17" width="6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2" t="s">
        <v>44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79">
        <v>404456</v>
      </c>
      <c r="B3" s="70" t="s">
        <v>73</v>
      </c>
      <c r="C3" s="8" t="s">
        <v>74</v>
      </c>
      <c r="D3" s="72" t="s">
        <v>59</v>
      </c>
      <c r="E3" s="12">
        <v>44582</v>
      </c>
      <c r="F3" s="72" t="s">
        <v>60</v>
      </c>
      <c r="G3" s="12">
        <v>44600</v>
      </c>
      <c r="H3" s="9" t="s">
        <v>91</v>
      </c>
      <c r="I3" s="1">
        <v>55</v>
      </c>
      <c r="J3" s="1">
        <v>37</v>
      </c>
      <c r="K3" s="1">
        <v>8</v>
      </c>
      <c r="L3" s="1">
        <v>10</v>
      </c>
      <c r="M3" s="76">
        <v>4.07</v>
      </c>
      <c r="N3" s="93">
        <v>10</v>
      </c>
      <c r="O3" s="61">
        <v>6000</v>
      </c>
      <c r="P3" s="62">
        <f>Table22457891011234567[[#This Row],[PEMBULATAN]]*O3</f>
        <v>60000</v>
      </c>
      <c r="Q3" s="167">
        <v>17</v>
      </c>
    </row>
    <row r="4" spans="1:17" ht="26.25" customHeight="1" x14ac:dyDescent="0.2">
      <c r="A4" s="13"/>
      <c r="B4" s="71"/>
      <c r="C4" s="8" t="s">
        <v>75</v>
      </c>
      <c r="D4" s="72" t="s">
        <v>59</v>
      </c>
      <c r="E4" s="12">
        <v>44582</v>
      </c>
      <c r="F4" s="72" t="s">
        <v>60</v>
      </c>
      <c r="G4" s="12">
        <v>44600</v>
      </c>
      <c r="H4" s="9" t="s">
        <v>91</v>
      </c>
      <c r="I4" s="1">
        <v>55</v>
      </c>
      <c r="J4" s="1">
        <v>37</v>
      </c>
      <c r="K4" s="1">
        <v>8</v>
      </c>
      <c r="L4" s="1">
        <v>10</v>
      </c>
      <c r="M4" s="76">
        <v>4.07</v>
      </c>
      <c r="N4" s="93">
        <v>10</v>
      </c>
      <c r="O4" s="61">
        <v>6000</v>
      </c>
      <c r="P4" s="62">
        <f>Table22457891011234567[[#This Row],[PEMBULATAN]]*O4</f>
        <v>60000</v>
      </c>
      <c r="Q4" s="169"/>
    </row>
    <row r="5" spans="1:17" ht="26.25" customHeight="1" x14ac:dyDescent="0.2">
      <c r="A5" s="13"/>
      <c r="B5" s="13"/>
      <c r="C5" s="8" t="s">
        <v>76</v>
      </c>
      <c r="D5" s="72" t="s">
        <v>59</v>
      </c>
      <c r="E5" s="12">
        <v>44582</v>
      </c>
      <c r="F5" s="72" t="s">
        <v>60</v>
      </c>
      <c r="G5" s="12">
        <v>44600</v>
      </c>
      <c r="H5" s="9" t="s">
        <v>91</v>
      </c>
      <c r="I5" s="1">
        <v>55</v>
      </c>
      <c r="J5" s="1">
        <v>37</v>
      </c>
      <c r="K5" s="1">
        <v>8</v>
      </c>
      <c r="L5" s="1">
        <v>10</v>
      </c>
      <c r="M5" s="76">
        <v>4.07</v>
      </c>
      <c r="N5" s="93">
        <v>10</v>
      </c>
      <c r="O5" s="61">
        <v>6000</v>
      </c>
      <c r="P5" s="62">
        <f>Table22457891011234567[[#This Row],[PEMBULATAN]]*O5</f>
        <v>60000</v>
      </c>
      <c r="Q5" s="169"/>
    </row>
    <row r="6" spans="1:17" ht="26.25" customHeight="1" x14ac:dyDescent="0.2">
      <c r="A6" s="13"/>
      <c r="B6" s="13"/>
      <c r="C6" s="69" t="s">
        <v>77</v>
      </c>
      <c r="D6" s="74" t="s">
        <v>59</v>
      </c>
      <c r="E6" s="12">
        <v>44582</v>
      </c>
      <c r="F6" s="72" t="s">
        <v>60</v>
      </c>
      <c r="G6" s="12">
        <v>44600</v>
      </c>
      <c r="H6" s="73" t="s">
        <v>91</v>
      </c>
      <c r="I6" s="15">
        <v>55</v>
      </c>
      <c r="J6" s="15">
        <v>37</v>
      </c>
      <c r="K6" s="15">
        <v>8</v>
      </c>
      <c r="L6" s="15">
        <v>10</v>
      </c>
      <c r="M6" s="77">
        <v>4.07</v>
      </c>
      <c r="N6" s="93">
        <v>10</v>
      </c>
      <c r="O6" s="61">
        <v>6000</v>
      </c>
      <c r="P6" s="62">
        <f>Table22457891011234567[[#This Row],[PEMBULATAN]]*O6</f>
        <v>60000</v>
      </c>
      <c r="Q6" s="169"/>
    </row>
    <row r="7" spans="1:17" ht="26.25" customHeight="1" x14ac:dyDescent="0.2">
      <c r="A7" s="13"/>
      <c r="B7" s="13"/>
      <c r="C7" s="69" t="s">
        <v>78</v>
      </c>
      <c r="D7" s="74" t="s">
        <v>59</v>
      </c>
      <c r="E7" s="12">
        <v>44582</v>
      </c>
      <c r="F7" s="72" t="s">
        <v>60</v>
      </c>
      <c r="G7" s="12">
        <v>44600</v>
      </c>
      <c r="H7" s="73" t="s">
        <v>91</v>
      </c>
      <c r="I7" s="15">
        <v>55</v>
      </c>
      <c r="J7" s="15">
        <v>37</v>
      </c>
      <c r="K7" s="15">
        <v>8</v>
      </c>
      <c r="L7" s="15">
        <v>10</v>
      </c>
      <c r="M7" s="77">
        <v>4.07</v>
      </c>
      <c r="N7" s="93">
        <v>10</v>
      </c>
      <c r="O7" s="61">
        <v>6000</v>
      </c>
      <c r="P7" s="62">
        <f>Table22457891011234567[[#This Row],[PEMBULATAN]]*O7</f>
        <v>60000</v>
      </c>
      <c r="Q7" s="169"/>
    </row>
    <row r="8" spans="1:17" ht="26.25" customHeight="1" x14ac:dyDescent="0.2">
      <c r="A8" s="13"/>
      <c r="B8" s="13"/>
      <c r="C8" s="69" t="s">
        <v>79</v>
      </c>
      <c r="D8" s="74" t="s">
        <v>59</v>
      </c>
      <c r="E8" s="12">
        <v>44582</v>
      </c>
      <c r="F8" s="72" t="s">
        <v>60</v>
      </c>
      <c r="G8" s="12">
        <v>44600</v>
      </c>
      <c r="H8" s="73" t="s">
        <v>91</v>
      </c>
      <c r="I8" s="15">
        <v>55</v>
      </c>
      <c r="J8" s="15">
        <v>37</v>
      </c>
      <c r="K8" s="15">
        <v>8</v>
      </c>
      <c r="L8" s="15">
        <v>10</v>
      </c>
      <c r="M8" s="77">
        <v>4.07</v>
      </c>
      <c r="N8" s="93">
        <v>10</v>
      </c>
      <c r="O8" s="61">
        <v>6000</v>
      </c>
      <c r="P8" s="62">
        <f>Table22457891011234567[[#This Row],[PEMBULATAN]]*O8</f>
        <v>60000</v>
      </c>
      <c r="Q8" s="169"/>
    </row>
    <row r="9" spans="1:17" ht="26.25" customHeight="1" x14ac:dyDescent="0.2">
      <c r="A9" s="13"/>
      <c r="B9" s="13"/>
      <c r="C9" s="69" t="s">
        <v>80</v>
      </c>
      <c r="D9" s="74" t="s">
        <v>59</v>
      </c>
      <c r="E9" s="12">
        <v>44582</v>
      </c>
      <c r="F9" s="72" t="s">
        <v>60</v>
      </c>
      <c r="G9" s="12">
        <v>44600</v>
      </c>
      <c r="H9" s="73" t="s">
        <v>91</v>
      </c>
      <c r="I9" s="15">
        <v>55</v>
      </c>
      <c r="J9" s="15">
        <v>37</v>
      </c>
      <c r="K9" s="15">
        <v>8</v>
      </c>
      <c r="L9" s="15">
        <v>10</v>
      </c>
      <c r="M9" s="77">
        <v>4.07</v>
      </c>
      <c r="N9" s="93">
        <v>10</v>
      </c>
      <c r="O9" s="61">
        <v>6000</v>
      </c>
      <c r="P9" s="62">
        <f>Table22457891011234567[[#This Row],[PEMBULATAN]]*O9</f>
        <v>60000</v>
      </c>
      <c r="Q9" s="169"/>
    </row>
    <row r="10" spans="1:17" ht="26.25" customHeight="1" x14ac:dyDescent="0.2">
      <c r="A10" s="13"/>
      <c r="B10" s="13"/>
      <c r="C10" s="69" t="s">
        <v>81</v>
      </c>
      <c r="D10" s="74" t="s">
        <v>59</v>
      </c>
      <c r="E10" s="12">
        <v>44582</v>
      </c>
      <c r="F10" s="72" t="s">
        <v>60</v>
      </c>
      <c r="G10" s="12">
        <v>44600</v>
      </c>
      <c r="H10" s="73" t="s">
        <v>91</v>
      </c>
      <c r="I10" s="15">
        <v>55</v>
      </c>
      <c r="J10" s="15">
        <v>37</v>
      </c>
      <c r="K10" s="15">
        <v>8</v>
      </c>
      <c r="L10" s="15">
        <v>10</v>
      </c>
      <c r="M10" s="77">
        <v>4.07</v>
      </c>
      <c r="N10" s="93">
        <v>10</v>
      </c>
      <c r="O10" s="61">
        <v>6000</v>
      </c>
      <c r="P10" s="62">
        <f>Table22457891011234567[[#This Row],[PEMBULATAN]]*O10</f>
        <v>60000</v>
      </c>
      <c r="Q10" s="169"/>
    </row>
    <row r="11" spans="1:17" ht="26.25" customHeight="1" x14ac:dyDescent="0.2">
      <c r="A11" s="13"/>
      <c r="B11" s="13"/>
      <c r="C11" s="69" t="s">
        <v>82</v>
      </c>
      <c r="D11" s="74" t="s">
        <v>59</v>
      </c>
      <c r="E11" s="12">
        <v>44582</v>
      </c>
      <c r="F11" s="72" t="s">
        <v>60</v>
      </c>
      <c r="G11" s="12">
        <v>44600</v>
      </c>
      <c r="H11" s="73" t="s">
        <v>91</v>
      </c>
      <c r="I11" s="15">
        <v>23</v>
      </c>
      <c r="J11" s="15">
        <v>24</v>
      </c>
      <c r="K11" s="15">
        <v>14</v>
      </c>
      <c r="L11" s="15">
        <v>4</v>
      </c>
      <c r="M11" s="77">
        <v>1.9319999999999999</v>
      </c>
      <c r="N11" s="93">
        <v>4</v>
      </c>
      <c r="O11" s="61">
        <v>6000</v>
      </c>
      <c r="P11" s="62">
        <f>Table22457891011234567[[#This Row],[PEMBULATAN]]*O11</f>
        <v>24000</v>
      </c>
      <c r="Q11" s="169"/>
    </row>
    <row r="12" spans="1:17" ht="26.25" customHeight="1" x14ac:dyDescent="0.2">
      <c r="A12" s="13"/>
      <c r="B12" s="13"/>
      <c r="C12" s="69" t="s">
        <v>83</v>
      </c>
      <c r="D12" s="74" t="s">
        <v>59</v>
      </c>
      <c r="E12" s="12">
        <v>44582</v>
      </c>
      <c r="F12" s="72" t="s">
        <v>60</v>
      </c>
      <c r="G12" s="12">
        <v>44600</v>
      </c>
      <c r="H12" s="73" t="s">
        <v>91</v>
      </c>
      <c r="I12" s="15">
        <v>21</v>
      </c>
      <c r="J12" s="15">
        <v>18</v>
      </c>
      <c r="K12" s="15">
        <v>15</v>
      </c>
      <c r="L12" s="15">
        <v>4</v>
      </c>
      <c r="M12" s="77">
        <v>1.4175</v>
      </c>
      <c r="N12" s="93">
        <v>4</v>
      </c>
      <c r="O12" s="61">
        <v>6000</v>
      </c>
      <c r="P12" s="62">
        <f>Table22457891011234567[[#This Row],[PEMBULATAN]]*O12</f>
        <v>24000</v>
      </c>
      <c r="Q12" s="169"/>
    </row>
    <row r="13" spans="1:17" ht="26.25" customHeight="1" x14ac:dyDescent="0.2">
      <c r="A13" s="13"/>
      <c r="B13" s="13"/>
      <c r="C13" s="69" t="s">
        <v>84</v>
      </c>
      <c r="D13" s="74" t="s">
        <v>59</v>
      </c>
      <c r="E13" s="12">
        <v>44582</v>
      </c>
      <c r="F13" s="72" t="s">
        <v>60</v>
      </c>
      <c r="G13" s="12">
        <v>44600</v>
      </c>
      <c r="H13" s="73" t="s">
        <v>91</v>
      </c>
      <c r="I13" s="15">
        <v>21</v>
      </c>
      <c r="J13" s="15">
        <v>18</v>
      </c>
      <c r="K13" s="15">
        <v>15</v>
      </c>
      <c r="L13" s="15">
        <v>4</v>
      </c>
      <c r="M13" s="77">
        <v>1.4175</v>
      </c>
      <c r="N13" s="93">
        <v>4</v>
      </c>
      <c r="O13" s="61">
        <v>6000</v>
      </c>
      <c r="P13" s="62">
        <f>Table22457891011234567[[#This Row],[PEMBULATAN]]*O13</f>
        <v>24000</v>
      </c>
      <c r="Q13" s="169"/>
    </row>
    <row r="14" spans="1:17" ht="26.25" customHeight="1" x14ac:dyDescent="0.2">
      <c r="A14" s="13"/>
      <c r="B14" s="13"/>
      <c r="C14" s="69" t="s">
        <v>85</v>
      </c>
      <c r="D14" s="74" t="s">
        <v>59</v>
      </c>
      <c r="E14" s="12">
        <v>44582</v>
      </c>
      <c r="F14" s="72" t="s">
        <v>60</v>
      </c>
      <c r="G14" s="12">
        <v>44600</v>
      </c>
      <c r="H14" s="73" t="s">
        <v>91</v>
      </c>
      <c r="I14" s="15">
        <v>21</v>
      </c>
      <c r="J14" s="15">
        <v>18</v>
      </c>
      <c r="K14" s="15">
        <v>15</v>
      </c>
      <c r="L14" s="15">
        <v>4</v>
      </c>
      <c r="M14" s="77">
        <v>1.4175</v>
      </c>
      <c r="N14" s="93">
        <v>4</v>
      </c>
      <c r="O14" s="61">
        <v>6000</v>
      </c>
      <c r="P14" s="62">
        <f>Table22457891011234567[[#This Row],[PEMBULATAN]]*O14</f>
        <v>24000</v>
      </c>
      <c r="Q14" s="169"/>
    </row>
    <row r="15" spans="1:17" ht="26.25" customHeight="1" x14ac:dyDescent="0.2">
      <c r="A15" s="13"/>
      <c r="B15" s="13"/>
      <c r="C15" s="69" t="s">
        <v>86</v>
      </c>
      <c r="D15" s="74" t="s">
        <v>59</v>
      </c>
      <c r="E15" s="12">
        <v>44582</v>
      </c>
      <c r="F15" s="72" t="s">
        <v>60</v>
      </c>
      <c r="G15" s="12">
        <v>44600</v>
      </c>
      <c r="H15" s="73" t="s">
        <v>91</v>
      </c>
      <c r="I15" s="15">
        <v>20</v>
      </c>
      <c r="J15" s="15">
        <v>14</v>
      </c>
      <c r="K15" s="15">
        <v>13</v>
      </c>
      <c r="L15" s="15">
        <v>3</v>
      </c>
      <c r="M15" s="77">
        <v>0.91</v>
      </c>
      <c r="N15" s="93">
        <v>3</v>
      </c>
      <c r="O15" s="61">
        <v>6000</v>
      </c>
      <c r="P15" s="62">
        <f>Table22457891011234567[[#This Row],[PEMBULATAN]]*O15</f>
        <v>18000</v>
      </c>
      <c r="Q15" s="169"/>
    </row>
    <row r="16" spans="1:17" ht="26.25" customHeight="1" x14ac:dyDescent="0.2">
      <c r="A16" s="13"/>
      <c r="B16" s="13"/>
      <c r="C16" s="69" t="s">
        <v>87</v>
      </c>
      <c r="D16" s="74" t="s">
        <v>59</v>
      </c>
      <c r="E16" s="12">
        <v>44582</v>
      </c>
      <c r="F16" s="72" t="s">
        <v>60</v>
      </c>
      <c r="G16" s="12">
        <v>44600</v>
      </c>
      <c r="H16" s="73" t="s">
        <v>91</v>
      </c>
      <c r="I16" s="15">
        <v>38</v>
      </c>
      <c r="J16" s="15">
        <v>15</v>
      </c>
      <c r="K16" s="15">
        <v>8</v>
      </c>
      <c r="L16" s="15">
        <v>5</v>
      </c>
      <c r="M16" s="77">
        <v>1.1399999999999999</v>
      </c>
      <c r="N16" s="93">
        <v>5</v>
      </c>
      <c r="O16" s="61">
        <v>6000</v>
      </c>
      <c r="P16" s="62">
        <f>Table22457891011234567[[#This Row],[PEMBULATAN]]*O16</f>
        <v>30000</v>
      </c>
      <c r="Q16" s="169"/>
    </row>
    <row r="17" spans="1:17" ht="26.25" customHeight="1" x14ac:dyDescent="0.2">
      <c r="A17" s="13"/>
      <c r="B17" s="13"/>
      <c r="C17" s="69" t="s">
        <v>88</v>
      </c>
      <c r="D17" s="74" t="s">
        <v>59</v>
      </c>
      <c r="E17" s="12">
        <v>44582</v>
      </c>
      <c r="F17" s="72" t="s">
        <v>60</v>
      </c>
      <c r="G17" s="12">
        <v>44600</v>
      </c>
      <c r="H17" s="73" t="s">
        <v>91</v>
      </c>
      <c r="I17" s="15">
        <v>86</v>
      </c>
      <c r="J17" s="15">
        <v>47</v>
      </c>
      <c r="K17" s="15">
        <v>75</v>
      </c>
      <c r="L17" s="15">
        <v>8</v>
      </c>
      <c r="M17" s="77">
        <v>75.787499999999994</v>
      </c>
      <c r="N17" s="93">
        <v>75.787499999999994</v>
      </c>
      <c r="O17" s="61">
        <v>6000</v>
      </c>
      <c r="P17" s="62">
        <f>Table22457891011234567[[#This Row],[PEMBULATAN]]*O17</f>
        <v>454724.99999999994</v>
      </c>
      <c r="Q17" s="169"/>
    </row>
    <row r="18" spans="1:17" ht="26.25" customHeight="1" x14ac:dyDescent="0.2">
      <c r="A18" s="13"/>
      <c r="B18" s="13"/>
      <c r="C18" s="69" t="s">
        <v>89</v>
      </c>
      <c r="D18" s="74" t="s">
        <v>59</v>
      </c>
      <c r="E18" s="12">
        <v>44582</v>
      </c>
      <c r="F18" s="72" t="s">
        <v>60</v>
      </c>
      <c r="G18" s="12">
        <v>44600</v>
      </c>
      <c r="H18" s="73" t="s">
        <v>91</v>
      </c>
      <c r="I18" s="15">
        <v>86</v>
      </c>
      <c r="J18" s="15">
        <v>47</v>
      </c>
      <c r="K18" s="15">
        <v>75</v>
      </c>
      <c r="L18" s="15">
        <v>8</v>
      </c>
      <c r="M18" s="77">
        <v>75.787499999999994</v>
      </c>
      <c r="N18" s="93">
        <v>75.787499999999994</v>
      </c>
      <c r="O18" s="61">
        <v>6000</v>
      </c>
      <c r="P18" s="62">
        <f>Table22457891011234567[[#This Row],[PEMBULATAN]]*O18</f>
        <v>454724.99999999994</v>
      </c>
      <c r="Q18" s="169"/>
    </row>
    <row r="19" spans="1:17" ht="26.25" customHeight="1" x14ac:dyDescent="0.2">
      <c r="A19" s="13"/>
      <c r="B19" s="13"/>
      <c r="C19" s="69" t="s">
        <v>90</v>
      </c>
      <c r="D19" s="74" t="s">
        <v>59</v>
      </c>
      <c r="E19" s="12">
        <v>44582</v>
      </c>
      <c r="F19" s="72" t="s">
        <v>60</v>
      </c>
      <c r="G19" s="12">
        <v>44600</v>
      </c>
      <c r="H19" s="73" t="s">
        <v>91</v>
      </c>
      <c r="I19" s="15">
        <v>50</v>
      </c>
      <c r="J19" s="15">
        <v>50</v>
      </c>
      <c r="K19" s="15">
        <v>86</v>
      </c>
      <c r="L19" s="15">
        <v>8</v>
      </c>
      <c r="M19" s="77">
        <v>53.75</v>
      </c>
      <c r="N19" s="93">
        <v>53.75</v>
      </c>
      <c r="O19" s="61">
        <v>6000</v>
      </c>
      <c r="P19" s="62">
        <f>Table22457891011234567[[#This Row],[PEMBULATAN]]*O19</f>
        <v>322500</v>
      </c>
      <c r="Q19" s="168"/>
    </row>
    <row r="20" spans="1:17" ht="22.5" customHeight="1" x14ac:dyDescent="0.2">
      <c r="A20" s="162" t="s">
        <v>30</v>
      </c>
      <c r="B20" s="163"/>
      <c r="C20" s="163"/>
      <c r="D20" s="163"/>
      <c r="E20" s="163"/>
      <c r="F20" s="163"/>
      <c r="G20" s="163"/>
      <c r="H20" s="163"/>
      <c r="I20" s="163"/>
      <c r="J20" s="163"/>
      <c r="K20" s="163"/>
      <c r="L20" s="164"/>
      <c r="M20" s="75">
        <f>SUBTOTAL(109,Table22457891011234567[KG VOLUME])</f>
        <v>246.11949999999999</v>
      </c>
      <c r="N20" s="65">
        <f>SUM(N3:N19)</f>
        <v>309.32499999999999</v>
      </c>
      <c r="O20" s="165">
        <f>SUM(P3:P19)</f>
        <v>1855950</v>
      </c>
      <c r="P20" s="166"/>
    </row>
    <row r="21" spans="1:17" ht="18" customHeight="1" x14ac:dyDescent="0.2">
      <c r="A21" s="82"/>
      <c r="B21" s="55" t="s">
        <v>42</v>
      </c>
      <c r="C21" s="54"/>
      <c r="D21" s="56" t="s">
        <v>43</v>
      </c>
      <c r="E21" s="82"/>
      <c r="F21" s="82"/>
      <c r="G21" s="82"/>
      <c r="H21" s="82"/>
      <c r="I21" s="82"/>
      <c r="J21" s="82"/>
      <c r="K21" s="82"/>
      <c r="L21" s="82"/>
      <c r="M21" s="83"/>
      <c r="N21" s="84" t="s">
        <v>51</v>
      </c>
      <c r="O21" s="85"/>
      <c r="P21" s="85">
        <f>O20*10%</f>
        <v>185595</v>
      </c>
    </row>
    <row r="22" spans="1:17" ht="18" customHeight="1" thickBot="1" x14ac:dyDescent="0.25">
      <c r="A22" s="82"/>
      <c r="B22" s="55"/>
      <c r="C22" s="54"/>
      <c r="D22" s="56"/>
      <c r="E22" s="82"/>
      <c r="F22" s="82"/>
      <c r="G22" s="82"/>
      <c r="H22" s="82"/>
      <c r="I22" s="82"/>
      <c r="J22" s="82"/>
      <c r="K22" s="82"/>
      <c r="L22" s="82"/>
      <c r="M22" s="83"/>
      <c r="N22" s="86" t="s">
        <v>52</v>
      </c>
      <c r="O22" s="87"/>
      <c r="P22" s="87">
        <f>O20-P21</f>
        <v>1670355</v>
      </c>
    </row>
    <row r="23" spans="1:17" ht="18" customHeight="1" x14ac:dyDescent="0.2">
      <c r="A23" s="10"/>
      <c r="H23" s="60"/>
      <c r="N23" s="59" t="s">
        <v>31</v>
      </c>
      <c r="P23" s="66">
        <f>P22*1%</f>
        <v>16703.55</v>
      </c>
    </row>
    <row r="24" spans="1:17" ht="18" customHeight="1" thickBot="1" x14ac:dyDescent="0.25">
      <c r="A24" s="10"/>
      <c r="H24" s="60"/>
      <c r="N24" s="59" t="s">
        <v>53</v>
      </c>
      <c r="P24" s="68">
        <f>P22*2%</f>
        <v>33407.1</v>
      </c>
    </row>
    <row r="25" spans="1:17" ht="18" customHeight="1" x14ac:dyDescent="0.2">
      <c r="A25" s="10"/>
      <c r="H25" s="60"/>
      <c r="N25" s="63" t="s">
        <v>32</v>
      </c>
      <c r="O25" s="64"/>
      <c r="P25" s="67">
        <f>P22+P23-P24</f>
        <v>1653651.45</v>
      </c>
    </row>
    <row r="27" spans="1:17" x14ac:dyDescent="0.2">
      <c r="A27" s="10"/>
      <c r="H27" s="60"/>
      <c r="P27" s="68"/>
    </row>
    <row r="28" spans="1:17" x14ac:dyDescent="0.2">
      <c r="A28" s="10"/>
      <c r="H28" s="60"/>
      <c r="O28" s="57"/>
      <c r="P28" s="68"/>
    </row>
    <row r="29" spans="1:17" s="3" customFormat="1" x14ac:dyDescent="0.25">
      <c r="A29" s="10"/>
      <c r="B29" s="2"/>
      <c r="C29" s="2"/>
      <c r="E29" s="11"/>
      <c r="H29" s="60"/>
      <c r="N29" s="14"/>
      <c r="O29" s="14"/>
      <c r="P29" s="14"/>
    </row>
    <row r="30" spans="1:17" s="3" customFormat="1" x14ac:dyDescent="0.25">
      <c r="A30" s="10"/>
      <c r="B30" s="2"/>
      <c r="C30" s="2"/>
      <c r="E30" s="11"/>
      <c r="H30" s="60"/>
      <c r="N30" s="14"/>
      <c r="O30" s="14"/>
      <c r="P30" s="14"/>
    </row>
    <row r="31" spans="1:17" s="3" customFormat="1" x14ac:dyDescent="0.25">
      <c r="A31" s="10"/>
      <c r="B31" s="2"/>
      <c r="C31" s="2"/>
      <c r="E31" s="11"/>
      <c r="H31" s="60"/>
      <c r="N31" s="14"/>
      <c r="O31" s="14"/>
      <c r="P31" s="14"/>
    </row>
    <row r="32" spans="1:17" s="3" customFormat="1" x14ac:dyDescent="0.25">
      <c r="A32" s="10"/>
      <c r="B32" s="2"/>
      <c r="C32" s="2"/>
      <c r="E32" s="11"/>
      <c r="H32" s="60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60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60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60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60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60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60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60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60"/>
      <c r="N40" s="14"/>
      <c r="O40" s="14"/>
      <c r="P40" s="14"/>
    </row>
  </sheetData>
  <mergeCells count="3">
    <mergeCell ref="A20:L20"/>
    <mergeCell ref="O20:P20"/>
    <mergeCell ref="Q3:Q19"/>
  </mergeCells>
  <conditionalFormatting sqref="B3">
    <cfRule type="duplicateValues" dxfId="67" priority="2"/>
  </conditionalFormatting>
  <conditionalFormatting sqref="B4">
    <cfRule type="duplicateValues" dxfId="66" priority="1"/>
  </conditionalFormatting>
  <conditionalFormatting sqref="B5:B19">
    <cfRule type="duplicateValues" dxfId="65" priority="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14" sqref="H14"/>
    </sheetView>
  </sheetViews>
  <sheetFormatPr defaultRowHeight="15" x14ac:dyDescent="0.2"/>
  <cols>
    <col min="1" max="1" width="6.28515625" style="4" customWidth="1"/>
    <col min="2" max="2" width="20.140625" style="2" customWidth="1"/>
    <col min="3" max="3" width="14.140625" style="2" customWidth="1"/>
    <col min="4" max="4" width="12.85546875" style="3" customWidth="1"/>
    <col min="5" max="5" width="7.42578125" style="11" customWidth="1"/>
    <col min="6" max="6" width="10" style="3" customWidth="1"/>
    <col min="7" max="7" width="11" style="3" customWidth="1"/>
    <col min="8" max="8" width="18.28515625" style="6" customWidth="1"/>
    <col min="9" max="11" width="3.7109375" style="3" customWidth="1"/>
    <col min="12" max="12" width="4.5703125" style="3" customWidth="1"/>
    <col min="13" max="13" width="8" style="3" customWidth="1"/>
    <col min="14" max="14" width="12.28515625" style="14" customWidth="1"/>
    <col min="15" max="15" width="8.140625" style="14" customWidth="1"/>
    <col min="16" max="16" width="8.57031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2" t="s">
        <v>44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79">
        <v>403475</v>
      </c>
      <c r="B3" s="70" t="s">
        <v>92</v>
      </c>
      <c r="C3" s="8" t="s">
        <v>93</v>
      </c>
      <c r="D3" s="72" t="s">
        <v>59</v>
      </c>
      <c r="E3" s="12">
        <v>44583</v>
      </c>
      <c r="F3" s="72" t="s">
        <v>60</v>
      </c>
      <c r="G3" s="12">
        <v>44600</v>
      </c>
      <c r="H3" s="9" t="s">
        <v>91</v>
      </c>
      <c r="I3" s="1">
        <v>42</v>
      </c>
      <c r="J3" s="1">
        <v>23</v>
      </c>
      <c r="K3" s="1">
        <v>12</v>
      </c>
      <c r="L3" s="1">
        <v>5</v>
      </c>
      <c r="M3" s="76">
        <v>2.8980000000000001</v>
      </c>
      <c r="N3" s="7">
        <v>5</v>
      </c>
      <c r="O3" s="61">
        <v>6000</v>
      </c>
      <c r="P3" s="62">
        <f>Table224578910112345678[[#This Row],[PEMBULATAN]]*O3</f>
        <v>30000</v>
      </c>
      <c r="Q3" s="97">
        <v>1</v>
      </c>
    </row>
    <row r="4" spans="1:17" ht="22.5" customHeight="1" x14ac:dyDescent="0.2">
      <c r="A4" s="162" t="s">
        <v>30</v>
      </c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4"/>
      <c r="M4" s="75">
        <f>SUBTOTAL(109,Table224578910112345678[KG VOLUME])</f>
        <v>2.8980000000000001</v>
      </c>
      <c r="N4" s="65">
        <f>SUM(N3:N3)</f>
        <v>5</v>
      </c>
      <c r="O4" s="165">
        <f>SUM(P3:P3)</f>
        <v>30000</v>
      </c>
      <c r="P4" s="166"/>
    </row>
    <row r="5" spans="1:17" ht="18" customHeight="1" x14ac:dyDescent="0.2">
      <c r="A5" s="82"/>
      <c r="B5" s="55" t="s">
        <v>42</v>
      </c>
      <c r="C5" s="54"/>
      <c r="D5" s="56" t="s">
        <v>43</v>
      </c>
      <c r="E5" s="82"/>
      <c r="F5" s="82"/>
      <c r="G5" s="82"/>
      <c r="H5" s="82"/>
      <c r="I5" s="82"/>
      <c r="J5" s="82"/>
      <c r="K5" s="82"/>
      <c r="L5" s="82"/>
      <c r="M5" s="83"/>
      <c r="N5" s="84" t="s">
        <v>51</v>
      </c>
      <c r="O5" s="85"/>
      <c r="P5" s="85">
        <f>O4*10%</f>
        <v>3000</v>
      </c>
    </row>
    <row r="6" spans="1:17" ht="18" customHeight="1" thickBot="1" x14ac:dyDescent="0.25">
      <c r="A6" s="82"/>
      <c r="B6" s="55"/>
      <c r="C6" s="54"/>
      <c r="D6" s="56"/>
      <c r="E6" s="82"/>
      <c r="F6" s="82"/>
      <c r="G6" s="82"/>
      <c r="H6" s="82"/>
      <c r="I6" s="82"/>
      <c r="J6" s="82"/>
      <c r="K6" s="82"/>
      <c r="L6" s="82"/>
      <c r="M6" s="83"/>
      <c r="N6" s="86" t="s">
        <v>52</v>
      </c>
      <c r="O6" s="87"/>
      <c r="P6" s="87">
        <f>O4-P5</f>
        <v>27000</v>
      </c>
    </row>
    <row r="7" spans="1:17" ht="18" customHeight="1" x14ac:dyDescent="0.2">
      <c r="A7" s="10"/>
      <c r="H7" s="60"/>
      <c r="N7" s="59" t="s">
        <v>31</v>
      </c>
      <c r="P7" s="66">
        <f>P6*1%</f>
        <v>270</v>
      </c>
    </row>
    <row r="8" spans="1:17" ht="18" customHeight="1" thickBot="1" x14ac:dyDescent="0.25">
      <c r="A8" s="10"/>
      <c r="H8" s="60"/>
      <c r="N8" s="59" t="s">
        <v>53</v>
      </c>
      <c r="P8" s="68">
        <f>P6*2%</f>
        <v>540</v>
      </c>
    </row>
    <row r="9" spans="1:17" ht="18" customHeight="1" x14ac:dyDescent="0.2">
      <c r="A9" s="10"/>
      <c r="H9" s="60"/>
      <c r="N9" s="63" t="s">
        <v>32</v>
      </c>
      <c r="O9" s="64"/>
      <c r="P9" s="67">
        <f>P6+P7-P8</f>
        <v>26730</v>
      </c>
    </row>
    <row r="11" spans="1:17" x14ac:dyDescent="0.2">
      <c r="A11" s="10"/>
      <c r="H11" s="60"/>
      <c r="P11" s="68"/>
    </row>
    <row r="12" spans="1:17" x14ac:dyDescent="0.2">
      <c r="A12" s="10"/>
      <c r="H12" s="60"/>
      <c r="O12" s="57"/>
      <c r="P12" s="68"/>
    </row>
    <row r="13" spans="1:17" s="3" customFormat="1" x14ac:dyDescent="0.25">
      <c r="A13" s="10"/>
      <c r="B13" s="2"/>
      <c r="C13" s="2"/>
      <c r="E13" s="11"/>
      <c r="H13" s="60"/>
      <c r="N13" s="14"/>
      <c r="O13" s="14"/>
      <c r="P13" s="14"/>
    </row>
    <row r="14" spans="1:17" s="3" customFormat="1" x14ac:dyDescent="0.25">
      <c r="A14" s="10"/>
      <c r="B14" s="2"/>
      <c r="C14" s="2"/>
      <c r="E14" s="11"/>
      <c r="H14" s="60"/>
      <c r="N14" s="14"/>
      <c r="O14" s="14"/>
      <c r="P14" s="14"/>
    </row>
    <row r="15" spans="1:17" s="3" customFormat="1" x14ac:dyDescent="0.25">
      <c r="A15" s="10"/>
      <c r="B15" s="2"/>
      <c r="C15" s="2"/>
      <c r="E15" s="11"/>
      <c r="H15" s="60"/>
      <c r="N15" s="14"/>
      <c r="O15" s="14"/>
      <c r="P15" s="14"/>
    </row>
    <row r="16" spans="1:17" s="3" customFormat="1" x14ac:dyDescent="0.25">
      <c r="A16" s="10"/>
      <c r="B16" s="2"/>
      <c r="C16" s="2"/>
      <c r="E16" s="11"/>
      <c r="H16" s="60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60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60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60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</sheetData>
  <mergeCells count="2">
    <mergeCell ref="A4:L4"/>
    <mergeCell ref="O4:P4"/>
  </mergeCells>
  <conditionalFormatting sqref="B3">
    <cfRule type="duplicateValues" dxfId="49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14" sqref="H14"/>
    </sheetView>
  </sheetViews>
  <sheetFormatPr defaultRowHeight="15" x14ac:dyDescent="0.2"/>
  <cols>
    <col min="1" max="1" width="7.140625" style="4" customWidth="1"/>
    <col min="2" max="2" width="19.140625" style="2" customWidth="1"/>
    <col min="3" max="3" width="14" style="2" customWidth="1"/>
    <col min="4" max="4" width="11.5703125" style="3" customWidth="1"/>
    <col min="5" max="5" width="8.7109375" style="11" customWidth="1"/>
    <col min="6" max="6" width="8.85546875" style="3" customWidth="1"/>
    <col min="7" max="7" width="11" style="3" customWidth="1"/>
    <col min="8" max="8" width="19.42578125" style="6" customWidth="1"/>
    <col min="9" max="11" width="3.85546875" style="3" customWidth="1"/>
    <col min="12" max="12" width="4.5703125" style="3" customWidth="1"/>
    <col min="13" max="13" width="7.85546875" style="3" customWidth="1"/>
    <col min="14" max="14" width="12.28515625" style="14" customWidth="1"/>
    <col min="15" max="15" width="7.85546875" style="14" customWidth="1"/>
    <col min="16" max="16" width="8.5703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2" t="s">
        <v>44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79">
        <v>403482</v>
      </c>
      <c r="B3" s="70" t="s">
        <v>94</v>
      </c>
      <c r="C3" s="8" t="s">
        <v>95</v>
      </c>
      <c r="D3" s="72" t="s">
        <v>59</v>
      </c>
      <c r="E3" s="12">
        <v>44586</v>
      </c>
      <c r="F3" s="72" t="s">
        <v>96</v>
      </c>
      <c r="G3" s="12">
        <v>44593</v>
      </c>
      <c r="H3" s="9" t="s">
        <v>97</v>
      </c>
      <c r="I3" s="1">
        <v>41</v>
      </c>
      <c r="J3" s="1">
        <v>28</v>
      </c>
      <c r="K3" s="1">
        <v>39</v>
      </c>
      <c r="L3" s="1">
        <v>10</v>
      </c>
      <c r="M3" s="76">
        <v>11.193</v>
      </c>
      <c r="N3" s="93">
        <v>11.193</v>
      </c>
      <c r="O3" s="61">
        <v>6000</v>
      </c>
      <c r="P3" s="62">
        <f>Table2245789101123456789[[#This Row],[PEMBULATAN]]*O3</f>
        <v>67158</v>
      </c>
      <c r="Q3" s="97">
        <v>1</v>
      </c>
    </row>
    <row r="4" spans="1:17" ht="22.5" customHeight="1" x14ac:dyDescent="0.2">
      <c r="A4" s="162" t="s">
        <v>30</v>
      </c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4"/>
      <c r="M4" s="75">
        <f>SUBTOTAL(109,Table2245789101123456789[KG VOLUME])</f>
        <v>11.193</v>
      </c>
      <c r="N4" s="65">
        <f>SUM(N3:N3)</f>
        <v>11.193</v>
      </c>
      <c r="O4" s="165">
        <f>SUM(P3:P3)</f>
        <v>67158</v>
      </c>
      <c r="P4" s="166"/>
    </row>
    <row r="5" spans="1:17" ht="18" customHeight="1" x14ac:dyDescent="0.2">
      <c r="A5" s="82"/>
      <c r="B5" s="55" t="s">
        <v>42</v>
      </c>
      <c r="C5" s="54"/>
      <c r="D5" s="56" t="s">
        <v>43</v>
      </c>
      <c r="E5" s="82"/>
      <c r="F5" s="82"/>
      <c r="G5" s="82"/>
      <c r="H5" s="82"/>
      <c r="I5" s="82"/>
      <c r="J5" s="82"/>
      <c r="K5" s="82"/>
      <c r="L5" s="82"/>
      <c r="M5" s="83"/>
      <c r="N5" s="84" t="s">
        <v>51</v>
      </c>
      <c r="O5" s="85"/>
      <c r="P5" s="85">
        <f>O4*10%</f>
        <v>6715.8</v>
      </c>
    </row>
    <row r="6" spans="1:17" ht="18" customHeight="1" thickBot="1" x14ac:dyDescent="0.25">
      <c r="A6" s="82"/>
      <c r="B6" s="55"/>
      <c r="C6" s="54"/>
      <c r="D6" s="56"/>
      <c r="E6" s="82"/>
      <c r="F6" s="82"/>
      <c r="G6" s="82"/>
      <c r="H6" s="82"/>
      <c r="I6" s="82"/>
      <c r="J6" s="82"/>
      <c r="K6" s="82"/>
      <c r="L6" s="82"/>
      <c r="M6" s="83"/>
      <c r="N6" s="86" t="s">
        <v>52</v>
      </c>
      <c r="O6" s="87"/>
      <c r="P6" s="87">
        <f>O4-P5</f>
        <v>60442.2</v>
      </c>
    </row>
    <row r="7" spans="1:17" ht="18" customHeight="1" x14ac:dyDescent="0.2">
      <c r="A7" s="10"/>
      <c r="H7" s="60"/>
      <c r="N7" s="59" t="s">
        <v>31</v>
      </c>
      <c r="P7" s="66">
        <f>P6*1%</f>
        <v>604.42200000000003</v>
      </c>
    </row>
    <row r="8" spans="1:17" ht="18" customHeight="1" thickBot="1" x14ac:dyDescent="0.25">
      <c r="A8" s="10"/>
      <c r="H8" s="60"/>
      <c r="N8" s="59" t="s">
        <v>53</v>
      </c>
      <c r="P8" s="68">
        <f>P6*2%</f>
        <v>1208.8440000000001</v>
      </c>
    </row>
    <row r="9" spans="1:17" ht="18" customHeight="1" x14ac:dyDescent="0.2">
      <c r="A9" s="10"/>
      <c r="H9" s="60"/>
      <c r="N9" s="63" t="s">
        <v>32</v>
      </c>
      <c r="O9" s="64"/>
      <c r="P9" s="67">
        <f>P6+P7-P8</f>
        <v>59837.777999999998</v>
      </c>
    </row>
    <row r="11" spans="1:17" x14ac:dyDescent="0.2">
      <c r="A11" s="10"/>
      <c r="H11" s="60"/>
      <c r="P11" s="68"/>
    </row>
    <row r="12" spans="1:17" x14ac:dyDescent="0.2">
      <c r="A12" s="10"/>
      <c r="H12" s="60"/>
      <c r="O12" s="57"/>
      <c r="P12" s="68"/>
    </row>
    <row r="13" spans="1:17" s="3" customFormat="1" x14ac:dyDescent="0.25">
      <c r="A13" s="10"/>
      <c r="B13" s="2"/>
      <c r="C13" s="2"/>
      <c r="E13" s="11"/>
      <c r="H13" s="60"/>
      <c r="N13" s="14"/>
      <c r="O13" s="14"/>
      <c r="P13" s="14"/>
    </row>
    <row r="14" spans="1:17" s="3" customFormat="1" x14ac:dyDescent="0.25">
      <c r="A14" s="10"/>
      <c r="B14" s="2"/>
      <c r="C14" s="2"/>
      <c r="E14" s="11"/>
      <c r="H14" s="60"/>
      <c r="N14" s="14"/>
      <c r="O14" s="14"/>
      <c r="P14" s="14"/>
    </row>
    <row r="15" spans="1:17" s="3" customFormat="1" x14ac:dyDescent="0.25">
      <c r="A15" s="10"/>
      <c r="B15" s="2"/>
      <c r="C15" s="2"/>
      <c r="E15" s="11"/>
      <c r="H15" s="60"/>
      <c r="N15" s="14"/>
      <c r="O15" s="14"/>
      <c r="P15" s="14"/>
    </row>
    <row r="16" spans="1:17" s="3" customFormat="1" x14ac:dyDescent="0.25">
      <c r="A16" s="10"/>
      <c r="B16" s="2"/>
      <c r="C16" s="2"/>
      <c r="E16" s="11"/>
      <c r="H16" s="60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60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60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60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</sheetData>
  <mergeCells count="2">
    <mergeCell ref="A4:L4"/>
    <mergeCell ref="O4:P4"/>
  </mergeCells>
  <conditionalFormatting sqref="B3">
    <cfRule type="duplicateValues" dxfId="33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2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C9" sqref="C9"/>
    </sheetView>
  </sheetViews>
  <sheetFormatPr defaultRowHeight="15" x14ac:dyDescent="0.2"/>
  <cols>
    <col min="1" max="1" width="7.140625" style="4" customWidth="1"/>
    <col min="2" max="2" width="19.28515625" style="2" customWidth="1"/>
    <col min="3" max="3" width="14.5703125" style="2" customWidth="1"/>
    <col min="4" max="4" width="11.42578125" style="3" customWidth="1"/>
    <col min="5" max="5" width="7.42578125" style="11" customWidth="1"/>
    <col min="6" max="6" width="11.85546875" style="3" customWidth="1"/>
    <col min="7" max="7" width="10.140625" style="3" customWidth="1"/>
    <col min="8" max="8" width="16.28515625" style="6" customWidth="1"/>
    <col min="9" max="11" width="3.7109375" style="3" customWidth="1"/>
    <col min="12" max="12" width="4.42578125" style="3" customWidth="1"/>
    <col min="13" max="13" width="8" style="3" customWidth="1"/>
    <col min="14" max="14" width="12.140625" style="14" customWidth="1"/>
    <col min="15" max="15" width="8.140625" style="14" customWidth="1"/>
    <col min="16" max="16" width="10.57031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2" t="s">
        <v>44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79">
        <v>403364</v>
      </c>
      <c r="B3" s="70" t="s">
        <v>98</v>
      </c>
      <c r="C3" s="8" t="s">
        <v>99</v>
      </c>
      <c r="D3" s="72" t="s">
        <v>59</v>
      </c>
      <c r="E3" s="12">
        <v>44591</v>
      </c>
      <c r="F3" s="72" t="s">
        <v>108</v>
      </c>
      <c r="G3" s="12">
        <v>44608</v>
      </c>
      <c r="H3" s="9" t="s">
        <v>109</v>
      </c>
      <c r="I3" s="1">
        <v>150</v>
      </c>
      <c r="J3" s="1">
        <v>64</v>
      </c>
      <c r="K3" s="1">
        <v>12</v>
      </c>
      <c r="L3" s="1">
        <v>10</v>
      </c>
      <c r="M3" s="76">
        <v>28.8</v>
      </c>
      <c r="N3" s="93">
        <v>28.8</v>
      </c>
      <c r="O3" s="61">
        <v>6000</v>
      </c>
      <c r="P3" s="62">
        <f>Table224578910112345678910[[#This Row],[PEMBULATAN]]*O3</f>
        <v>172800</v>
      </c>
      <c r="Q3" s="167">
        <v>9</v>
      </c>
    </row>
    <row r="4" spans="1:17" ht="26.25" customHeight="1" x14ac:dyDescent="0.2">
      <c r="A4" s="13"/>
      <c r="B4" s="71"/>
      <c r="C4" s="8" t="s">
        <v>100</v>
      </c>
      <c r="D4" s="72" t="s">
        <v>59</v>
      </c>
      <c r="E4" s="12">
        <v>44591</v>
      </c>
      <c r="F4" s="72" t="s">
        <v>108</v>
      </c>
      <c r="G4" s="12">
        <v>44608</v>
      </c>
      <c r="H4" s="9" t="s">
        <v>109</v>
      </c>
      <c r="I4" s="1">
        <v>150</v>
      </c>
      <c r="J4" s="1">
        <v>64</v>
      </c>
      <c r="K4" s="1">
        <v>12</v>
      </c>
      <c r="L4" s="1">
        <v>10</v>
      </c>
      <c r="M4" s="76">
        <v>28.8</v>
      </c>
      <c r="N4" s="93">
        <v>28.8</v>
      </c>
      <c r="O4" s="61">
        <v>6000</v>
      </c>
      <c r="P4" s="62">
        <f>Table224578910112345678910[[#This Row],[PEMBULATAN]]*O4</f>
        <v>172800</v>
      </c>
      <c r="Q4" s="169"/>
    </row>
    <row r="5" spans="1:17" ht="26.25" customHeight="1" x14ac:dyDescent="0.2">
      <c r="A5" s="13"/>
      <c r="B5" s="13"/>
      <c r="C5" s="8" t="s">
        <v>101</v>
      </c>
      <c r="D5" s="72" t="s">
        <v>59</v>
      </c>
      <c r="E5" s="12">
        <v>44591</v>
      </c>
      <c r="F5" s="72" t="s">
        <v>108</v>
      </c>
      <c r="G5" s="12">
        <v>44608</v>
      </c>
      <c r="H5" s="9" t="s">
        <v>109</v>
      </c>
      <c r="I5" s="1">
        <v>150</v>
      </c>
      <c r="J5" s="1">
        <v>64</v>
      </c>
      <c r="K5" s="1">
        <v>12</v>
      </c>
      <c r="L5" s="1">
        <v>10</v>
      </c>
      <c r="M5" s="76">
        <v>28.8</v>
      </c>
      <c r="N5" s="93">
        <v>28.8</v>
      </c>
      <c r="O5" s="61">
        <v>6000</v>
      </c>
      <c r="P5" s="62">
        <f>Table224578910112345678910[[#This Row],[PEMBULATAN]]*O5</f>
        <v>172800</v>
      </c>
      <c r="Q5" s="169"/>
    </row>
    <row r="6" spans="1:17" ht="26.25" customHeight="1" x14ac:dyDescent="0.2">
      <c r="A6" s="13"/>
      <c r="B6" s="13"/>
      <c r="C6" s="69" t="s">
        <v>102</v>
      </c>
      <c r="D6" s="74" t="s">
        <v>59</v>
      </c>
      <c r="E6" s="12">
        <v>44591</v>
      </c>
      <c r="F6" s="72" t="s">
        <v>108</v>
      </c>
      <c r="G6" s="12">
        <v>44608</v>
      </c>
      <c r="H6" s="73" t="s">
        <v>109</v>
      </c>
      <c r="I6" s="15">
        <v>39</v>
      </c>
      <c r="J6" s="15">
        <v>39</v>
      </c>
      <c r="K6" s="15">
        <v>42</v>
      </c>
      <c r="L6" s="15">
        <v>10</v>
      </c>
      <c r="M6" s="77">
        <v>15.970499999999999</v>
      </c>
      <c r="N6" s="93">
        <v>15.970499999999999</v>
      </c>
      <c r="O6" s="61">
        <v>6000</v>
      </c>
      <c r="P6" s="62">
        <f>Table224578910112345678910[[#This Row],[PEMBULATAN]]*O6</f>
        <v>95823</v>
      </c>
      <c r="Q6" s="169"/>
    </row>
    <row r="7" spans="1:17" ht="26.25" customHeight="1" x14ac:dyDescent="0.2">
      <c r="A7" s="13"/>
      <c r="B7" s="13"/>
      <c r="C7" s="69" t="s">
        <v>103</v>
      </c>
      <c r="D7" s="74" t="s">
        <v>59</v>
      </c>
      <c r="E7" s="12">
        <v>44591</v>
      </c>
      <c r="F7" s="72" t="s">
        <v>108</v>
      </c>
      <c r="G7" s="12">
        <v>44608</v>
      </c>
      <c r="H7" s="73" t="s">
        <v>109</v>
      </c>
      <c r="I7" s="15">
        <v>77</v>
      </c>
      <c r="J7" s="15">
        <v>50</v>
      </c>
      <c r="K7" s="15">
        <v>32</v>
      </c>
      <c r="L7" s="15">
        <v>10</v>
      </c>
      <c r="M7" s="77">
        <v>30.8</v>
      </c>
      <c r="N7" s="93">
        <v>30.8</v>
      </c>
      <c r="O7" s="61">
        <v>6000</v>
      </c>
      <c r="P7" s="62">
        <f>Table224578910112345678910[[#This Row],[PEMBULATAN]]*O7</f>
        <v>184800</v>
      </c>
      <c r="Q7" s="169"/>
    </row>
    <row r="8" spans="1:17" ht="26.25" customHeight="1" x14ac:dyDescent="0.2">
      <c r="A8" s="13"/>
      <c r="B8" s="13"/>
      <c r="C8" s="69" t="s">
        <v>104</v>
      </c>
      <c r="D8" s="74" t="s">
        <v>59</v>
      </c>
      <c r="E8" s="12">
        <v>44591</v>
      </c>
      <c r="F8" s="72" t="s">
        <v>108</v>
      </c>
      <c r="G8" s="12">
        <v>44608</v>
      </c>
      <c r="H8" s="73" t="s">
        <v>109</v>
      </c>
      <c r="I8" s="15">
        <v>77</v>
      </c>
      <c r="J8" s="15">
        <v>50</v>
      </c>
      <c r="K8" s="15">
        <v>32</v>
      </c>
      <c r="L8" s="15">
        <v>10</v>
      </c>
      <c r="M8" s="77">
        <v>30.8</v>
      </c>
      <c r="N8" s="93">
        <v>30.8</v>
      </c>
      <c r="O8" s="61">
        <v>6000</v>
      </c>
      <c r="P8" s="62">
        <f>Table224578910112345678910[[#This Row],[PEMBULATAN]]*O8</f>
        <v>184800</v>
      </c>
      <c r="Q8" s="169"/>
    </row>
    <row r="9" spans="1:17" ht="26.25" customHeight="1" x14ac:dyDescent="0.2">
      <c r="A9" s="13"/>
      <c r="B9" s="13"/>
      <c r="C9" s="69" t="s">
        <v>105</v>
      </c>
      <c r="D9" s="74" t="s">
        <v>59</v>
      </c>
      <c r="E9" s="12">
        <v>44591</v>
      </c>
      <c r="F9" s="72" t="s">
        <v>108</v>
      </c>
      <c r="G9" s="12">
        <v>44608</v>
      </c>
      <c r="H9" s="73" t="s">
        <v>109</v>
      </c>
      <c r="I9" s="15">
        <v>77</v>
      </c>
      <c r="J9" s="15">
        <v>50</v>
      </c>
      <c r="K9" s="15">
        <v>32</v>
      </c>
      <c r="L9" s="15">
        <v>10</v>
      </c>
      <c r="M9" s="77">
        <v>30.8</v>
      </c>
      <c r="N9" s="93">
        <v>30.8</v>
      </c>
      <c r="O9" s="61">
        <v>6000</v>
      </c>
      <c r="P9" s="62">
        <f>Table224578910112345678910[[#This Row],[PEMBULATAN]]*O9</f>
        <v>184800</v>
      </c>
      <c r="Q9" s="169"/>
    </row>
    <row r="10" spans="1:17" ht="26.25" customHeight="1" x14ac:dyDescent="0.2">
      <c r="A10" s="13"/>
      <c r="B10" s="13"/>
      <c r="C10" s="69" t="s">
        <v>106</v>
      </c>
      <c r="D10" s="74" t="s">
        <v>59</v>
      </c>
      <c r="E10" s="12">
        <v>44591</v>
      </c>
      <c r="F10" s="72" t="s">
        <v>108</v>
      </c>
      <c r="G10" s="12">
        <v>44608</v>
      </c>
      <c r="H10" s="73" t="s">
        <v>109</v>
      </c>
      <c r="I10" s="15">
        <v>44</v>
      </c>
      <c r="J10" s="15">
        <v>48</v>
      </c>
      <c r="K10" s="15">
        <v>95</v>
      </c>
      <c r="L10" s="15">
        <v>11</v>
      </c>
      <c r="M10" s="77">
        <v>50.16</v>
      </c>
      <c r="N10" s="93">
        <v>50.16</v>
      </c>
      <c r="O10" s="61">
        <v>6000</v>
      </c>
      <c r="P10" s="62">
        <f>Table224578910112345678910[[#This Row],[PEMBULATAN]]*O10</f>
        <v>300960</v>
      </c>
      <c r="Q10" s="169"/>
    </row>
    <row r="11" spans="1:17" ht="26.25" customHeight="1" x14ac:dyDescent="0.2">
      <c r="A11" s="13"/>
      <c r="B11" s="13"/>
      <c r="C11" s="69" t="s">
        <v>107</v>
      </c>
      <c r="D11" s="74" t="s">
        <v>59</v>
      </c>
      <c r="E11" s="12">
        <v>44591</v>
      </c>
      <c r="F11" s="72" t="s">
        <v>108</v>
      </c>
      <c r="G11" s="12">
        <v>44608</v>
      </c>
      <c r="H11" s="73" t="s">
        <v>109</v>
      </c>
      <c r="I11" s="15">
        <v>77</v>
      </c>
      <c r="J11" s="15">
        <v>50</v>
      </c>
      <c r="K11" s="15">
        <v>32</v>
      </c>
      <c r="L11" s="15">
        <v>10</v>
      </c>
      <c r="M11" s="77">
        <v>30.8</v>
      </c>
      <c r="N11" s="93">
        <v>30.8</v>
      </c>
      <c r="O11" s="61">
        <v>6000</v>
      </c>
      <c r="P11" s="62">
        <f>Table224578910112345678910[[#This Row],[PEMBULATAN]]*O11</f>
        <v>184800</v>
      </c>
      <c r="Q11" s="168"/>
    </row>
    <row r="12" spans="1:17" ht="22.5" customHeight="1" x14ac:dyDescent="0.2">
      <c r="A12" s="162" t="s">
        <v>30</v>
      </c>
      <c r="B12" s="163"/>
      <c r="C12" s="163"/>
      <c r="D12" s="163"/>
      <c r="E12" s="163"/>
      <c r="F12" s="163"/>
      <c r="G12" s="163"/>
      <c r="H12" s="163"/>
      <c r="I12" s="163"/>
      <c r="J12" s="163"/>
      <c r="K12" s="163"/>
      <c r="L12" s="164"/>
      <c r="M12" s="75">
        <f>SUBTOTAL(109,Table224578910112345678910[KG VOLUME])</f>
        <v>275.73050000000001</v>
      </c>
      <c r="N12" s="65">
        <f>SUM(N3:N11)</f>
        <v>275.73050000000001</v>
      </c>
      <c r="O12" s="165">
        <f>SUM(P3:P11)</f>
        <v>1654383</v>
      </c>
      <c r="P12" s="166"/>
    </row>
    <row r="13" spans="1:17" ht="18" customHeight="1" x14ac:dyDescent="0.2">
      <c r="A13" s="82"/>
      <c r="B13" s="55" t="s">
        <v>42</v>
      </c>
      <c r="C13" s="54"/>
      <c r="D13" s="56" t="s">
        <v>43</v>
      </c>
      <c r="E13" s="82"/>
      <c r="F13" s="82"/>
      <c r="G13" s="82"/>
      <c r="H13" s="82"/>
      <c r="I13" s="82"/>
      <c r="J13" s="82"/>
      <c r="K13" s="82"/>
      <c r="L13" s="82"/>
      <c r="M13" s="83"/>
      <c r="N13" s="84" t="s">
        <v>51</v>
      </c>
      <c r="O13" s="85"/>
      <c r="P13" s="85">
        <f>O12*10%</f>
        <v>165438.30000000002</v>
      </c>
    </row>
    <row r="14" spans="1:17" ht="18" customHeight="1" thickBot="1" x14ac:dyDescent="0.25">
      <c r="A14" s="82"/>
      <c r="B14" s="55"/>
      <c r="C14" s="54"/>
      <c r="D14" s="56"/>
      <c r="E14" s="82"/>
      <c r="F14" s="82"/>
      <c r="G14" s="82"/>
      <c r="H14" s="82"/>
      <c r="I14" s="82"/>
      <c r="J14" s="82"/>
      <c r="K14" s="82"/>
      <c r="L14" s="82"/>
      <c r="M14" s="83"/>
      <c r="N14" s="86" t="s">
        <v>52</v>
      </c>
      <c r="O14" s="87"/>
      <c r="P14" s="87">
        <f>O12-P13</f>
        <v>1488944.7</v>
      </c>
    </row>
    <row r="15" spans="1:17" ht="18" customHeight="1" x14ac:dyDescent="0.2">
      <c r="A15" s="10"/>
      <c r="H15" s="60"/>
      <c r="N15" s="59" t="s">
        <v>31</v>
      </c>
      <c r="P15" s="66">
        <f>P14*1%</f>
        <v>14889.447</v>
      </c>
    </row>
    <row r="16" spans="1:17" ht="18" customHeight="1" thickBot="1" x14ac:dyDescent="0.25">
      <c r="A16" s="10"/>
      <c r="H16" s="60"/>
      <c r="N16" s="59" t="s">
        <v>53</v>
      </c>
      <c r="P16" s="68">
        <f>P14*2%</f>
        <v>29778.894</v>
      </c>
    </row>
    <row r="17" spans="1:16" ht="18" customHeight="1" x14ac:dyDescent="0.2">
      <c r="A17" s="10"/>
      <c r="H17" s="60"/>
      <c r="N17" s="63" t="s">
        <v>32</v>
      </c>
      <c r="O17" s="64"/>
      <c r="P17" s="67">
        <f>P14+P15-P16</f>
        <v>1474055.2529999998</v>
      </c>
    </row>
    <row r="19" spans="1:16" x14ac:dyDescent="0.2">
      <c r="A19" s="10"/>
      <c r="H19" s="60"/>
      <c r="P19" s="68"/>
    </row>
    <row r="20" spans="1:16" x14ac:dyDescent="0.2">
      <c r="A20" s="10"/>
      <c r="H20" s="60"/>
      <c r="O20" s="57"/>
      <c r="P20" s="68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60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60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60"/>
      <c r="N28" s="14"/>
      <c r="O28" s="14"/>
      <c r="P28" s="14"/>
    </row>
    <row r="29" spans="1:16" s="3" customFormat="1" x14ac:dyDescent="0.25">
      <c r="A29" s="10"/>
      <c r="B29" s="2"/>
      <c r="C29" s="2"/>
      <c r="E29" s="11"/>
      <c r="H29" s="60"/>
      <c r="N29" s="14"/>
      <c r="O29" s="14"/>
      <c r="P29" s="14"/>
    </row>
    <row r="30" spans="1:16" s="3" customFormat="1" x14ac:dyDescent="0.25">
      <c r="A30" s="10"/>
      <c r="B30" s="2"/>
      <c r="C30" s="2"/>
      <c r="E30" s="11"/>
      <c r="H30" s="60"/>
      <c r="N30" s="14"/>
      <c r="O30" s="14"/>
      <c r="P30" s="14"/>
    </row>
    <row r="31" spans="1:16" s="3" customFormat="1" x14ac:dyDescent="0.25">
      <c r="A31" s="10"/>
      <c r="B31" s="2"/>
      <c r="C31" s="2"/>
      <c r="E31" s="11"/>
      <c r="H31" s="60"/>
      <c r="N31" s="14"/>
      <c r="O31" s="14"/>
      <c r="P31" s="14"/>
    </row>
    <row r="32" spans="1:16" s="3" customFormat="1" x14ac:dyDescent="0.25">
      <c r="A32" s="10"/>
      <c r="B32" s="2"/>
      <c r="C32" s="2"/>
      <c r="E32" s="11"/>
      <c r="H32" s="60"/>
      <c r="N32" s="14"/>
      <c r="O32" s="14"/>
      <c r="P32" s="14"/>
    </row>
  </sheetData>
  <mergeCells count="3">
    <mergeCell ref="A12:L12"/>
    <mergeCell ref="O12:P12"/>
    <mergeCell ref="Q3:Q11"/>
  </mergeCells>
  <conditionalFormatting sqref="B3">
    <cfRule type="duplicateValues" dxfId="17" priority="2"/>
  </conditionalFormatting>
  <conditionalFormatting sqref="B4">
    <cfRule type="duplicateValues" dxfId="16" priority="1"/>
  </conditionalFormatting>
  <conditionalFormatting sqref="B5:B11">
    <cfRule type="duplicateValues" dxfId="15" priority="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Sicepat_Gorontalo Jan 22</vt:lpstr>
      <vt:lpstr>ALL</vt:lpstr>
      <vt:lpstr>402772</vt:lpstr>
      <vt:lpstr>402797</vt:lpstr>
      <vt:lpstr>402918</vt:lpstr>
      <vt:lpstr>404456</vt:lpstr>
      <vt:lpstr>403475</vt:lpstr>
      <vt:lpstr>403482</vt:lpstr>
      <vt:lpstr>403364</vt:lpstr>
      <vt:lpstr>'402772'!Print_Titles</vt:lpstr>
      <vt:lpstr>'402797'!Print_Titles</vt:lpstr>
      <vt:lpstr>'402918'!Print_Titles</vt:lpstr>
      <vt:lpstr>'403364'!Print_Titles</vt:lpstr>
      <vt:lpstr>'403475'!Print_Titles</vt:lpstr>
      <vt:lpstr>'403482'!Print_Titles</vt:lpstr>
      <vt:lpstr>'404456'!Print_Titles</vt:lpstr>
      <vt:lpstr>ALL!Print_Titles</vt:lpstr>
      <vt:lpstr>'Sicepat_Gorontalo Jan 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2022-03-01T04:05:42Z</cp:lastPrinted>
  <dcterms:created xsi:type="dcterms:W3CDTF">2021-07-02T11:08:00Z</dcterms:created>
  <dcterms:modified xsi:type="dcterms:W3CDTF">2022-03-04T07:31:52Z</dcterms:modified>
</cp:coreProperties>
</file>