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TERNATE_Jan 22" sheetId="2" r:id="rId1"/>
    <sheet name="ALL" sheetId="89" r:id="rId2"/>
    <sheet name="402774" sheetId="59" r:id="rId3"/>
    <sheet name="402799" sheetId="60" r:id="rId4"/>
    <sheet name="402919" sheetId="61" r:id="rId5"/>
    <sheet name="402935" sheetId="62" r:id="rId6"/>
    <sheet name="403469" sheetId="63" r:id="rId7"/>
    <sheet name="403476" sheetId="64" r:id="rId8"/>
    <sheet name="403353" sheetId="65" r:id="rId9"/>
  </sheets>
  <definedNames>
    <definedName name="_xlnm.Print_Titles" localSheetId="2">'402774'!$2:$2</definedName>
    <definedName name="_xlnm.Print_Titles" localSheetId="3">'402799'!$2:$2</definedName>
    <definedName name="_xlnm.Print_Titles" localSheetId="4">'402919'!$2:$2</definedName>
    <definedName name="_xlnm.Print_Titles" localSheetId="5">'402935'!$2:$2</definedName>
    <definedName name="_xlnm.Print_Titles" localSheetId="8">'403353'!$2:$2</definedName>
    <definedName name="_xlnm.Print_Titles" localSheetId="6">'403469'!$2:$2</definedName>
    <definedName name="_xlnm.Print_Titles" localSheetId="7">'403476'!$2:$2</definedName>
    <definedName name="_xlnm.Print_Titles" localSheetId="1">ALL!$2:$2</definedName>
    <definedName name="_xlnm.Print_Titles" localSheetId="0">'Sicepat_TERNATE_Jan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2" l="1"/>
  <c r="J25" i="2"/>
  <c r="B24" i="2"/>
  <c r="C24" i="2"/>
  <c r="B23" i="2"/>
  <c r="C23" i="2"/>
  <c r="B22" i="2"/>
  <c r="C22" i="2"/>
  <c r="B21" i="2"/>
  <c r="C21" i="2"/>
  <c r="G20" i="2"/>
  <c r="B20" i="2"/>
  <c r="C20" i="2"/>
  <c r="G19" i="2"/>
  <c r="C19" i="2"/>
  <c r="B19" i="2"/>
  <c r="M27" i="89"/>
  <c r="N27" i="89"/>
  <c r="O27" i="89"/>
  <c r="Q27" i="89"/>
  <c r="C18" i="2"/>
  <c r="B18" i="2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0" i="89"/>
  <c r="P9" i="89"/>
  <c r="P8" i="89"/>
  <c r="P7" i="89"/>
  <c r="P6" i="89"/>
  <c r="P5" i="89"/>
  <c r="P4" i="89"/>
  <c r="P3" i="89"/>
  <c r="P11" i="89"/>
  <c r="P5" i="65"/>
  <c r="P5" i="64"/>
  <c r="P8" i="63"/>
  <c r="P5" i="62"/>
  <c r="P12" i="61"/>
  <c r="P12" i="60"/>
  <c r="P5" i="59"/>
  <c r="N11" i="61"/>
  <c r="P28" i="89" l="1"/>
  <c r="P29" i="89" s="1"/>
  <c r="P31" i="89" s="1"/>
  <c r="P30" i="89" l="1"/>
  <c r="P32" i="89" s="1"/>
  <c r="N4" i="65"/>
  <c r="M4" i="65"/>
  <c r="P3" i="65"/>
  <c r="O4" i="65" s="1"/>
  <c r="P6" i="65" s="1"/>
  <c r="N4" i="64"/>
  <c r="M4" i="64"/>
  <c r="P3" i="64"/>
  <c r="O4" i="64" s="1"/>
  <c r="P6" i="64" s="1"/>
  <c r="N7" i="63"/>
  <c r="M7" i="63"/>
  <c r="P6" i="63"/>
  <c r="P5" i="63"/>
  <c r="P4" i="63"/>
  <c r="P3" i="63"/>
  <c r="N4" i="62"/>
  <c r="M4" i="62"/>
  <c r="P3" i="62"/>
  <c r="O4" i="62" s="1"/>
  <c r="P6" i="62" s="1"/>
  <c r="M11" i="61"/>
  <c r="P10" i="61"/>
  <c r="P9" i="61"/>
  <c r="P8" i="61"/>
  <c r="P7" i="61"/>
  <c r="P6" i="61"/>
  <c r="P5" i="61"/>
  <c r="P4" i="61"/>
  <c r="P3" i="61"/>
  <c r="N11" i="60"/>
  <c r="M11" i="60"/>
  <c r="P10" i="60"/>
  <c r="P9" i="60"/>
  <c r="P8" i="60"/>
  <c r="P7" i="60"/>
  <c r="P6" i="60"/>
  <c r="P5" i="60"/>
  <c r="P4" i="60"/>
  <c r="P3" i="60"/>
  <c r="N4" i="59"/>
  <c r="M4" i="59"/>
  <c r="P3" i="59"/>
  <c r="O7" i="63" l="1"/>
  <c r="P9" i="63" s="1"/>
  <c r="P10" i="63" s="1"/>
  <c r="O11" i="61"/>
  <c r="P13" i="61" s="1"/>
  <c r="P14" i="61" s="1"/>
  <c r="O11" i="60"/>
  <c r="P13" i="60" s="1"/>
  <c r="P14" i="60" s="1"/>
  <c r="O4" i="59"/>
  <c r="P6" i="59" s="1"/>
  <c r="P8" i="59" s="1"/>
  <c r="P8" i="65"/>
  <c r="P7" i="65"/>
  <c r="P8" i="64"/>
  <c r="P7" i="64"/>
  <c r="P9" i="64" s="1"/>
  <c r="P8" i="62"/>
  <c r="P7" i="62"/>
  <c r="P9" i="62" s="1"/>
  <c r="P11" i="63" l="1"/>
  <c r="P12" i="63" s="1"/>
  <c r="P15" i="61"/>
  <c r="P16" i="61" s="1"/>
  <c r="P15" i="60"/>
  <c r="P16" i="60" s="1"/>
  <c r="P7" i="59"/>
  <c r="P9" i="59" s="1"/>
  <c r="P9" i="65"/>
  <c r="I30" i="2"/>
  <c r="I29" i="2"/>
  <c r="I31" i="2" s="1"/>
  <c r="J24" i="2" l="1"/>
  <c r="L25" i="2" l="1"/>
  <c r="A19" i="2"/>
  <c r="A20" i="2" s="1"/>
  <c r="A21" i="2" s="1"/>
  <c r="A22" i="2" s="1"/>
  <c r="A23" i="2" s="1"/>
  <c r="A24" i="2" s="1"/>
  <c r="J23" i="2"/>
  <c r="J21" i="2"/>
  <c r="J22" i="2"/>
  <c r="J20" i="2"/>
  <c r="J19" i="2"/>
  <c r="I42" i="2" l="1"/>
  <c r="J18" i="2"/>
  <c r="J28" i="2" l="1"/>
  <c r="J30" i="2" l="1"/>
  <c r="J29" i="2"/>
  <c r="J31" i="2" l="1"/>
</calcChain>
</file>

<file path=xl/sharedStrings.xml><?xml version="1.0" encoding="utf-8"?>
<sst xmlns="http://schemas.openxmlformats.org/spreadsheetml/2006/main" count="465" uniqueCount="99">
  <si>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</si>
  <si>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</si>
  <si>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</si>
  <si>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</si>
  <si>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</si>
  <si>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</si>
  <si>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</si>
  <si>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</si>
  <si>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</si>
  <si>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</si>
  <si>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</si>
  <si>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</si>
  <si>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</si>
  <si>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</si>
  <si>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</si>
  <si>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</si>
  <si>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</si>
  <si>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</si>
  <si>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</si>
  <si>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</si>
  <si>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</si>
  <si>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</si>
  <si>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</si>
  <si>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</si>
  <si>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</si>
  <si>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</si>
  <si>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</si>
  <si>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</si>
  <si>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</si>
  <si>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</si>
  <si>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</si>
  <si>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</si>
  <si>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</si>
  <si>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</si>
  <si>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</si>
  <si>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</si>
  <si>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</si>
  <si>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</si>
  <si>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</si>
  <si>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</si>
  <si>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</si>
  <si>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</si>
  <si>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</si>
  <si>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</si>
  <si>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</si>
  <si>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</si>
  <si>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</si>
  <si>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</si>
  <si>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</si>
  <si>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</si>
  <si>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</si>
  <si>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</si>
  <si>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</si>
  <si>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</si>
  <si>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</si>
  <si>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</si>
  <si>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DMD/2201/02/TSLY8734</t>
  </si>
  <si>
    <t>GSK211230WJA802</t>
  </si>
  <si>
    <t>DMP TTE (TERNATE)</t>
  </si>
  <si>
    <t>KM LABOBAR</t>
  </si>
  <si>
    <t>02/04/2022 ILHAM</t>
  </si>
  <si>
    <t>DMD/2201/07/PKZV0869</t>
  </si>
  <si>
    <t>GSK220107KPX267</t>
  </si>
  <si>
    <t>GSK220107CDU158</t>
  </si>
  <si>
    <t>GSK220107AHZ834</t>
  </si>
  <si>
    <t>GSK220107ONF452</t>
  </si>
  <si>
    <t>GSK220107IFR478</t>
  </si>
  <si>
    <t>GSK220107VHT318</t>
  </si>
  <si>
    <t>GSK220107JMD910</t>
  </si>
  <si>
    <t>GSK220107WNJ752</t>
  </si>
  <si>
    <t>DMD/2201/08/VPFY1320</t>
  </si>
  <si>
    <t>GSK220108QNR348</t>
  </si>
  <si>
    <t>GSK220108GLP401</t>
  </si>
  <si>
    <t>GSK220108EHN381</t>
  </si>
  <si>
    <t>GSK220108PZJ843</t>
  </si>
  <si>
    <t>GSK220108RWC945</t>
  </si>
  <si>
    <t>GSK220108YSD524</t>
  </si>
  <si>
    <t>GSK220107NYR163</t>
  </si>
  <si>
    <t xml:space="preserve"> DMD/2201/09/MPTU0321</t>
  </si>
  <si>
    <t>GSK220108BVI753</t>
  </si>
  <si>
    <t>DMD/2201/14/HAME0568</t>
  </si>
  <si>
    <t>GSK220114JPY035</t>
  </si>
  <si>
    <t>DMD/2201/21/SVFP5701</t>
  </si>
  <si>
    <t>GSK220121AQN631</t>
  </si>
  <si>
    <t>GSK220121TKP629</t>
  </si>
  <si>
    <t>GSK220121YKD714</t>
  </si>
  <si>
    <t>GSK220121RKV713</t>
  </si>
  <si>
    <t>KM SINABUNG</t>
  </si>
  <si>
    <t>02/12/2022 ALDI</t>
  </si>
  <si>
    <t>DMD/2201/22/WZYG1285</t>
  </si>
  <si>
    <t>GSK220122TGS938</t>
  </si>
  <si>
    <t>DMD/2201/24/KQNH8154</t>
  </si>
  <si>
    <t>GSK220124NBJ546</t>
  </si>
  <si>
    <t xml:space="preserve"> 01 Maret 2022</t>
  </si>
  <si>
    <t xml:space="preserve"> TERNATE</t>
  </si>
  <si>
    <t xml:space="preserve"> JANUARI 2022</t>
  </si>
  <si>
    <t>PENGIRIMAN BARANG TUJUAN TERNATE</t>
  </si>
  <si>
    <t>TERNATE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</si>
  <si>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Tujuh Ratus Sembilan Puluh Empat Ribu Sembilan Ratus Lima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</si>
</sst>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7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166" fontId="2" fillId="0" borderId="25" xfId="0" applyNumberFormat="1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" fontId="0" fillId="0" borderId="25" xfId="0" applyNumberFormat="1" applyFont="1" applyBorder="1" applyAlignment="1">
      <alignment vertical="center"/>
    </xf>
    <xf numFmtId="167" fontId="5" fillId="0" borderId="25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7" fontId="5" fillId="0" borderId="28" xfId="1" applyNumberFormat="1" applyFont="1" applyBorder="1" applyAlignment="1">
      <alignment horizontal="center" vertical="center"/>
    </xf>
    <xf numFmtId="167" fontId="5" fillId="0" borderId="29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4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42</xdr:row>
      <xdr:rowOff>1304</xdr:rowOff>
    </xdr:from>
    <xdr:to>
      <xdr:col>16</xdr:col>
      <xdr:colOff>514350</xdr:colOff>
      <xdr:row>48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3452" displayName="Table2245789101123452" ref="C2:N3" totalsRowShown="0" headerRowDxfId="132" dataDxfId="130" headerRowBorderDxfId="131">
  <tableColumns count="12">
    <tableColumn id="1" name="NOMOR" dataDxfId="129" dataCellStyle="Normal"/>
    <tableColumn id="3" name="TUJUAN" dataDxfId="128" dataCellStyle="Normal"/>
    <tableColumn id="16" name="Pick Up" dataDxfId="127"/>
    <tableColumn id="14" name="KAPAL" dataDxfId="126"/>
    <tableColumn id="15" name="ETD Kapal" dataDxfId="125"/>
    <tableColumn id="10" name="KETERANGAN" dataDxfId="124" dataCellStyle="Normal"/>
    <tableColumn id="5" name="P" dataDxfId="123" dataCellStyle="Normal"/>
    <tableColumn id="6" name="L" dataDxfId="122" dataCellStyle="Normal"/>
    <tableColumn id="7" name="T" dataDxfId="121" dataCellStyle="Normal"/>
    <tableColumn id="4" name="ACT KG" dataDxfId="120" dataCellStyle="Normal"/>
    <tableColumn id="8" name="KG VOLUME" dataDxfId="119" dataCellStyle="Normal"/>
    <tableColumn id="19" name="PEMBULATAN" dataDxfId="1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4" name="Table224578910112345" displayName="Table224578910112345" ref="C2:N3" totalsRowShown="0" headerRowDxfId="116" dataDxfId="114" headerRowBorderDxfId="115">
  <tableColumns count="12">
    <tableColumn id="1" name="NOMOR" dataDxfId="113" dataCellStyle="Normal"/>
    <tableColumn id="3" name="TUJUAN" dataDxfId="112" dataCellStyle="Normal"/>
    <tableColumn id="16" name="Pick Up" dataDxfId="111"/>
    <tableColumn id="14" name="KAPAL" dataDxfId="110"/>
    <tableColumn id="15" name="ETD Kapal" dataDxfId="109"/>
    <tableColumn id="10" name="KETERANGAN" dataDxfId="108" dataCellStyle="Normal"/>
    <tableColumn id="5" name="P" dataDxfId="107" dataCellStyle="Normal"/>
    <tableColumn id="6" name="L" dataDxfId="106" dataCellStyle="Normal"/>
    <tableColumn id="7" name="T" dataDxfId="105" dataCellStyle="Normal"/>
    <tableColumn id="4" name="ACT KG" dataDxfId="104" dataCellStyle="Normal"/>
    <tableColumn id="8" name="KG VOLUME" dataDxfId="103" dataCellStyle="Normal"/>
    <tableColumn id="19" name="PEMBULATAN" dataDxfId="10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5" name="Table2245789101123456" displayName="Table2245789101123456" ref="C2:N10" totalsRowShown="0" headerRowDxfId="98" dataDxfId="96" headerRowBorderDxfId="97">
  <tableColumns count="12">
    <tableColumn id="1" name="NOMOR" dataDxfId="95" dataCellStyle="Normal"/>
    <tableColumn id="3" name="TUJUAN" dataDxfId="94" dataCellStyle="Normal"/>
    <tableColumn id="16" name="Pick Up" dataDxfId="93"/>
    <tableColumn id="14" name="KAPAL" dataDxfId="92"/>
    <tableColumn id="15" name="ETD Kapal" dataDxfId="91"/>
    <tableColumn id="10" name="KETERANGAN" dataDxfId="90" dataCellStyle="Normal"/>
    <tableColumn id="5" name="P" dataDxfId="89" dataCellStyle="Normal"/>
    <tableColumn id="6" name="L" dataDxfId="88" dataCellStyle="Normal"/>
    <tableColumn id="7" name="T" dataDxfId="87" dataCellStyle="Normal"/>
    <tableColumn id="4" name="ACT KG" dataDxfId="86" dataCellStyle="Normal"/>
    <tableColumn id="8" name="KG VOLUME" dataDxfId="85" dataCellStyle="Normal"/>
    <tableColumn id="19" name="PEMBULATAN" dataDxfId="8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6" name="Table22457891011234567" displayName="Table22457891011234567" ref="C2:N10" totalsRowShown="0" headerRowDxfId="80" dataDxfId="78" headerRowBorderDxfId="79">
  <tableColumns count="12">
    <tableColumn id="1" name="NOMOR" dataDxfId="77" dataCellStyle="Normal"/>
    <tableColumn id="3" name="TUJUAN" dataDxfId="76" dataCellStyle="Normal"/>
    <tableColumn id="16" name="Pick Up" dataDxfId="75"/>
    <tableColumn id="14" name="KAPAL" dataDxfId="74"/>
    <tableColumn id="15" name="ETD Kapal" dataDxfId="73"/>
    <tableColumn id="10" name="KETERANGAN" dataDxfId="72" dataCellStyle="Normal"/>
    <tableColumn id="5" name="P" dataDxfId="71" dataCellStyle="Normal"/>
    <tableColumn id="6" name="L" dataDxfId="70" dataCellStyle="Normal"/>
    <tableColumn id="7" name="T" dataDxfId="69" dataCellStyle="Normal"/>
    <tableColumn id="4" name="ACT KG" dataDxfId="68" dataCellStyle="Normal"/>
    <tableColumn id="8" name="KG VOLUME" dataDxfId="67" dataCellStyle="Normal"/>
    <tableColumn id="19" name="PEMBULATAN" dataDxfId="6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7" name="Table224578910112345678" displayName="Table224578910112345678" ref="C2:N3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8" name="Table2245789101123456789" displayName="Table2245789101123456789" ref="C2:N6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9" name="Table224578910112345678910" displayName="Table224578910112345678910" ref="C2:N3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10" name="Table22457891011234567891011" displayName="Table22457891011234567891011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9"/>
  <sheetViews>
    <sheetView tabSelected="1" workbookViewId="0">
      <selection activeCell="K17" sqref="K1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50" t="s">
        <v>14</v>
      </c>
      <c r="B10" s="151"/>
      <c r="C10" s="151"/>
      <c r="D10" s="151"/>
      <c r="E10" s="151"/>
      <c r="F10" s="151"/>
      <c r="G10" s="151"/>
      <c r="H10" s="151"/>
      <c r="I10" s="151"/>
      <c r="J10" s="152"/>
    </row>
    <row r="12" spans="1:10" x14ac:dyDescent="0.25">
      <c r="A12" s="17" t="s">
        <v>15</v>
      </c>
      <c r="B12" s="17" t="s">
        <v>16</v>
      </c>
      <c r="G12" s="149" t="s">
        <v>49</v>
      </c>
      <c r="H12" s="149"/>
      <c r="I12" s="22" t="s">
        <v>17</v>
      </c>
      <c r="J12" s="23"/>
    </row>
    <row r="13" spans="1:10" x14ac:dyDescent="0.25">
      <c r="G13" s="149" t="s">
        <v>18</v>
      </c>
      <c r="H13" s="149"/>
      <c r="I13" s="22" t="s">
        <v>17</v>
      </c>
      <c r="J13" s="24" t="s">
        <v>93</v>
      </c>
    </row>
    <row r="14" spans="1:10" x14ac:dyDescent="0.25">
      <c r="G14" s="149" t="s">
        <v>50</v>
      </c>
      <c r="H14" s="149"/>
      <c r="I14" s="22" t="s">
        <v>17</v>
      </c>
      <c r="J14" s="17" t="s">
        <v>94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95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53" t="s">
        <v>28</v>
      </c>
      <c r="I17" s="154"/>
      <c r="J17" s="28" t="s">
        <v>29</v>
      </c>
    </row>
    <row r="18" spans="1:12" ht="48" customHeight="1" x14ac:dyDescent="0.25">
      <c r="A18" s="29">
        <v>1</v>
      </c>
      <c r="B18" s="30">
        <f>Table224578910112345[Pick Up]</f>
        <v>44563</v>
      </c>
      <c r="C18" s="80">
        <f>'402774'!A3</f>
        <v>402774</v>
      </c>
      <c r="D18" s="31" t="s">
        <v>96</v>
      </c>
      <c r="E18" s="31" t="s">
        <v>97</v>
      </c>
      <c r="F18" s="32">
        <v>1</v>
      </c>
      <c r="G18" s="144">
        <v>100</v>
      </c>
      <c r="H18" s="155">
        <v>14000</v>
      </c>
      <c r="I18" s="156"/>
      <c r="J18" s="33">
        <f>G18*H18</f>
        <v>1400000</v>
      </c>
      <c r="L18"/>
    </row>
    <row r="19" spans="1:12" ht="48" customHeight="1" x14ac:dyDescent="0.25">
      <c r="A19" s="29">
        <f>A18+1</f>
        <v>2</v>
      </c>
      <c r="B19" s="30">
        <f>'402799'!E3</f>
        <v>44568</v>
      </c>
      <c r="C19" s="80">
        <f>'402799'!A3</f>
        <v>402799</v>
      </c>
      <c r="D19" s="31" t="s">
        <v>96</v>
      </c>
      <c r="E19" s="31" t="s">
        <v>97</v>
      </c>
      <c r="F19" s="32">
        <v>8</v>
      </c>
      <c r="G19" s="145">
        <f>'402799'!N11</f>
        <v>256.58</v>
      </c>
      <c r="H19" s="155">
        <v>14000</v>
      </c>
      <c r="I19" s="156"/>
      <c r="J19" s="33">
        <f t="shared" ref="J19:J24" si="0">G19*H19</f>
        <v>3592120</v>
      </c>
      <c r="L19"/>
    </row>
    <row r="20" spans="1:12" ht="48" customHeight="1" x14ac:dyDescent="0.25">
      <c r="A20" s="29">
        <f t="shared" ref="A20:A24" si="1">A19+1</f>
        <v>3</v>
      </c>
      <c r="B20" s="30">
        <f>'402919'!E3</f>
        <v>44569</v>
      </c>
      <c r="C20" s="80">
        <f>'402919'!A3</f>
        <v>402919</v>
      </c>
      <c r="D20" s="31" t="s">
        <v>96</v>
      </c>
      <c r="E20" s="31" t="s">
        <v>97</v>
      </c>
      <c r="F20" s="32">
        <v>8</v>
      </c>
      <c r="G20" s="145">
        <f>'402919'!N11</f>
        <v>269.14999999999998</v>
      </c>
      <c r="H20" s="155">
        <v>14000</v>
      </c>
      <c r="I20" s="156"/>
      <c r="J20" s="33">
        <f t="shared" si="0"/>
        <v>3768099.9999999995</v>
      </c>
      <c r="L20"/>
    </row>
    <row r="21" spans="1:12" ht="48" customHeight="1" x14ac:dyDescent="0.25">
      <c r="A21" s="29">
        <f t="shared" si="1"/>
        <v>4</v>
      </c>
      <c r="B21" s="30">
        <f>Table224578910112345678[Pick Up]</f>
        <v>44575</v>
      </c>
      <c r="C21" s="80">
        <f>'402935'!A3</f>
        <v>402935</v>
      </c>
      <c r="D21" s="31" t="s">
        <v>96</v>
      </c>
      <c r="E21" s="31" t="s">
        <v>97</v>
      </c>
      <c r="F21" s="32">
        <v>1</v>
      </c>
      <c r="G21" s="145">
        <v>100</v>
      </c>
      <c r="H21" s="155">
        <v>14000</v>
      </c>
      <c r="I21" s="156"/>
      <c r="J21" s="33">
        <f>G21*H21</f>
        <v>1400000</v>
      </c>
      <c r="L21"/>
    </row>
    <row r="22" spans="1:12" ht="48" customHeight="1" x14ac:dyDescent="0.25">
      <c r="A22" s="29">
        <f t="shared" si="1"/>
        <v>5</v>
      </c>
      <c r="B22" s="30">
        <f>'403469'!E3</f>
        <v>44582</v>
      </c>
      <c r="C22" s="80">
        <f>'403469'!A3</f>
        <v>403469</v>
      </c>
      <c r="D22" s="31" t="s">
        <v>96</v>
      </c>
      <c r="E22" s="31" t="s">
        <v>97</v>
      </c>
      <c r="F22" s="32">
        <v>4</v>
      </c>
      <c r="G22" s="145">
        <v>100</v>
      </c>
      <c r="H22" s="155">
        <v>14000</v>
      </c>
      <c r="I22" s="156"/>
      <c r="J22" s="33">
        <f>G22*H22</f>
        <v>1400000</v>
      </c>
      <c r="L22"/>
    </row>
    <row r="23" spans="1:12" ht="48" customHeight="1" x14ac:dyDescent="0.25">
      <c r="A23" s="29">
        <f t="shared" si="1"/>
        <v>6</v>
      </c>
      <c r="B23" s="30">
        <f>Table224578910112345678910[Pick Up]</f>
        <v>44583</v>
      </c>
      <c r="C23" s="80">
        <f>'403476'!A3</f>
        <v>403476</v>
      </c>
      <c r="D23" s="31" t="s">
        <v>96</v>
      </c>
      <c r="E23" s="31" t="s">
        <v>97</v>
      </c>
      <c r="F23" s="32">
        <v>1</v>
      </c>
      <c r="G23" s="145">
        <v>100</v>
      </c>
      <c r="H23" s="155">
        <v>14000</v>
      </c>
      <c r="I23" s="156"/>
      <c r="J23" s="33">
        <f>G23*H23</f>
        <v>1400000</v>
      </c>
      <c r="L23"/>
    </row>
    <row r="24" spans="1:12" ht="48" customHeight="1" x14ac:dyDescent="0.25">
      <c r="A24" s="29">
        <f t="shared" si="1"/>
        <v>7</v>
      </c>
      <c r="B24" s="30">
        <f>Table22457891011234567891011[Pick Up]</f>
        <v>44585</v>
      </c>
      <c r="C24" s="80">
        <f>'403353'!A3</f>
        <v>403353</v>
      </c>
      <c r="D24" s="31" t="s">
        <v>96</v>
      </c>
      <c r="E24" s="31" t="s">
        <v>97</v>
      </c>
      <c r="F24" s="32">
        <v>1</v>
      </c>
      <c r="G24" s="145">
        <v>100</v>
      </c>
      <c r="H24" s="155">
        <v>14000</v>
      </c>
      <c r="I24" s="156"/>
      <c r="J24" s="33">
        <f t="shared" si="0"/>
        <v>1400000</v>
      </c>
      <c r="L24"/>
    </row>
    <row r="25" spans="1:12" ht="32.25" customHeight="1" thickBot="1" x14ac:dyDescent="0.3">
      <c r="A25" s="157" t="s">
        <v>30</v>
      </c>
      <c r="B25" s="158"/>
      <c r="C25" s="158"/>
      <c r="D25" s="158"/>
      <c r="E25" s="158"/>
      <c r="F25" s="158"/>
      <c r="G25" s="158"/>
      <c r="H25" s="158"/>
      <c r="I25" s="159"/>
      <c r="J25" s="34">
        <f>SUM(J18:J24)</f>
        <v>14360220</v>
      </c>
      <c r="L25" s="78" t="e">
        <f>#REF!+#REF!+#REF!+#REF!+#REF!+#REF!+#REF!+#REF!+#REF!+#REF!+#REF!+#REF!+#REF!+#REF!+#REF!+#REF!+#REF!+#REF!+#REF!+#REF!+#REF!+#REF!+#REF!+#REF!+#REF!+#REF!+#REF!+#REF!+#REF!+#REF!</f>
        <v>#REF!</v>
      </c>
    </row>
    <row r="26" spans="1:12" x14ac:dyDescent="0.25">
      <c r="A26" s="160"/>
      <c r="B26" s="160"/>
      <c r="C26" s="35"/>
      <c r="D26" s="35"/>
      <c r="E26" s="35"/>
      <c r="F26" s="35"/>
      <c r="G26" s="35"/>
      <c r="H26" s="36"/>
      <c r="I26" s="36"/>
      <c r="J26" s="37"/>
    </row>
    <row r="27" spans="1:12" x14ac:dyDescent="0.25">
      <c r="A27" s="81"/>
      <c r="B27" s="81"/>
      <c r="C27" s="81"/>
      <c r="D27" s="81"/>
      <c r="E27" s="81"/>
      <c r="F27" s="81"/>
      <c r="G27" s="38" t="s">
        <v>51</v>
      </c>
      <c r="H27" s="38"/>
      <c r="I27" s="36"/>
      <c r="J27" s="37">
        <f>J25*10%</f>
        <v>1436022</v>
      </c>
      <c r="L27" s="39"/>
    </row>
    <row r="28" spans="1:12" x14ac:dyDescent="0.25">
      <c r="A28" s="81"/>
      <c r="B28" s="81"/>
      <c r="C28" s="81"/>
      <c r="D28" s="81"/>
      <c r="E28" s="81"/>
      <c r="F28" s="81"/>
      <c r="G28" s="88" t="s">
        <v>52</v>
      </c>
      <c r="H28" s="88"/>
      <c r="I28" s="89"/>
      <c r="J28" s="91">
        <f>J25-J27</f>
        <v>12924198</v>
      </c>
      <c r="L28" s="39"/>
    </row>
    <row r="29" spans="1:12" x14ac:dyDescent="0.25">
      <c r="A29" s="81"/>
      <c r="B29" s="81"/>
      <c r="C29" s="81"/>
      <c r="D29" s="81"/>
      <c r="E29" s="81"/>
      <c r="F29" s="81"/>
      <c r="G29" s="38" t="s">
        <v>31</v>
      </c>
      <c r="H29" s="38"/>
      <c r="I29" s="39" t="e">
        <f>#REF!*1%</f>
        <v>#REF!</v>
      </c>
      <c r="J29" s="37">
        <f>J28*1%</f>
        <v>129241.98</v>
      </c>
    </row>
    <row r="30" spans="1:12" ht="16.5" thickBot="1" x14ac:dyDescent="0.3">
      <c r="A30" s="81"/>
      <c r="B30" s="81"/>
      <c r="C30" s="81"/>
      <c r="D30" s="81"/>
      <c r="E30" s="81"/>
      <c r="F30" s="81"/>
      <c r="G30" s="90" t="s">
        <v>54</v>
      </c>
      <c r="H30" s="90"/>
      <c r="I30" s="40">
        <f>I26*10%</f>
        <v>0</v>
      </c>
      <c r="J30" s="40">
        <f>J28*2%</f>
        <v>258483.96</v>
      </c>
    </row>
    <row r="31" spans="1:12" x14ac:dyDescent="0.25">
      <c r="E31" s="16"/>
      <c r="F31" s="16"/>
      <c r="G31" s="41" t="s">
        <v>55</v>
      </c>
      <c r="H31" s="41"/>
      <c r="I31" s="42" t="e">
        <f>I25+I29</f>
        <v>#REF!</v>
      </c>
      <c r="J31" s="42">
        <f>J28+J29-J30</f>
        <v>12794956.02</v>
      </c>
    </row>
    <row r="32" spans="1:12" x14ac:dyDescent="0.25">
      <c r="E32" s="16"/>
      <c r="F32" s="16"/>
      <c r="G32" s="41"/>
      <c r="H32" s="41"/>
      <c r="I32" s="42"/>
      <c r="J32" s="42"/>
    </row>
    <row r="33" spans="1:10" x14ac:dyDescent="0.25">
      <c r="A33" s="16" t="s">
        <v>98</v>
      </c>
      <c r="D33" s="16"/>
      <c r="E33" s="16"/>
      <c r="F33" s="16"/>
      <c r="G33" s="16"/>
      <c r="H33" s="41"/>
      <c r="I33" s="41"/>
      <c r="J33" s="42"/>
    </row>
    <row r="34" spans="1:10" x14ac:dyDescent="0.25">
      <c r="A34" s="43"/>
      <c r="D34" s="16"/>
      <c r="E34" s="16"/>
      <c r="F34" s="16"/>
      <c r="G34" s="16"/>
      <c r="H34" s="41"/>
      <c r="I34" s="41"/>
      <c r="J34" s="42"/>
    </row>
    <row r="35" spans="1:10" x14ac:dyDescent="0.25">
      <c r="D35" s="16"/>
      <c r="E35" s="16"/>
      <c r="F35" s="16"/>
      <c r="G35" s="16"/>
      <c r="H35" s="41"/>
      <c r="I35" s="41"/>
      <c r="J35" s="42"/>
    </row>
    <row r="36" spans="1:10" x14ac:dyDescent="0.25">
      <c r="A36" s="44" t="s">
        <v>33</v>
      </c>
    </row>
    <row r="37" spans="1:10" x14ac:dyDescent="0.25">
      <c r="A37" s="45" t="s">
        <v>34</v>
      </c>
      <c r="B37" s="46"/>
      <c r="C37" s="46"/>
      <c r="D37" s="47"/>
      <c r="E37" s="47"/>
      <c r="F37" s="47"/>
      <c r="G37" s="47"/>
    </row>
    <row r="38" spans="1:10" x14ac:dyDescent="0.25">
      <c r="A38" s="45" t="s">
        <v>35</v>
      </c>
      <c r="B38" s="46"/>
      <c r="C38" s="46"/>
      <c r="D38" s="47"/>
      <c r="E38" s="47"/>
      <c r="F38" s="47"/>
      <c r="G38" s="47"/>
    </row>
    <row r="39" spans="1:10" x14ac:dyDescent="0.25">
      <c r="A39" s="48" t="s">
        <v>36</v>
      </c>
      <c r="B39" s="49"/>
      <c r="C39" s="49"/>
      <c r="D39" s="47"/>
      <c r="E39" s="47"/>
      <c r="F39" s="47"/>
      <c r="G39" s="47"/>
    </row>
    <row r="40" spans="1:10" x14ac:dyDescent="0.25">
      <c r="A40" s="50" t="s">
        <v>8</v>
      </c>
      <c r="B40" s="51"/>
      <c r="C40" s="51"/>
      <c r="D40" s="47"/>
      <c r="E40" s="47"/>
      <c r="F40" s="47"/>
      <c r="G40" s="47"/>
    </row>
    <row r="41" spans="1:10" x14ac:dyDescent="0.25">
      <c r="A41" s="52"/>
      <c r="B41" s="52"/>
      <c r="C41" s="52"/>
    </row>
    <row r="42" spans="1:10" x14ac:dyDescent="0.25">
      <c r="H42" s="53" t="s">
        <v>37</v>
      </c>
      <c r="I42" s="146" t="str">
        <f>+J13</f>
        <v xml:space="preserve"> 01 Maret 2022</v>
      </c>
      <c r="J42" s="147"/>
    </row>
    <row r="46" spans="1:10" ht="18" customHeight="1" x14ac:dyDescent="0.25"/>
    <row r="47" spans="1:10" ht="17.25" customHeight="1" x14ac:dyDescent="0.25"/>
    <row r="49" spans="8:10" x14ac:dyDescent="0.25">
      <c r="H49" s="148" t="s">
        <v>38</v>
      </c>
      <c r="I49" s="148"/>
      <c r="J49" s="148"/>
    </row>
  </sheetData>
  <mergeCells count="16">
    <mergeCell ref="A10:J10"/>
    <mergeCell ref="H17:I17"/>
    <mergeCell ref="H18:I18"/>
    <mergeCell ref="A25:I25"/>
    <mergeCell ref="A26:B26"/>
    <mergeCell ref="H19:I19"/>
    <mergeCell ref="H20:I20"/>
    <mergeCell ref="H24:I24"/>
    <mergeCell ref="H22:I22"/>
    <mergeCell ref="H21:I21"/>
    <mergeCell ref="H23:I23"/>
    <mergeCell ref="I42:J42"/>
    <mergeCell ref="H49:J49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22" activePane="bottomRight" state="frozen"/>
      <selection pane="topRight" activeCell="B1" sqref="B1"/>
      <selection pane="bottomLeft" activeCell="A3" sqref="A3"/>
      <selection pane="bottomRight" activeCell="H30" sqref="H30"/>
    </sheetView>
  </sheetViews>
  <sheetFormatPr defaultRowHeight="15" x14ac:dyDescent="0.2"/>
  <cols>
    <col min="1" max="1" width="6.42578125" style="4" customWidth="1"/>
    <col min="2" max="2" width="21.42578125" style="2" customWidth="1"/>
    <col min="3" max="3" width="14.5703125" style="2" customWidth="1"/>
    <col min="4" max="4" width="9.42578125" style="3" customWidth="1"/>
    <col min="5" max="5" width="9.7109375" style="11" customWidth="1"/>
    <col min="6" max="6" width="11.42578125" style="3" customWidth="1"/>
    <col min="7" max="7" width="10.140625" style="3" customWidth="1"/>
    <col min="8" max="8" width="18.140625" style="6" customWidth="1"/>
    <col min="9" max="10" width="3.7109375" style="3" customWidth="1"/>
    <col min="11" max="11" width="3.425781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thickBot="1" x14ac:dyDescent="0.25">
      <c r="A3" s="98">
        <v>402774</v>
      </c>
      <c r="B3" s="99" t="s">
        <v>56</v>
      </c>
      <c r="C3" s="100" t="s">
        <v>57</v>
      </c>
      <c r="D3" s="101" t="s">
        <v>58</v>
      </c>
      <c r="E3" s="102">
        <v>44563</v>
      </c>
      <c r="F3" s="101" t="s">
        <v>59</v>
      </c>
      <c r="G3" s="102">
        <v>44597</v>
      </c>
      <c r="H3" s="103" t="s">
        <v>60</v>
      </c>
      <c r="I3" s="104">
        <v>20</v>
      </c>
      <c r="J3" s="104">
        <v>14</v>
      </c>
      <c r="K3" s="104">
        <v>13</v>
      </c>
      <c r="L3" s="104">
        <v>1</v>
      </c>
      <c r="M3" s="105">
        <v>0.91</v>
      </c>
      <c r="N3" s="106">
        <v>1</v>
      </c>
      <c r="O3" s="107">
        <v>14000</v>
      </c>
      <c r="P3" s="108">
        <f t="shared" ref="P3:P10" si="0">N3*O3</f>
        <v>14000</v>
      </c>
      <c r="Q3" s="109">
        <v>1</v>
      </c>
    </row>
    <row r="4" spans="1:17" ht="26.25" customHeight="1" x14ac:dyDescent="0.2">
      <c r="A4" s="110">
        <v>402799</v>
      </c>
      <c r="B4" s="111" t="s">
        <v>61</v>
      </c>
      <c r="C4" s="112" t="s">
        <v>62</v>
      </c>
      <c r="D4" s="113" t="s">
        <v>58</v>
      </c>
      <c r="E4" s="114">
        <v>44568</v>
      </c>
      <c r="F4" s="113" t="s">
        <v>59</v>
      </c>
      <c r="G4" s="114">
        <v>44597</v>
      </c>
      <c r="H4" s="115" t="s">
        <v>60</v>
      </c>
      <c r="I4" s="116">
        <v>54</v>
      </c>
      <c r="J4" s="116">
        <v>48</v>
      </c>
      <c r="K4" s="116">
        <v>15</v>
      </c>
      <c r="L4" s="116">
        <v>9</v>
      </c>
      <c r="M4" s="117">
        <v>9.7200000000000006</v>
      </c>
      <c r="N4" s="118">
        <v>9.7200000000000006</v>
      </c>
      <c r="O4" s="119">
        <v>14000</v>
      </c>
      <c r="P4" s="120">
        <f t="shared" si="0"/>
        <v>136080</v>
      </c>
      <c r="Q4" s="166">
        <v>8</v>
      </c>
    </row>
    <row r="5" spans="1:17" ht="26.25" customHeight="1" x14ac:dyDescent="0.2">
      <c r="A5" s="13"/>
      <c r="B5" s="71"/>
      <c r="C5" s="8" t="s">
        <v>63</v>
      </c>
      <c r="D5" s="72" t="s">
        <v>58</v>
      </c>
      <c r="E5" s="12">
        <v>44568</v>
      </c>
      <c r="F5" s="72" t="s">
        <v>59</v>
      </c>
      <c r="G5" s="12">
        <v>44597</v>
      </c>
      <c r="H5" s="9" t="s">
        <v>60</v>
      </c>
      <c r="I5" s="1">
        <v>54</v>
      </c>
      <c r="J5" s="1">
        <v>48</v>
      </c>
      <c r="K5" s="1">
        <v>15</v>
      </c>
      <c r="L5" s="1">
        <v>9</v>
      </c>
      <c r="M5" s="76">
        <v>9.7200000000000006</v>
      </c>
      <c r="N5" s="95">
        <v>9.7200000000000006</v>
      </c>
      <c r="O5" s="61">
        <v>14000</v>
      </c>
      <c r="P5" s="62">
        <f t="shared" si="0"/>
        <v>136080</v>
      </c>
      <c r="Q5" s="167"/>
    </row>
    <row r="6" spans="1:17" ht="26.25" customHeight="1" x14ac:dyDescent="0.2">
      <c r="A6" s="13"/>
      <c r="B6" s="13"/>
      <c r="C6" s="8" t="s">
        <v>64</v>
      </c>
      <c r="D6" s="72" t="s">
        <v>58</v>
      </c>
      <c r="E6" s="12">
        <v>44568</v>
      </c>
      <c r="F6" s="72" t="s">
        <v>59</v>
      </c>
      <c r="G6" s="12">
        <v>44597</v>
      </c>
      <c r="H6" s="9" t="s">
        <v>60</v>
      </c>
      <c r="I6" s="1">
        <v>54</v>
      </c>
      <c r="J6" s="1">
        <v>48</v>
      </c>
      <c r="K6" s="1">
        <v>15</v>
      </c>
      <c r="L6" s="1">
        <v>9</v>
      </c>
      <c r="M6" s="76">
        <v>9.7200000000000006</v>
      </c>
      <c r="N6" s="95">
        <v>9.7200000000000006</v>
      </c>
      <c r="O6" s="61">
        <v>14000</v>
      </c>
      <c r="P6" s="62">
        <f t="shared" si="0"/>
        <v>136080</v>
      </c>
      <c r="Q6" s="167"/>
    </row>
    <row r="7" spans="1:17" ht="26.25" customHeight="1" x14ac:dyDescent="0.2">
      <c r="A7" s="13"/>
      <c r="B7" s="13"/>
      <c r="C7" s="69" t="s">
        <v>65</v>
      </c>
      <c r="D7" s="74" t="s">
        <v>58</v>
      </c>
      <c r="E7" s="12">
        <v>44568</v>
      </c>
      <c r="F7" s="72" t="s">
        <v>59</v>
      </c>
      <c r="G7" s="12">
        <v>44597</v>
      </c>
      <c r="H7" s="73" t="s">
        <v>60</v>
      </c>
      <c r="I7" s="15">
        <v>65</v>
      </c>
      <c r="J7" s="15">
        <v>43</v>
      </c>
      <c r="K7" s="15">
        <v>76</v>
      </c>
      <c r="L7" s="15">
        <v>31</v>
      </c>
      <c r="M7" s="77">
        <v>53.104999999999997</v>
      </c>
      <c r="N7" s="95">
        <v>53.104999999999997</v>
      </c>
      <c r="O7" s="61">
        <v>14000</v>
      </c>
      <c r="P7" s="62">
        <f t="shared" si="0"/>
        <v>743470</v>
      </c>
      <c r="Q7" s="167"/>
    </row>
    <row r="8" spans="1:17" ht="26.25" customHeight="1" x14ac:dyDescent="0.2">
      <c r="A8" s="13"/>
      <c r="B8" s="13"/>
      <c r="C8" s="69" t="s">
        <v>66</v>
      </c>
      <c r="D8" s="74" t="s">
        <v>58</v>
      </c>
      <c r="E8" s="12">
        <v>44568</v>
      </c>
      <c r="F8" s="72" t="s">
        <v>59</v>
      </c>
      <c r="G8" s="12">
        <v>44597</v>
      </c>
      <c r="H8" s="73" t="s">
        <v>60</v>
      </c>
      <c r="I8" s="15">
        <v>65</v>
      </c>
      <c r="J8" s="15">
        <v>43</v>
      </c>
      <c r="K8" s="15">
        <v>76</v>
      </c>
      <c r="L8" s="15">
        <v>31</v>
      </c>
      <c r="M8" s="77">
        <v>53.104999999999997</v>
      </c>
      <c r="N8" s="95">
        <v>53.104999999999997</v>
      </c>
      <c r="O8" s="61">
        <v>14000</v>
      </c>
      <c r="P8" s="62">
        <f t="shared" si="0"/>
        <v>743470</v>
      </c>
      <c r="Q8" s="167"/>
    </row>
    <row r="9" spans="1:17" ht="26.25" customHeight="1" x14ac:dyDescent="0.2">
      <c r="A9" s="13"/>
      <c r="B9" s="13"/>
      <c r="C9" s="69" t="s">
        <v>67</v>
      </c>
      <c r="D9" s="74" t="s">
        <v>58</v>
      </c>
      <c r="E9" s="12">
        <v>44568</v>
      </c>
      <c r="F9" s="72" t="s">
        <v>59</v>
      </c>
      <c r="G9" s="12">
        <v>44597</v>
      </c>
      <c r="H9" s="73" t="s">
        <v>60</v>
      </c>
      <c r="I9" s="15">
        <v>35</v>
      </c>
      <c r="J9" s="15">
        <v>35</v>
      </c>
      <c r="K9" s="15">
        <v>47</v>
      </c>
      <c r="L9" s="15">
        <v>4</v>
      </c>
      <c r="M9" s="77">
        <v>14.393750000000001</v>
      </c>
      <c r="N9" s="95">
        <v>15</v>
      </c>
      <c r="O9" s="61">
        <v>14000</v>
      </c>
      <c r="P9" s="62">
        <f t="shared" si="0"/>
        <v>210000</v>
      </c>
      <c r="Q9" s="167"/>
    </row>
    <row r="10" spans="1:17" ht="26.25" customHeight="1" x14ac:dyDescent="0.2">
      <c r="A10" s="13"/>
      <c r="B10" s="13"/>
      <c r="C10" s="69" t="s">
        <v>68</v>
      </c>
      <c r="D10" s="74" t="s">
        <v>58</v>
      </c>
      <c r="E10" s="12">
        <v>44568</v>
      </c>
      <c r="F10" s="72" t="s">
        <v>59</v>
      </c>
      <c r="G10" s="12">
        <v>44597</v>
      </c>
      <c r="H10" s="73" t="s">
        <v>60</v>
      </c>
      <c r="I10" s="15">
        <v>65</v>
      </c>
      <c r="J10" s="15">
        <v>43</v>
      </c>
      <c r="K10" s="15">
        <v>76</v>
      </c>
      <c r="L10" s="15">
        <v>31</v>
      </c>
      <c r="M10" s="77">
        <v>53.104999999999997</v>
      </c>
      <c r="N10" s="95">
        <v>53.104999999999997</v>
      </c>
      <c r="O10" s="61">
        <v>14000</v>
      </c>
      <c r="P10" s="62">
        <f t="shared" si="0"/>
        <v>743470</v>
      </c>
      <c r="Q10" s="167"/>
    </row>
    <row r="11" spans="1:17" ht="26.25" customHeight="1" thickBot="1" x14ac:dyDescent="0.25">
      <c r="A11" s="121"/>
      <c r="B11" s="121"/>
      <c r="C11" s="122" t="s">
        <v>69</v>
      </c>
      <c r="D11" s="123" t="s">
        <v>58</v>
      </c>
      <c r="E11" s="102">
        <v>44568</v>
      </c>
      <c r="F11" s="101" t="s">
        <v>59</v>
      </c>
      <c r="G11" s="102">
        <v>44597</v>
      </c>
      <c r="H11" s="124" t="s">
        <v>60</v>
      </c>
      <c r="I11" s="125">
        <v>65</v>
      </c>
      <c r="J11" s="125">
        <v>43</v>
      </c>
      <c r="K11" s="125">
        <v>76</v>
      </c>
      <c r="L11" s="125">
        <v>31</v>
      </c>
      <c r="M11" s="126">
        <v>53.104999999999997</v>
      </c>
      <c r="N11" s="127">
        <v>53.104999999999997</v>
      </c>
      <c r="O11" s="107">
        <v>14000</v>
      </c>
      <c r="P11" s="108">
        <f>N11*O11</f>
        <v>743470</v>
      </c>
      <c r="Q11" s="168"/>
    </row>
    <row r="12" spans="1:17" ht="26.25" customHeight="1" x14ac:dyDescent="0.2">
      <c r="A12" s="110">
        <v>402919</v>
      </c>
      <c r="B12" s="111" t="s">
        <v>70</v>
      </c>
      <c r="C12" s="112" t="s">
        <v>71</v>
      </c>
      <c r="D12" s="113" t="s">
        <v>58</v>
      </c>
      <c r="E12" s="114">
        <v>44569</v>
      </c>
      <c r="F12" s="113" t="s">
        <v>59</v>
      </c>
      <c r="G12" s="114">
        <v>44597</v>
      </c>
      <c r="H12" s="115" t="s">
        <v>60</v>
      </c>
      <c r="I12" s="116">
        <v>54</v>
      </c>
      <c r="J12" s="116">
        <v>42</v>
      </c>
      <c r="K12" s="116">
        <v>75</v>
      </c>
      <c r="L12" s="116">
        <v>31</v>
      </c>
      <c r="M12" s="117">
        <v>42.524999999999999</v>
      </c>
      <c r="N12" s="118">
        <v>42.524999999999999</v>
      </c>
      <c r="O12" s="119">
        <v>14000</v>
      </c>
      <c r="P12" s="120">
        <f t="shared" ref="P12:P26" si="1">N12*O12</f>
        <v>595350</v>
      </c>
      <c r="Q12" s="166">
        <v>8</v>
      </c>
    </row>
    <row r="13" spans="1:17" ht="26.25" customHeight="1" x14ac:dyDescent="0.2">
      <c r="A13" s="13"/>
      <c r="B13" s="71"/>
      <c r="C13" s="8" t="s">
        <v>72</v>
      </c>
      <c r="D13" s="72" t="s">
        <v>58</v>
      </c>
      <c r="E13" s="12">
        <v>44569</v>
      </c>
      <c r="F13" s="72" t="s">
        <v>59</v>
      </c>
      <c r="G13" s="12">
        <v>44597</v>
      </c>
      <c r="H13" s="9" t="s">
        <v>60</v>
      </c>
      <c r="I13" s="1">
        <v>54</v>
      </c>
      <c r="J13" s="1">
        <v>42</v>
      </c>
      <c r="K13" s="1">
        <v>75</v>
      </c>
      <c r="L13" s="1">
        <v>31</v>
      </c>
      <c r="M13" s="76">
        <v>42.524999999999999</v>
      </c>
      <c r="N13" s="95">
        <v>42.524999999999999</v>
      </c>
      <c r="O13" s="61">
        <v>14000</v>
      </c>
      <c r="P13" s="62">
        <f t="shared" si="1"/>
        <v>595350</v>
      </c>
      <c r="Q13" s="167"/>
    </row>
    <row r="14" spans="1:17" ht="26.25" customHeight="1" x14ac:dyDescent="0.2">
      <c r="A14" s="13"/>
      <c r="B14" s="13"/>
      <c r="C14" s="8" t="s">
        <v>73</v>
      </c>
      <c r="D14" s="72" t="s">
        <v>58</v>
      </c>
      <c r="E14" s="12">
        <v>44569</v>
      </c>
      <c r="F14" s="72" t="s">
        <v>59</v>
      </c>
      <c r="G14" s="12">
        <v>44597</v>
      </c>
      <c r="H14" s="9" t="s">
        <v>60</v>
      </c>
      <c r="I14" s="1">
        <v>54</v>
      </c>
      <c r="J14" s="1">
        <v>42</v>
      </c>
      <c r="K14" s="1">
        <v>75</v>
      </c>
      <c r="L14" s="1">
        <v>31</v>
      </c>
      <c r="M14" s="76">
        <v>42.524999999999999</v>
      </c>
      <c r="N14" s="95">
        <v>42.524999999999999</v>
      </c>
      <c r="O14" s="61">
        <v>14000</v>
      </c>
      <c r="P14" s="62">
        <f t="shared" si="1"/>
        <v>595350</v>
      </c>
      <c r="Q14" s="167"/>
    </row>
    <row r="15" spans="1:17" ht="26.25" customHeight="1" x14ac:dyDescent="0.2">
      <c r="A15" s="13"/>
      <c r="B15" s="13"/>
      <c r="C15" s="69" t="s">
        <v>74</v>
      </c>
      <c r="D15" s="74" t="s">
        <v>58</v>
      </c>
      <c r="E15" s="12">
        <v>44569</v>
      </c>
      <c r="F15" s="72" t="s">
        <v>59</v>
      </c>
      <c r="G15" s="12">
        <v>44597</v>
      </c>
      <c r="H15" s="73" t="s">
        <v>60</v>
      </c>
      <c r="I15" s="15">
        <v>54</v>
      </c>
      <c r="J15" s="15">
        <v>42</v>
      </c>
      <c r="K15" s="15">
        <v>75</v>
      </c>
      <c r="L15" s="15">
        <v>31</v>
      </c>
      <c r="M15" s="77">
        <v>42.524999999999999</v>
      </c>
      <c r="N15" s="95">
        <v>42.524999999999999</v>
      </c>
      <c r="O15" s="61">
        <v>14000</v>
      </c>
      <c r="P15" s="62">
        <f t="shared" si="1"/>
        <v>595350</v>
      </c>
      <c r="Q15" s="167"/>
    </row>
    <row r="16" spans="1:17" ht="26.25" customHeight="1" x14ac:dyDescent="0.2">
      <c r="A16" s="13"/>
      <c r="B16" s="13"/>
      <c r="C16" s="69" t="s">
        <v>75</v>
      </c>
      <c r="D16" s="74" t="s">
        <v>58</v>
      </c>
      <c r="E16" s="12">
        <v>44569</v>
      </c>
      <c r="F16" s="72" t="s">
        <v>59</v>
      </c>
      <c r="G16" s="12">
        <v>44597</v>
      </c>
      <c r="H16" s="73" t="s">
        <v>60</v>
      </c>
      <c r="I16" s="15">
        <v>54</v>
      </c>
      <c r="J16" s="15">
        <v>42</v>
      </c>
      <c r="K16" s="15">
        <v>75</v>
      </c>
      <c r="L16" s="15">
        <v>31</v>
      </c>
      <c r="M16" s="77">
        <v>42.524999999999999</v>
      </c>
      <c r="N16" s="95">
        <v>42.524999999999999</v>
      </c>
      <c r="O16" s="61">
        <v>14000</v>
      </c>
      <c r="P16" s="62">
        <f t="shared" si="1"/>
        <v>595350</v>
      </c>
      <c r="Q16" s="167"/>
    </row>
    <row r="17" spans="1:17" ht="26.25" customHeight="1" x14ac:dyDescent="0.2">
      <c r="A17" s="13"/>
      <c r="B17" s="13"/>
      <c r="C17" s="69" t="s">
        <v>76</v>
      </c>
      <c r="D17" s="74" t="s">
        <v>58</v>
      </c>
      <c r="E17" s="12">
        <v>44569</v>
      </c>
      <c r="F17" s="72" t="s">
        <v>59</v>
      </c>
      <c r="G17" s="12">
        <v>44597</v>
      </c>
      <c r="H17" s="73" t="s">
        <v>60</v>
      </c>
      <c r="I17" s="15">
        <v>24</v>
      </c>
      <c r="J17" s="15">
        <v>18</v>
      </c>
      <c r="K17" s="15">
        <v>14</v>
      </c>
      <c r="L17" s="15">
        <v>5</v>
      </c>
      <c r="M17" s="77">
        <v>1.512</v>
      </c>
      <c r="N17" s="95">
        <v>5</v>
      </c>
      <c r="O17" s="61">
        <v>14000</v>
      </c>
      <c r="P17" s="62">
        <f t="shared" si="1"/>
        <v>70000</v>
      </c>
      <c r="Q17" s="167"/>
    </row>
    <row r="18" spans="1:17" ht="26.25" customHeight="1" x14ac:dyDescent="0.2">
      <c r="A18" s="13"/>
      <c r="B18" s="13"/>
      <c r="C18" s="69" t="s">
        <v>77</v>
      </c>
      <c r="D18" s="74" t="s">
        <v>58</v>
      </c>
      <c r="E18" s="12">
        <v>44569</v>
      </c>
      <c r="F18" s="72" t="s">
        <v>59</v>
      </c>
      <c r="G18" s="12">
        <v>44597</v>
      </c>
      <c r="H18" s="73" t="s">
        <v>60</v>
      </c>
      <c r="I18" s="15">
        <v>54</v>
      </c>
      <c r="J18" s="15">
        <v>45</v>
      </c>
      <c r="K18" s="15">
        <v>14</v>
      </c>
      <c r="L18" s="15">
        <v>9</v>
      </c>
      <c r="M18" s="77">
        <v>8.5050000000000008</v>
      </c>
      <c r="N18" s="95">
        <v>9</v>
      </c>
      <c r="O18" s="61">
        <v>14000</v>
      </c>
      <c r="P18" s="62">
        <f t="shared" si="1"/>
        <v>126000</v>
      </c>
      <c r="Q18" s="167"/>
    </row>
    <row r="19" spans="1:17" ht="26.25" customHeight="1" thickBot="1" x14ac:dyDescent="0.25">
      <c r="A19" s="121"/>
      <c r="B19" s="98" t="s">
        <v>78</v>
      </c>
      <c r="C19" s="122" t="s">
        <v>79</v>
      </c>
      <c r="D19" s="123" t="s">
        <v>58</v>
      </c>
      <c r="E19" s="102">
        <v>44569</v>
      </c>
      <c r="F19" s="101" t="s">
        <v>59</v>
      </c>
      <c r="G19" s="102">
        <v>44597</v>
      </c>
      <c r="H19" s="124" t="s">
        <v>60</v>
      </c>
      <c r="I19" s="125">
        <v>54</v>
      </c>
      <c r="J19" s="125">
        <v>42</v>
      </c>
      <c r="K19" s="125">
        <v>75</v>
      </c>
      <c r="L19" s="125">
        <v>31</v>
      </c>
      <c r="M19" s="126">
        <v>42.524999999999999</v>
      </c>
      <c r="N19" s="127">
        <v>42.524999999999999</v>
      </c>
      <c r="O19" s="107">
        <v>14000</v>
      </c>
      <c r="P19" s="108">
        <f t="shared" si="1"/>
        <v>595350</v>
      </c>
      <c r="Q19" s="168"/>
    </row>
    <row r="20" spans="1:17" ht="26.25" customHeight="1" thickBot="1" x14ac:dyDescent="0.25">
      <c r="A20" s="128">
        <v>402935</v>
      </c>
      <c r="B20" s="129" t="s">
        <v>80</v>
      </c>
      <c r="C20" s="130" t="s">
        <v>81</v>
      </c>
      <c r="D20" s="131" t="s">
        <v>58</v>
      </c>
      <c r="E20" s="132">
        <v>44575</v>
      </c>
      <c r="F20" s="131" t="s">
        <v>59</v>
      </c>
      <c r="G20" s="132">
        <v>44597</v>
      </c>
      <c r="H20" s="133" t="s">
        <v>60</v>
      </c>
      <c r="I20" s="134">
        <v>70</v>
      </c>
      <c r="J20" s="134">
        <v>50</v>
      </c>
      <c r="K20" s="134">
        <v>90</v>
      </c>
      <c r="L20" s="134">
        <v>15</v>
      </c>
      <c r="M20" s="135">
        <v>78.75</v>
      </c>
      <c r="N20" s="136">
        <v>78.75</v>
      </c>
      <c r="O20" s="137">
        <v>14000</v>
      </c>
      <c r="P20" s="138">
        <f t="shared" si="1"/>
        <v>1102500</v>
      </c>
      <c r="Q20" s="139">
        <v>1</v>
      </c>
    </row>
    <row r="21" spans="1:17" ht="26.25" customHeight="1" x14ac:dyDescent="0.2">
      <c r="A21" s="110">
        <v>403469</v>
      </c>
      <c r="B21" s="111" t="s">
        <v>82</v>
      </c>
      <c r="C21" s="112" t="s">
        <v>83</v>
      </c>
      <c r="D21" s="113" t="s">
        <v>58</v>
      </c>
      <c r="E21" s="114">
        <v>44582</v>
      </c>
      <c r="F21" s="113" t="s">
        <v>87</v>
      </c>
      <c r="G21" s="114">
        <v>44605</v>
      </c>
      <c r="H21" s="115" t="s">
        <v>88</v>
      </c>
      <c r="I21" s="116">
        <v>65</v>
      </c>
      <c r="J21" s="116">
        <v>57</v>
      </c>
      <c r="K21" s="116">
        <v>20</v>
      </c>
      <c r="L21" s="116">
        <v>13</v>
      </c>
      <c r="M21" s="117">
        <v>18.524999999999999</v>
      </c>
      <c r="N21" s="118">
        <v>18.524999999999999</v>
      </c>
      <c r="O21" s="119">
        <v>14000</v>
      </c>
      <c r="P21" s="120">
        <f t="shared" si="1"/>
        <v>259349.99999999997</v>
      </c>
      <c r="Q21" s="166">
        <v>4</v>
      </c>
    </row>
    <row r="22" spans="1:17" ht="26.25" customHeight="1" x14ac:dyDescent="0.2">
      <c r="A22" s="13"/>
      <c r="B22" s="71"/>
      <c r="C22" s="8" t="s">
        <v>84</v>
      </c>
      <c r="D22" s="72" t="s">
        <v>58</v>
      </c>
      <c r="E22" s="12">
        <v>44582</v>
      </c>
      <c r="F22" s="72" t="s">
        <v>87</v>
      </c>
      <c r="G22" s="12">
        <v>44605</v>
      </c>
      <c r="H22" s="9" t="s">
        <v>88</v>
      </c>
      <c r="I22" s="1">
        <v>65</v>
      </c>
      <c r="J22" s="1">
        <v>57</v>
      </c>
      <c r="K22" s="1">
        <v>20</v>
      </c>
      <c r="L22" s="1">
        <v>13</v>
      </c>
      <c r="M22" s="76">
        <v>18.524999999999999</v>
      </c>
      <c r="N22" s="95">
        <v>18.524999999999999</v>
      </c>
      <c r="O22" s="61">
        <v>14000</v>
      </c>
      <c r="P22" s="62">
        <f t="shared" si="1"/>
        <v>259349.99999999997</v>
      </c>
      <c r="Q22" s="167"/>
    </row>
    <row r="23" spans="1:17" ht="26.25" customHeight="1" x14ac:dyDescent="0.2">
      <c r="A23" s="13"/>
      <c r="B23" s="13"/>
      <c r="C23" s="8" t="s">
        <v>85</v>
      </c>
      <c r="D23" s="72" t="s">
        <v>58</v>
      </c>
      <c r="E23" s="12">
        <v>44582</v>
      </c>
      <c r="F23" s="72" t="s">
        <v>87</v>
      </c>
      <c r="G23" s="12">
        <v>44605</v>
      </c>
      <c r="H23" s="9" t="s">
        <v>88</v>
      </c>
      <c r="I23" s="1">
        <v>65</v>
      </c>
      <c r="J23" s="1">
        <v>57</v>
      </c>
      <c r="K23" s="1">
        <v>20</v>
      </c>
      <c r="L23" s="1">
        <v>13</v>
      </c>
      <c r="M23" s="76">
        <v>18.524999999999999</v>
      </c>
      <c r="N23" s="95">
        <v>18.524999999999999</v>
      </c>
      <c r="O23" s="61">
        <v>14000</v>
      </c>
      <c r="P23" s="62">
        <f t="shared" si="1"/>
        <v>259349.99999999997</v>
      </c>
      <c r="Q23" s="167"/>
    </row>
    <row r="24" spans="1:17" ht="26.25" customHeight="1" thickBot="1" x14ac:dyDescent="0.25">
      <c r="A24" s="121"/>
      <c r="B24" s="121"/>
      <c r="C24" s="122" t="s">
        <v>86</v>
      </c>
      <c r="D24" s="123" t="s">
        <v>58</v>
      </c>
      <c r="E24" s="102">
        <v>44582</v>
      </c>
      <c r="F24" s="101" t="s">
        <v>87</v>
      </c>
      <c r="G24" s="102">
        <v>44605</v>
      </c>
      <c r="H24" s="124" t="s">
        <v>88</v>
      </c>
      <c r="I24" s="125">
        <v>25</v>
      </c>
      <c r="J24" s="125">
        <v>25</v>
      </c>
      <c r="K24" s="125">
        <v>10</v>
      </c>
      <c r="L24" s="125">
        <v>5</v>
      </c>
      <c r="M24" s="126">
        <v>1.5625</v>
      </c>
      <c r="N24" s="127">
        <v>5</v>
      </c>
      <c r="O24" s="107">
        <v>14000</v>
      </c>
      <c r="P24" s="108">
        <f t="shared" si="1"/>
        <v>70000</v>
      </c>
      <c r="Q24" s="168"/>
    </row>
    <row r="25" spans="1:17" ht="26.25" customHeight="1" thickBot="1" x14ac:dyDescent="0.25">
      <c r="A25" s="128">
        <v>403476</v>
      </c>
      <c r="B25" s="129" t="s">
        <v>89</v>
      </c>
      <c r="C25" s="130" t="s">
        <v>90</v>
      </c>
      <c r="D25" s="131" t="s">
        <v>58</v>
      </c>
      <c r="E25" s="132">
        <v>44583</v>
      </c>
      <c r="F25" s="131" t="s">
        <v>87</v>
      </c>
      <c r="G25" s="132">
        <v>44605</v>
      </c>
      <c r="H25" s="133" t="s">
        <v>88</v>
      </c>
      <c r="I25" s="134">
        <v>52</v>
      </c>
      <c r="J25" s="134">
        <v>8</v>
      </c>
      <c r="K25" s="134">
        <v>8</v>
      </c>
      <c r="L25" s="134">
        <v>5</v>
      </c>
      <c r="M25" s="135">
        <v>0.83199999999999996</v>
      </c>
      <c r="N25" s="140">
        <v>5</v>
      </c>
      <c r="O25" s="137">
        <v>14000</v>
      </c>
      <c r="P25" s="138">
        <f t="shared" si="1"/>
        <v>70000</v>
      </c>
      <c r="Q25" s="139">
        <v>1</v>
      </c>
    </row>
    <row r="26" spans="1:17" ht="26.25" customHeight="1" thickBot="1" x14ac:dyDescent="0.25">
      <c r="A26" s="128">
        <v>403353</v>
      </c>
      <c r="B26" s="129" t="s">
        <v>91</v>
      </c>
      <c r="C26" s="130" t="s">
        <v>92</v>
      </c>
      <c r="D26" s="131" t="s">
        <v>58</v>
      </c>
      <c r="E26" s="132">
        <v>44585</v>
      </c>
      <c r="F26" s="131" t="s">
        <v>87</v>
      </c>
      <c r="G26" s="132">
        <v>44605</v>
      </c>
      <c r="H26" s="133" t="s">
        <v>88</v>
      </c>
      <c r="I26" s="134">
        <v>84</v>
      </c>
      <c r="J26" s="134">
        <v>53</v>
      </c>
      <c r="K26" s="134">
        <v>20</v>
      </c>
      <c r="L26" s="134">
        <v>9</v>
      </c>
      <c r="M26" s="135">
        <v>22.26</v>
      </c>
      <c r="N26" s="136">
        <v>22.26</v>
      </c>
      <c r="O26" s="137">
        <v>14000</v>
      </c>
      <c r="P26" s="138">
        <f t="shared" si="1"/>
        <v>311640</v>
      </c>
      <c r="Q26" s="139">
        <v>1</v>
      </c>
    </row>
    <row r="27" spans="1:17" ht="22.5" customHeight="1" thickBot="1" x14ac:dyDescent="0.25">
      <c r="A27" s="161" t="s">
        <v>30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3"/>
      <c r="M27" s="141">
        <f>SUM(M3:M26)</f>
        <v>681.0302499999998</v>
      </c>
      <c r="N27" s="142">
        <f>SUM(N3:N26)</f>
        <v>693.31499999999983</v>
      </c>
      <c r="O27" s="164">
        <f>SUM(P3:P26)</f>
        <v>9706410</v>
      </c>
      <c r="P27" s="165"/>
      <c r="Q27" s="143">
        <f>SUM(Q3:Q26)</f>
        <v>24</v>
      </c>
    </row>
    <row r="28" spans="1:17" ht="18" customHeight="1" x14ac:dyDescent="0.2">
      <c r="A28" s="82"/>
      <c r="B28" s="55" t="s">
        <v>42</v>
      </c>
      <c r="C28" s="54"/>
      <c r="D28" s="56" t="s">
        <v>43</v>
      </c>
      <c r="E28" s="82"/>
      <c r="F28" s="82"/>
      <c r="G28" s="82"/>
      <c r="H28" s="82"/>
      <c r="I28" s="82"/>
      <c r="J28" s="82"/>
      <c r="K28" s="82"/>
      <c r="L28" s="82"/>
      <c r="M28" s="83"/>
      <c r="N28" s="84" t="s">
        <v>51</v>
      </c>
      <c r="O28" s="85"/>
      <c r="P28" s="85">
        <f>O27*10%</f>
        <v>970641</v>
      </c>
    </row>
    <row r="29" spans="1:17" ht="18" customHeight="1" thickBot="1" x14ac:dyDescent="0.25">
      <c r="A29" s="82"/>
      <c r="B29" s="55"/>
      <c r="C29" s="54"/>
      <c r="D29" s="56"/>
      <c r="E29" s="82"/>
      <c r="F29" s="82"/>
      <c r="G29" s="82"/>
      <c r="H29" s="82"/>
      <c r="I29" s="82"/>
      <c r="J29" s="82"/>
      <c r="K29" s="82"/>
      <c r="L29" s="82"/>
      <c r="M29" s="83"/>
      <c r="N29" s="86" t="s">
        <v>52</v>
      </c>
      <c r="O29" s="87"/>
      <c r="P29" s="87">
        <f>O27-P28</f>
        <v>8735769</v>
      </c>
    </row>
    <row r="30" spans="1:17" ht="18" customHeight="1" x14ac:dyDescent="0.2">
      <c r="A30" s="10"/>
      <c r="H30" s="60"/>
      <c r="N30" s="59" t="s">
        <v>31</v>
      </c>
      <c r="P30" s="66">
        <f>P29*1%</f>
        <v>87357.69</v>
      </c>
    </row>
    <row r="31" spans="1:17" ht="18" customHeight="1" thickBot="1" x14ac:dyDescent="0.25">
      <c r="A31" s="10"/>
      <c r="H31" s="60"/>
      <c r="N31" s="59" t="s">
        <v>53</v>
      </c>
      <c r="P31" s="68">
        <f>P29*2%</f>
        <v>174715.38</v>
      </c>
    </row>
    <row r="32" spans="1:17" ht="18" customHeight="1" x14ac:dyDescent="0.2">
      <c r="A32" s="10"/>
      <c r="H32" s="60"/>
      <c r="N32" s="63" t="s">
        <v>32</v>
      </c>
      <c r="O32" s="64"/>
      <c r="P32" s="67">
        <f>P29+P30-P31</f>
        <v>8648411.3099999987</v>
      </c>
    </row>
    <row r="34" spans="1:16" x14ac:dyDescent="0.2">
      <c r="A34" s="10"/>
      <c r="H34" s="60"/>
      <c r="P34" s="68"/>
    </row>
    <row r="35" spans="1:16" x14ac:dyDescent="0.2">
      <c r="A35" s="10"/>
      <c r="H35" s="60"/>
      <c r="O35" s="57"/>
      <c r="P35" s="68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</sheetData>
  <mergeCells count="5">
    <mergeCell ref="A27:L27"/>
    <mergeCell ref="O27:P27"/>
    <mergeCell ref="Q4:Q11"/>
    <mergeCell ref="Q12:Q19"/>
    <mergeCell ref="Q21:Q24"/>
  </mergeCells>
  <conditionalFormatting sqref="B3">
    <cfRule type="duplicateValues" dxfId="145" priority="13"/>
  </conditionalFormatting>
  <conditionalFormatting sqref="B4">
    <cfRule type="duplicateValues" dxfId="144" priority="11"/>
  </conditionalFormatting>
  <conditionalFormatting sqref="B5">
    <cfRule type="duplicateValues" dxfId="143" priority="10"/>
  </conditionalFormatting>
  <conditionalFormatting sqref="B6:B11">
    <cfRule type="duplicateValues" dxfId="142" priority="12"/>
  </conditionalFormatting>
  <conditionalFormatting sqref="B12">
    <cfRule type="duplicateValues" dxfId="141" priority="8"/>
  </conditionalFormatting>
  <conditionalFormatting sqref="B13">
    <cfRule type="duplicateValues" dxfId="140" priority="7"/>
  </conditionalFormatting>
  <conditionalFormatting sqref="B14:B19">
    <cfRule type="duplicateValues" dxfId="139" priority="9"/>
  </conditionalFormatting>
  <conditionalFormatting sqref="B20">
    <cfRule type="duplicateValues" dxfId="138" priority="6"/>
  </conditionalFormatting>
  <conditionalFormatting sqref="B21">
    <cfRule type="duplicateValues" dxfId="137" priority="4"/>
  </conditionalFormatting>
  <conditionalFormatting sqref="B22">
    <cfRule type="duplicateValues" dxfId="136" priority="3"/>
  </conditionalFormatting>
  <conditionalFormatting sqref="B23:B24">
    <cfRule type="duplicateValues" dxfId="135" priority="5"/>
  </conditionalFormatting>
  <conditionalFormatting sqref="B25">
    <cfRule type="duplicateValues" dxfId="134" priority="2"/>
  </conditionalFormatting>
  <conditionalFormatting sqref="B26">
    <cfRule type="duplicateValues" dxfId="13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6.42578125" style="4" customWidth="1"/>
    <col min="2" max="2" width="18.140625" style="2" customWidth="1"/>
    <col min="3" max="3" width="14.5703125" style="2" customWidth="1"/>
    <col min="4" max="4" width="9.140625" style="3" customWidth="1"/>
    <col min="5" max="5" width="9.140625" style="11" customWidth="1"/>
    <col min="6" max="6" width="11.42578125" style="3" customWidth="1"/>
    <col min="7" max="7" width="10" style="3" customWidth="1"/>
    <col min="8" max="8" width="20.140625" style="6" customWidth="1"/>
    <col min="9" max="10" width="3.7109375" style="3" customWidth="1"/>
    <col min="11" max="11" width="3.425781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8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402774</v>
      </c>
      <c r="B3" s="70" t="s">
        <v>56</v>
      </c>
      <c r="C3" s="8" t="s">
        <v>57</v>
      </c>
      <c r="D3" s="72" t="s">
        <v>58</v>
      </c>
      <c r="E3" s="12">
        <v>44563</v>
      </c>
      <c r="F3" s="72" t="s">
        <v>59</v>
      </c>
      <c r="G3" s="12">
        <v>44597</v>
      </c>
      <c r="H3" s="9" t="s">
        <v>60</v>
      </c>
      <c r="I3" s="1">
        <v>20</v>
      </c>
      <c r="J3" s="1">
        <v>14</v>
      </c>
      <c r="K3" s="1">
        <v>13</v>
      </c>
      <c r="L3" s="1">
        <v>1</v>
      </c>
      <c r="M3" s="76">
        <v>0.91</v>
      </c>
      <c r="N3" s="7">
        <v>1</v>
      </c>
      <c r="O3" s="61">
        <v>14000</v>
      </c>
      <c r="P3" s="62">
        <f>Table224578910112345[[#This Row],[PEMBULATAN]]*O3</f>
        <v>14000</v>
      </c>
      <c r="Q3" s="93">
        <v>1</v>
      </c>
    </row>
    <row r="4" spans="1:17" ht="22.5" customHeight="1" x14ac:dyDescent="0.2">
      <c r="A4" s="169" t="s">
        <v>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  <c r="M4" s="75">
        <f>SUBTOTAL(109,Table224578910112345[KG VOLUME])</f>
        <v>0.91</v>
      </c>
      <c r="N4" s="65">
        <f>SUM(N3:N3)</f>
        <v>1</v>
      </c>
      <c r="O4" s="172">
        <f>SUM(P3:P3)</f>
        <v>14000</v>
      </c>
      <c r="P4" s="173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1400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12600</v>
      </c>
    </row>
    <row r="7" spans="1:17" ht="18" customHeight="1" x14ac:dyDescent="0.2">
      <c r="A7" s="10"/>
      <c r="H7" s="60"/>
      <c r="N7" s="59" t="s">
        <v>31</v>
      </c>
      <c r="P7" s="66">
        <f>P6*1%</f>
        <v>126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252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12474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1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RowHeight="15" x14ac:dyDescent="0.2"/>
  <cols>
    <col min="1" max="1" width="6.5703125" style="4" customWidth="1"/>
    <col min="2" max="2" width="19" style="2" customWidth="1"/>
    <col min="3" max="3" width="15.28515625" style="2" customWidth="1"/>
    <col min="4" max="4" width="11" style="3" customWidth="1"/>
    <col min="5" max="5" width="7.7109375" style="11" customWidth="1"/>
    <col min="6" max="7" width="11" style="3" customWidth="1"/>
    <col min="8" max="8" width="18.85546875" style="6" customWidth="1"/>
    <col min="9" max="9" width="3.85546875" style="3" customWidth="1"/>
    <col min="10" max="11" width="3.5703125" style="3" customWidth="1"/>
    <col min="12" max="12" width="4.5703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8554687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402799</v>
      </c>
      <c r="B3" s="70" t="s">
        <v>61</v>
      </c>
      <c r="C3" s="8" t="s">
        <v>62</v>
      </c>
      <c r="D3" s="72" t="s">
        <v>58</v>
      </c>
      <c r="E3" s="12">
        <v>44568</v>
      </c>
      <c r="F3" s="72" t="s">
        <v>59</v>
      </c>
      <c r="G3" s="12">
        <v>44597</v>
      </c>
      <c r="H3" s="9" t="s">
        <v>60</v>
      </c>
      <c r="I3" s="1">
        <v>54</v>
      </c>
      <c r="J3" s="1">
        <v>48</v>
      </c>
      <c r="K3" s="1">
        <v>15</v>
      </c>
      <c r="L3" s="1">
        <v>9</v>
      </c>
      <c r="M3" s="76">
        <v>9.7200000000000006</v>
      </c>
      <c r="N3" s="95">
        <v>9.7200000000000006</v>
      </c>
      <c r="O3" s="61">
        <v>14000</v>
      </c>
      <c r="P3" s="62">
        <f>Table2245789101123456[[#This Row],[PEMBULATAN]]*O3</f>
        <v>136080</v>
      </c>
      <c r="Q3" s="174">
        <v>8</v>
      </c>
    </row>
    <row r="4" spans="1:17" ht="26.25" customHeight="1" x14ac:dyDescent="0.2">
      <c r="A4" s="13"/>
      <c r="B4" s="71"/>
      <c r="C4" s="8" t="s">
        <v>63</v>
      </c>
      <c r="D4" s="72" t="s">
        <v>58</v>
      </c>
      <c r="E4" s="12">
        <v>44568</v>
      </c>
      <c r="F4" s="72" t="s">
        <v>59</v>
      </c>
      <c r="G4" s="12">
        <v>44597</v>
      </c>
      <c r="H4" s="9" t="s">
        <v>60</v>
      </c>
      <c r="I4" s="1">
        <v>54</v>
      </c>
      <c r="J4" s="1">
        <v>48</v>
      </c>
      <c r="K4" s="1">
        <v>15</v>
      </c>
      <c r="L4" s="1">
        <v>9</v>
      </c>
      <c r="M4" s="76">
        <v>9.7200000000000006</v>
      </c>
      <c r="N4" s="95">
        <v>9.7200000000000006</v>
      </c>
      <c r="O4" s="61">
        <v>14000</v>
      </c>
      <c r="P4" s="62">
        <f>Table2245789101123456[[#This Row],[PEMBULATAN]]*O4</f>
        <v>136080</v>
      </c>
      <c r="Q4" s="167"/>
    </row>
    <row r="5" spans="1:17" ht="26.25" customHeight="1" x14ac:dyDescent="0.2">
      <c r="A5" s="13"/>
      <c r="B5" s="13"/>
      <c r="C5" s="8" t="s">
        <v>64</v>
      </c>
      <c r="D5" s="72" t="s">
        <v>58</v>
      </c>
      <c r="E5" s="12">
        <v>44568</v>
      </c>
      <c r="F5" s="72" t="s">
        <v>59</v>
      </c>
      <c r="G5" s="12">
        <v>44597</v>
      </c>
      <c r="H5" s="9" t="s">
        <v>60</v>
      </c>
      <c r="I5" s="1">
        <v>54</v>
      </c>
      <c r="J5" s="1">
        <v>48</v>
      </c>
      <c r="K5" s="1">
        <v>15</v>
      </c>
      <c r="L5" s="1">
        <v>9</v>
      </c>
      <c r="M5" s="76">
        <v>9.7200000000000006</v>
      </c>
      <c r="N5" s="95">
        <v>9.7200000000000006</v>
      </c>
      <c r="O5" s="61">
        <v>14000</v>
      </c>
      <c r="P5" s="62">
        <f>Table2245789101123456[[#This Row],[PEMBULATAN]]*O5</f>
        <v>136080</v>
      </c>
      <c r="Q5" s="167"/>
    </row>
    <row r="6" spans="1:17" ht="26.25" customHeight="1" x14ac:dyDescent="0.2">
      <c r="A6" s="13"/>
      <c r="B6" s="13"/>
      <c r="C6" s="69" t="s">
        <v>65</v>
      </c>
      <c r="D6" s="74" t="s">
        <v>58</v>
      </c>
      <c r="E6" s="12">
        <v>44568</v>
      </c>
      <c r="F6" s="72" t="s">
        <v>59</v>
      </c>
      <c r="G6" s="12">
        <v>44597</v>
      </c>
      <c r="H6" s="73" t="s">
        <v>60</v>
      </c>
      <c r="I6" s="15">
        <v>65</v>
      </c>
      <c r="J6" s="15">
        <v>43</v>
      </c>
      <c r="K6" s="15">
        <v>76</v>
      </c>
      <c r="L6" s="15">
        <v>31</v>
      </c>
      <c r="M6" s="77">
        <v>53.104999999999997</v>
      </c>
      <c r="N6" s="95">
        <v>53.104999999999997</v>
      </c>
      <c r="O6" s="61">
        <v>14000</v>
      </c>
      <c r="P6" s="62">
        <f>Table2245789101123456[[#This Row],[PEMBULATAN]]*O6</f>
        <v>743470</v>
      </c>
      <c r="Q6" s="167"/>
    </row>
    <row r="7" spans="1:17" ht="26.25" customHeight="1" x14ac:dyDescent="0.2">
      <c r="A7" s="13"/>
      <c r="B7" s="13"/>
      <c r="C7" s="69" t="s">
        <v>66</v>
      </c>
      <c r="D7" s="74" t="s">
        <v>58</v>
      </c>
      <c r="E7" s="12">
        <v>44568</v>
      </c>
      <c r="F7" s="72" t="s">
        <v>59</v>
      </c>
      <c r="G7" s="12">
        <v>44597</v>
      </c>
      <c r="H7" s="73" t="s">
        <v>60</v>
      </c>
      <c r="I7" s="15">
        <v>65</v>
      </c>
      <c r="J7" s="15">
        <v>43</v>
      </c>
      <c r="K7" s="15">
        <v>76</v>
      </c>
      <c r="L7" s="15">
        <v>31</v>
      </c>
      <c r="M7" s="77">
        <v>53.104999999999997</v>
      </c>
      <c r="N7" s="95">
        <v>53.104999999999997</v>
      </c>
      <c r="O7" s="61">
        <v>14000</v>
      </c>
      <c r="P7" s="62">
        <f>Table2245789101123456[[#This Row],[PEMBULATAN]]*O7</f>
        <v>743470</v>
      </c>
      <c r="Q7" s="167"/>
    </row>
    <row r="8" spans="1:17" ht="26.25" customHeight="1" x14ac:dyDescent="0.2">
      <c r="A8" s="13"/>
      <c r="B8" s="13"/>
      <c r="C8" s="69" t="s">
        <v>67</v>
      </c>
      <c r="D8" s="74" t="s">
        <v>58</v>
      </c>
      <c r="E8" s="12">
        <v>44568</v>
      </c>
      <c r="F8" s="72" t="s">
        <v>59</v>
      </c>
      <c r="G8" s="12">
        <v>44597</v>
      </c>
      <c r="H8" s="73" t="s">
        <v>60</v>
      </c>
      <c r="I8" s="15">
        <v>35</v>
      </c>
      <c r="J8" s="15">
        <v>35</v>
      </c>
      <c r="K8" s="15">
        <v>47</v>
      </c>
      <c r="L8" s="15">
        <v>4</v>
      </c>
      <c r="M8" s="77">
        <v>14.393750000000001</v>
      </c>
      <c r="N8" s="95">
        <v>15</v>
      </c>
      <c r="O8" s="61">
        <v>14000</v>
      </c>
      <c r="P8" s="62">
        <f>Table2245789101123456[[#This Row],[PEMBULATAN]]*O8</f>
        <v>210000</v>
      </c>
      <c r="Q8" s="167"/>
    </row>
    <row r="9" spans="1:17" ht="26.25" customHeight="1" x14ac:dyDescent="0.2">
      <c r="A9" s="13"/>
      <c r="B9" s="13"/>
      <c r="C9" s="69" t="s">
        <v>68</v>
      </c>
      <c r="D9" s="74" t="s">
        <v>58</v>
      </c>
      <c r="E9" s="12">
        <v>44568</v>
      </c>
      <c r="F9" s="72" t="s">
        <v>59</v>
      </c>
      <c r="G9" s="12">
        <v>44597</v>
      </c>
      <c r="H9" s="73" t="s">
        <v>60</v>
      </c>
      <c r="I9" s="15">
        <v>65</v>
      </c>
      <c r="J9" s="15">
        <v>43</v>
      </c>
      <c r="K9" s="15">
        <v>76</v>
      </c>
      <c r="L9" s="15">
        <v>31</v>
      </c>
      <c r="M9" s="77">
        <v>53.104999999999997</v>
      </c>
      <c r="N9" s="95">
        <v>53.104999999999997</v>
      </c>
      <c r="O9" s="61">
        <v>14000</v>
      </c>
      <c r="P9" s="62">
        <f>Table2245789101123456[[#This Row],[PEMBULATAN]]*O9</f>
        <v>743470</v>
      </c>
      <c r="Q9" s="167"/>
    </row>
    <row r="10" spans="1:17" ht="26.25" customHeight="1" x14ac:dyDescent="0.2">
      <c r="A10" s="13"/>
      <c r="B10" s="13"/>
      <c r="C10" s="69" t="s">
        <v>69</v>
      </c>
      <c r="D10" s="74" t="s">
        <v>58</v>
      </c>
      <c r="E10" s="12">
        <v>44568</v>
      </c>
      <c r="F10" s="72" t="s">
        <v>59</v>
      </c>
      <c r="G10" s="12">
        <v>44597</v>
      </c>
      <c r="H10" s="73" t="s">
        <v>60</v>
      </c>
      <c r="I10" s="15">
        <v>65</v>
      </c>
      <c r="J10" s="15">
        <v>43</v>
      </c>
      <c r="K10" s="15">
        <v>76</v>
      </c>
      <c r="L10" s="15">
        <v>31</v>
      </c>
      <c r="M10" s="77">
        <v>53.104999999999997</v>
      </c>
      <c r="N10" s="95">
        <v>53.104999999999997</v>
      </c>
      <c r="O10" s="61">
        <v>14000</v>
      </c>
      <c r="P10" s="62">
        <f>Table2245789101123456[[#This Row],[PEMBULATAN]]*O10</f>
        <v>743470</v>
      </c>
      <c r="Q10" s="175"/>
    </row>
    <row r="11" spans="1:17" ht="22.5" customHeight="1" x14ac:dyDescent="0.2">
      <c r="A11" s="169" t="s">
        <v>30</v>
      </c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1"/>
      <c r="M11" s="75">
        <f>SUBTOTAL(109,Table2245789101123456[KG VOLUME])</f>
        <v>255.97375</v>
      </c>
      <c r="N11" s="65">
        <f>SUM(N3:N10)</f>
        <v>256.58</v>
      </c>
      <c r="O11" s="172">
        <f>SUM(P3:P10)</f>
        <v>3592120</v>
      </c>
      <c r="P11" s="173"/>
    </row>
    <row r="12" spans="1:17" ht="18" customHeight="1" x14ac:dyDescent="0.2">
      <c r="A12" s="82"/>
      <c r="B12" s="55" t="s">
        <v>42</v>
      </c>
      <c r="C12" s="54"/>
      <c r="D12" s="56" t="s">
        <v>43</v>
      </c>
      <c r="E12" s="82"/>
      <c r="F12" s="82"/>
      <c r="G12" s="82"/>
      <c r="H12" s="82"/>
      <c r="I12" s="82"/>
      <c r="J12" s="82"/>
      <c r="K12" s="82"/>
      <c r="L12" s="82"/>
      <c r="M12" s="83"/>
      <c r="N12" s="84" t="s">
        <v>51</v>
      </c>
      <c r="O12" s="85"/>
      <c r="P12" s="85">
        <f>O11*10%</f>
        <v>359212</v>
      </c>
    </row>
    <row r="13" spans="1:17" ht="18" customHeight="1" thickBot="1" x14ac:dyDescent="0.25">
      <c r="A13" s="82"/>
      <c r="B13" s="55"/>
      <c r="C13" s="54"/>
      <c r="D13" s="56"/>
      <c r="E13" s="82"/>
      <c r="F13" s="82"/>
      <c r="G13" s="82"/>
      <c r="H13" s="82"/>
      <c r="I13" s="82"/>
      <c r="J13" s="82"/>
      <c r="K13" s="82"/>
      <c r="L13" s="82"/>
      <c r="M13" s="83"/>
      <c r="N13" s="86" t="s">
        <v>52</v>
      </c>
      <c r="O13" s="87"/>
      <c r="P13" s="87">
        <f>O11-P12</f>
        <v>3232908</v>
      </c>
    </row>
    <row r="14" spans="1:17" ht="18" customHeight="1" x14ac:dyDescent="0.2">
      <c r="A14" s="10"/>
      <c r="H14" s="60"/>
      <c r="N14" s="59" t="s">
        <v>31</v>
      </c>
      <c r="P14" s="66">
        <f>P13*1%</f>
        <v>32329.08</v>
      </c>
    </row>
    <row r="15" spans="1:17" ht="18" customHeight="1" thickBot="1" x14ac:dyDescent="0.25">
      <c r="A15" s="10"/>
      <c r="H15" s="60"/>
      <c r="N15" s="59" t="s">
        <v>53</v>
      </c>
      <c r="P15" s="68">
        <f>P13*2%</f>
        <v>64658.16</v>
      </c>
    </row>
    <row r="16" spans="1:17" ht="18" customHeight="1" x14ac:dyDescent="0.2">
      <c r="A16" s="10"/>
      <c r="H16" s="60"/>
      <c r="N16" s="63" t="s">
        <v>32</v>
      </c>
      <c r="O16" s="64"/>
      <c r="P16" s="67">
        <f>P13+P14-P15</f>
        <v>3200578.92</v>
      </c>
    </row>
    <row r="18" spans="1:16" x14ac:dyDescent="0.2">
      <c r="A18" s="10"/>
      <c r="H18" s="60"/>
      <c r="P18" s="68"/>
    </row>
    <row r="19" spans="1:16" x14ac:dyDescent="0.2">
      <c r="A19" s="10"/>
      <c r="H19" s="60"/>
      <c r="O19" s="57"/>
      <c r="P19" s="68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</sheetData>
  <mergeCells count="3">
    <mergeCell ref="A11:L11"/>
    <mergeCell ref="O11:P11"/>
    <mergeCell ref="Q3:Q10"/>
  </mergeCells>
  <conditionalFormatting sqref="B3">
    <cfRule type="duplicateValues" dxfId="101" priority="2"/>
  </conditionalFormatting>
  <conditionalFormatting sqref="B4">
    <cfRule type="duplicateValues" dxfId="100" priority="1"/>
  </conditionalFormatting>
  <conditionalFormatting sqref="B5:B10">
    <cfRule type="duplicateValues" dxfId="99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5.85546875" style="2" customWidth="1"/>
    <col min="4" max="4" width="10.42578125" style="3" customWidth="1"/>
    <col min="5" max="5" width="7.5703125" style="11" customWidth="1"/>
    <col min="6" max="6" width="11.140625" style="3" customWidth="1"/>
    <col min="7" max="7" width="10.28515625" style="3" customWidth="1"/>
    <col min="8" max="8" width="18.5703125" style="6" customWidth="1"/>
    <col min="9" max="9" width="3.7109375" style="3" customWidth="1"/>
    <col min="10" max="10" width="3.42578125" style="3" customWidth="1"/>
    <col min="11" max="11" width="3.7109375" style="3" customWidth="1"/>
    <col min="12" max="12" width="4.5703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402919</v>
      </c>
      <c r="B3" s="70" t="s">
        <v>70</v>
      </c>
      <c r="C3" s="8" t="s">
        <v>71</v>
      </c>
      <c r="D3" s="72" t="s">
        <v>58</v>
      </c>
      <c r="E3" s="12">
        <v>44569</v>
      </c>
      <c r="F3" s="72" t="s">
        <v>59</v>
      </c>
      <c r="G3" s="12">
        <v>44597</v>
      </c>
      <c r="H3" s="9" t="s">
        <v>60</v>
      </c>
      <c r="I3" s="1">
        <v>54</v>
      </c>
      <c r="J3" s="1">
        <v>42</v>
      </c>
      <c r="K3" s="1">
        <v>75</v>
      </c>
      <c r="L3" s="1">
        <v>31</v>
      </c>
      <c r="M3" s="76">
        <v>42.524999999999999</v>
      </c>
      <c r="N3" s="95">
        <v>42.524999999999999</v>
      </c>
      <c r="O3" s="61">
        <v>14000</v>
      </c>
      <c r="P3" s="62">
        <f>Table22457891011234567[[#This Row],[PEMBULATAN]]*O3</f>
        <v>595350</v>
      </c>
      <c r="Q3" s="174">
        <v>8</v>
      </c>
    </row>
    <row r="4" spans="1:17" ht="26.25" customHeight="1" x14ac:dyDescent="0.2">
      <c r="A4" s="13"/>
      <c r="B4" s="71"/>
      <c r="C4" s="8" t="s">
        <v>72</v>
      </c>
      <c r="D4" s="72" t="s">
        <v>58</v>
      </c>
      <c r="E4" s="12">
        <v>44569</v>
      </c>
      <c r="F4" s="72" t="s">
        <v>59</v>
      </c>
      <c r="G4" s="12">
        <v>44597</v>
      </c>
      <c r="H4" s="9" t="s">
        <v>60</v>
      </c>
      <c r="I4" s="1">
        <v>54</v>
      </c>
      <c r="J4" s="1">
        <v>42</v>
      </c>
      <c r="K4" s="1">
        <v>75</v>
      </c>
      <c r="L4" s="1">
        <v>31</v>
      </c>
      <c r="M4" s="76">
        <v>42.524999999999999</v>
      </c>
      <c r="N4" s="95">
        <v>42.524999999999999</v>
      </c>
      <c r="O4" s="61">
        <v>14000</v>
      </c>
      <c r="P4" s="62">
        <f>Table22457891011234567[[#This Row],[PEMBULATAN]]*O4</f>
        <v>595350</v>
      </c>
      <c r="Q4" s="167"/>
    </row>
    <row r="5" spans="1:17" ht="26.25" customHeight="1" x14ac:dyDescent="0.2">
      <c r="A5" s="13"/>
      <c r="B5" s="13"/>
      <c r="C5" s="8" t="s">
        <v>73</v>
      </c>
      <c r="D5" s="72" t="s">
        <v>58</v>
      </c>
      <c r="E5" s="12">
        <v>44569</v>
      </c>
      <c r="F5" s="72" t="s">
        <v>59</v>
      </c>
      <c r="G5" s="12">
        <v>44597</v>
      </c>
      <c r="H5" s="9" t="s">
        <v>60</v>
      </c>
      <c r="I5" s="1">
        <v>54</v>
      </c>
      <c r="J5" s="1">
        <v>42</v>
      </c>
      <c r="K5" s="1">
        <v>75</v>
      </c>
      <c r="L5" s="1">
        <v>31</v>
      </c>
      <c r="M5" s="76">
        <v>42.524999999999999</v>
      </c>
      <c r="N5" s="95">
        <v>42.524999999999999</v>
      </c>
      <c r="O5" s="61">
        <v>14000</v>
      </c>
      <c r="P5" s="62">
        <f>Table22457891011234567[[#This Row],[PEMBULATAN]]*O5</f>
        <v>595350</v>
      </c>
      <c r="Q5" s="167"/>
    </row>
    <row r="6" spans="1:17" ht="26.25" customHeight="1" x14ac:dyDescent="0.2">
      <c r="A6" s="13"/>
      <c r="B6" s="13"/>
      <c r="C6" s="69" t="s">
        <v>74</v>
      </c>
      <c r="D6" s="74" t="s">
        <v>58</v>
      </c>
      <c r="E6" s="12">
        <v>44569</v>
      </c>
      <c r="F6" s="72" t="s">
        <v>59</v>
      </c>
      <c r="G6" s="12">
        <v>44597</v>
      </c>
      <c r="H6" s="73" t="s">
        <v>60</v>
      </c>
      <c r="I6" s="15">
        <v>54</v>
      </c>
      <c r="J6" s="15">
        <v>42</v>
      </c>
      <c r="K6" s="15">
        <v>75</v>
      </c>
      <c r="L6" s="15">
        <v>31</v>
      </c>
      <c r="M6" s="77">
        <v>42.524999999999999</v>
      </c>
      <c r="N6" s="95">
        <v>42.524999999999999</v>
      </c>
      <c r="O6" s="61">
        <v>14000</v>
      </c>
      <c r="P6" s="62">
        <f>Table22457891011234567[[#This Row],[PEMBULATAN]]*O6</f>
        <v>595350</v>
      </c>
      <c r="Q6" s="167"/>
    </row>
    <row r="7" spans="1:17" ht="26.25" customHeight="1" x14ac:dyDescent="0.2">
      <c r="A7" s="13"/>
      <c r="B7" s="13"/>
      <c r="C7" s="69" t="s">
        <v>75</v>
      </c>
      <c r="D7" s="74" t="s">
        <v>58</v>
      </c>
      <c r="E7" s="12">
        <v>44569</v>
      </c>
      <c r="F7" s="72" t="s">
        <v>59</v>
      </c>
      <c r="G7" s="12">
        <v>44597</v>
      </c>
      <c r="H7" s="73" t="s">
        <v>60</v>
      </c>
      <c r="I7" s="15">
        <v>54</v>
      </c>
      <c r="J7" s="15">
        <v>42</v>
      </c>
      <c r="K7" s="15">
        <v>75</v>
      </c>
      <c r="L7" s="15">
        <v>31</v>
      </c>
      <c r="M7" s="77">
        <v>42.524999999999999</v>
      </c>
      <c r="N7" s="95">
        <v>42.524999999999999</v>
      </c>
      <c r="O7" s="61">
        <v>14000</v>
      </c>
      <c r="P7" s="62">
        <f>Table22457891011234567[[#This Row],[PEMBULATAN]]*O7</f>
        <v>595350</v>
      </c>
      <c r="Q7" s="167"/>
    </row>
    <row r="8" spans="1:17" ht="26.25" customHeight="1" x14ac:dyDescent="0.2">
      <c r="A8" s="13"/>
      <c r="B8" s="13"/>
      <c r="C8" s="69" t="s">
        <v>76</v>
      </c>
      <c r="D8" s="74" t="s">
        <v>58</v>
      </c>
      <c r="E8" s="12">
        <v>44569</v>
      </c>
      <c r="F8" s="72" t="s">
        <v>59</v>
      </c>
      <c r="G8" s="12">
        <v>44597</v>
      </c>
      <c r="H8" s="73" t="s">
        <v>60</v>
      </c>
      <c r="I8" s="15">
        <v>24</v>
      </c>
      <c r="J8" s="15">
        <v>18</v>
      </c>
      <c r="K8" s="15">
        <v>14</v>
      </c>
      <c r="L8" s="15">
        <v>5</v>
      </c>
      <c r="M8" s="77">
        <v>1.512</v>
      </c>
      <c r="N8" s="95">
        <v>5</v>
      </c>
      <c r="O8" s="61">
        <v>14000</v>
      </c>
      <c r="P8" s="62">
        <f>Table22457891011234567[[#This Row],[PEMBULATAN]]*O8</f>
        <v>70000</v>
      </c>
      <c r="Q8" s="167"/>
    </row>
    <row r="9" spans="1:17" ht="26.25" customHeight="1" x14ac:dyDescent="0.2">
      <c r="A9" s="13"/>
      <c r="B9" s="13"/>
      <c r="C9" s="69" t="s">
        <v>77</v>
      </c>
      <c r="D9" s="74" t="s">
        <v>58</v>
      </c>
      <c r="E9" s="12">
        <v>44569</v>
      </c>
      <c r="F9" s="72" t="s">
        <v>59</v>
      </c>
      <c r="G9" s="12">
        <v>44597</v>
      </c>
      <c r="H9" s="73" t="s">
        <v>60</v>
      </c>
      <c r="I9" s="15">
        <v>54</v>
      </c>
      <c r="J9" s="15">
        <v>45</v>
      </c>
      <c r="K9" s="15">
        <v>14</v>
      </c>
      <c r="L9" s="15">
        <v>9</v>
      </c>
      <c r="M9" s="77">
        <v>8.5050000000000008</v>
      </c>
      <c r="N9" s="95">
        <v>9</v>
      </c>
      <c r="O9" s="61">
        <v>14000</v>
      </c>
      <c r="P9" s="62">
        <f>Table22457891011234567[[#This Row],[PEMBULATAN]]*O9</f>
        <v>126000</v>
      </c>
      <c r="Q9" s="167"/>
    </row>
    <row r="10" spans="1:17" ht="26.25" customHeight="1" x14ac:dyDescent="0.2">
      <c r="A10" s="97"/>
      <c r="B10" s="96" t="s">
        <v>78</v>
      </c>
      <c r="C10" s="69" t="s">
        <v>79</v>
      </c>
      <c r="D10" s="74" t="s">
        <v>58</v>
      </c>
      <c r="E10" s="12">
        <v>44569</v>
      </c>
      <c r="F10" s="72" t="s">
        <v>59</v>
      </c>
      <c r="G10" s="12">
        <v>44597</v>
      </c>
      <c r="H10" s="73" t="s">
        <v>60</v>
      </c>
      <c r="I10" s="15">
        <v>54</v>
      </c>
      <c r="J10" s="15">
        <v>42</v>
      </c>
      <c r="K10" s="15">
        <v>75</v>
      </c>
      <c r="L10" s="15">
        <v>31</v>
      </c>
      <c r="M10" s="77">
        <v>42.524999999999999</v>
      </c>
      <c r="N10" s="95">
        <v>42.524999999999999</v>
      </c>
      <c r="O10" s="61">
        <v>14000</v>
      </c>
      <c r="P10" s="62">
        <f>Table22457891011234567[[#This Row],[PEMBULATAN]]*O10</f>
        <v>595350</v>
      </c>
      <c r="Q10" s="175"/>
    </row>
    <row r="11" spans="1:17" ht="22.5" customHeight="1" x14ac:dyDescent="0.2">
      <c r="A11" s="169" t="s">
        <v>30</v>
      </c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1"/>
      <c r="M11" s="75">
        <f>SUBTOTAL(109,Table22457891011234567[KG VOLUME])</f>
        <v>265.16699999999997</v>
      </c>
      <c r="N11" s="65">
        <f>SUM(N3:N10)</f>
        <v>269.14999999999998</v>
      </c>
      <c r="O11" s="172">
        <f>SUM(P3:P10)</f>
        <v>3768100</v>
      </c>
      <c r="P11" s="173"/>
    </row>
    <row r="12" spans="1:17" ht="18" customHeight="1" x14ac:dyDescent="0.2">
      <c r="A12" s="82"/>
      <c r="B12" s="55" t="s">
        <v>42</v>
      </c>
      <c r="C12" s="54"/>
      <c r="D12" s="56" t="s">
        <v>43</v>
      </c>
      <c r="E12" s="82"/>
      <c r="F12" s="82"/>
      <c r="G12" s="82"/>
      <c r="H12" s="82"/>
      <c r="I12" s="82"/>
      <c r="J12" s="82"/>
      <c r="K12" s="82"/>
      <c r="L12" s="82"/>
      <c r="M12" s="83"/>
      <c r="N12" s="84" t="s">
        <v>51</v>
      </c>
      <c r="O12" s="85"/>
      <c r="P12" s="85">
        <f>O11*10%</f>
        <v>376810</v>
      </c>
    </row>
    <row r="13" spans="1:17" ht="18" customHeight="1" thickBot="1" x14ac:dyDescent="0.25">
      <c r="A13" s="82"/>
      <c r="B13" s="55"/>
      <c r="C13" s="54"/>
      <c r="D13" s="56"/>
      <c r="E13" s="82"/>
      <c r="F13" s="82"/>
      <c r="G13" s="82"/>
      <c r="H13" s="82"/>
      <c r="I13" s="82"/>
      <c r="J13" s="82"/>
      <c r="K13" s="82"/>
      <c r="L13" s="82"/>
      <c r="M13" s="83"/>
      <c r="N13" s="86" t="s">
        <v>52</v>
      </c>
      <c r="O13" s="87"/>
      <c r="P13" s="87">
        <f>O11-P12</f>
        <v>3391290</v>
      </c>
    </row>
    <row r="14" spans="1:17" ht="18" customHeight="1" x14ac:dyDescent="0.2">
      <c r="A14" s="10"/>
      <c r="H14" s="60"/>
      <c r="N14" s="59" t="s">
        <v>31</v>
      </c>
      <c r="P14" s="66">
        <f>P13*1%</f>
        <v>33912.9</v>
      </c>
    </row>
    <row r="15" spans="1:17" ht="18" customHeight="1" thickBot="1" x14ac:dyDescent="0.25">
      <c r="A15" s="10"/>
      <c r="H15" s="60"/>
      <c r="N15" s="59" t="s">
        <v>53</v>
      </c>
      <c r="P15" s="68">
        <f>P13*2%</f>
        <v>67825.8</v>
      </c>
    </row>
    <row r="16" spans="1:17" ht="18" customHeight="1" x14ac:dyDescent="0.2">
      <c r="A16" s="10"/>
      <c r="H16" s="60"/>
      <c r="N16" s="63" t="s">
        <v>32</v>
      </c>
      <c r="O16" s="64"/>
      <c r="P16" s="67">
        <f>P13+P14-P15</f>
        <v>3357377.1</v>
      </c>
    </row>
    <row r="18" spans="1:16" x14ac:dyDescent="0.2">
      <c r="A18" s="10"/>
      <c r="H18" s="60"/>
      <c r="P18" s="68"/>
    </row>
    <row r="19" spans="1:16" x14ac:dyDescent="0.2">
      <c r="A19" s="10"/>
      <c r="H19" s="60"/>
      <c r="O19" s="57"/>
      <c r="P19" s="68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</sheetData>
  <mergeCells count="3">
    <mergeCell ref="A11:L11"/>
    <mergeCell ref="O11:P11"/>
    <mergeCell ref="Q3:Q10"/>
  </mergeCells>
  <conditionalFormatting sqref="B3">
    <cfRule type="duplicateValues" dxfId="83" priority="2"/>
  </conditionalFormatting>
  <conditionalFormatting sqref="B4">
    <cfRule type="duplicateValues" dxfId="82" priority="1"/>
  </conditionalFormatting>
  <conditionalFormatting sqref="B5:B10">
    <cfRule type="duplicateValues" dxfId="81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3.7109375" style="2" customWidth="1"/>
    <col min="4" max="4" width="9.42578125" style="3" customWidth="1"/>
    <col min="5" max="5" width="8.28515625" style="11" customWidth="1"/>
    <col min="6" max="6" width="10.7109375" style="3" customWidth="1"/>
    <col min="7" max="7" width="10.42578125" style="3" customWidth="1"/>
    <col min="8" max="8" width="18.5703125" style="6" customWidth="1"/>
    <col min="9" max="11" width="3.7109375" style="3" customWidth="1"/>
    <col min="12" max="12" width="4.28515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2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402935</v>
      </c>
      <c r="B3" s="70" t="s">
        <v>80</v>
      </c>
      <c r="C3" s="8" t="s">
        <v>81</v>
      </c>
      <c r="D3" s="72" t="s">
        <v>58</v>
      </c>
      <c r="E3" s="12">
        <v>44575</v>
      </c>
      <c r="F3" s="72" t="s">
        <v>59</v>
      </c>
      <c r="G3" s="12">
        <v>44597</v>
      </c>
      <c r="H3" s="9" t="s">
        <v>60</v>
      </c>
      <c r="I3" s="1">
        <v>70</v>
      </c>
      <c r="J3" s="1">
        <v>50</v>
      </c>
      <c r="K3" s="1">
        <v>90</v>
      </c>
      <c r="L3" s="1">
        <v>15</v>
      </c>
      <c r="M3" s="76">
        <v>78.75</v>
      </c>
      <c r="N3" s="95">
        <v>78.75</v>
      </c>
      <c r="O3" s="61">
        <v>14000</v>
      </c>
      <c r="P3" s="62">
        <f>Table224578910112345678[[#This Row],[PEMBULATAN]]*O3</f>
        <v>1102500</v>
      </c>
      <c r="Q3" s="93">
        <v>1</v>
      </c>
    </row>
    <row r="4" spans="1:17" ht="22.5" customHeight="1" x14ac:dyDescent="0.2">
      <c r="A4" s="169" t="s">
        <v>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  <c r="M4" s="75">
        <f>SUBTOTAL(109,Table224578910112345678[KG VOLUME])</f>
        <v>78.75</v>
      </c>
      <c r="N4" s="65">
        <f>SUM(N3:N3)</f>
        <v>78.75</v>
      </c>
      <c r="O4" s="172">
        <f>SUM(P3:P3)</f>
        <v>1102500</v>
      </c>
      <c r="P4" s="173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110250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992250</v>
      </c>
    </row>
    <row r="7" spans="1:17" ht="18" customHeight="1" x14ac:dyDescent="0.2">
      <c r="A7" s="10"/>
      <c r="H7" s="60"/>
      <c r="N7" s="59" t="s">
        <v>31</v>
      </c>
      <c r="P7" s="66">
        <f>P6*1%</f>
        <v>9922.5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19845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982327.5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6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0" sqref="D10:E10"/>
    </sheetView>
  </sheetViews>
  <sheetFormatPr defaultRowHeight="15" x14ac:dyDescent="0.2"/>
  <cols>
    <col min="1" max="1" width="6.140625" style="4" customWidth="1"/>
    <col min="2" max="2" width="18.7109375" style="2" customWidth="1"/>
    <col min="3" max="3" width="14.5703125" style="2" customWidth="1"/>
    <col min="4" max="4" width="9.42578125" style="3" customWidth="1"/>
    <col min="5" max="5" width="7.5703125" style="11" customWidth="1"/>
    <col min="6" max="6" width="12.85546875" style="3" customWidth="1"/>
    <col min="7" max="7" width="10.85546875" style="3" customWidth="1"/>
    <col min="8" max="8" width="19.28515625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4" customWidth="1"/>
    <col min="15" max="15" width="8" style="14" customWidth="1"/>
    <col min="16" max="16" width="9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403469</v>
      </c>
      <c r="B3" s="70" t="s">
        <v>82</v>
      </c>
      <c r="C3" s="8" t="s">
        <v>83</v>
      </c>
      <c r="D3" s="72" t="s">
        <v>58</v>
      </c>
      <c r="E3" s="12">
        <v>44582</v>
      </c>
      <c r="F3" s="72" t="s">
        <v>87</v>
      </c>
      <c r="G3" s="12">
        <v>44605</v>
      </c>
      <c r="H3" s="9" t="s">
        <v>88</v>
      </c>
      <c r="I3" s="1">
        <v>65</v>
      </c>
      <c r="J3" s="1">
        <v>57</v>
      </c>
      <c r="K3" s="1">
        <v>20</v>
      </c>
      <c r="L3" s="1">
        <v>13</v>
      </c>
      <c r="M3" s="76">
        <v>18.524999999999999</v>
      </c>
      <c r="N3" s="95">
        <v>18.524999999999999</v>
      </c>
      <c r="O3" s="61">
        <v>14000</v>
      </c>
      <c r="P3" s="62">
        <f>Table2245789101123456789[[#This Row],[PEMBULATAN]]*O3</f>
        <v>259349.99999999997</v>
      </c>
      <c r="Q3" s="174">
        <v>4</v>
      </c>
    </row>
    <row r="4" spans="1:17" ht="26.25" customHeight="1" x14ac:dyDescent="0.2">
      <c r="A4" s="13"/>
      <c r="B4" s="71"/>
      <c r="C4" s="8" t="s">
        <v>84</v>
      </c>
      <c r="D4" s="72" t="s">
        <v>58</v>
      </c>
      <c r="E4" s="12">
        <v>44582</v>
      </c>
      <c r="F4" s="72" t="s">
        <v>87</v>
      </c>
      <c r="G4" s="12">
        <v>44605</v>
      </c>
      <c r="H4" s="9" t="s">
        <v>88</v>
      </c>
      <c r="I4" s="1">
        <v>65</v>
      </c>
      <c r="J4" s="1">
        <v>57</v>
      </c>
      <c r="K4" s="1">
        <v>20</v>
      </c>
      <c r="L4" s="1">
        <v>13</v>
      </c>
      <c r="M4" s="76">
        <v>18.524999999999999</v>
      </c>
      <c r="N4" s="95">
        <v>18.524999999999999</v>
      </c>
      <c r="O4" s="61">
        <v>14000</v>
      </c>
      <c r="P4" s="62">
        <f>Table2245789101123456789[[#This Row],[PEMBULATAN]]*O4</f>
        <v>259349.99999999997</v>
      </c>
      <c r="Q4" s="167"/>
    </row>
    <row r="5" spans="1:17" ht="26.25" customHeight="1" x14ac:dyDescent="0.2">
      <c r="A5" s="13"/>
      <c r="B5" s="13"/>
      <c r="C5" s="8" t="s">
        <v>85</v>
      </c>
      <c r="D5" s="72" t="s">
        <v>58</v>
      </c>
      <c r="E5" s="12">
        <v>44582</v>
      </c>
      <c r="F5" s="72" t="s">
        <v>87</v>
      </c>
      <c r="G5" s="12">
        <v>44605</v>
      </c>
      <c r="H5" s="9" t="s">
        <v>88</v>
      </c>
      <c r="I5" s="1">
        <v>65</v>
      </c>
      <c r="J5" s="1">
        <v>57</v>
      </c>
      <c r="K5" s="1">
        <v>20</v>
      </c>
      <c r="L5" s="1">
        <v>13</v>
      </c>
      <c r="M5" s="76">
        <v>18.524999999999999</v>
      </c>
      <c r="N5" s="95">
        <v>18.524999999999999</v>
      </c>
      <c r="O5" s="61">
        <v>14000</v>
      </c>
      <c r="P5" s="62">
        <f>Table2245789101123456789[[#This Row],[PEMBULATAN]]*O5</f>
        <v>259349.99999999997</v>
      </c>
      <c r="Q5" s="167"/>
    </row>
    <row r="6" spans="1:17" ht="26.25" customHeight="1" x14ac:dyDescent="0.2">
      <c r="A6" s="13"/>
      <c r="B6" s="13"/>
      <c r="C6" s="69" t="s">
        <v>86</v>
      </c>
      <c r="D6" s="74" t="s">
        <v>58</v>
      </c>
      <c r="E6" s="12">
        <v>44582</v>
      </c>
      <c r="F6" s="72" t="s">
        <v>87</v>
      </c>
      <c r="G6" s="12">
        <v>44605</v>
      </c>
      <c r="H6" s="73" t="s">
        <v>88</v>
      </c>
      <c r="I6" s="15">
        <v>25</v>
      </c>
      <c r="J6" s="15">
        <v>25</v>
      </c>
      <c r="K6" s="15">
        <v>10</v>
      </c>
      <c r="L6" s="15">
        <v>5</v>
      </c>
      <c r="M6" s="77">
        <v>1.5625</v>
      </c>
      <c r="N6" s="95">
        <v>5</v>
      </c>
      <c r="O6" s="61">
        <v>14000</v>
      </c>
      <c r="P6" s="62">
        <f>Table2245789101123456789[[#This Row],[PEMBULATAN]]*O6</f>
        <v>70000</v>
      </c>
      <c r="Q6" s="175"/>
    </row>
    <row r="7" spans="1:17" ht="22.5" customHeight="1" x14ac:dyDescent="0.2">
      <c r="A7" s="169" t="s">
        <v>30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1"/>
      <c r="M7" s="75">
        <f>SUBTOTAL(109,Table2245789101123456789[KG VOLUME])</f>
        <v>57.137499999999996</v>
      </c>
      <c r="N7" s="65">
        <f>SUM(N3:N6)</f>
        <v>60.574999999999996</v>
      </c>
      <c r="O7" s="172">
        <f>SUM(P3:P6)</f>
        <v>848049.99999999988</v>
      </c>
      <c r="P7" s="173"/>
    </row>
    <row r="8" spans="1:17" ht="18" customHeight="1" x14ac:dyDescent="0.2">
      <c r="A8" s="82"/>
      <c r="B8" s="55" t="s">
        <v>42</v>
      </c>
      <c r="C8" s="54"/>
      <c r="D8" s="56" t="s">
        <v>43</v>
      </c>
      <c r="E8" s="82"/>
      <c r="F8" s="82"/>
      <c r="G8" s="82"/>
      <c r="H8" s="82"/>
      <c r="I8" s="82"/>
      <c r="J8" s="82"/>
      <c r="K8" s="82"/>
      <c r="L8" s="82"/>
      <c r="M8" s="83"/>
      <c r="N8" s="84" t="s">
        <v>51</v>
      </c>
      <c r="O8" s="85"/>
      <c r="P8" s="85">
        <f>O7*10%</f>
        <v>84805</v>
      </c>
    </row>
    <row r="9" spans="1:17" ht="18" customHeight="1" thickBot="1" x14ac:dyDescent="0.25">
      <c r="A9" s="82"/>
      <c r="B9" s="55"/>
      <c r="C9" s="54"/>
      <c r="D9" s="56"/>
      <c r="E9" s="82"/>
      <c r="F9" s="82"/>
      <c r="G9" s="82"/>
      <c r="H9" s="82"/>
      <c r="I9" s="82"/>
      <c r="J9" s="82"/>
      <c r="K9" s="82"/>
      <c r="L9" s="82"/>
      <c r="M9" s="83"/>
      <c r="N9" s="86" t="s">
        <v>52</v>
      </c>
      <c r="O9" s="87"/>
      <c r="P9" s="87">
        <f>O7-P8</f>
        <v>763244.99999999988</v>
      </c>
    </row>
    <row r="10" spans="1:17" ht="18" customHeight="1" x14ac:dyDescent="0.2">
      <c r="A10" s="10"/>
      <c r="H10" s="60"/>
      <c r="N10" s="59" t="s">
        <v>31</v>
      </c>
      <c r="P10" s="66">
        <f>P9*1%</f>
        <v>7632.4499999999989</v>
      </c>
    </row>
    <row r="11" spans="1:17" ht="18" customHeight="1" thickBot="1" x14ac:dyDescent="0.25">
      <c r="A11" s="10"/>
      <c r="H11" s="60"/>
      <c r="N11" s="59" t="s">
        <v>53</v>
      </c>
      <c r="P11" s="68">
        <f>P9*2%</f>
        <v>15264.899999999998</v>
      </c>
    </row>
    <row r="12" spans="1:17" ht="18" customHeight="1" x14ac:dyDescent="0.2">
      <c r="A12" s="10"/>
      <c r="H12" s="60"/>
      <c r="N12" s="63" t="s">
        <v>32</v>
      </c>
      <c r="O12" s="64"/>
      <c r="P12" s="67">
        <f>P9+P10-P11</f>
        <v>755612.54999999981</v>
      </c>
    </row>
    <row r="14" spans="1:17" x14ac:dyDescent="0.2">
      <c r="A14" s="10"/>
      <c r="H14" s="60"/>
      <c r="P14" s="68"/>
    </row>
    <row r="15" spans="1:17" x14ac:dyDescent="0.2">
      <c r="A15" s="10"/>
      <c r="H15" s="60"/>
      <c r="O15" s="57"/>
      <c r="P15" s="68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</sheetData>
  <mergeCells count="3">
    <mergeCell ref="A7:L7"/>
    <mergeCell ref="O7:P7"/>
    <mergeCell ref="Q3:Q6"/>
  </mergeCells>
  <conditionalFormatting sqref="B3">
    <cfRule type="duplicateValues" dxfId="49" priority="2"/>
  </conditionalFormatting>
  <conditionalFormatting sqref="B4">
    <cfRule type="duplicateValues" dxfId="48" priority="1"/>
  </conditionalFormatting>
  <conditionalFormatting sqref="B5:B6">
    <cfRule type="duplicateValues" dxfId="47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RowHeight="15" x14ac:dyDescent="0.2"/>
  <cols>
    <col min="1" max="1" width="7.42578125" style="4" customWidth="1"/>
    <col min="2" max="2" width="19.5703125" style="2" customWidth="1"/>
    <col min="3" max="3" width="14" style="2" customWidth="1"/>
    <col min="4" max="4" width="9.85546875" style="3" customWidth="1"/>
    <col min="5" max="5" width="7.42578125" style="11" customWidth="1"/>
    <col min="6" max="6" width="12.85546875" style="3" customWidth="1"/>
    <col min="7" max="7" width="9.7109375" style="3" customWidth="1"/>
    <col min="8" max="8" width="20" style="6" customWidth="1"/>
    <col min="9" max="10" width="3.7109375" style="3" customWidth="1"/>
    <col min="11" max="11" width="3.5703125" style="3" customWidth="1"/>
    <col min="12" max="12" width="4.42578125" style="3" customWidth="1"/>
    <col min="13" max="13" width="7.85546875" style="3" customWidth="1"/>
    <col min="14" max="14" width="12" style="14" customWidth="1"/>
    <col min="15" max="15" width="8.42578125" style="14" customWidth="1"/>
    <col min="16" max="16" width="9.140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403476</v>
      </c>
      <c r="B3" s="70" t="s">
        <v>89</v>
      </c>
      <c r="C3" s="8" t="s">
        <v>90</v>
      </c>
      <c r="D3" s="72" t="s">
        <v>58</v>
      </c>
      <c r="E3" s="12">
        <v>44583</v>
      </c>
      <c r="F3" s="72" t="s">
        <v>87</v>
      </c>
      <c r="G3" s="12">
        <v>44605</v>
      </c>
      <c r="H3" s="9" t="s">
        <v>88</v>
      </c>
      <c r="I3" s="1">
        <v>52</v>
      </c>
      <c r="J3" s="1">
        <v>8</v>
      </c>
      <c r="K3" s="1">
        <v>8</v>
      </c>
      <c r="L3" s="1">
        <v>5</v>
      </c>
      <c r="M3" s="76">
        <v>0.83199999999999996</v>
      </c>
      <c r="N3" s="7">
        <v>5</v>
      </c>
      <c r="O3" s="61">
        <v>14000</v>
      </c>
      <c r="P3" s="62">
        <f>Table224578910112345678910[[#This Row],[PEMBULATAN]]*O3</f>
        <v>70000</v>
      </c>
      <c r="Q3" s="93">
        <v>1</v>
      </c>
    </row>
    <row r="4" spans="1:17" ht="22.5" customHeight="1" x14ac:dyDescent="0.2">
      <c r="A4" s="169" t="s">
        <v>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  <c r="M4" s="75">
        <f>SUBTOTAL(109,Table224578910112345678910[KG VOLUME])</f>
        <v>0.83199999999999996</v>
      </c>
      <c r="N4" s="65">
        <f>SUM(N3:N3)</f>
        <v>5</v>
      </c>
      <c r="O4" s="172">
        <f>SUM(P3:P3)</f>
        <v>70000</v>
      </c>
      <c r="P4" s="173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7000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63000</v>
      </c>
    </row>
    <row r="7" spans="1:17" ht="18" customHeight="1" x14ac:dyDescent="0.2">
      <c r="A7" s="10"/>
      <c r="H7" s="60"/>
      <c r="N7" s="59" t="s">
        <v>31</v>
      </c>
      <c r="P7" s="66">
        <f>P6*1%</f>
        <v>630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1260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62370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3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5" x14ac:dyDescent="0.2"/>
  <cols>
    <col min="1" max="1" width="6.42578125" style="4" customWidth="1"/>
    <col min="2" max="2" width="19.28515625" style="2" customWidth="1"/>
    <col min="3" max="3" width="13.85546875" style="2" customWidth="1"/>
    <col min="4" max="4" width="9.42578125" style="3" customWidth="1"/>
    <col min="5" max="5" width="7.5703125" style="11" customWidth="1"/>
    <col min="6" max="6" width="11.5703125" style="3" customWidth="1"/>
    <col min="7" max="7" width="7.5703125" style="3" customWidth="1"/>
    <col min="8" max="8" width="23.5703125" style="6" customWidth="1"/>
    <col min="9" max="9" width="3.7109375" style="3" customWidth="1"/>
    <col min="10" max="11" width="3.5703125" style="3" customWidth="1"/>
    <col min="12" max="12" width="4.425781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.71093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403353</v>
      </c>
      <c r="B3" s="70" t="s">
        <v>91</v>
      </c>
      <c r="C3" s="8" t="s">
        <v>92</v>
      </c>
      <c r="D3" s="72" t="s">
        <v>58</v>
      </c>
      <c r="E3" s="12">
        <v>44585</v>
      </c>
      <c r="F3" s="72" t="s">
        <v>87</v>
      </c>
      <c r="G3" s="12">
        <v>44605</v>
      </c>
      <c r="H3" s="9" t="s">
        <v>88</v>
      </c>
      <c r="I3" s="1">
        <v>84</v>
      </c>
      <c r="J3" s="1">
        <v>53</v>
      </c>
      <c r="K3" s="1">
        <v>20</v>
      </c>
      <c r="L3" s="1">
        <v>9</v>
      </c>
      <c r="M3" s="76">
        <v>22.26</v>
      </c>
      <c r="N3" s="95">
        <v>22.26</v>
      </c>
      <c r="O3" s="61">
        <v>14000</v>
      </c>
      <c r="P3" s="62">
        <f>Table22457891011234567891011[[#This Row],[PEMBULATAN]]*O3</f>
        <v>311640</v>
      </c>
      <c r="Q3" s="93">
        <v>1</v>
      </c>
    </row>
    <row r="4" spans="1:17" ht="22.5" customHeight="1" x14ac:dyDescent="0.2">
      <c r="A4" s="169" t="s">
        <v>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  <c r="M4" s="75">
        <f>SUBTOTAL(109,Table22457891011234567891011[KG VOLUME])</f>
        <v>22.26</v>
      </c>
      <c r="N4" s="65">
        <f>SUM(N3:N3)</f>
        <v>22.26</v>
      </c>
      <c r="O4" s="172">
        <f>SUM(P3:P3)</f>
        <v>311640</v>
      </c>
      <c r="P4" s="173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31164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280476</v>
      </c>
    </row>
    <row r="7" spans="1:17" ht="18" customHeight="1" x14ac:dyDescent="0.2">
      <c r="A7" s="10"/>
      <c r="H7" s="60"/>
      <c r="N7" s="59" t="s">
        <v>31</v>
      </c>
      <c r="P7" s="66">
        <f>P6*1%</f>
        <v>2804.76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5609.52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277671.24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Sicepat_TERNATE_Jan 22</vt:lpstr>
      <vt:lpstr>ALL</vt:lpstr>
      <vt:lpstr>402774</vt:lpstr>
      <vt:lpstr>402799</vt:lpstr>
      <vt:lpstr>402919</vt:lpstr>
      <vt:lpstr>402935</vt:lpstr>
      <vt:lpstr>403469</vt:lpstr>
      <vt:lpstr>403476</vt:lpstr>
      <vt:lpstr>403353</vt:lpstr>
      <vt:lpstr>'402774'!Print_Titles</vt:lpstr>
      <vt:lpstr>'402799'!Print_Titles</vt:lpstr>
      <vt:lpstr>'402919'!Print_Titles</vt:lpstr>
      <vt:lpstr>'402935'!Print_Titles</vt:lpstr>
      <vt:lpstr>'403353'!Print_Titles</vt:lpstr>
      <vt:lpstr>'403469'!Print_Titles</vt:lpstr>
      <vt:lpstr>'403476'!Print_Titles</vt:lpstr>
      <vt:lpstr>ALL!Print_Titles</vt:lpstr>
      <vt:lpstr>'Sicepat_TERNATE_Jan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2022-03-01T04:29:16Z</cp:lastPrinted>
  <dcterms:created xsi:type="dcterms:W3CDTF">2021-07-02T11:08:00Z</dcterms:created>
  <dcterms:modified xsi:type="dcterms:W3CDTF">2022-03-10T04:20:30Z</dcterms:modified>
</cp:coreProperties>
</file>